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esktop\"/>
    </mc:Choice>
  </mc:AlternateContent>
  <bookViews>
    <workbookView xWindow="0" yWindow="0" windowWidth="23040" windowHeight="9408" activeTab="2"/>
  </bookViews>
  <sheets>
    <sheet name="SUMMARY" sheetId="1" r:id="rId1"/>
    <sheet name="patli" sheetId="18" r:id="rId2"/>
    <sheet name="Mix design" sheetId="2" r:id="rId3"/>
    <sheet name="cOL" sheetId="3" r:id="rId4"/>
    <sheet name="Frames (2)" sheetId="17" r:id="rId5"/>
    <sheet name="Flooring" sheetId="19" r:id="rId6"/>
    <sheet name="Waterproofing (2)" sheetId="20" r:id="rId7"/>
    <sheet name="External plaster" sheetId="21" r:id="rId8"/>
    <sheet name="Podium Beam" sheetId="4" r:id="rId9"/>
    <sheet name="Podium Slab" sheetId="5" r:id="rId10"/>
    <sheet name="BW" sheetId="7" r:id="rId11"/>
    <sheet name="IP" sheetId="8" r:id="rId12"/>
    <sheet name="Site Req." sheetId="6" r:id="rId13"/>
    <sheet name="Precast" sheetId="11" r:id="rId14"/>
    <sheet name="Staircase pardi" sheetId="12" r:id="rId15"/>
    <sheet name="SUMMARY sirs comp" sheetId="16" r:id="rId16"/>
    <sheet name="Sheet1" sheetId="22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_________xlnm.Print_Area">#N/A</definedName>
    <definedName name="___________xlnm.Print_Area_1">#REF!</definedName>
    <definedName name="__________xlnm.Print_Area">#N/A</definedName>
    <definedName name="__________xlnm.Print_Area_1">#REF!</definedName>
    <definedName name="_________xlnm.Print_Area">#N/A</definedName>
    <definedName name="_________xlnm.Print_Area_1">#REF!</definedName>
    <definedName name="________xlnm.Print_Area">#N/A</definedName>
    <definedName name="________xlnm.Print_Area_1">#REF!</definedName>
    <definedName name="_______xlnm.Print_Area">#N/A</definedName>
    <definedName name="_______xlnm.Print_Area_1">#REF!</definedName>
    <definedName name="______xlnm.Print_Area">#N/A</definedName>
    <definedName name="______xlnm.Print_Area_1" localSheetId="15">#REF!</definedName>
    <definedName name="______xlnm.Print_Area_1">#REF!</definedName>
    <definedName name="_____xlnm.Print_Area">#N/A</definedName>
    <definedName name="_____xlnm.Print_Area_1" localSheetId="15">#REF!</definedName>
    <definedName name="_____xlnm.Print_Area_1">#REF!</definedName>
    <definedName name="____xlnm.Print_Area">#N/A</definedName>
    <definedName name="____xlnm.Print_Area_1" localSheetId="15">#REF!</definedName>
    <definedName name="____xlnm.Print_Area_1">#REF!</definedName>
    <definedName name="___xlnm.Print_Area">#N/A</definedName>
    <definedName name="___xlnm.Print_Area_1" localSheetId="15">#REF!</definedName>
    <definedName name="___xlnm.Print_Area_1">#REF!</definedName>
    <definedName name="__xlnm.Print_Area">#N/A</definedName>
    <definedName name="__xlnm.Print_Area_1" localSheetId="12">#REF!</definedName>
    <definedName name="__xlnm.Print_Area_1" localSheetId="15">#REF!</definedName>
    <definedName name="__xlnm.Print_Area_1">#REF!</definedName>
    <definedName name="dhhfdhfkjdhsf" localSheetId="12">#REF!</definedName>
    <definedName name="dhhfdhfkjdhsf" localSheetId="15">#REF!</definedName>
    <definedName name="dhhfdhfkjdhsf">#REF!</definedName>
    <definedName name="_xlnm.Print_Area" localSheetId="3">cOL!$A$7:$G$136</definedName>
    <definedName name="_xlnm.Print_Area" localSheetId="0">SUMMARY!$B$1:$L$75</definedName>
    <definedName name="_xlnm.Print_Area" localSheetId="15">'SUMMARY sirs comp'!$B$1:$D$86</definedName>
  </definedNames>
  <calcPr calcId="152511" concurrentCalc="0"/>
  <pivotCaches>
    <pivotCache cacheId="0" r:id="rId24"/>
    <pivotCache cacheId="1" r:id="rId25"/>
  </pivotCaches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29" i="1"/>
  <c r="B28" i="1"/>
  <c r="B27" i="1"/>
  <c r="B26" i="1"/>
  <c r="B25" i="1"/>
  <c r="L28" i="1"/>
  <c r="K28" i="1"/>
  <c r="K27" i="1"/>
  <c r="H27" i="1"/>
  <c r="H28" i="1"/>
  <c r="I27" i="1"/>
  <c r="I28" i="1"/>
  <c r="J27" i="1"/>
  <c r="L27" i="1"/>
  <c r="J28" i="1"/>
  <c r="F28" i="1"/>
  <c r="F27" i="1"/>
  <c r="G28" i="1"/>
  <c r="G27" i="1"/>
  <c r="F26" i="1"/>
  <c r="I35" i="1"/>
  <c r="G35" i="1"/>
  <c r="M26" i="1"/>
  <c r="M25" i="1"/>
  <c r="L22" i="1"/>
  <c r="K23" i="1"/>
  <c r="M23" i="1"/>
  <c r="M24" i="1"/>
  <c r="M22" i="1"/>
  <c r="M21" i="1"/>
  <c r="G19" i="1"/>
  <c r="H19" i="1"/>
  <c r="I19" i="1"/>
  <c r="G20" i="1"/>
  <c r="H20" i="1"/>
  <c r="I20" i="1"/>
  <c r="F20" i="1"/>
  <c r="F19" i="1"/>
  <c r="G16" i="1"/>
  <c r="H16" i="1"/>
  <c r="I16" i="1"/>
  <c r="F16" i="1"/>
  <c r="G13" i="1"/>
  <c r="H13" i="1"/>
  <c r="I13" i="1"/>
  <c r="F13" i="1"/>
  <c r="G14" i="1"/>
  <c r="H14" i="1"/>
  <c r="I14" i="1"/>
  <c r="F14" i="1"/>
  <c r="E19" i="19"/>
  <c r="E11" i="19"/>
  <c r="L72" i="1"/>
  <c r="K72" i="1"/>
  <c r="J72" i="1"/>
  <c r="I72" i="1"/>
  <c r="H72" i="1"/>
  <c r="G72" i="1"/>
  <c r="F72" i="1"/>
  <c r="J16" i="8"/>
  <c r="D38" i="1"/>
  <c r="D66" i="1"/>
  <c r="D65" i="1"/>
  <c r="D9" i="1"/>
  <c r="D10" i="1"/>
  <c r="D15" i="1"/>
  <c r="D17" i="1"/>
  <c r="D7" i="1"/>
  <c r="N23" i="19"/>
  <c r="E20" i="19"/>
  <c r="H20" i="19"/>
  <c r="O23" i="19"/>
  <c r="E12" i="19"/>
  <c r="H12" i="19"/>
  <c r="O18" i="19"/>
  <c r="N16" i="19"/>
  <c r="N18" i="19"/>
  <c r="F40" i="21"/>
  <c r="G40" i="21"/>
  <c r="E40" i="21"/>
  <c r="G34" i="21"/>
  <c r="G33" i="21"/>
  <c r="F32" i="21"/>
  <c r="G32" i="21"/>
  <c r="G31" i="21"/>
  <c r="E31" i="21"/>
  <c r="E30" i="21"/>
  <c r="G30" i="21"/>
  <c r="G29" i="21"/>
  <c r="E29" i="21"/>
  <c r="E28" i="21"/>
  <c r="G28" i="21"/>
  <c r="G27" i="21"/>
  <c r="F27" i="21"/>
  <c r="F26" i="21"/>
  <c r="G26" i="21"/>
  <c r="G25" i="21"/>
  <c r="F25" i="21"/>
  <c r="F24" i="21"/>
  <c r="G24" i="21"/>
  <c r="G23" i="21"/>
  <c r="F23" i="21"/>
  <c r="F22" i="21"/>
  <c r="G22" i="21"/>
  <c r="G21" i="21"/>
  <c r="F21" i="21"/>
  <c r="G20" i="21"/>
  <c r="G19" i="21"/>
  <c r="E19" i="21"/>
  <c r="G18" i="21"/>
  <c r="G17" i="21"/>
  <c r="D16" i="21"/>
  <c r="G16" i="21"/>
  <c r="G15" i="21"/>
  <c r="D15" i="21"/>
  <c r="G14" i="21"/>
  <c r="G13" i="21"/>
  <c r="E12" i="21"/>
  <c r="G12" i="21"/>
  <c r="J84" i="8"/>
  <c r="K5" i="7"/>
  <c r="D31" i="1"/>
  <c r="H47" i="20"/>
  <c r="H46" i="20"/>
  <c r="H45" i="20"/>
  <c r="H44" i="20"/>
  <c r="H43" i="20"/>
  <c r="H42" i="20"/>
  <c r="G41" i="20"/>
  <c r="E41" i="20"/>
  <c r="H37" i="20"/>
  <c r="H36" i="20"/>
  <c r="H35" i="20"/>
  <c r="H34" i="20"/>
  <c r="J33" i="20"/>
  <c r="H33" i="20"/>
  <c r="H32" i="20"/>
  <c r="H31" i="20"/>
  <c r="G30" i="20"/>
  <c r="G38" i="20"/>
  <c r="E30" i="20"/>
  <c r="H26" i="20"/>
  <c r="H25" i="20"/>
  <c r="H24" i="20"/>
  <c r="H23" i="20"/>
  <c r="H22" i="20"/>
  <c r="H21" i="20"/>
  <c r="G20" i="20"/>
  <c r="E20" i="20"/>
  <c r="H16" i="20"/>
  <c r="H15" i="20"/>
  <c r="H14" i="20"/>
  <c r="H13" i="20"/>
  <c r="H12" i="20"/>
  <c r="H11" i="20"/>
  <c r="G10" i="20"/>
  <c r="G17" i="20"/>
  <c r="E10" i="20"/>
  <c r="H10" i="20"/>
  <c r="H17" i="20"/>
  <c r="J31" i="19"/>
  <c r="H31" i="19"/>
  <c r="H35" i="19"/>
  <c r="G22" i="19"/>
  <c r="H22" i="19"/>
  <c r="G19" i="19"/>
  <c r="H19" i="19"/>
  <c r="G14" i="19"/>
  <c r="H14" i="19"/>
  <c r="G11" i="19"/>
  <c r="F11" i="19"/>
  <c r="H11" i="19"/>
  <c r="D26" i="1"/>
  <c r="D18" i="1"/>
  <c r="D11" i="1"/>
  <c r="E31" i="19"/>
  <c r="G36" i="21"/>
  <c r="H15" i="19"/>
  <c r="H20" i="20"/>
  <c r="H27" i="20"/>
  <c r="H30" i="20"/>
  <c r="H38" i="20"/>
  <c r="H50" i="20"/>
  <c r="H41" i="20"/>
  <c r="H48" i="20"/>
  <c r="E42" i="19"/>
  <c r="G27" i="20"/>
  <c r="G48" i="20"/>
  <c r="H23" i="19"/>
  <c r="K6" i="7"/>
  <c r="K12" i="7"/>
  <c r="L31" i="1"/>
  <c r="E57" i="20"/>
  <c r="E58" i="20"/>
  <c r="E56" i="20"/>
  <c r="G50" i="20"/>
  <c r="E67" i="20"/>
  <c r="H26" i="19"/>
  <c r="E58" i="21"/>
  <c r="E48" i="21"/>
  <c r="H49" i="21"/>
  <c r="H50" i="21"/>
  <c r="D63" i="1"/>
  <c r="E43" i="19"/>
  <c r="E44" i="19"/>
  <c r="E45" i="19"/>
  <c r="F63" i="1"/>
  <c r="E59" i="21"/>
  <c r="E60" i="21"/>
  <c r="E59" i="20"/>
  <c r="E60" i="20"/>
  <c r="E61" i="20"/>
  <c r="E62" i="20"/>
  <c r="E32" i="19"/>
  <c r="E33" i="19"/>
  <c r="E34" i="19"/>
  <c r="F60" i="1"/>
  <c r="D60" i="1"/>
  <c r="K7" i="7"/>
  <c r="K9" i="7"/>
  <c r="K10" i="7"/>
  <c r="K11" i="7"/>
  <c r="G31" i="1"/>
  <c r="D49" i="1"/>
  <c r="D50" i="1"/>
  <c r="E68" i="20"/>
  <c r="E70" i="20"/>
  <c r="E71" i="20"/>
  <c r="E69" i="20"/>
  <c r="E76" i="20"/>
  <c r="E49" i="21"/>
  <c r="E50" i="21"/>
  <c r="D57" i="1"/>
  <c r="D54" i="1"/>
  <c r="D56" i="1"/>
  <c r="D53" i="1"/>
  <c r="D55" i="1"/>
  <c r="E62" i="21"/>
  <c r="E63" i="21"/>
  <c r="E64" i="21"/>
  <c r="J50" i="1"/>
  <c r="E61" i="21"/>
  <c r="F50" i="1"/>
  <c r="E51" i="21"/>
  <c r="F49" i="1"/>
  <c r="E52" i="21"/>
  <c r="E53" i="21"/>
  <c r="E54" i="21"/>
  <c r="J49" i="1"/>
  <c r="E35" i="19"/>
  <c r="E36" i="19"/>
  <c r="E37" i="19"/>
  <c r="G60" i="1"/>
  <c r="K8" i="7"/>
  <c r="F31" i="1"/>
  <c r="E72" i="20"/>
  <c r="F53" i="1"/>
  <c r="E73" i="20"/>
  <c r="E74" i="20"/>
  <c r="E75" i="20"/>
  <c r="J53" i="1"/>
  <c r="K57" i="1"/>
  <c r="K54" i="1"/>
  <c r="K53" i="1"/>
  <c r="K56" i="1"/>
  <c r="K55" i="1"/>
  <c r="F57" i="1"/>
  <c r="F54" i="1"/>
  <c r="F55" i="1"/>
  <c r="J57" i="1"/>
  <c r="J55" i="1"/>
  <c r="E5" i="7"/>
  <c r="D29" i="1"/>
  <c r="E17" i="7"/>
  <c r="J54" i="1"/>
  <c r="J56" i="1"/>
  <c r="F56" i="1"/>
  <c r="D25" i="1"/>
  <c r="D30" i="1"/>
  <c r="D23" i="1"/>
  <c r="D22" i="1"/>
  <c r="D24" i="1"/>
  <c r="E5" i="8"/>
  <c r="J85" i="8"/>
  <c r="J86" i="8"/>
  <c r="J88" i="8"/>
  <c r="J89" i="8"/>
  <c r="J90" i="8"/>
  <c r="J87" i="8"/>
  <c r="G82" i="16"/>
  <c r="H86" i="16"/>
  <c r="F16" i="18"/>
  <c r="H16" i="18"/>
  <c r="F15" i="18"/>
  <c r="H15" i="18"/>
  <c r="F14" i="18"/>
  <c r="H14" i="18"/>
  <c r="F13" i="18"/>
  <c r="D13" i="18"/>
  <c r="H13" i="18"/>
  <c r="F12" i="18"/>
  <c r="H12" i="18"/>
  <c r="H11" i="18"/>
  <c r="F11" i="18"/>
  <c r="H13" i="17"/>
  <c r="H20" i="17"/>
  <c r="G18" i="17"/>
  <c r="H18" i="17"/>
  <c r="H11" i="17"/>
  <c r="H10" i="17"/>
  <c r="G15" i="17"/>
  <c r="H15" i="17"/>
  <c r="F21" i="17"/>
  <c r="H21" i="17"/>
  <c r="E21" i="17"/>
  <c r="H19" i="17"/>
  <c r="G17" i="17"/>
  <c r="H17" i="17"/>
  <c r="G16" i="17"/>
  <c r="H16" i="17"/>
  <c r="G14" i="17"/>
  <c r="H14" i="17"/>
  <c r="D13" i="17"/>
  <c r="D12" i="17"/>
  <c r="H12" i="17"/>
  <c r="E78" i="16"/>
  <c r="N82" i="16"/>
  <c r="M82" i="16"/>
  <c r="L82" i="16"/>
  <c r="K82" i="16"/>
  <c r="J82" i="16"/>
  <c r="I82" i="16"/>
  <c r="M75" i="16"/>
  <c r="L75" i="16"/>
  <c r="G75" i="16"/>
  <c r="E75" i="16"/>
  <c r="L74" i="16"/>
  <c r="G74" i="16"/>
  <c r="E74" i="16"/>
  <c r="L73" i="16"/>
  <c r="G73" i="16"/>
  <c r="E73" i="16"/>
  <c r="L72" i="16"/>
  <c r="G72" i="16"/>
  <c r="E72" i="16"/>
  <c r="M71" i="16"/>
  <c r="L71" i="16"/>
  <c r="G71" i="16"/>
  <c r="E71" i="16"/>
  <c r="M70" i="16"/>
  <c r="L70" i="16"/>
  <c r="G70" i="16"/>
  <c r="E70" i="16"/>
  <c r="M69" i="16"/>
  <c r="L69" i="16"/>
  <c r="G69" i="16"/>
  <c r="E69" i="16"/>
  <c r="E66" i="16"/>
  <c r="E64" i="16"/>
  <c r="E61" i="16"/>
  <c r="R54" i="16"/>
  <c r="E52" i="16"/>
  <c r="E51" i="16"/>
  <c r="E50" i="16"/>
  <c r="E49" i="16"/>
  <c r="E48" i="16"/>
  <c r="E44" i="16"/>
  <c r="E43" i="16"/>
  <c r="E42" i="16"/>
  <c r="E38" i="16"/>
  <c r="E37" i="16"/>
  <c r="E36" i="16"/>
  <c r="E35" i="16"/>
  <c r="E34" i="16"/>
  <c r="E33" i="16"/>
  <c r="E30" i="16"/>
  <c r="E29" i="16"/>
  <c r="E28" i="16"/>
  <c r="E27" i="16"/>
  <c r="E26" i="16"/>
  <c r="E25" i="16"/>
  <c r="E17" i="16"/>
  <c r="P16" i="16"/>
  <c r="E16" i="16"/>
  <c r="E11" i="16"/>
  <c r="J5" i="8"/>
  <c r="P43" i="1"/>
  <c r="D16" i="2"/>
  <c r="F74" i="8"/>
  <c r="H74" i="8"/>
  <c r="E74" i="8"/>
  <c r="H73" i="8"/>
  <c r="H72" i="8"/>
  <c r="H71" i="8"/>
  <c r="H70" i="8"/>
  <c r="H69" i="8"/>
  <c r="H76" i="8"/>
  <c r="H68" i="8"/>
  <c r="H67" i="8"/>
  <c r="H62" i="8"/>
  <c r="F62" i="8"/>
  <c r="E62" i="8"/>
  <c r="H61" i="8"/>
  <c r="H60" i="8"/>
  <c r="H59" i="8"/>
  <c r="H58" i="8"/>
  <c r="H57" i="8"/>
  <c r="H56" i="8"/>
  <c r="H55" i="8"/>
  <c r="H54" i="8"/>
  <c r="F50" i="8"/>
  <c r="H50" i="8"/>
  <c r="E50" i="8"/>
  <c r="H49" i="8"/>
  <c r="H48" i="8"/>
  <c r="H47" i="8"/>
  <c r="H46" i="8"/>
  <c r="H45" i="8"/>
  <c r="H44" i="8"/>
  <c r="H43" i="8"/>
  <c r="G40" i="8"/>
  <c r="F38" i="8"/>
  <c r="E38" i="8"/>
  <c r="H38" i="8"/>
  <c r="H37" i="8"/>
  <c r="H36" i="8"/>
  <c r="H35" i="8"/>
  <c r="H34" i="8"/>
  <c r="H33" i="8"/>
  <c r="H32" i="8"/>
  <c r="H31" i="8"/>
  <c r="J8" i="11"/>
  <c r="G66" i="16"/>
  <c r="J7" i="11"/>
  <c r="J6" i="11"/>
  <c r="E6" i="11"/>
  <c r="G6" i="12"/>
  <c r="E60" i="16"/>
  <c r="V369" i="3"/>
  <c r="U369" i="3"/>
  <c r="T369" i="3"/>
  <c r="S369" i="3"/>
  <c r="R369" i="3"/>
  <c r="Q369" i="3"/>
  <c r="P369" i="3"/>
  <c r="V368" i="3"/>
  <c r="U368" i="3"/>
  <c r="T368" i="3"/>
  <c r="S368" i="3"/>
  <c r="R368" i="3"/>
  <c r="Q368" i="3"/>
  <c r="P368" i="3"/>
  <c r="J368" i="3"/>
  <c r="V367" i="3"/>
  <c r="U367" i="3"/>
  <c r="T367" i="3"/>
  <c r="S367" i="3"/>
  <c r="Q367" i="3"/>
  <c r="O367" i="3"/>
  <c r="N367" i="3"/>
  <c r="J367" i="3"/>
  <c r="R367" i="3"/>
  <c r="V366" i="3"/>
  <c r="U366" i="3"/>
  <c r="T366" i="3"/>
  <c r="R366" i="3"/>
  <c r="Q366" i="3"/>
  <c r="O366" i="3"/>
  <c r="N366" i="3"/>
  <c r="J366" i="3"/>
  <c r="S366" i="3"/>
  <c r="G366" i="3"/>
  <c r="E16" i="2"/>
  <c r="H16" i="2"/>
  <c r="H64" i="8"/>
  <c r="H40" i="8"/>
  <c r="H51" i="8"/>
  <c r="D35" i="1"/>
  <c r="D37" i="1"/>
  <c r="D36" i="1"/>
  <c r="P366" i="3"/>
  <c r="H18" i="18"/>
  <c r="E24" i="18"/>
  <c r="I16" i="16"/>
  <c r="G16" i="16"/>
  <c r="H23" i="17"/>
  <c r="E28" i="17"/>
  <c r="H78" i="8"/>
  <c r="E84" i="8"/>
  <c r="P367" i="3"/>
  <c r="G16" i="2"/>
  <c r="K16" i="16"/>
  <c r="F16" i="2"/>
  <c r="J16" i="16"/>
  <c r="E85" i="8"/>
  <c r="E86" i="8"/>
  <c r="E45" i="16"/>
  <c r="E25" i="18"/>
  <c r="D32" i="1"/>
  <c r="E39" i="16"/>
  <c r="E26" i="18"/>
  <c r="E27" i="18"/>
  <c r="E28" i="18"/>
  <c r="E29" i="18"/>
  <c r="E29" i="17"/>
  <c r="E30" i="17"/>
  <c r="E31" i="17"/>
  <c r="E6" i="8"/>
  <c r="E7" i="8"/>
  <c r="D41" i="1"/>
  <c r="G7" i="12"/>
  <c r="G8" i="12"/>
  <c r="V440" i="3"/>
  <c r="U440" i="3"/>
  <c r="T440" i="3"/>
  <c r="S440" i="3"/>
  <c r="R440" i="3"/>
  <c r="Q440" i="3"/>
  <c r="P440" i="3"/>
  <c r="V452" i="3"/>
  <c r="U452" i="3"/>
  <c r="T452" i="3"/>
  <c r="S452" i="3"/>
  <c r="R452" i="3"/>
  <c r="Q452" i="3"/>
  <c r="P452" i="3"/>
  <c r="V451" i="3"/>
  <c r="U451" i="3"/>
  <c r="T451" i="3"/>
  <c r="S451" i="3"/>
  <c r="R451" i="3"/>
  <c r="Q451" i="3"/>
  <c r="P451" i="3"/>
  <c r="J451" i="3"/>
  <c r="V450" i="3"/>
  <c r="U450" i="3"/>
  <c r="T450" i="3"/>
  <c r="S450" i="3"/>
  <c r="Q450" i="3"/>
  <c r="O450" i="3"/>
  <c r="N450" i="3"/>
  <c r="J450" i="3"/>
  <c r="R450" i="3"/>
  <c r="V449" i="3"/>
  <c r="U449" i="3"/>
  <c r="T449" i="3"/>
  <c r="R449" i="3"/>
  <c r="Q449" i="3"/>
  <c r="O449" i="3"/>
  <c r="N449" i="3"/>
  <c r="J449" i="3"/>
  <c r="S449" i="3"/>
  <c r="G449" i="3"/>
  <c r="V448" i="3"/>
  <c r="U448" i="3"/>
  <c r="T448" i="3"/>
  <c r="S448" i="3"/>
  <c r="R448" i="3"/>
  <c r="Q448" i="3"/>
  <c r="P448" i="3"/>
  <c r="V447" i="3"/>
  <c r="U447" i="3"/>
  <c r="T447" i="3"/>
  <c r="S447" i="3"/>
  <c r="R447" i="3"/>
  <c r="Q447" i="3"/>
  <c r="P447" i="3"/>
  <c r="J447" i="3"/>
  <c r="V446" i="3"/>
  <c r="U446" i="3"/>
  <c r="T446" i="3"/>
  <c r="S446" i="3"/>
  <c r="Q446" i="3"/>
  <c r="O446" i="3"/>
  <c r="N446" i="3"/>
  <c r="J446" i="3"/>
  <c r="R446" i="3"/>
  <c r="V445" i="3"/>
  <c r="U445" i="3"/>
  <c r="T445" i="3"/>
  <c r="R445" i="3"/>
  <c r="Q445" i="3"/>
  <c r="O445" i="3"/>
  <c r="N445" i="3"/>
  <c r="J445" i="3"/>
  <c r="S445" i="3"/>
  <c r="G445" i="3"/>
  <c r="G452" i="3"/>
  <c r="V438" i="3"/>
  <c r="U438" i="3"/>
  <c r="T438" i="3"/>
  <c r="S438" i="3"/>
  <c r="R438" i="3"/>
  <c r="Q438" i="3"/>
  <c r="P438" i="3"/>
  <c r="V437" i="3"/>
  <c r="U437" i="3"/>
  <c r="T437" i="3"/>
  <c r="S437" i="3"/>
  <c r="R437" i="3"/>
  <c r="Q437" i="3"/>
  <c r="P437" i="3"/>
  <c r="J437" i="3"/>
  <c r="V436" i="3"/>
  <c r="U436" i="3"/>
  <c r="T436" i="3"/>
  <c r="S436" i="3"/>
  <c r="Q436" i="3"/>
  <c r="O436" i="3"/>
  <c r="N436" i="3"/>
  <c r="J436" i="3"/>
  <c r="R436" i="3"/>
  <c r="V435" i="3"/>
  <c r="U435" i="3"/>
  <c r="T435" i="3"/>
  <c r="R435" i="3"/>
  <c r="Q435" i="3"/>
  <c r="O435" i="3"/>
  <c r="N435" i="3"/>
  <c r="J435" i="3"/>
  <c r="S435" i="3"/>
  <c r="G435" i="3"/>
  <c r="V434" i="3"/>
  <c r="U434" i="3"/>
  <c r="T434" i="3"/>
  <c r="S434" i="3"/>
  <c r="R434" i="3"/>
  <c r="Q434" i="3"/>
  <c r="P434" i="3"/>
  <c r="V433" i="3"/>
  <c r="U433" i="3"/>
  <c r="T433" i="3"/>
  <c r="S433" i="3"/>
  <c r="Q433" i="3"/>
  <c r="P433" i="3"/>
  <c r="J433" i="3"/>
  <c r="R433" i="3"/>
  <c r="V432" i="3"/>
  <c r="U432" i="3"/>
  <c r="T432" i="3"/>
  <c r="R432" i="3"/>
  <c r="Q432" i="3"/>
  <c r="O432" i="3"/>
  <c r="N432" i="3"/>
  <c r="J432" i="3"/>
  <c r="S432" i="3"/>
  <c r="V431" i="3"/>
  <c r="U431" i="3"/>
  <c r="S431" i="3"/>
  <c r="R431" i="3"/>
  <c r="Q431" i="3"/>
  <c r="O431" i="3"/>
  <c r="N431" i="3"/>
  <c r="J431" i="3"/>
  <c r="T431" i="3"/>
  <c r="G431" i="3"/>
  <c r="V430" i="3"/>
  <c r="U430" i="3"/>
  <c r="T430" i="3"/>
  <c r="S430" i="3"/>
  <c r="R430" i="3"/>
  <c r="Q430" i="3"/>
  <c r="O430" i="3"/>
  <c r="P430" i="3"/>
  <c r="V429" i="3"/>
  <c r="U429" i="3"/>
  <c r="T429" i="3"/>
  <c r="S429" i="3"/>
  <c r="R429" i="3"/>
  <c r="Q429" i="3"/>
  <c r="P429" i="3"/>
  <c r="V428" i="3"/>
  <c r="U428" i="3"/>
  <c r="T428" i="3"/>
  <c r="S428" i="3"/>
  <c r="R428" i="3"/>
  <c r="Q428" i="3"/>
  <c r="P428" i="3"/>
  <c r="J428" i="3"/>
  <c r="V427" i="3"/>
  <c r="U427" i="3"/>
  <c r="T427" i="3"/>
  <c r="R427" i="3"/>
  <c r="Q427" i="3"/>
  <c r="O427" i="3"/>
  <c r="N427" i="3"/>
  <c r="J427" i="3"/>
  <c r="S427" i="3"/>
  <c r="V426" i="3"/>
  <c r="U426" i="3"/>
  <c r="S426" i="3"/>
  <c r="R426" i="3"/>
  <c r="Q426" i="3"/>
  <c r="O426" i="3"/>
  <c r="N426" i="3"/>
  <c r="J426" i="3"/>
  <c r="T426" i="3"/>
  <c r="G426" i="3"/>
  <c r="V425" i="3"/>
  <c r="U425" i="3"/>
  <c r="T425" i="3"/>
  <c r="S425" i="3"/>
  <c r="R425" i="3"/>
  <c r="Q425" i="3"/>
  <c r="O425" i="3"/>
  <c r="P425" i="3"/>
  <c r="V424" i="3"/>
  <c r="U424" i="3"/>
  <c r="T424" i="3"/>
  <c r="S424" i="3"/>
  <c r="R424" i="3"/>
  <c r="Q424" i="3"/>
  <c r="P424" i="3"/>
  <c r="V423" i="3"/>
  <c r="U423" i="3"/>
  <c r="T423" i="3"/>
  <c r="S423" i="3"/>
  <c r="R423" i="3"/>
  <c r="Q423" i="3"/>
  <c r="P423" i="3"/>
  <c r="J423" i="3"/>
  <c r="V422" i="3"/>
  <c r="U422" i="3"/>
  <c r="T422" i="3"/>
  <c r="R422" i="3"/>
  <c r="Q422" i="3"/>
  <c r="O422" i="3"/>
  <c r="N422" i="3"/>
  <c r="J422" i="3"/>
  <c r="S422" i="3"/>
  <c r="V421" i="3"/>
  <c r="U421" i="3"/>
  <c r="S421" i="3"/>
  <c r="R421" i="3"/>
  <c r="Q421" i="3"/>
  <c r="O421" i="3"/>
  <c r="N421" i="3"/>
  <c r="J421" i="3"/>
  <c r="T421" i="3"/>
  <c r="V420" i="3"/>
  <c r="U420" i="3"/>
  <c r="T420" i="3"/>
  <c r="S420" i="3"/>
  <c r="R420" i="3"/>
  <c r="Q420" i="3"/>
  <c r="O420" i="3"/>
  <c r="P420" i="3"/>
  <c r="V419" i="3"/>
  <c r="U419" i="3"/>
  <c r="T419" i="3"/>
  <c r="S419" i="3"/>
  <c r="R419" i="3"/>
  <c r="Q419" i="3"/>
  <c r="P419" i="3"/>
  <c r="V418" i="3"/>
  <c r="U418" i="3"/>
  <c r="T418" i="3"/>
  <c r="S418" i="3"/>
  <c r="R418" i="3"/>
  <c r="Q418" i="3"/>
  <c r="P418" i="3"/>
  <c r="J418" i="3"/>
  <c r="V417" i="3"/>
  <c r="U417" i="3"/>
  <c r="T417" i="3"/>
  <c r="R417" i="3"/>
  <c r="Q417" i="3"/>
  <c r="O417" i="3"/>
  <c r="N417" i="3"/>
  <c r="J417" i="3"/>
  <c r="S417" i="3"/>
  <c r="V416" i="3"/>
  <c r="U416" i="3"/>
  <c r="S416" i="3"/>
  <c r="R416" i="3"/>
  <c r="Q416" i="3"/>
  <c r="O416" i="3"/>
  <c r="N416" i="3"/>
  <c r="J416" i="3"/>
  <c r="T416" i="3"/>
  <c r="G416" i="3"/>
  <c r="V415" i="3"/>
  <c r="U415" i="3"/>
  <c r="T415" i="3"/>
  <c r="S415" i="3"/>
  <c r="R415" i="3"/>
  <c r="Q415" i="3"/>
  <c r="O415" i="3"/>
  <c r="P415" i="3"/>
  <c r="V414" i="3"/>
  <c r="U414" i="3"/>
  <c r="T414" i="3"/>
  <c r="S414" i="3"/>
  <c r="R414" i="3"/>
  <c r="Q414" i="3"/>
  <c r="P414" i="3"/>
  <c r="V413" i="3"/>
  <c r="U413" i="3"/>
  <c r="T413" i="3"/>
  <c r="S413" i="3"/>
  <c r="R413" i="3"/>
  <c r="Q413" i="3"/>
  <c r="P413" i="3"/>
  <c r="J413" i="3"/>
  <c r="V412" i="3"/>
  <c r="U412" i="3"/>
  <c r="T412" i="3"/>
  <c r="R412" i="3"/>
  <c r="Q412" i="3"/>
  <c r="O412" i="3"/>
  <c r="N412" i="3"/>
  <c r="J412" i="3"/>
  <c r="S412" i="3"/>
  <c r="V411" i="3"/>
  <c r="U411" i="3"/>
  <c r="S411" i="3"/>
  <c r="R411" i="3"/>
  <c r="Q411" i="3"/>
  <c r="O411" i="3"/>
  <c r="N411" i="3"/>
  <c r="J411" i="3"/>
  <c r="T411" i="3"/>
  <c r="G411" i="3"/>
  <c r="V410" i="3"/>
  <c r="U410" i="3"/>
  <c r="T410" i="3"/>
  <c r="S410" i="3"/>
  <c r="R410" i="3"/>
  <c r="Q410" i="3"/>
  <c r="O410" i="3"/>
  <c r="P410" i="3"/>
  <c r="V409" i="3"/>
  <c r="U409" i="3"/>
  <c r="T409" i="3"/>
  <c r="S409" i="3"/>
  <c r="R409" i="3"/>
  <c r="Q409" i="3"/>
  <c r="P409" i="3"/>
  <c r="V408" i="3"/>
  <c r="U408" i="3"/>
  <c r="T408" i="3"/>
  <c r="S408" i="3"/>
  <c r="Q408" i="3"/>
  <c r="P408" i="3"/>
  <c r="J408" i="3"/>
  <c r="R408" i="3"/>
  <c r="V407" i="3"/>
  <c r="U407" i="3"/>
  <c r="T407" i="3"/>
  <c r="R407" i="3"/>
  <c r="Q407" i="3"/>
  <c r="O407" i="3"/>
  <c r="N407" i="3"/>
  <c r="J407" i="3"/>
  <c r="S407" i="3"/>
  <c r="V406" i="3"/>
  <c r="U406" i="3"/>
  <c r="S406" i="3"/>
  <c r="R406" i="3"/>
  <c r="Q406" i="3"/>
  <c r="O406" i="3"/>
  <c r="N406" i="3"/>
  <c r="J406" i="3"/>
  <c r="T406" i="3"/>
  <c r="G406" i="3"/>
  <c r="V405" i="3"/>
  <c r="U405" i="3"/>
  <c r="T405" i="3"/>
  <c r="S405" i="3"/>
  <c r="R405" i="3"/>
  <c r="Q405" i="3"/>
  <c r="O405" i="3"/>
  <c r="P405" i="3"/>
  <c r="V404" i="3"/>
  <c r="U404" i="3"/>
  <c r="T404" i="3"/>
  <c r="S404" i="3"/>
  <c r="R404" i="3"/>
  <c r="Q404" i="3"/>
  <c r="P404" i="3"/>
  <c r="V403" i="3"/>
  <c r="U403" i="3"/>
  <c r="T403" i="3"/>
  <c r="S403" i="3"/>
  <c r="Q403" i="3"/>
  <c r="P403" i="3"/>
  <c r="J403" i="3"/>
  <c r="R403" i="3"/>
  <c r="V402" i="3"/>
  <c r="U402" i="3"/>
  <c r="T402" i="3"/>
  <c r="R402" i="3"/>
  <c r="Q402" i="3"/>
  <c r="O402" i="3"/>
  <c r="N402" i="3"/>
  <c r="J402" i="3"/>
  <c r="S402" i="3"/>
  <c r="V401" i="3"/>
  <c r="U401" i="3"/>
  <c r="S401" i="3"/>
  <c r="R401" i="3"/>
  <c r="Q401" i="3"/>
  <c r="O401" i="3"/>
  <c r="N401" i="3"/>
  <c r="J401" i="3"/>
  <c r="T401" i="3"/>
  <c r="G401" i="3"/>
  <c r="V400" i="3"/>
  <c r="U400" i="3"/>
  <c r="T400" i="3"/>
  <c r="S400" i="3"/>
  <c r="R400" i="3"/>
  <c r="Q400" i="3"/>
  <c r="P400" i="3"/>
  <c r="V399" i="3"/>
  <c r="U399" i="3"/>
  <c r="T399" i="3"/>
  <c r="S399" i="3"/>
  <c r="R399" i="3"/>
  <c r="Q399" i="3"/>
  <c r="P399" i="3"/>
  <c r="V398" i="3"/>
  <c r="U398" i="3"/>
  <c r="T398" i="3"/>
  <c r="S398" i="3"/>
  <c r="R398" i="3"/>
  <c r="Q398" i="3"/>
  <c r="P398" i="3"/>
  <c r="J398" i="3"/>
  <c r="V397" i="3"/>
  <c r="U397" i="3"/>
  <c r="T397" i="3"/>
  <c r="S397" i="3"/>
  <c r="Q397" i="3"/>
  <c r="O397" i="3"/>
  <c r="N397" i="3"/>
  <c r="J397" i="3"/>
  <c r="R397" i="3"/>
  <c r="V396" i="3"/>
  <c r="U396" i="3"/>
  <c r="T396" i="3"/>
  <c r="R396" i="3"/>
  <c r="Q396" i="3"/>
  <c r="O396" i="3"/>
  <c r="N396" i="3"/>
  <c r="J396" i="3"/>
  <c r="S396" i="3"/>
  <c r="G396" i="3"/>
  <c r="V395" i="3"/>
  <c r="U395" i="3"/>
  <c r="T395" i="3"/>
  <c r="S395" i="3"/>
  <c r="R395" i="3"/>
  <c r="Q395" i="3"/>
  <c r="P395" i="3"/>
  <c r="V394" i="3"/>
  <c r="U394" i="3"/>
  <c r="T394" i="3"/>
  <c r="S394" i="3"/>
  <c r="R394" i="3"/>
  <c r="Q394" i="3"/>
  <c r="P394" i="3"/>
  <c r="V393" i="3"/>
  <c r="U393" i="3"/>
  <c r="T393" i="3"/>
  <c r="S393" i="3"/>
  <c r="R393" i="3"/>
  <c r="Q393" i="3"/>
  <c r="P393" i="3"/>
  <c r="J393" i="3"/>
  <c r="V392" i="3"/>
  <c r="U392" i="3"/>
  <c r="T392" i="3"/>
  <c r="R392" i="3"/>
  <c r="Q392" i="3"/>
  <c r="O392" i="3"/>
  <c r="N392" i="3"/>
  <c r="J392" i="3"/>
  <c r="S392" i="3"/>
  <c r="V391" i="3"/>
  <c r="U391" i="3"/>
  <c r="S391" i="3"/>
  <c r="R391" i="3"/>
  <c r="Q391" i="3"/>
  <c r="O391" i="3"/>
  <c r="N391" i="3"/>
  <c r="J391" i="3"/>
  <c r="T391" i="3"/>
  <c r="G391" i="3"/>
  <c r="V390" i="3"/>
  <c r="U390" i="3"/>
  <c r="T390" i="3"/>
  <c r="S390" i="3"/>
  <c r="R390" i="3"/>
  <c r="Q390" i="3"/>
  <c r="P390" i="3"/>
  <c r="V389" i="3"/>
  <c r="U389" i="3"/>
  <c r="T389" i="3"/>
  <c r="S389" i="3"/>
  <c r="R389" i="3"/>
  <c r="Q389" i="3"/>
  <c r="P389" i="3"/>
  <c r="V388" i="3"/>
  <c r="U388" i="3"/>
  <c r="T388" i="3"/>
  <c r="S388" i="3"/>
  <c r="R388" i="3"/>
  <c r="Q388" i="3"/>
  <c r="P388" i="3"/>
  <c r="J388" i="3"/>
  <c r="V387" i="3"/>
  <c r="U387" i="3"/>
  <c r="T387" i="3"/>
  <c r="S387" i="3"/>
  <c r="Q387" i="3"/>
  <c r="O387" i="3"/>
  <c r="N387" i="3"/>
  <c r="J387" i="3"/>
  <c r="R387" i="3"/>
  <c r="V386" i="3"/>
  <c r="U386" i="3"/>
  <c r="T386" i="3"/>
  <c r="R386" i="3"/>
  <c r="Q386" i="3"/>
  <c r="O386" i="3"/>
  <c r="N386" i="3"/>
  <c r="J386" i="3"/>
  <c r="S386" i="3"/>
  <c r="G386" i="3"/>
  <c r="V385" i="3"/>
  <c r="U385" i="3"/>
  <c r="T385" i="3"/>
  <c r="S385" i="3"/>
  <c r="R385" i="3"/>
  <c r="Q385" i="3"/>
  <c r="P385" i="3"/>
  <c r="V384" i="3"/>
  <c r="U384" i="3"/>
  <c r="T384" i="3"/>
  <c r="S384" i="3"/>
  <c r="R384" i="3"/>
  <c r="Q384" i="3"/>
  <c r="P384" i="3"/>
  <c r="J384" i="3"/>
  <c r="V383" i="3"/>
  <c r="U383" i="3"/>
  <c r="T383" i="3"/>
  <c r="S383" i="3"/>
  <c r="Q383" i="3"/>
  <c r="O383" i="3"/>
  <c r="N383" i="3"/>
  <c r="J383" i="3"/>
  <c r="R383" i="3"/>
  <c r="V382" i="3"/>
  <c r="U382" i="3"/>
  <c r="T382" i="3"/>
  <c r="R382" i="3"/>
  <c r="Q382" i="3"/>
  <c r="O382" i="3"/>
  <c r="N382" i="3"/>
  <c r="J382" i="3"/>
  <c r="S382" i="3"/>
  <c r="G382" i="3"/>
  <c r="V381" i="3"/>
  <c r="U381" i="3"/>
  <c r="T381" i="3"/>
  <c r="S381" i="3"/>
  <c r="R381" i="3"/>
  <c r="Q381" i="3"/>
  <c r="P381" i="3"/>
  <c r="V380" i="3"/>
  <c r="U380" i="3"/>
  <c r="T380" i="3"/>
  <c r="S380" i="3"/>
  <c r="R380" i="3"/>
  <c r="Q380" i="3"/>
  <c r="P380" i="3"/>
  <c r="V379" i="3"/>
  <c r="U379" i="3"/>
  <c r="T379" i="3"/>
  <c r="R379" i="3"/>
  <c r="Q379" i="3"/>
  <c r="O379" i="3"/>
  <c r="N379" i="3"/>
  <c r="J379" i="3"/>
  <c r="S379" i="3"/>
  <c r="V378" i="3"/>
  <c r="U378" i="3"/>
  <c r="S378" i="3"/>
  <c r="R378" i="3"/>
  <c r="Q378" i="3"/>
  <c r="O378" i="3"/>
  <c r="N378" i="3"/>
  <c r="J378" i="3"/>
  <c r="T378" i="3"/>
  <c r="G378" i="3"/>
  <c r="V377" i="3"/>
  <c r="U377" i="3"/>
  <c r="T377" i="3"/>
  <c r="S377" i="3"/>
  <c r="R377" i="3"/>
  <c r="Q377" i="3"/>
  <c r="P377" i="3"/>
  <c r="V376" i="3"/>
  <c r="U376" i="3"/>
  <c r="T376" i="3"/>
  <c r="S376" i="3"/>
  <c r="R376" i="3"/>
  <c r="Q376" i="3"/>
  <c r="P376" i="3"/>
  <c r="J376" i="3"/>
  <c r="V375" i="3"/>
  <c r="U375" i="3"/>
  <c r="T375" i="3"/>
  <c r="S375" i="3"/>
  <c r="R375" i="3"/>
  <c r="Q375" i="3"/>
  <c r="O375" i="3"/>
  <c r="N375" i="3"/>
  <c r="J375" i="3"/>
  <c r="V374" i="3"/>
  <c r="U374" i="3"/>
  <c r="T374" i="3"/>
  <c r="R374" i="3"/>
  <c r="Q374" i="3"/>
  <c r="O374" i="3"/>
  <c r="N374" i="3"/>
  <c r="J374" i="3"/>
  <c r="S374" i="3"/>
  <c r="G374" i="3"/>
  <c r="V373" i="3"/>
  <c r="U373" i="3"/>
  <c r="T373" i="3"/>
  <c r="S373" i="3"/>
  <c r="R373" i="3"/>
  <c r="Q373" i="3"/>
  <c r="P373" i="3"/>
  <c r="V372" i="3"/>
  <c r="U372" i="3"/>
  <c r="T372" i="3"/>
  <c r="S372" i="3"/>
  <c r="R372" i="3"/>
  <c r="Q372" i="3"/>
  <c r="P372" i="3"/>
  <c r="J372" i="3"/>
  <c r="V371" i="3"/>
  <c r="U371" i="3"/>
  <c r="T371" i="3"/>
  <c r="S371" i="3"/>
  <c r="R371" i="3"/>
  <c r="Q371" i="3"/>
  <c r="O371" i="3"/>
  <c r="N371" i="3"/>
  <c r="J371" i="3"/>
  <c r="V370" i="3"/>
  <c r="U370" i="3"/>
  <c r="T370" i="3"/>
  <c r="R370" i="3"/>
  <c r="Q370" i="3"/>
  <c r="O370" i="3"/>
  <c r="N370" i="3"/>
  <c r="J370" i="3"/>
  <c r="S370" i="3"/>
  <c r="G370" i="3"/>
  <c r="V365" i="3"/>
  <c r="U365" i="3"/>
  <c r="T365" i="3"/>
  <c r="S365" i="3"/>
  <c r="R365" i="3"/>
  <c r="Q365" i="3"/>
  <c r="P365" i="3"/>
  <c r="V364" i="3"/>
  <c r="U364" i="3"/>
  <c r="T364" i="3"/>
  <c r="S364" i="3"/>
  <c r="R364" i="3"/>
  <c r="Q364" i="3"/>
  <c r="P364" i="3"/>
  <c r="J364" i="3"/>
  <c r="V363" i="3"/>
  <c r="U363" i="3"/>
  <c r="T363" i="3"/>
  <c r="S363" i="3"/>
  <c r="Q363" i="3"/>
  <c r="O363" i="3"/>
  <c r="N363" i="3"/>
  <c r="J363" i="3"/>
  <c r="R363" i="3"/>
  <c r="V362" i="3"/>
  <c r="U362" i="3"/>
  <c r="T362" i="3"/>
  <c r="R362" i="3"/>
  <c r="Q362" i="3"/>
  <c r="O362" i="3"/>
  <c r="N362" i="3"/>
  <c r="J362" i="3"/>
  <c r="S362" i="3"/>
  <c r="G362" i="3"/>
  <c r="V361" i="3"/>
  <c r="U361" i="3"/>
  <c r="T361" i="3"/>
  <c r="S361" i="3"/>
  <c r="R361" i="3"/>
  <c r="Q361" i="3"/>
  <c r="P361" i="3"/>
  <c r="V360" i="3"/>
  <c r="U360" i="3"/>
  <c r="T360" i="3"/>
  <c r="S360" i="3"/>
  <c r="R360" i="3"/>
  <c r="Q360" i="3"/>
  <c r="P360" i="3"/>
  <c r="J360" i="3"/>
  <c r="V359" i="3"/>
  <c r="U359" i="3"/>
  <c r="T359" i="3"/>
  <c r="S359" i="3"/>
  <c r="R359" i="3"/>
  <c r="Q359" i="3"/>
  <c r="O359" i="3"/>
  <c r="N359" i="3"/>
  <c r="J359" i="3"/>
  <c r="V358" i="3"/>
  <c r="U358" i="3"/>
  <c r="T358" i="3"/>
  <c r="R358" i="3"/>
  <c r="Q358" i="3"/>
  <c r="O358" i="3"/>
  <c r="N358" i="3"/>
  <c r="J358" i="3"/>
  <c r="S358" i="3"/>
  <c r="G358" i="3"/>
  <c r="V357" i="3"/>
  <c r="U357" i="3"/>
  <c r="T357" i="3"/>
  <c r="S357" i="3"/>
  <c r="R357" i="3"/>
  <c r="Q357" i="3"/>
  <c r="P357" i="3"/>
  <c r="V356" i="3"/>
  <c r="U356" i="3"/>
  <c r="T356" i="3"/>
  <c r="S356" i="3"/>
  <c r="R356" i="3"/>
  <c r="Q356" i="3"/>
  <c r="P356" i="3"/>
  <c r="J356" i="3"/>
  <c r="V355" i="3"/>
  <c r="U355" i="3"/>
  <c r="T355" i="3"/>
  <c r="S355" i="3"/>
  <c r="Q355" i="3"/>
  <c r="O355" i="3"/>
  <c r="N355" i="3"/>
  <c r="J355" i="3"/>
  <c r="R355" i="3"/>
  <c r="V354" i="3"/>
  <c r="U354" i="3"/>
  <c r="T354" i="3"/>
  <c r="R354" i="3"/>
  <c r="Q354" i="3"/>
  <c r="O354" i="3"/>
  <c r="N354" i="3"/>
  <c r="J354" i="3"/>
  <c r="S354" i="3"/>
  <c r="G354" i="3"/>
  <c r="V353" i="3"/>
  <c r="U353" i="3"/>
  <c r="T353" i="3"/>
  <c r="S353" i="3"/>
  <c r="R353" i="3"/>
  <c r="Q353" i="3"/>
  <c r="P353" i="3"/>
  <c r="V352" i="3"/>
  <c r="U352" i="3"/>
  <c r="T352" i="3"/>
  <c r="S352" i="3"/>
  <c r="R352" i="3"/>
  <c r="Q352" i="3"/>
  <c r="P352" i="3"/>
  <c r="J352" i="3"/>
  <c r="V351" i="3"/>
  <c r="U351" i="3"/>
  <c r="T351" i="3"/>
  <c r="R351" i="3"/>
  <c r="Q351" i="3"/>
  <c r="O351" i="3"/>
  <c r="N351" i="3"/>
  <c r="J351" i="3"/>
  <c r="S351" i="3"/>
  <c r="V350" i="3"/>
  <c r="U350" i="3"/>
  <c r="S350" i="3"/>
  <c r="R350" i="3"/>
  <c r="Q350" i="3"/>
  <c r="O350" i="3"/>
  <c r="N350" i="3"/>
  <c r="J350" i="3"/>
  <c r="T350" i="3"/>
  <c r="G350" i="3"/>
  <c r="V349" i="3"/>
  <c r="U349" i="3"/>
  <c r="T349" i="3"/>
  <c r="S349" i="3"/>
  <c r="R349" i="3"/>
  <c r="Q349" i="3"/>
  <c r="P349" i="3"/>
  <c r="V348" i="3"/>
  <c r="U348" i="3"/>
  <c r="T348" i="3"/>
  <c r="S348" i="3"/>
  <c r="R348" i="3"/>
  <c r="Q348" i="3"/>
  <c r="P348" i="3"/>
  <c r="J348" i="3"/>
  <c r="V347" i="3"/>
  <c r="U347" i="3"/>
  <c r="T347" i="3"/>
  <c r="R347" i="3"/>
  <c r="Q347" i="3"/>
  <c r="O347" i="3"/>
  <c r="N347" i="3"/>
  <c r="J347" i="3"/>
  <c r="S347" i="3"/>
  <c r="V346" i="3"/>
  <c r="U346" i="3"/>
  <c r="S346" i="3"/>
  <c r="R346" i="3"/>
  <c r="Q346" i="3"/>
  <c r="O346" i="3"/>
  <c r="N346" i="3"/>
  <c r="J346" i="3"/>
  <c r="T346" i="3"/>
  <c r="G346" i="3"/>
  <c r="V345" i="3"/>
  <c r="U345" i="3"/>
  <c r="T345" i="3"/>
  <c r="S345" i="3"/>
  <c r="R345" i="3"/>
  <c r="Q345" i="3"/>
  <c r="P345" i="3"/>
  <c r="V344" i="3"/>
  <c r="U344" i="3"/>
  <c r="T344" i="3"/>
  <c r="S344" i="3"/>
  <c r="R344" i="3"/>
  <c r="Q344" i="3"/>
  <c r="P344" i="3"/>
  <c r="J344" i="3"/>
  <c r="V343" i="3"/>
  <c r="U343" i="3"/>
  <c r="T343" i="3"/>
  <c r="R343" i="3"/>
  <c r="Q343" i="3"/>
  <c r="O343" i="3"/>
  <c r="N343" i="3"/>
  <c r="J343" i="3"/>
  <c r="S343" i="3"/>
  <c r="V342" i="3"/>
  <c r="U342" i="3"/>
  <c r="S342" i="3"/>
  <c r="R342" i="3"/>
  <c r="Q342" i="3"/>
  <c r="O342" i="3"/>
  <c r="N342" i="3"/>
  <c r="J342" i="3"/>
  <c r="T342" i="3"/>
  <c r="G342" i="3"/>
  <c r="V341" i="3"/>
  <c r="U341" i="3"/>
  <c r="T341" i="3"/>
  <c r="S341" i="3"/>
  <c r="R341" i="3"/>
  <c r="Q341" i="3"/>
  <c r="P341" i="3"/>
  <c r="V340" i="3"/>
  <c r="U340" i="3"/>
  <c r="T340" i="3"/>
  <c r="S340" i="3"/>
  <c r="R340" i="3"/>
  <c r="Q340" i="3"/>
  <c r="P340" i="3"/>
  <c r="J340" i="3"/>
  <c r="V339" i="3"/>
  <c r="U339" i="3"/>
  <c r="T339" i="3"/>
  <c r="R339" i="3"/>
  <c r="Q339" i="3"/>
  <c r="O339" i="3"/>
  <c r="N339" i="3"/>
  <c r="J339" i="3"/>
  <c r="S339" i="3"/>
  <c r="V338" i="3"/>
  <c r="U338" i="3"/>
  <c r="S338" i="3"/>
  <c r="R338" i="3"/>
  <c r="Q338" i="3"/>
  <c r="O338" i="3"/>
  <c r="N338" i="3"/>
  <c r="J338" i="3"/>
  <c r="T338" i="3"/>
  <c r="G338" i="3"/>
  <c r="V337" i="3"/>
  <c r="U337" i="3"/>
  <c r="T337" i="3"/>
  <c r="S337" i="3"/>
  <c r="R337" i="3"/>
  <c r="Q337" i="3"/>
  <c r="P337" i="3"/>
  <c r="V336" i="3"/>
  <c r="U336" i="3"/>
  <c r="T336" i="3"/>
  <c r="S336" i="3"/>
  <c r="R336" i="3"/>
  <c r="Q336" i="3"/>
  <c r="P336" i="3"/>
  <c r="V335" i="3"/>
  <c r="U335" i="3"/>
  <c r="T335" i="3"/>
  <c r="S335" i="3"/>
  <c r="R335" i="3"/>
  <c r="Q335" i="3"/>
  <c r="P335" i="3"/>
  <c r="J335" i="3"/>
  <c r="V334" i="3"/>
  <c r="U334" i="3"/>
  <c r="T334" i="3"/>
  <c r="R334" i="3"/>
  <c r="Q334" i="3"/>
  <c r="O334" i="3"/>
  <c r="N334" i="3"/>
  <c r="J334" i="3"/>
  <c r="S334" i="3"/>
  <c r="V333" i="3"/>
  <c r="U333" i="3"/>
  <c r="S333" i="3"/>
  <c r="R333" i="3"/>
  <c r="Q333" i="3"/>
  <c r="O333" i="3"/>
  <c r="N333" i="3"/>
  <c r="J333" i="3"/>
  <c r="T333" i="3"/>
  <c r="G333" i="3"/>
  <c r="V332" i="3"/>
  <c r="U332" i="3"/>
  <c r="T332" i="3"/>
  <c r="S332" i="3"/>
  <c r="R332" i="3"/>
  <c r="Q332" i="3"/>
  <c r="P332" i="3"/>
  <c r="V331" i="3"/>
  <c r="U331" i="3"/>
  <c r="T331" i="3"/>
  <c r="S331" i="3"/>
  <c r="R331" i="3"/>
  <c r="Q331" i="3"/>
  <c r="P331" i="3"/>
  <c r="V330" i="3"/>
  <c r="U330" i="3"/>
  <c r="T330" i="3"/>
  <c r="S330" i="3"/>
  <c r="R330" i="3"/>
  <c r="Q330" i="3"/>
  <c r="P330" i="3"/>
  <c r="J330" i="3"/>
  <c r="V329" i="3"/>
  <c r="U329" i="3"/>
  <c r="T329" i="3"/>
  <c r="S329" i="3"/>
  <c r="R329" i="3"/>
  <c r="Q329" i="3"/>
  <c r="O329" i="3"/>
  <c r="N329" i="3"/>
  <c r="J329" i="3"/>
  <c r="V328" i="3"/>
  <c r="U328" i="3"/>
  <c r="T328" i="3"/>
  <c r="R328" i="3"/>
  <c r="Q328" i="3"/>
  <c r="O328" i="3"/>
  <c r="N328" i="3"/>
  <c r="J328" i="3"/>
  <c r="S328" i="3"/>
  <c r="G328" i="3"/>
  <c r="V327" i="3"/>
  <c r="U327" i="3"/>
  <c r="T327" i="3"/>
  <c r="S327" i="3"/>
  <c r="R327" i="3"/>
  <c r="Q327" i="3"/>
  <c r="P327" i="3"/>
  <c r="V326" i="3"/>
  <c r="U326" i="3"/>
  <c r="T326" i="3"/>
  <c r="S326" i="3"/>
  <c r="R326" i="3"/>
  <c r="Q326" i="3"/>
  <c r="P326" i="3"/>
  <c r="V325" i="3"/>
  <c r="U325" i="3"/>
  <c r="T325" i="3"/>
  <c r="S325" i="3"/>
  <c r="R325" i="3"/>
  <c r="Q325" i="3"/>
  <c r="P325" i="3"/>
  <c r="J325" i="3"/>
  <c r="V324" i="3"/>
  <c r="U324" i="3"/>
  <c r="T324" i="3"/>
  <c r="S324" i="3"/>
  <c r="R324" i="3"/>
  <c r="Q324" i="3"/>
  <c r="O324" i="3"/>
  <c r="N324" i="3"/>
  <c r="J324" i="3"/>
  <c r="V323" i="3"/>
  <c r="U323" i="3"/>
  <c r="T323" i="3"/>
  <c r="R323" i="3"/>
  <c r="Q323" i="3"/>
  <c r="O323" i="3"/>
  <c r="N323" i="3"/>
  <c r="J323" i="3"/>
  <c r="S323" i="3"/>
  <c r="G323" i="3"/>
  <c r="V322" i="3"/>
  <c r="U322" i="3"/>
  <c r="T322" i="3"/>
  <c r="S322" i="3"/>
  <c r="R322" i="3"/>
  <c r="Q322" i="3"/>
  <c r="P322" i="3"/>
  <c r="V321" i="3"/>
  <c r="U321" i="3"/>
  <c r="T321" i="3"/>
  <c r="S321" i="3"/>
  <c r="R321" i="3"/>
  <c r="Q321" i="3"/>
  <c r="P321" i="3"/>
  <c r="V320" i="3"/>
  <c r="U320" i="3"/>
  <c r="T320" i="3"/>
  <c r="S320" i="3"/>
  <c r="R320" i="3"/>
  <c r="Q320" i="3"/>
  <c r="P320" i="3"/>
  <c r="J320" i="3"/>
  <c r="V319" i="3"/>
  <c r="U319" i="3"/>
  <c r="T319" i="3"/>
  <c r="S319" i="3"/>
  <c r="Q319" i="3"/>
  <c r="O319" i="3"/>
  <c r="N319" i="3"/>
  <c r="J319" i="3"/>
  <c r="R319" i="3"/>
  <c r="V318" i="3"/>
  <c r="U318" i="3"/>
  <c r="T318" i="3"/>
  <c r="R318" i="3"/>
  <c r="Q318" i="3"/>
  <c r="O318" i="3"/>
  <c r="N318" i="3"/>
  <c r="J318" i="3"/>
  <c r="S318" i="3"/>
  <c r="G318" i="3"/>
  <c r="V317" i="3"/>
  <c r="U317" i="3"/>
  <c r="T317" i="3"/>
  <c r="S317" i="3"/>
  <c r="R317" i="3"/>
  <c r="Q317" i="3"/>
  <c r="P317" i="3"/>
  <c r="V316" i="3"/>
  <c r="U316" i="3"/>
  <c r="T316" i="3"/>
  <c r="S316" i="3"/>
  <c r="R316" i="3"/>
  <c r="Q316" i="3"/>
  <c r="P316" i="3"/>
  <c r="V315" i="3"/>
  <c r="U315" i="3"/>
  <c r="T315" i="3"/>
  <c r="S315" i="3"/>
  <c r="R315" i="3"/>
  <c r="Q315" i="3"/>
  <c r="P315" i="3"/>
  <c r="J315" i="3"/>
  <c r="V314" i="3"/>
  <c r="U314" i="3"/>
  <c r="T314" i="3"/>
  <c r="S314" i="3"/>
  <c r="Q314" i="3"/>
  <c r="O314" i="3"/>
  <c r="N314" i="3"/>
  <c r="J314" i="3"/>
  <c r="R314" i="3"/>
  <c r="V313" i="3"/>
  <c r="U313" i="3"/>
  <c r="T313" i="3"/>
  <c r="R313" i="3"/>
  <c r="Q313" i="3"/>
  <c r="O313" i="3"/>
  <c r="N313" i="3"/>
  <c r="J313" i="3"/>
  <c r="S313" i="3"/>
  <c r="G313" i="3"/>
  <c r="V312" i="3"/>
  <c r="U312" i="3"/>
  <c r="T312" i="3"/>
  <c r="S312" i="3"/>
  <c r="R312" i="3"/>
  <c r="Q312" i="3"/>
  <c r="P312" i="3"/>
  <c r="V311" i="3"/>
  <c r="U311" i="3"/>
  <c r="T311" i="3"/>
  <c r="S311" i="3"/>
  <c r="R311" i="3"/>
  <c r="Q311" i="3"/>
  <c r="P311" i="3"/>
  <c r="V310" i="3"/>
  <c r="U310" i="3"/>
  <c r="T310" i="3"/>
  <c r="S310" i="3"/>
  <c r="R310" i="3"/>
  <c r="Q310" i="3"/>
  <c r="P310" i="3"/>
  <c r="J310" i="3"/>
  <c r="V309" i="3"/>
  <c r="U309" i="3"/>
  <c r="T309" i="3"/>
  <c r="S309" i="3"/>
  <c r="Q309" i="3"/>
  <c r="O309" i="3"/>
  <c r="N309" i="3"/>
  <c r="J309" i="3"/>
  <c r="R309" i="3"/>
  <c r="V308" i="3"/>
  <c r="U308" i="3"/>
  <c r="T308" i="3"/>
  <c r="R308" i="3"/>
  <c r="Q308" i="3"/>
  <c r="O308" i="3"/>
  <c r="N308" i="3"/>
  <c r="J308" i="3"/>
  <c r="S308" i="3"/>
  <c r="G308" i="3"/>
  <c r="V307" i="3"/>
  <c r="U307" i="3"/>
  <c r="T307" i="3"/>
  <c r="S307" i="3"/>
  <c r="R307" i="3"/>
  <c r="Q307" i="3"/>
  <c r="P307" i="3"/>
  <c r="V306" i="3"/>
  <c r="U306" i="3"/>
  <c r="T306" i="3"/>
  <c r="S306" i="3"/>
  <c r="R306" i="3"/>
  <c r="Q306" i="3"/>
  <c r="P306" i="3"/>
  <c r="V305" i="3"/>
  <c r="U305" i="3"/>
  <c r="T305" i="3"/>
  <c r="S305" i="3"/>
  <c r="R305" i="3"/>
  <c r="Q305" i="3"/>
  <c r="P305" i="3"/>
  <c r="J305" i="3"/>
  <c r="V304" i="3"/>
  <c r="U304" i="3"/>
  <c r="T304" i="3"/>
  <c r="S304" i="3"/>
  <c r="Q304" i="3"/>
  <c r="O304" i="3"/>
  <c r="N304" i="3"/>
  <c r="J304" i="3"/>
  <c r="R304" i="3"/>
  <c r="V303" i="3"/>
  <c r="U303" i="3"/>
  <c r="T303" i="3"/>
  <c r="R303" i="3"/>
  <c r="Q303" i="3"/>
  <c r="O303" i="3"/>
  <c r="N303" i="3"/>
  <c r="J303" i="3"/>
  <c r="S303" i="3"/>
  <c r="G303" i="3"/>
  <c r="E9" i="11"/>
  <c r="E7" i="11"/>
  <c r="E8" i="11"/>
  <c r="G64" i="16"/>
  <c r="G32" i="1"/>
  <c r="G26" i="1"/>
  <c r="I32" i="1"/>
  <c r="I26" i="1"/>
  <c r="F32" i="1"/>
  <c r="H32" i="1"/>
  <c r="H26" i="1"/>
  <c r="E87" i="8"/>
  <c r="G45" i="16"/>
  <c r="E88" i="8"/>
  <c r="E89" i="8"/>
  <c r="E90" i="8"/>
  <c r="L45" i="16"/>
  <c r="E20" i="16"/>
  <c r="P363" i="3"/>
  <c r="G439" i="3"/>
  <c r="S439" i="3"/>
  <c r="R439" i="3"/>
  <c r="E19" i="16"/>
  <c r="G39" i="16"/>
  <c r="J17" i="8"/>
  <c r="E53" i="16"/>
  <c r="Q439" i="3"/>
  <c r="U439" i="3"/>
  <c r="V439" i="3"/>
  <c r="T439" i="3"/>
  <c r="P318" i="3"/>
  <c r="P319" i="3"/>
  <c r="P323" i="3"/>
  <c r="P370" i="3"/>
  <c r="P314" i="3"/>
  <c r="P308" i="3"/>
  <c r="P309" i="3"/>
  <c r="P382" i="3"/>
  <c r="P435" i="3"/>
  <c r="P436" i="3"/>
  <c r="P445" i="3"/>
  <c r="P449" i="3"/>
  <c r="P386" i="3"/>
  <c r="P324" i="3"/>
  <c r="P328" i="3"/>
  <c r="P329" i="3"/>
  <c r="P333" i="3"/>
  <c r="P334" i="3"/>
  <c r="P397" i="3"/>
  <c r="P304" i="3"/>
  <c r="P338" i="3"/>
  <c r="P339" i="3"/>
  <c r="P342" i="3"/>
  <c r="P343" i="3"/>
  <c r="P346" i="3"/>
  <c r="P347" i="3"/>
  <c r="P350" i="3"/>
  <c r="P351" i="3"/>
  <c r="P354" i="3"/>
  <c r="P401" i="3"/>
  <c r="P402" i="3"/>
  <c r="P411" i="3"/>
  <c r="P412" i="3"/>
  <c r="P431" i="3"/>
  <c r="P432" i="3"/>
  <c r="P303" i="3"/>
  <c r="P362" i="3"/>
  <c r="P378" i="3"/>
  <c r="P379" i="3"/>
  <c r="P383" i="3"/>
  <c r="P387" i="3"/>
  <c r="P406" i="3"/>
  <c r="P407" i="3"/>
  <c r="P421" i="3"/>
  <c r="P422" i="3"/>
  <c r="P359" i="3"/>
  <c r="P374" i="3"/>
  <c r="P375" i="3"/>
  <c r="P391" i="3"/>
  <c r="P392" i="3"/>
  <c r="P426" i="3"/>
  <c r="P427" i="3"/>
  <c r="P446" i="3"/>
  <c r="P313" i="3"/>
  <c r="P355" i="3"/>
  <c r="P358" i="3"/>
  <c r="P371" i="3"/>
  <c r="P396" i="3"/>
  <c r="P416" i="3"/>
  <c r="P417" i="3"/>
  <c r="P450" i="3"/>
  <c r="J9" i="11"/>
  <c r="J10" i="11"/>
  <c r="J11" i="11"/>
  <c r="L66" i="16"/>
  <c r="E10" i="11"/>
  <c r="E11" i="11"/>
  <c r="L64" i="16"/>
  <c r="V725" i="3"/>
  <c r="U725" i="3"/>
  <c r="T725" i="3"/>
  <c r="S725" i="3"/>
  <c r="R725" i="3"/>
  <c r="Q725" i="3"/>
  <c r="P725" i="3"/>
  <c r="V723" i="3"/>
  <c r="U723" i="3"/>
  <c r="T723" i="3"/>
  <c r="S723" i="3"/>
  <c r="R723" i="3"/>
  <c r="Q723" i="3"/>
  <c r="P723" i="3"/>
  <c r="V722" i="3"/>
  <c r="U722" i="3"/>
  <c r="T722" i="3"/>
  <c r="S722" i="3"/>
  <c r="R722" i="3"/>
  <c r="Q722" i="3"/>
  <c r="P722" i="3"/>
  <c r="J722" i="3"/>
  <c r="V721" i="3"/>
  <c r="U721" i="3"/>
  <c r="T721" i="3"/>
  <c r="S721" i="3"/>
  <c r="Q721" i="3"/>
  <c r="O721" i="3"/>
  <c r="N721" i="3"/>
  <c r="J721" i="3"/>
  <c r="R721" i="3"/>
  <c r="V720" i="3"/>
  <c r="U720" i="3"/>
  <c r="T720" i="3"/>
  <c r="R720" i="3"/>
  <c r="Q720" i="3"/>
  <c r="O720" i="3"/>
  <c r="N720" i="3"/>
  <c r="J720" i="3"/>
  <c r="S720" i="3"/>
  <c r="G720" i="3"/>
  <c r="V719" i="3"/>
  <c r="U719" i="3"/>
  <c r="T719" i="3"/>
  <c r="S719" i="3"/>
  <c r="R719" i="3"/>
  <c r="Q719" i="3"/>
  <c r="P719" i="3"/>
  <c r="V718" i="3"/>
  <c r="U718" i="3"/>
  <c r="T718" i="3"/>
  <c r="S718" i="3"/>
  <c r="R718" i="3"/>
  <c r="Q718" i="3"/>
  <c r="P718" i="3"/>
  <c r="J718" i="3"/>
  <c r="V717" i="3"/>
  <c r="U717" i="3"/>
  <c r="T717" i="3"/>
  <c r="S717" i="3"/>
  <c r="Q717" i="3"/>
  <c r="O717" i="3"/>
  <c r="N717" i="3"/>
  <c r="J717" i="3"/>
  <c r="R717" i="3"/>
  <c r="V716" i="3"/>
  <c r="U716" i="3"/>
  <c r="T716" i="3"/>
  <c r="R716" i="3"/>
  <c r="Q716" i="3"/>
  <c r="O716" i="3"/>
  <c r="N716" i="3"/>
  <c r="J716" i="3"/>
  <c r="S716" i="3"/>
  <c r="G716" i="3"/>
  <c r="V715" i="3"/>
  <c r="U715" i="3"/>
  <c r="T715" i="3"/>
  <c r="S715" i="3"/>
  <c r="R715" i="3"/>
  <c r="Q715" i="3"/>
  <c r="P715" i="3"/>
  <c r="V714" i="3"/>
  <c r="U714" i="3"/>
  <c r="T714" i="3"/>
  <c r="S714" i="3"/>
  <c r="R714" i="3"/>
  <c r="Q714" i="3"/>
  <c r="P714" i="3"/>
  <c r="J714" i="3"/>
  <c r="V713" i="3"/>
  <c r="U713" i="3"/>
  <c r="T713" i="3"/>
  <c r="S713" i="3"/>
  <c r="Q713" i="3"/>
  <c r="O713" i="3"/>
  <c r="N713" i="3"/>
  <c r="J713" i="3"/>
  <c r="R713" i="3"/>
  <c r="V712" i="3"/>
  <c r="U712" i="3"/>
  <c r="T712" i="3"/>
  <c r="R712" i="3"/>
  <c r="Q712" i="3"/>
  <c r="O712" i="3"/>
  <c r="N712" i="3"/>
  <c r="J712" i="3"/>
  <c r="S712" i="3"/>
  <c r="G712" i="3"/>
  <c r="V711" i="3"/>
  <c r="U711" i="3"/>
  <c r="T711" i="3"/>
  <c r="S711" i="3"/>
  <c r="R711" i="3"/>
  <c r="Q711" i="3"/>
  <c r="P711" i="3"/>
  <c r="V710" i="3"/>
  <c r="U710" i="3"/>
  <c r="T710" i="3"/>
  <c r="S710" i="3"/>
  <c r="Q710" i="3"/>
  <c r="P710" i="3"/>
  <c r="J710" i="3"/>
  <c r="R710" i="3"/>
  <c r="V709" i="3"/>
  <c r="U709" i="3"/>
  <c r="T709" i="3"/>
  <c r="R709" i="3"/>
  <c r="Q709" i="3"/>
  <c r="O709" i="3"/>
  <c r="N709" i="3"/>
  <c r="J709" i="3"/>
  <c r="S709" i="3"/>
  <c r="V708" i="3"/>
  <c r="U708" i="3"/>
  <c r="S708" i="3"/>
  <c r="R708" i="3"/>
  <c r="Q708" i="3"/>
  <c r="O708" i="3"/>
  <c r="N708" i="3"/>
  <c r="J708" i="3"/>
  <c r="T708" i="3"/>
  <c r="G708" i="3"/>
  <c r="V707" i="3"/>
  <c r="U707" i="3"/>
  <c r="T707" i="3"/>
  <c r="S707" i="3"/>
  <c r="R707" i="3"/>
  <c r="Q707" i="3"/>
  <c r="O707" i="3"/>
  <c r="P707" i="3"/>
  <c r="V706" i="3"/>
  <c r="U706" i="3"/>
  <c r="T706" i="3"/>
  <c r="S706" i="3"/>
  <c r="R706" i="3"/>
  <c r="Q706" i="3"/>
  <c r="P706" i="3"/>
  <c r="V705" i="3"/>
  <c r="U705" i="3"/>
  <c r="T705" i="3"/>
  <c r="S705" i="3"/>
  <c r="R705" i="3"/>
  <c r="Q705" i="3"/>
  <c r="P705" i="3"/>
  <c r="J705" i="3"/>
  <c r="V704" i="3"/>
  <c r="U704" i="3"/>
  <c r="T704" i="3"/>
  <c r="R704" i="3"/>
  <c r="Q704" i="3"/>
  <c r="O704" i="3"/>
  <c r="N704" i="3"/>
  <c r="J704" i="3"/>
  <c r="S704" i="3"/>
  <c r="V703" i="3"/>
  <c r="U703" i="3"/>
  <c r="S703" i="3"/>
  <c r="R703" i="3"/>
  <c r="Q703" i="3"/>
  <c r="O703" i="3"/>
  <c r="N703" i="3"/>
  <c r="J703" i="3"/>
  <c r="T703" i="3"/>
  <c r="G703" i="3"/>
  <c r="V702" i="3"/>
  <c r="U702" i="3"/>
  <c r="T702" i="3"/>
  <c r="S702" i="3"/>
  <c r="R702" i="3"/>
  <c r="Q702" i="3"/>
  <c r="O702" i="3"/>
  <c r="P702" i="3"/>
  <c r="V701" i="3"/>
  <c r="U701" i="3"/>
  <c r="T701" i="3"/>
  <c r="S701" i="3"/>
  <c r="R701" i="3"/>
  <c r="Q701" i="3"/>
  <c r="P701" i="3"/>
  <c r="V700" i="3"/>
  <c r="U700" i="3"/>
  <c r="T700" i="3"/>
  <c r="S700" i="3"/>
  <c r="R700" i="3"/>
  <c r="Q700" i="3"/>
  <c r="P700" i="3"/>
  <c r="J700" i="3"/>
  <c r="V699" i="3"/>
  <c r="U699" i="3"/>
  <c r="T699" i="3"/>
  <c r="R699" i="3"/>
  <c r="Q699" i="3"/>
  <c r="O699" i="3"/>
  <c r="N699" i="3"/>
  <c r="J699" i="3"/>
  <c r="S699" i="3"/>
  <c r="V698" i="3"/>
  <c r="U698" i="3"/>
  <c r="S698" i="3"/>
  <c r="R698" i="3"/>
  <c r="Q698" i="3"/>
  <c r="O698" i="3"/>
  <c r="N698" i="3"/>
  <c r="J698" i="3"/>
  <c r="T698" i="3"/>
  <c r="G698" i="3"/>
  <c r="V697" i="3"/>
  <c r="U697" i="3"/>
  <c r="T697" i="3"/>
  <c r="S697" i="3"/>
  <c r="R697" i="3"/>
  <c r="Q697" i="3"/>
  <c r="O697" i="3"/>
  <c r="P697" i="3"/>
  <c r="V696" i="3"/>
  <c r="U696" i="3"/>
  <c r="T696" i="3"/>
  <c r="S696" i="3"/>
  <c r="R696" i="3"/>
  <c r="Q696" i="3"/>
  <c r="P696" i="3"/>
  <c r="V695" i="3"/>
  <c r="U695" i="3"/>
  <c r="T695" i="3"/>
  <c r="S695" i="3"/>
  <c r="R695" i="3"/>
  <c r="Q695" i="3"/>
  <c r="P695" i="3"/>
  <c r="J695" i="3"/>
  <c r="V694" i="3"/>
  <c r="U694" i="3"/>
  <c r="T694" i="3"/>
  <c r="R694" i="3"/>
  <c r="Q694" i="3"/>
  <c r="O694" i="3"/>
  <c r="N694" i="3"/>
  <c r="J694" i="3"/>
  <c r="S694" i="3"/>
  <c r="V693" i="3"/>
  <c r="U693" i="3"/>
  <c r="S693" i="3"/>
  <c r="R693" i="3"/>
  <c r="Q693" i="3"/>
  <c r="O693" i="3"/>
  <c r="N693" i="3"/>
  <c r="J693" i="3"/>
  <c r="T693" i="3"/>
  <c r="G693" i="3"/>
  <c r="V692" i="3"/>
  <c r="U692" i="3"/>
  <c r="T692" i="3"/>
  <c r="S692" i="3"/>
  <c r="R692" i="3"/>
  <c r="Q692" i="3"/>
  <c r="O692" i="3"/>
  <c r="P692" i="3"/>
  <c r="V691" i="3"/>
  <c r="U691" i="3"/>
  <c r="T691" i="3"/>
  <c r="S691" i="3"/>
  <c r="R691" i="3"/>
  <c r="Q691" i="3"/>
  <c r="P691" i="3"/>
  <c r="V690" i="3"/>
  <c r="U690" i="3"/>
  <c r="T690" i="3"/>
  <c r="S690" i="3"/>
  <c r="R690" i="3"/>
  <c r="Q690" i="3"/>
  <c r="P690" i="3"/>
  <c r="J690" i="3"/>
  <c r="V689" i="3"/>
  <c r="U689" i="3"/>
  <c r="T689" i="3"/>
  <c r="R689" i="3"/>
  <c r="Q689" i="3"/>
  <c r="O689" i="3"/>
  <c r="N689" i="3"/>
  <c r="J689" i="3"/>
  <c r="S689" i="3"/>
  <c r="V688" i="3"/>
  <c r="U688" i="3"/>
  <c r="S688" i="3"/>
  <c r="R688" i="3"/>
  <c r="Q688" i="3"/>
  <c r="O688" i="3"/>
  <c r="N688" i="3"/>
  <c r="J688" i="3"/>
  <c r="T688" i="3"/>
  <c r="G688" i="3"/>
  <c r="V687" i="3"/>
  <c r="U687" i="3"/>
  <c r="T687" i="3"/>
  <c r="S687" i="3"/>
  <c r="R687" i="3"/>
  <c r="Q687" i="3"/>
  <c r="O687" i="3"/>
  <c r="P687" i="3"/>
  <c r="V686" i="3"/>
  <c r="U686" i="3"/>
  <c r="T686" i="3"/>
  <c r="S686" i="3"/>
  <c r="R686" i="3"/>
  <c r="Q686" i="3"/>
  <c r="P686" i="3"/>
  <c r="V685" i="3"/>
  <c r="U685" i="3"/>
  <c r="T685" i="3"/>
  <c r="S685" i="3"/>
  <c r="Q685" i="3"/>
  <c r="P685" i="3"/>
  <c r="J685" i="3"/>
  <c r="R685" i="3"/>
  <c r="V684" i="3"/>
  <c r="U684" i="3"/>
  <c r="T684" i="3"/>
  <c r="R684" i="3"/>
  <c r="Q684" i="3"/>
  <c r="O684" i="3"/>
  <c r="N684" i="3"/>
  <c r="J684" i="3"/>
  <c r="S684" i="3"/>
  <c r="V683" i="3"/>
  <c r="U683" i="3"/>
  <c r="S683" i="3"/>
  <c r="R683" i="3"/>
  <c r="Q683" i="3"/>
  <c r="O683" i="3"/>
  <c r="N683" i="3"/>
  <c r="J683" i="3"/>
  <c r="T683" i="3"/>
  <c r="G683" i="3"/>
  <c r="V682" i="3"/>
  <c r="U682" i="3"/>
  <c r="T682" i="3"/>
  <c r="S682" i="3"/>
  <c r="R682" i="3"/>
  <c r="Q682" i="3"/>
  <c r="P682" i="3"/>
  <c r="V681" i="3"/>
  <c r="U681" i="3"/>
  <c r="T681" i="3"/>
  <c r="S681" i="3"/>
  <c r="R681" i="3"/>
  <c r="Q681" i="3"/>
  <c r="P681" i="3"/>
  <c r="V680" i="3"/>
  <c r="U680" i="3"/>
  <c r="T680" i="3"/>
  <c r="S680" i="3"/>
  <c r="R680" i="3"/>
  <c r="Q680" i="3"/>
  <c r="P680" i="3"/>
  <c r="J680" i="3"/>
  <c r="V679" i="3"/>
  <c r="U679" i="3"/>
  <c r="T679" i="3"/>
  <c r="S679" i="3"/>
  <c r="R679" i="3"/>
  <c r="Q679" i="3"/>
  <c r="O679" i="3"/>
  <c r="N679" i="3"/>
  <c r="J679" i="3"/>
  <c r="V678" i="3"/>
  <c r="U678" i="3"/>
  <c r="T678" i="3"/>
  <c r="R678" i="3"/>
  <c r="Q678" i="3"/>
  <c r="O678" i="3"/>
  <c r="N678" i="3"/>
  <c r="J678" i="3"/>
  <c r="S678" i="3"/>
  <c r="G678" i="3"/>
  <c r="V677" i="3"/>
  <c r="U677" i="3"/>
  <c r="T677" i="3"/>
  <c r="S677" i="3"/>
  <c r="R677" i="3"/>
  <c r="Q677" i="3"/>
  <c r="P677" i="3"/>
  <c r="V676" i="3"/>
  <c r="U676" i="3"/>
  <c r="T676" i="3"/>
  <c r="S676" i="3"/>
  <c r="R676" i="3"/>
  <c r="Q676" i="3"/>
  <c r="P676" i="3"/>
  <c r="V675" i="3"/>
  <c r="U675" i="3"/>
  <c r="T675" i="3"/>
  <c r="S675" i="3"/>
  <c r="R675" i="3"/>
  <c r="Q675" i="3"/>
  <c r="P675" i="3"/>
  <c r="J675" i="3"/>
  <c r="V674" i="3"/>
  <c r="U674" i="3"/>
  <c r="T674" i="3"/>
  <c r="R674" i="3"/>
  <c r="Q674" i="3"/>
  <c r="O674" i="3"/>
  <c r="N674" i="3"/>
  <c r="J674" i="3"/>
  <c r="S674" i="3"/>
  <c r="V673" i="3"/>
  <c r="U673" i="3"/>
  <c r="S673" i="3"/>
  <c r="R673" i="3"/>
  <c r="Q673" i="3"/>
  <c r="O673" i="3"/>
  <c r="N673" i="3"/>
  <c r="J673" i="3"/>
  <c r="T673" i="3"/>
  <c r="G673" i="3"/>
  <c r="V672" i="3"/>
  <c r="U672" i="3"/>
  <c r="T672" i="3"/>
  <c r="S672" i="3"/>
  <c r="R672" i="3"/>
  <c r="Q672" i="3"/>
  <c r="P672" i="3"/>
  <c r="V671" i="3"/>
  <c r="U671" i="3"/>
  <c r="T671" i="3"/>
  <c r="S671" i="3"/>
  <c r="R671" i="3"/>
  <c r="Q671" i="3"/>
  <c r="P671" i="3"/>
  <c r="V670" i="3"/>
  <c r="U670" i="3"/>
  <c r="T670" i="3"/>
  <c r="S670" i="3"/>
  <c r="R670" i="3"/>
  <c r="Q670" i="3"/>
  <c r="P670" i="3"/>
  <c r="J670" i="3"/>
  <c r="V669" i="3"/>
  <c r="U669" i="3"/>
  <c r="T669" i="3"/>
  <c r="R669" i="3"/>
  <c r="Q669" i="3"/>
  <c r="O669" i="3"/>
  <c r="N669" i="3"/>
  <c r="J669" i="3"/>
  <c r="S669" i="3"/>
  <c r="V668" i="3"/>
  <c r="U668" i="3"/>
  <c r="S668" i="3"/>
  <c r="R668" i="3"/>
  <c r="Q668" i="3"/>
  <c r="O668" i="3"/>
  <c r="N668" i="3"/>
  <c r="J668" i="3"/>
  <c r="T668" i="3"/>
  <c r="G668" i="3"/>
  <c r="V667" i="3"/>
  <c r="U667" i="3"/>
  <c r="T667" i="3"/>
  <c r="S667" i="3"/>
  <c r="R667" i="3"/>
  <c r="Q667" i="3"/>
  <c r="P667" i="3"/>
  <c r="V666" i="3"/>
  <c r="U666" i="3"/>
  <c r="T666" i="3"/>
  <c r="S666" i="3"/>
  <c r="R666" i="3"/>
  <c r="Q666" i="3"/>
  <c r="P666" i="3"/>
  <c r="J666" i="3"/>
  <c r="V665" i="3"/>
  <c r="U665" i="3"/>
  <c r="T665" i="3"/>
  <c r="S665" i="3"/>
  <c r="Q665" i="3"/>
  <c r="O665" i="3"/>
  <c r="N665" i="3"/>
  <c r="J665" i="3"/>
  <c r="R665" i="3"/>
  <c r="V664" i="3"/>
  <c r="U664" i="3"/>
  <c r="T664" i="3"/>
  <c r="R664" i="3"/>
  <c r="Q664" i="3"/>
  <c r="O664" i="3"/>
  <c r="N664" i="3"/>
  <c r="J664" i="3"/>
  <c r="S664" i="3"/>
  <c r="G664" i="3"/>
  <c r="V663" i="3"/>
  <c r="U663" i="3"/>
  <c r="T663" i="3"/>
  <c r="S663" i="3"/>
  <c r="R663" i="3"/>
  <c r="Q663" i="3"/>
  <c r="P663" i="3"/>
  <c r="V662" i="3"/>
  <c r="U662" i="3"/>
  <c r="T662" i="3"/>
  <c r="S662" i="3"/>
  <c r="R662" i="3"/>
  <c r="Q662" i="3"/>
  <c r="P662" i="3"/>
  <c r="V661" i="3"/>
  <c r="U661" i="3"/>
  <c r="T661" i="3"/>
  <c r="R661" i="3"/>
  <c r="Q661" i="3"/>
  <c r="O661" i="3"/>
  <c r="N661" i="3"/>
  <c r="J661" i="3"/>
  <c r="S661" i="3"/>
  <c r="V660" i="3"/>
  <c r="U660" i="3"/>
  <c r="S660" i="3"/>
  <c r="R660" i="3"/>
  <c r="Q660" i="3"/>
  <c r="O660" i="3"/>
  <c r="N660" i="3"/>
  <c r="J660" i="3"/>
  <c r="T660" i="3"/>
  <c r="G660" i="3"/>
  <c r="V659" i="3"/>
  <c r="U659" i="3"/>
  <c r="T659" i="3"/>
  <c r="S659" i="3"/>
  <c r="R659" i="3"/>
  <c r="Q659" i="3"/>
  <c r="P659" i="3"/>
  <c r="V658" i="3"/>
  <c r="U658" i="3"/>
  <c r="T658" i="3"/>
  <c r="S658" i="3"/>
  <c r="R658" i="3"/>
  <c r="Q658" i="3"/>
  <c r="P658" i="3"/>
  <c r="J658" i="3"/>
  <c r="V657" i="3"/>
  <c r="U657" i="3"/>
  <c r="T657" i="3"/>
  <c r="R657" i="3"/>
  <c r="Q657" i="3"/>
  <c r="O657" i="3"/>
  <c r="N657" i="3"/>
  <c r="J657" i="3"/>
  <c r="S657" i="3"/>
  <c r="V656" i="3"/>
  <c r="U656" i="3"/>
  <c r="S656" i="3"/>
  <c r="R656" i="3"/>
  <c r="Q656" i="3"/>
  <c r="O656" i="3"/>
  <c r="N656" i="3"/>
  <c r="J656" i="3"/>
  <c r="T656" i="3"/>
  <c r="G656" i="3"/>
  <c r="V655" i="3"/>
  <c r="U655" i="3"/>
  <c r="T655" i="3"/>
  <c r="S655" i="3"/>
  <c r="R655" i="3"/>
  <c r="Q655" i="3"/>
  <c r="P655" i="3"/>
  <c r="V654" i="3"/>
  <c r="U654" i="3"/>
  <c r="T654" i="3"/>
  <c r="S654" i="3"/>
  <c r="R654" i="3"/>
  <c r="Q654" i="3"/>
  <c r="P654" i="3"/>
  <c r="J654" i="3"/>
  <c r="V653" i="3"/>
  <c r="U653" i="3"/>
  <c r="T653" i="3"/>
  <c r="R653" i="3"/>
  <c r="Q653" i="3"/>
  <c r="O653" i="3"/>
  <c r="N653" i="3"/>
  <c r="J653" i="3"/>
  <c r="S653" i="3"/>
  <c r="V652" i="3"/>
  <c r="U652" i="3"/>
  <c r="S652" i="3"/>
  <c r="R652" i="3"/>
  <c r="Q652" i="3"/>
  <c r="O652" i="3"/>
  <c r="N652" i="3"/>
  <c r="J652" i="3"/>
  <c r="T652" i="3"/>
  <c r="G652" i="3"/>
  <c r="V651" i="3"/>
  <c r="U651" i="3"/>
  <c r="T651" i="3"/>
  <c r="S651" i="3"/>
  <c r="R651" i="3"/>
  <c r="Q651" i="3"/>
  <c r="P651" i="3"/>
  <c r="V650" i="3"/>
  <c r="U650" i="3"/>
  <c r="T650" i="3"/>
  <c r="S650" i="3"/>
  <c r="R650" i="3"/>
  <c r="Q650" i="3"/>
  <c r="P650" i="3"/>
  <c r="J650" i="3"/>
  <c r="V649" i="3"/>
  <c r="U649" i="3"/>
  <c r="T649" i="3"/>
  <c r="S649" i="3"/>
  <c r="R649" i="3"/>
  <c r="Q649" i="3"/>
  <c r="O649" i="3"/>
  <c r="N649" i="3"/>
  <c r="J649" i="3"/>
  <c r="V648" i="3"/>
  <c r="U648" i="3"/>
  <c r="T648" i="3"/>
  <c r="R648" i="3"/>
  <c r="Q648" i="3"/>
  <c r="O648" i="3"/>
  <c r="N648" i="3"/>
  <c r="J648" i="3"/>
  <c r="S648" i="3"/>
  <c r="G648" i="3"/>
  <c r="V647" i="3"/>
  <c r="U647" i="3"/>
  <c r="T647" i="3"/>
  <c r="S647" i="3"/>
  <c r="R647" i="3"/>
  <c r="Q647" i="3"/>
  <c r="P647" i="3"/>
  <c r="V646" i="3"/>
  <c r="U646" i="3"/>
  <c r="T646" i="3"/>
  <c r="S646" i="3"/>
  <c r="Q646" i="3"/>
  <c r="P646" i="3"/>
  <c r="J646" i="3"/>
  <c r="R646" i="3"/>
  <c r="V645" i="3"/>
  <c r="U645" i="3"/>
  <c r="T645" i="3"/>
  <c r="R645" i="3"/>
  <c r="Q645" i="3"/>
  <c r="O645" i="3"/>
  <c r="N645" i="3"/>
  <c r="J645" i="3"/>
  <c r="S645" i="3"/>
  <c r="V644" i="3"/>
  <c r="U644" i="3"/>
  <c r="S644" i="3"/>
  <c r="R644" i="3"/>
  <c r="Q644" i="3"/>
  <c r="O644" i="3"/>
  <c r="N644" i="3"/>
  <c r="J644" i="3"/>
  <c r="T644" i="3"/>
  <c r="G644" i="3"/>
  <c r="V643" i="3"/>
  <c r="U643" i="3"/>
  <c r="T643" i="3"/>
  <c r="S643" i="3"/>
  <c r="R643" i="3"/>
  <c r="Q643" i="3"/>
  <c r="P643" i="3"/>
  <c r="V642" i="3"/>
  <c r="U642" i="3"/>
  <c r="T642" i="3"/>
  <c r="S642" i="3"/>
  <c r="R642" i="3"/>
  <c r="Q642" i="3"/>
  <c r="P642" i="3"/>
  <c r="J642" i="3"/>
  <c r="V641" i="3"/>
  <c r="U641" i="3"/>
  <c r="T641" i="3"/>
  <c r="R641" i="3"/>
  <c r="Q641" i="3"/>
  <c r="O641" i="3"/>
  <c r="N641" i="3"/>
  <c r="J641" i="3"/>
  <c r="S641" i="3"/>
  <c r="V640" i="3"/>
  <c r="U640" i="3"/>
  <c r="S640" i="3"/>
  <c r="R640" i="3"/>
  <c r="Q640" i="3"/>
  <c r="O640" i="3"/>
  <c r="N640" i="3"/>
  <c r="J640" i="3"/>
  <c r="T640" i="3"/>
  <c r="G640" i="3"/>
  <c r="V639" i="3"/>
  <c r="U639" i="3"/>
  <c r="T639" i="3"/>
  <c r="S639" i="3"/>
  <c r="R639" i="3"/>
  <c r="Q639" i="3"/>
  <c r="P639" i="3"/>
  <c r="V638" i="3"/>
  <c r="U638" i="3"/>
  <c r="T638" i="3"/>
  <c r="S638" i="3"/>
  <c r="R638" i="3"/>
  <c r="Q638" i="3"/>
  <c r="P638" i="3"/>
  <c r="J638" i="3"/>
  <c r="V637" i="3"/>
  <c r="U637" i="3"/>
  <c r="T637" i="3"/>
  <c r="R637" i="3"/>
  <c r="Q637" i="3"/>
  <c r="O637" i="3"/>
  <c r="N637" i="3"/>
  <c r="J637" i="3"/>
  <c r="S637" i="3"/>
  <c r="V636" i="3"/>
  <c r="U636" i="3"/>
  <c r="S636" i="3"/>
  <c r="R636" i="3"/>
  <c r="Q636" i="3"/>
  <c r="O636" i="3"/>
  <c r="N636" i="3"/>
  <c r="J636" i="3"/>
  <c r="T636" i="3"/>
  <c r="G636" i="3"/>
  <c r="V635" i="3"/>
  <c r="U635" i="3"/>
  <c r="T635" i="3"/>
  <c r="S635" i="3"/>
  <c r="R635" i="3"/>
  <c r="Q635" i="3"/>
  <c r="P635" i="3"/>
  <c r="V634" i="3"/>
  <c r="U634" i="3"/>
  <c r="T634" i="3"/>
  <c r="S634" i="3"/>
  <c r="R634" i="3"/>
  <c r="Q634" i="3"/>
  <c r="P634" i="3"/>
  <c r="J634" i="3"/>
  <c r="V633" i="3"/>
  <c r="U633" i="3"/>
  <c r="T633" i="3"/>
  <c r="R633" i="3"/>
  <c r="Q633" i="3"/>
  <c r="O633" i="3"/>
  <c r="N633" i="3"/>
  <c r="J633" i="3"/>
  <c r="S633" i="3"/>
  <c r="V632" i="3"/>
  <c r="U632" i="3"/>
  <c r="S632" i="3"/>
  <c r="R632" i="3"/>
  <c r="Q632" i="3"/>
  <c r="O632" i="3"/>
  <c r="N632" i="3"/>
  <c r="J632" i="3"/>
  <c r="T632" i="3"/>
  <c r="G632" i="3"/>
  <c r="V631" i="3"/>
  <c r="U631" i="3"/>
  <c r="T631" i="3"/>
  <c r="S631" i="3"/>
  <c r="R631" i="3"/>
  <c r="Q631" i="3"/>
  <c r="V630" i="3"/>
  <c r="U630" i="3"/>
  <c r="T630" i="3"/>
  <c r="S630" i="3"/>
  <c r="R630" i="3"/>
  <c r="Q630" i="3"/>
  <c r="J630" i="3"/>
  <c r="V629" i="3"/>
  <c r="U629" i="3"/>
  <c r="T629" i="3"/>
  <c r="R629" i="3"/>
  <c r="Q629" i="3"/>
  <c r="O629" i="3"/>
  <c r="N629" i="3"/>
  <c r="J629" i="3"/>
  <c r="S629" i="3"/>
  <c r="V628" i="3"/>
  <c r="U628" i="3"/>
  <c r="S628" i="3"/>
  <c r="R628" i="3"/>
  <c r="Q628" i="3"/>
  <c r="O628" i="3"/>
  <c r="N628" i="3"/>
  <c r="J628" i="3"/>
  <c r="T628" i="3"/>
  <c r="G628" i="3"/>
  <c r="V627" i="3"/>
  <c r="U627" i="3"/>
  <c r="T627" i="3"/>
  <c r="S627" i="3"/>
  <c r="R627" i="3"/>
  <c r="Q627" i="3"/>
  <c r="P627" i="3"/>
  <c r="V626" i="3"/>
  <c r="U626" i="3"/>
  <c r="T626" i="3"/>
  <c r="S626" i="3"/>
  <c r="R626" i="3"/>
  <c r="Q626" i="3"/>
  <c r="P626" i="3"/>
  <c r="V625" i="3"/>
  <c r="U625" i="3"/>
  <c r="T625" i="3"/>
  <c r="S625" i="3"/>
  <c r="R625" i="3"/>
  <c r="Q625" i="3"/>
  <c r="P625" i="3"/>
  <c r="J625" i="3"/>
  <c r="V624" i="3"/>
  <c r="U624" i="3"/>
  <c r="T624" i="3"/>
  <c r="R624" i="3"/>
  <c r="Q624" i="3"/>
  <c r="O624" i="3"/>
  <c r="N624" i="3"/>
  <c r="J624" i="3"/>
  <c r="S624" i="3"/>
  <c r="V623" i="3"/>
  <c r="U623" i="3"/>
  <c r="S623" i="3"/>
  <c r="R623" i="3"/>
  <c r="Q623" i="3"/>
  <c r="O623" i="3"/>
  <c r="N623" i="3"/>
  <c r="J623" i="3"/>
  <c r="T623" i="3"/>
  <c r="G623" i="3"/>
  <c r="V622" i="3"/>
  <c r="U622" i="3"/>
  <c r="T622" i="3"/>
  <c r="S622" i="3"/>
  <c r="R622" i="3"/>
  <c r="Q622" i="3"/>
  <c r="P622" i="3"/>
  <c r="V621" i="3"/>
  <c r="U621" i="3"/>
  <c r="T621" i="3"/>
  <c r="S621" i="3"/>
  <c r="R621" i="3"/>
  <c r="Q621" i="3"/>
  <c r="P621" i="3"/>
  <c r="V620" i="3"/>
  <c r="U620" i="3"/>
  <c r="T620" i="3"/>
  <c r="S620" i="3"/>
  <c r="R620" i="3"/>
  <c r="Q620" i="3"/>
  <c r="P620" i="3"/>
  <c r="J620" i="3"/>
  <c r="V619" i="3"/>
  <c r="U619" i="3"/>
  <c r="T619" i="3"/>
  <c r="R619" i="3"/>
  <c r="Q619" i="3"/>
  <c r="O619" i="3"/>
  <c r="N619" i="3"/>
  <c r="J619" i="3"/>
  <c r="S619" i="3"/>
  <c r="V618" i="3"/>
  <c r="U618" i="3"/>
  <c r="S618" i="3"/>
  <c r="R618" i="3"/>
  <c r="Q618" i="3"/>
  <c r="O618" i="3"/>
  <c r="N618" i="3"/>
  <c r="J618" i="3"/>
  <c r="T618" i="3"/>
  <c r="G618" i="3"/>
  <c r="V617" i="3"/>
  <c r="U617" i="3"/>
  <c r="T617" i="3"/>
  <c r="S617" i="3"/>
  <c r="R617" i="3"/>
  <c r="Q617" i="3"/>
  <c r="P617" i="3"/>
  <c r="V616" i="3"/>
  <c r="U616" i="3"/>
  <c r="T616" i="3"/>
  <c r="S616" i="3"/>
  <c r="R616" i="3"/>
  <c r="Q616" i="3"/>
  <c r="P616" i="3"/>
  <c r="V615" i="3"/>
  <c r="U615" i="3"/>
  <c r="T615" i="3"/>
  <c r="S615" i="3"/>
  <c r="R615" i="3"/>
  <c r="Q615" i="3"/>
  <c r="P615" i="3"/>
  <c r="J615" i="3"/>
  <c r="V614" i="3"/>
  <c r="U614" i="3"/>
  <c r="T614" i="3"/>
  <c r="R614" i="3"/>
  <c r="Q614" i="3"/>
  <c r="O614" i="3"/>
  <c r="N614" i="3"/>
  <c r="J614" i="3"/>
  <c r="S614" i="3"/>
  <c r="V613" i="3"/>
  <c r="U613" i="3"/>
  <c r="S613" i="3"/>
  <c r="R613" i="3"/>
  <c r="Q613" i="3"/>
  <c r="O613" i="3"/>
  <c r="N613" i="3"/>
  <c r="J613" i="3"/>
  <c r="T613" i="3"/>
  <c r="G613" i="3"/>
  <c r="V612" i="3"/>
  <c r="U612" i="3"/>
  <c r="T612" i="3"/>
  <c r="S612" i="3"/>
  <c r="R612" i="3"/>
  <c r="Q612" i="3"/>
  <c r="P612" i="3"/>
  <c r="V611" i="3"/>
  <c r="U611" i="3"/>
  <c r="T611" i="3"/>
  <c r="S611" i="3"/>
  <c r="R611" i="3"/>
  <c r="Q611" i="3"/>
  <c r="P611" i="3"/>
  <c r="V610" i="3"/>
  <c r="U610" i="3"/>
  <c r="T610" i="3"/>
  <c r="S610" i="3"/>
  <c r="R610" i="3"/>
  <c r="Q610" i="3"/>
  <c r="P610" i="3"/>
  <c r="J610" i="3"/>
  <c r="V609" i="3"/>
  <c r="U609" i="3"/>
  <c r="T609" i="3"/>
  <c r="S609" i="3"/>
  <c r="R609" i="3"/>
  <c r="Q609" i="3"/>
  <c r="O609" i="3"/>
  <c r="N609" i="3"/>
  <c r="J609" i="3"/>
  <c r="V608" i="3"/>
  <c r="U608" i="3"/>
  <c r="T608" i="3"/>
  <c r="R608" i="3"/>
  <c r="Q608" i="3"/>
  <c r="O608" i="3"/>
  <c r="N608" i="3"/>
  <c r="J608" i="3"/>
  <c r="S608" i="3"/>
  <c r="G608" i="3"/>
  <c r="V607" i="3"/>
  <c r="U607" i="3"/>
  <c r="T607" i="3"/>
  <c r="S607" i="3"/>
  <c r="R607" i="3"/>
  <c r="Q607" i="3"/>
  <c r="P607" i="3"/>
  <c r="V606" i="3"/>
  <c r="U606" i="3"/>
  <c r="T606" i="3"/>
  <c r="S606" i="3"/>
  <c r="R606" i="3"/>
  <c r="Q606" i="3"/>
  <c r="P606" i="3"/>
  <c r="V605" i="3"/>
  <c r="U605" i="3"/>
  <c r="T605" i="3"/>
  <c r="S605" i="3"/>
  <c r="R605" i="3"/>
  <c r="Q605" i="3"/>
  <c r="P605" i="3"/>
  <c r="J605" i="3"/>
  <c r="V604" i="3"/>
  <c r="U604" i="3"/>
  <c r="T604" i="3"/>
  <c r="S604" i="3"/>
  <c r="Q604" i="3"/>
  <c r="O604" i="3"/>
  <c r="N604" i="3"/>
  <c r="J604" i="3"/>
  <c r="R604" i="3"/>
  <c r="V603" i="3"/>
  <c r="U603" i="3"/>
  <c r="T603" i="3"/>
  <c r="R603" i="3"/>
  <c r="Q603" i="3"/>
  <c r="O603" i="3"/>
  <c r="N603" i="3"/>
  <c r="J603" i="3"/>
  <c r="S603" i="3"/>
  <c r="G603" i="3"/>
  <c r="V602" i="3"/>
  <c r="U602" i="3"/>
  <c r="T602" i="3"/>
  <c r="S602" i="3"/>
  <c r="R602" i="3"/>
  <c r="Q602" i="3"/>
  <c r="V601" i="3"/>
  <c r="U601" i="3"/>
  <c r="T601" i="3"/>
  <c r="S601" i="3"/>
  <c r="R601" i="3"/>
  <c r="Q601" i="3"/>
  <c r="V600" i="3"/>
  <c r="U600" i="3"/>
  <c r="T600" i="3"/>
  <c r="S600" i="3"/>
  <c r="R600" i="3"/>
  <c r="Q600" i="3"/>
  <c r="J600" i="3"/>
  <c r="V599" i="3"/>
  <c r="U599" i="3"/>
  <c r="T599" i="3"/>
  <c r="R599" i="3"/>
  <c r="Q599" i="3"/>
  <c r="O599" i="3"/>
  <c r="N599" i="3"/>
  <c r="J599" i="3"/>
  <c r="S599" i="3"/>
  <c r="V598" i="3"/>
  <c r="U598" i="3"/>
  <c r="S598" i="3"/>
  <c r="R598" i="3"/>
  <c r="Q598" i="3"/>
  <c r="O598" i="3"/>
  <c r="N598" i="3"/>
  <c r="J598" i="3"/>
  <c r="T598" i="3"/>
  <c r="G598" i="3"/>
  <c r="V597" i="3"/>
  <c r="U597" i="3"/>
  <c r="T597" i="3"/>
  <c r="S597" i="3"/>
  <c r="R597" i="3"/>
  <c r="Q597" i="3"/>
  <c r="O597" i="3"/>
  <c r="P597" i="3"/>
  <c r="V596" i="3"/>
  <c r="U596" i="3"/>
  <c r="T596" i="3"/>
  <c r="S596" i="3"/>
  <c r="R596" i="3"/>
  <c r="Q596" i="3"/>
  <c r="P596" i="3"/>
  <c r="V595" i="3"/>
  <c r="U595" i="3"/>
  <c r="T595" i="3"/>
  <c r="S595" i="3"/>
  <c r="R595" i="3"/>
  <c r="Q595" i="3"/>
  <c r="P595" i="3"/>
  <c r="J595" i="3"/>
  <c r="V594" i="3"/>
  <c r="U594" i="3"/>
  <c r="T594" i="3"/>
  <c r="S594" i="3"/>
  <c r="R594" i="3"/>
  <c r="Q594" i="3"/>
  <c r="O594" i="3"/>
  <c r="N594" i="3"/>
  <c r="J594" i="3"/>
  <c r="V593" i="3"/>
  <c r="U593" i="3"/>
  <c r="T593" i="3"/>
  <c r="R593" i="3"/>
  <c r="Q593" i="3"/>
  <c r="O593" i="3"/>
  <c r="N593" i="3"/>
  <c r="J593" i="3"/>
  <c r="S593" i="3"/>
  <c r="G593" i="3"/>
  <c r="G724" i="3"/>
  <c r="J18" i="8"/>
  <c r="J19" i="8"/>
  <c r="F38" i="1"/>
  <c r="I20" i="16"/>
  <c r="G20" i="16"/>
  <c r="J20" i="16"/>
  <c r="K20" i="16"/>
  <c r="E18" i="16"/>
  <c r="I39" i="16"/>
  <c r="N39" i="16"/>
  <c r="G78" i="16"/>
  <c r="P439" i="3"/>
  <c r="P657" i="3"/>
  <c r="P608" i="3"/>
  <c r="P679" i="3"/>
  <c r="P593" i="3"/>
  <c r="P693" i="3"/>
  <c r="P713" i="3"/>
  <c r="P633" i="3"/>
  <c r="P694" i="3"/>
  <c r="P637" i="3"/>
  <c r="P645" i="3"/>
  <c r="P665" i="3"/>
  <c r="P668" i="3"/>
  <c r="P688" i="3"/>
  <c r="P689" i="3"/>
  <c r="P598" i="3"/>
  <c r="P603" i="3"/>
  <c r="P660" i="3"/>
  <c r="P661" i="3"/>
  <c r="P684" i="3"/>
  <c r="P614" i="3"/>
  <c r="P628" i="3"/>
  <c r="P640" i="3"/>
  <c r="P641" i="3"/>
  <c r="P649" i="3"/>
  <c r="P653" i="3"/>
  <c r="P698" i="3"/>
  <c r="P699" i="3"/>
  <c r="P703" i="3"/>
  <c r="P708" i="3"/>
  <c r="P709" i="3"/>
  <c r="P594" i="3"/>
  <c r="P629" i="3"/>
  <c r="P644" i="3"/>
  <c r="P648" i="3"/>
  <c r="P673" i="3"/>
  <c r="P683" i="3"/>
  <c r="P704" i="3"/>
  <c r="P716" i="3"/>
  <c r="P604" i="3"/>
  <c r="P619" i="3"/>
  <c r="P636" i="3"/>
  <c r="P656" i="3"/>
  <c r="P664" i="3"/>
  <c r="P599" i="3"/>
  <c r="P609" i="3"/>
  <c r="P613" i="3"/>
  <c r="P618" i="3"/>
  <c r="P623" i="3"/>
  <c r="P624" i="3"/>
  <c r="P717" i="3"/>
  <c r="P721" i="3"/>
  <c r="P632" i="3"/>
  <c r="P652" i="3"/>
  <c r="P669" i="3"/>
  <c r="P674" i="3"/>
  <c r="P678" i="3"/>
  <c r="P712" i="3"/>
  <c r="P720" i="3"/>
  <c r="U724" i="3"/>
  <c r="U726" i="3"/>
  <c r="U727" i="3"/>
  <c r="Q724" i="3"/>
  <c r="Q726" i="3"/>
  <c r="Q727" i="3"/>
  <c r="S724" i="3"/>
  <c r="S726" i="3"/>
  <c r="S727" i="3"/>
  <c r="V724" i="3"/>
  <c r="V726" i="3"/>
  <c r="V727" i="3"/>
  <c r="R724" i="3"/>
  <c r="R726" i="3"/>
  <c r="R727" i="3"/>
  <c r="T724" i="3"/>
  <c r="T726" i="3"/>
  <c r="T727" i="3"/>
  <c r="J20" i="8"/>
  <c r="J21" i="8"/>
  <c r="J22" i="8"/>
  <c r="J38" i="1"/>
  <c r="E12" i="16"/>
  <c r="G53" i="16"/>
  <c r="L53" i="16"/>
  <c r="P724" i="3"/>
  <c r="P726" i="3"/>
  <c r="P727" i="3"/>
  <c r="AI188" i="4"/>
  <c r="AH188" i="4"/>
  <c r="AF188" i="4"/>
  <c r="AE188" i="4"/>
  <c r="AD188" i="4"/>
  <c r="AC188" i="4"/>
  <c r="N188" i="4"/>
  <c r="L188" i="4"/>
  <c r="M188" i="4"/>
  <c r="AI187" i="4"/>
  <c r="AH187" i="4"/>
  <c r="AG187" i="4"/>
  <c r="AF187" i="4"/>
  <c r="AD187" i="4"/>
  <c r="AA187" i="4"/>
  <c r="Z187" i="4"/>
  <c r="Y187" i="4"/>
  <c r="X187" i="4"/>
  <c r="V187" i="4"/>
  <c r="U187" i="4"/>
  <c r="R187" i="4"/>
  <c r="Q187" i="4"/>
  <c r="W187" i="4"/>
  <c r="N187" i="4"/>
  <c r="M187" i="4"/>
  <c r="L187" i="4"/>
  <c r="AI186" i="4"/>
  <c r="AH186" i="4"/>
  <c r="AF186" i="4"/>
  <c r="AE186" i="4"/>
  <c r="AD186" i="4"/>
  <c r="AA186" i="4"/>
  <c r="Z186" i="4"/>
  <c r="Y186" i="4"/>
  <c r="X186" i="4"/>
  <c r="W186" i="4"/>
  <c r="V186" i="4"/>
  <c r="R186" i="4"/>
  <c r="Q186" i="4"/>
  <c r="U186" i="4"/>
  <c r="N186" i="4"/>
  <c r="L186" i="4"/>
  <c r="M186" i="4"/>
  <c r="H186" i="4"/>
  <c r="H182" i="4"/>
  <c r="H178" i="4"/>
  <c r="AI184" i="4"/>
  <c r="AH184" i="4"/>
  <c r="AF184" i="4"/>
  <c r="AE184" i="4"/>
  <c r="AD184" i="4"/>
  <c r="AC184" i="4"/>
  <c r="N184" i="4"/>
  <c r="L184" i="4"/>
  <c r="M184" i="4"/>
  <c r="AI183" i="4"/>
  <c r="AH183" i="4"/>
  <c r="AG183" i="4"/>
  <c r="AF183" i="4"/>
  <c r="AD183" i="4"/>
  <c r="AA183" i="4"/>
  <c r="Z183" i="4"/>
  <c r="Y183" i="4"/>
  <c r="X183" i="4"/>
  <c r="V183" i="4"/>
  <c r="U183" i="4"/>
  <c r="R183" i="4"/>
  <c r="Q183" i="4"/>
  <c r="W183" i="4"/>
  <c r="N183" i="4"/>
  <c r="M183" i="4"/>
  <c r="L183" i="4"/>
  <c r="AI182" i="4"/>
  <c r="AH182" i="4"/>
  <c r="AF182" i="4"/>
  <c r="AE182" i="4"/>
  <c r="AD182" i="4"/>
  <c r="AA182" i="4"/>
  <c r="Z182" i="4"/>
  <c r="Y182" i="4"/>
  <c r="X182" i="4"/>
  <c r="W182" i="4"/>
  <c r="V182" i="4"/>
  <c r="R182" i="4"/>
  <c r="Q182" i="4"/>
  <c r="U182" i="4"/>
  <c r="N182" i="4"/>
  <c r="L182" i="4"/>
  <c r="M182" i="4"/>
  <c r="AI180" i="4"/>
  <c r="AH180" i="4"/>
  <c r="AF180" i="4"/>
  <c r="AE180" i="4"/>
  <c r="AD180" i="4"/>
  <c r="AC180" i="4"/>
  <c r="N180" i="4"/>
  <c r="L180" i="4"/>
  <c r="M180" i="4"/>
  <c r="AI179" i="4"/>
  <c r="AH179" i="4"/>
  <c r="AG179" i="4"/>
  <c r="AF179" i="4"/>
  <c r="AD179" i="4"/>
  <c r="AA179" i="4"/>
  <c r="Z179" i="4"/>
  <c r="Y179" i="4"/>
  <c r="X179" i="4"/>
  <c r="V179" i="4"/>
  <c r="U179" i="4"/>
  <c r="R179" i="4"/>
  <c r="Q179" i="4"/>
  <c r="W179" i="4"/>
  <c r="N179" i="4"/>
  <c r="M179" i="4"/>
  <c r="L179" i="4"/>
  <c r="AI178" i="4"/>
  <c r="AH178" i="4"/>
  <c r="AF178" i="4"/>
  <c r="AE178" i="4"/>
  <c r="AD178" i="4"/>
  <c r="AA178" i="4"/>
  <c r="Z178" i="4"/>
  <c r="Y178" i="4"/>
  <c r="X178" i="4"/>
  <c r="W178" i="4"/>
  <c r="V178" i="4"/>
  <c r="R178" i="4"/>
  <c r="Q178" i="4"/>
  <c r="U178" i="4"/>
  <c r="N178" i="4"/>
  <c r="L178" i="4"/>
  <c r="M178" i="4"/>
  <c r="AR338" i="5"/>
  <c r="O186" i="4"/>
  <c r="P186" i="4"/>
  <c r="AG186" i="4"/>
  <c r="O178" i="4"/>
  <c r="P178" i="4"/>
  <c r="AG178" i="4"/>
  <c r="O179" i="4"/>
  <c r="P179" i="4"/>
  <c r="AE179" i="4"/>
  <c r="O187" i="4"/>
  <c r="P187" i="4"/>
  <c r="AE187" i="4"/>
  <c r="O188" i="4"/>
  <c r="P188" i="4"/>
  <c r="AG188" i="4"/>
  <c r="O180" i="4"/>
  <c r="P180" i="4"/>
  <c r="AG180" i="4"/>
  <c r="O182" i="4"/>
  <c r="P182" i="4"/>
  <c r="AG182" i="4"/>
  <c r="O183" i="4"/>
  <c r="P183" i="4"/>
  <c r="AE183" i="4"/>
  <c r="O184" i="4"/>
  <c r="P184" i="4"/>
  <c r="AG184" i="4"/>
  <c r="AB186" i="4"/>
  <c r="AC186" i="4"/>
  <c r="AB187" i="4"/>
  <c r="AC187" i="4"/>
  <c r="AB182" i="4"/>
  <c r="AC182" i="4"/>
  <c r="AB178" i="4"/>
  <c r="AC178" i="4"/>
  <c r="AB179" i="4"/>
  <c r="AC179" i="4"/>
  <c r="AB183" i="4"/>
  <c r="AC183" i="4"/>
  <c r="J562" i="3"/>
  <c r="J554" i="3"/>
  <c r="J550" i="3"/>
  <c r="J546" i="3"/>
  <c r="J542" i="3"/>
  <c r="J538" i="3"/>
  <c r="J566" i="3"/>
  <c r="G202" i="5"/>
  <c r="M280" i="5"/>
  <c r="N280" i="5"/>
  <c r="O280" i="5"/>
  <c r="U280" i="5"/>
  <c r="V280" i="5"/>
  <c r="W280" i="5"/>
  <c r="AC280" i="5"/>
  <c r="AD280" i="5"/>
  <c r="AK280" i="5"/>
  <c r="AL280" i="5"/>
  <c r="AP280" i="5"/>
  <c r="AX280" i="5"/>
  <c r="I38" i="6"/>
  <c r="E36" i="6"/>
  <c r="L280" i="5"/>
  <c r="AH280" i="5"/>
  <c r="T280" i="5"/>
  <c r="AB280" i="5"/>
  <c r="Q280" i="5"/>
  <c r="R280" i="5"/>
  <c r="AG280" i="5"/>
  <c r="Z280" i="5"/>
  <c r="AJ280" i="5"/>
  <c r="I280" i="5"/>
  <c r="J280" i="5"/>
  <c r="Y280" i="5"/>
  <c r="G60" i="16"/>
  <c r="AN280" i="5"/>
  <c r="AS280" i="5"/>
  <c r="AR280" i="5"/>
  <c r="AT280" i="5"/>
  <c r="AW280" i="5"/>
  <c r="AV280" i="5"/>
  <c r="AU280" i="5"/>
  <c r="AF280" i="5"/>
  <c r="P280" i="5"/>
  <c r="X280" i="5"/>
  <c r="S280" i="5"/>
  <c r="AA280" i="5"/>
  <c r="K280" i="5"/>
  <c r="AI280" i="5"/>
  <c r="J6" i="8"/>
  <c r="J7" i="8"/>
  <c r="J38" i="6"/>
  <c r="K38" i="6"/>
  <c r="G61" i="16"/>
  <c r="L61" i="16"/>
  <c r="L60" i="16"/>
  <c r="J8" i="8"/>
  <c r="J9" i="8"/>
  <c r="J10" i="8"/>
  <c r="J11" i="8"/>
  <c r="E6" i="7"/>
  <c r="E12" i="7"/>
  <c r="G17" i="6"/>
  <c r="G38" i="6"/>
  <c r="L29" i="1"/>
  <c r="L24" i="1"/>
  <c r="N35" i="16"/>
  <c r="N33" i="16"/>
  <c r="N27" i="16"/>
  <c r="N25" i="16"/>
  <c r="N37" i="16"/>
  <c r="N29" i="16"/>
  <c r="E7" i="7"/>
  <c r="E18" i="7"/>
  <c r="E19" i="7"/>
  <c r="H17" i="6"/>
  <c r="H38" i="6"/>
  <c r="F17" i="6"/>
  <c r="F38" i="6"/>
  <c r="E17" i="6"/>
  <c r="E38" i="6"/>
  <c r="C24" i="6"/>
  <c r="C23" i="6"/>
  <c r="C16" i="6"/>
  <c r="K12" i="6"/>
  <c r="J12" i="6"/>
  <c r="I12" i="6"/>
  <c r="H12" i="6"/>
  <c r="G12" i="6"/>
  <c r="F12" i="6"/>
  <c r="G2" i="6"/>
  <c r="E12" i="6"/>
  <c r="D582" i="3"/>
  <c r="Y583" i="3"/>
  <c r="X583" i="3"/>
  <c r="W583" i="3"/>
  <c r="V583" i="3"/>
  <c r="U583" i="3"/>
  <c r="T583" i="3"/>
  <c r="S583" i="3"/>
  <c r="Y581" i="3"/>
  <c r="X581" i="3"/>
  <c r="W581" i="3"/>
  <c r="V581" i="3"/>
  <c r="U581" i="3"/>
  <c r="T581" i="3"/>
  <c r="S581" i="3"/>
  <c r="M581" i="3"/>
  <c r="Y580" i="3"/>
  <c r="X580" i="3"/>
  <c r="W580" i="3"/>
  <c r="V580" i="3"/>
  <c r="U580" i="3"/>
  <c r="T580" i="3"/>
  <c r="S580" i="3"/>
  <c r="M580" i="3"/>
  <c r="Y579" i="3"/>
  <c r="X579" i="3"/>
  <c r="W579" i="3"/>
  <c r="U579" i="3"/>
  <c r="T579" i="3"/>
  <c r="S579" i="3"/>
  <c r="M579" i="3"/>
  <c r="V579" i="3"/>
  <c r="Y578" i="3"/>
  <c r="X578" i="3"/>
  <c r="V578" i="3"/>
  <c r="U578" i="3"/>
  <c r="T578" i="3"/>
  <c r="Q578" i="3"/>
  <c r="R578" i="3"/>
  <c r="S578" i="3"/>
  <c r="M578" i="3"/>
  <c r="W578" i="3"/>
  <c r="J578" i="3"/>
  <c r="H578" i="3"/>
  <c r="G578" i="3"/>
  <c r="Y577" i="3"/>
  <c r="X577" i="3"/>
  <c r="W577" i="3"/>
  <c r="V577" i="3"/>
  <c r="U577" i="3"/>
  <c r="T577" i="3"/>
  <c r="S577" i="3"/>
  <c r="M577" i="3"/>
  <c r="Y576" i="3"/>
  <c r="X576" i="3"/>
  <c r="W576" i="3"/>
  <c r="V576" i="3"/>
  <c r="U576" i="3"/>
  <c r="T576" i="3"/>
  <c r="S576" i="3"/>
  <c r="M576" i="3"/>
  <c r="Y575" i="3"/>
  <c r="X575" i="3"/>
  <c r="W575" i="3"/>
  <c r="U575" i="3"/>
  <c r="T575" i="3"/>
  <c r="S575" i="3"/>
  <c r="M575" i="3"/>
  <c r="V575" i="3"/>
  <c r="Y574" i="3"/>
  <c r="X574" i="3"/>
  <c r="V574" i="3"/>
  <c r="U574" i="3"/>
  <c r="T574" i="3"/>
  <c r="Q574" i="3"/>
  <c r="R574" i="3"/>
  <c r="S574" i="3"/>
  <c r="M574" i="3"/>
  <c r="W574" i="3"/>
  <c r="J574" i="3"/>
  <c r="H574" i="3"/>
  <c r="G574" i="3"/>
  <c r="Y573" i="3"/>
  <c r="X573" i="3"/>
  <c r="W573" i="3"/>
  <c r="V573" i="3"/>
  <c r="U573" i="3"/>
  <c r="T573" i="3"/>
  <c r="S573" i="3"/>
  <c r="M573" i="3"/>
  <c r="Y572" i="3"/>
  <c r="X572" i="3"/>
  <c r="W572" i="3"/>
  <c r="V572" i="3"/>
  <c r="U572" i="3"/>
  <c r="T572" i="3"/>
  <c r="S572" i="3"/>
  <c r="M572" i="3"/>
  <c r="Y571" i="3"/>
  <c r="X571" i="3"/>
  <c r="W571" i="3"/>
  <c r="U571" i="3"/>
  <c r="T571" i="3"/>
  <c r="S571" i="3"/>
  <c r="M571" i="3"/>
  <c r="V571" i="3"/>
  <c r="Y570" i="3"/>
  <c r="X570" i="3"/>
  <c r="V570" i="3"/>
  <c r="U570" i="3"/>
  <c r="T570" i="3"/>
  <c r="Q570" i="3"/>
  <c r="R570" i="3"/>
  <c r="S570" i="3"/>
  <c r="M570" i="3"/>
  <c r="W570" i="3"/>
  <c r="J570" i="3"/>
  <c r="H570" i="3"/>
  <c r="G570" i="3"/>
  <c r="Y569" i="3"/>
  <c r="X569" i="3"/>
  <c r="W569" i="3"/>
  <c r="V569" i="3"/>
  <c r="U569" i="3"/>
  <c r="T569" i="3"/>
  <c r="S569" i="3"/>
  <c r="M569" i="3"/>
  <c r="Y568" i="3"/>
  <c r="X568" i="3"/>
  <c r="W568" i="3"/>
  <c r="V568" i="3"/>
  <c r="U568" i="3"/>
  <c r="T568" i="3"/>
  <c r="S568" i="3"/>
  <c r="M568" i="3"/>
  <c r="Y567" i="3"/>
  <c r="X567" i="3"/>
  <c r="W567" i="3"/>
  <c r="V567" i="3"/>
  <c r="U567" i="3"/>
  <c r="T567" i="3"/>
  <c r="S567" i="3"/>
  <c r="M567" i="3"/>
  <c r="Y566" i="3"/>
  <c r="X566" i="3"/>
  <c r="V566" i="3"/>
  <c r="U566" i="3"/>
  <c r="T566" i="3"/>
  <c r="Q566" i="3"/>
  <c r="R566" i="3"/>
  <c r="S566" i="3"/>
  <c r="M566" i="3"/>
  <c r="W566" i="3"/>
  <c r="H566" i="3"/>
  <c r="G566" i="3"/>
  <c r="Y565" i="3"/>
  <c r="X565" i="3"/>
  <c r="W565" i="3"/>
  <c r="V565" i="3"/>
  <c r="U565" i="3"/>
  <c r="T565" i="3"/>
  <c r="S565" i="3"/>
  <c r="M565" i="3"/>
  <c r="Y564" i="3"/>
  <c r="X564" i="3"/>
  <c r="W564" i="3"/>
  <c r="V564" i="3"/>
  <c r="U564" i="3"/>
  <c r="T564" i="3"/>
  <c r="S564" i="3"/>
  <c r="M564" i="3"/>
  <c r="Y563" i="3"/>
  <c r="X563" i="3"/>
  <c r="W563" i="3"/>
  <c r="U563" i="3"/>
  <c r="T563" i="3"/>
  <c r="S563" i="3"/>
  <c r="M563" i="3"/>
  <c r="V563" i="3"/>
  <c r="Y562" i="3"/>
  <c r="X562" i="3"/>
  <c r="V562" i="3"/>
  <c r="U562" i="3"/>
  <c r="T562" i="3"/>
  <c r="Q562" i="3"/>
  <c r="R562" i="3"/>
  <c r="S562" i="3"/>
  <c r="M562" i="3"/>
  <c r="W562" i="3"/>
  <c r="H562" i="3"/>
  <c r="G562" i="3"/>
  <c r="Y561" i="3"/>
  <c r="X561" i="3"/>
  <c r="W561" i="3"/>
  <c r="V561" i="3"/>
  <c r="U561" i="3"/>
  <c r="T561" i="3"/>
  <c r="S561" i="3"/>
  <c r="M561" i="3"/>
  <c r="Y560" i="3"/>
  <c r="X560" i="3"/>
  <c r="W560" i="3"/>
  <c r="V560" i="3"/>
  <c r="U560" i="3"/>
  <c r="T560" i="3"/>
  <c r="S560" i="3"/>
  <c r="M560" i="3"/>
  <c r="Y559" i="3"/>
  <c r="X559" i="3"/>
  <c r="W559" i="3"/>
  <c r="V559" i="3"/>
  <c r="U559" i="3"/>
  <c r="T559" i="3"/>
  <c r="S559" i="3"/>
  <c r="M559" i="3"/>
  <c r="Y558" i="3"/>
  <c r="W558" i="3"/>
  <c r="V558" i="3"/>
  <c r="U558" i="3"/>
  <c r="T558" i="3"/>
  <c r="Q558" i="3"/>
  <c r="R558" i="3"/>
  <c r="S558" i="3"/>
  <c r="M558" i="3"/>
  <c r="X558" i="3"/>
  <c r="J558" i="3"/>
  <c r="H558" i="3"/>
  <c r="G558" i="3"/>
  <c r="Y557" i="3"/>
  <c r="X557" i="3"/>
  <c r="W557" i="3"/>
  <c r="V557" i="3"/>
  <c r="U557" i="3"/>
  <c r="T557" i="3"/>
  <c r="S557" i="3"/>
  <c r="M557" i="3"/>
  <c r="Y556" i="3"/>
  <c r="X556" i="3"/>
  <c r="W556" i="3"/>
  <c r="V556" i="3"/>
  <c r="U556" i="3"/>
  <c r="T556" i="3"/>
  <c r="S556" i="3"/>
  <c r="M556" i="3"/>
  <c r="Y555" i="3"/>
  <c r="X555" i="3"/>
  <c r="W555" i="3"/>
  <c r="U555" i="3"/>
  <c r="T555" i="3"/>
  <c r="S555" i="3"/>
  <c r="M555" i="3"/>
  <c r="V555" i="3"/>
  <c r="Y554" i="3"/>
  <c r="X554" i="3"/>
  <c r="V554" i="3"/>
  <c r="U554" i="3"/>
  <c r="T554" i="3"/>
  <c r="Q554" i="3"/>
  <c r="R554" i="3"/>
  <c r="S554" i="3"/>
  <c r="M554" i="3"/>
  <c r="W554" i="3"/>
  <c r="H554" i="3"/>
  <c r="G554" i="3"/>
  <c r="Y553" i="3"/>
  <c r="X553" i="3"/>
  <c r="W553" i="3"/>
  <c r="V553" i="3"/>
  <c r="U553" i="3"/>
  <c r="T553" i="3"/>
  <c r="S553" i="3"/>
  <c r="M553" i="3"/>
  <c r="Y552" i="3"/>
  <c r="X552" i="3"/>
  <c r="W552" i="3"/>
  <c r="V552" i="3"/>
  <c r="U552" i="3"/>
  <c r="T552" i="3"/>
  <c r="S552" i="3"/>
  <c r="M552" i="3"/>
  <c r="Y551" i="3"/>
  <c r="X551" i="3"/>
  <c r="W551" i="3"/>
  <c r="V551" i="3"/>
  <c r="U551" i="3"/>
  <c r="T551" i="3"/>
  <c r="S551" i="3"/>
  <c r="M551" i="3"/>
  <c r="Y550" i="3"/>
  <c r="X550" i="3"/>
  <c r="W550" i="3"/>
  <c r="U550" i="3"/>
  <c r="T550" i="3"/>
  <c r="Q550" i="3"/>
  <c r="R550" i="3"/>
  <c r="S550" i="3"/>
  <c r="M550" i="3"/>
  <c r="V550" i="3"/>
  <c r="H550" i="3"/>
  <c r="G550" i="3"/>
  <c r="Y549" i="3"/>
  <c r="X549" i="3"/>
  <c r="W549" i="3"/>
  <c r="V549" i="3"/>
  <c r="U549" i="3"/>
  <c r="T549" i="3"/>
  <c r="S549" i="3"/>
  <c r="M549" i="3"/>
  <c r="Y548" i="3"/>
  <c r="X548" i="3"/>
  <c r="W548" i="3"/>
  <c r="V548" i="3"/>
  <c r="U548" i="3"/>
  <c r="T548" i="3"/>
  <c r="S548" i="3"/>
  <c r="M548" i="3"/>
  <c r="Y547" i="3"/>
  <c r="X547" i="3"/>
  <c r="W547" i="3"/>
  <c r="U547" i="3"/>
  <c r="T547" i="3"/>
  <c r="S547" i="3"/>
  <c r="M547" i="3"/>
  <c r="V547" i="3"/>
  <c r="Y546" i="3"/>
  <c r="X546" i="3"/>
  <c r="V546" i="3"/>
  <c r="U546" i="3"/>
  <c r="T546" i="3"/>
  <c r="Q546" i="3"/>
  <c r="R546" i="3"/>
  <c r="S546" i="3"/>
  <c r="M546" i="3"/>
  <c r="W546" i="3"/>
  <c r="H546" i="3"/>
  <c r="G546" i="3"/>
  <c r="Y545" i="3"/>
  <c r="X545" i="3"/>
  <c r="W545" i="3"/>
  <c r="V545" i="3"/>
  <c r="U545" i="3"/>
  <c r="T545" i="3"/>
  <c r="S545" i="3"/>
  <c r="M545" i="3"/>
  <c r="Y544" i="3"/>
  <c r="X544" i="3"/>
  <c r="W544" i="3"/>
  <c r="V544" i="3"/>
  <c r="U544" i="3"/>
  <c r="T544" i="3"/>
  <c r="S544" i="3"/>
  <c r="M544" i="3"/>
  <c r="Y543" i="3"/>
  <c r="X543" i="3"/>
  <c r="W543" i="3"/>
  <c r="V543" i="3"/>
  <c r="U543" i="3"/>
  <c r="T543" i="3"/>
  <c r="S543" i="3"/>
  <c r="M543" i="3"/>
  <c r="Y542" i="3"/>
  <c r="X542" i="3"/>
  <c r="V542" i="3"/>
  <c r="U542" i="3"/>
  <c r="T542" i="3"/>
  <c r="Q542" i="3"/>
  <c r="R542" i="3"/>
  <c r="S542" i="3"/>
  <c r="M542" i="3"/>
  <c r="W542" i="3"/>
  <c r="H542" i="3"/>
  <c r="G542" i="3"/>
  <c r="Y541" i="3"/>
  <c r="X541" i="3"/>
  <c r="W541" i="3"/>
  <c r="V541" i="3"/>
  <c r="U541" i="3"/>
  <c r="T541" i="3"/>
  <c r="S541" i="3"/>
  <c r="M541" i="3"/>
  <c r="Y540" i="3"/>
  <c r="X540" i="3"/>
  <c r="W540" i="3"/>
  <c r="V540" i="3"/>
  <c r="U540" i="3"/>
  <c r="T540" i="3"/>
  <c r="S540" i="3"/>
  <c r="M540" i="3"/>
  <c r="Y539" i="3"/>
  <c r="X539" i="3"/>
  <c r="W539" i="3"/>
  <c r="V539" i="3"/>
  <c r="U539" i="3"/>
  <c r="T539" i="3"/>
  <c r="S539" i="3"/>
  <c r="M539" i="3"/>
  <c r="Y538" i="3"/>
  <c r="X538" i="3"/>
  <c r="V538" i="3"/>
  <c r="U538" i="3"/>
  <c r="T538" i="3"/>
  <c r="Q538" i="3"/>
  <c r="R538" i="3"/>
  <c r="S538" i="3"/>
  <c r="M538" i="3"/>
  <c r="W538" i="3"/>
  <c r="H538" i="3"/>
  <c r="G538" i="3"/>
  <c r="Y537" i="3"/>
  <c r="X537" i="3"/>
  <c r="W537" i="3"/>
  <c r="V537" i="3"/>
  <c r="U537" i="3"/>
  <c r="T537" i="3"/>
  <c r="S537" i="3"/>
  <c r="M537" i="3"/>
  <c r="Y536" i="3"/>
  <c r="X536" i="3"/>
  <c r="W536" i="3"/>
  <c r="V536" i="3"/>
  <c r="U536" i="3"/>
  <c r="T536" i="3"/>
  <c r="S536" i="3"/>
  <c r="M536" i="3"/>
  <c r="Y535" i="3"/>
  <c r="X535" i="3"/>
  <c r="W535" i="3"/>
  <c r="U535" i="3"/>
  <c r="T535" i="3"/>
  <c r="S535" i="3"/>
  <c r="M535" i="3"/>
  <c r="V535" i="3"/>
  <c r="Y534" i="3"/>
  <c r="X534" i="3"/>
  <c r="V534" i="3"/>
  <c r="U534" i="3"/>
  <c r="T534" i="3"/>
  <c r="Q534" i="3"/>
  <c r="R534" i="3"/>
  <c r="S534" i="3"/>
  <c r="M534" i="3"/>
  <c r="W534" i="3"/>
  <c r="J534" i="3"/>
  <c r="H534" i="3"/>
  <c r="G534" i="3"/>
  <c r="Y533" i="3"/>
  <c r="X533" i="3"/>
  <c r="W533" i="3"/>
  <c r="V533" i="3"/>
  <c r="U533" i="3"/>
  <c r="T533" i="3"/>
  <c r="S533" i="3"/>
  <c r="M533" i="3"/>
  <c r="Y532" i="3"/>
  <c r="X532" i="3"/>
  <c r="W532" i="3"/>
  <c r="V532" i="3"/>
  <c r="U532" i="3"/>
  <c r="T532" i="3"/>
  <c r="S532" i="3"/>
  <c r="M532" i="3"/>
  <c r="Y531" i="3"/>
  <c r="X531" i="3"/>
  <c r="W531" i="3"/>
  <c r="U531" i="3"/>
  <c r="T531" i="3"/>
  <c r="S531" i="3"/>
  <c r="M531" i="3"/>
  <c r="V531" i="3"/>
  <c r="Y530" i="3"/>
  <c r="X530" i="3"/>
  <c r="V530" i="3"/>
  <c r="U530" i="3"/>
  <c r="T530" i="3"/>
  <c r="Q530" i="3"/>
  <c r="R530" i="3"/>
  <c r="S530" i="3"/>
  <c r="M530" i="3"/>
  <c r="W530" i="3"/>
  <c r="J530" i="3"/>
  <c r="H530" i="3"/>
  <c r="G530" i="3"/>
  <c r="Y518" i="3"/>
  <c r="X518" i="3"/>
  <c r="W518" i="3"/>
  <c r="V518" i="3"/>
  <c r="U518" i="3"/>
  <c r="T518" i="3"/>
  <c r="S518" i="3"/>
  <c r="D517" i="3"/>
  <c r="Y516" i="3"/>
  <c r="X516" i="3"/>
  <c r="W516" i="3"/>
  <c r="V516" i="3"/>
  <c r="U516" i="3"/>
  <c r="T516" i="3"/>
  <c r="S516" i="3"/>
  <c r="M516" i="3"/>
  <c r="Y515" i="3"/>
  <c r="X515" i="3"/>
  <c r="W515" i="3"/>
  <c r="V515" i="3"/>
  <c r="U515" i="3"/>
  <c r="T515" i="3"/>
  <c r="S515" i="3"/>
  <c r="M515" i="3"/>
  <c r="Y514" i="3"/>
  <c r="X514" i="3"/>
  <c r="W514" i="3"/>
  <c r="V514" i="3"/>
  <c r="U514" i="3"/>
  <c r="T514" i="3"/>
  <c r="S514" i="3"/>
  <c r="M514" i="3"/>
  <c r="Y513" i="3"/>
  <c r="X513" i="3"/>
  <c r="V513" i="3"/>
  <c r="U513" i="3"/>
  <c r="T513" i="3"/>
  <c r="Q513" i="3"/>
  <c r="R513" i="3"/>
  <c r="S513" i="3"/>
  <c r="M513" i="3"/>
  <c r="W513" i="3"/>
  <c r="J513" i="3"/>
  <c r="H513" i="3"/>
  <c r="G513" i="3"/>
  <c r="Y512" i="3"/>
  <c r="X512" i="3"/>
  <c r="W512" i="3"/>
  <c r="V512" i="3"/>
  <c r="U512" i="3"/>
  <c r="T512" i="3"/>
  <c r="S512" i="3"/>
  <c r="M512" i="3"/>
  <c r="Y511" i="3"/>
  <c r="X511" i="3"/>
  <c r="W511" i="3"/>
  <c r="V511" i="3"/>
  <c r="U511" i="3"/>
  <c r="T511" i="3"/>
  <c r="S511" i="3"/>
  <c r="M511" i="3"/>
  <c r="Y510" i="3"/>
  <c r="X510" i="3"/>
  <c r="W510" i="3"/>
  <c r="U510" i="3"/>
  <c r="T510" i="3"/>
  <c r="S510" i="3"/>
  <c r="M510" i="3"/>
  <c r="V510" i="3"/>
  <c r="Y509" i="3"/>
  <c r="X509" i="3"/>
  <c r="V509" i="3"/>
  <c r="U509" i="3"/>
  <c r="T509" i="3"/>
  <c r="Q509" i="3"/>
  <c r="R509" i="3"/>
  <c r="S509" i="3"/>
  <c r="M509" i="3"/>
  <c r="W509" i="3"/>
  <c r="J509" i="3"/>
  <c r="H509" i="3"/>
  <c r="G509" i="3"/>
  <c r="Y508" i="3"/>
  <c r="X508" i="3"/>
  <c r="W508" i="3"/>
  <c r="V508" i="3"/>
  <c r="U508" i="3"/>
  <c r="T508" i="3"/>
  <c r="S508" i="3"/>
  <c r="M508" i="3"/>
  <c r="Y507" i="3"/>
  <c r="X507" i="3"/>
  <c r="W507" i="3"/>
  <c r="V507" i="3"/>
  <c r="U507" i="3"/>
  <c r="T507" i="3"/>
  <c r="S507" i="3"/>
  <c r="M507" i="3"/>
  <c r="Y506" i="3"/>
  <c r="X506" i="3"/>
  <c r="W506" i="3"/>
  <c r="V506" i="3"/>
  <c r="U506" i="3"/>
  <c r="T506" i="3"/>
  <c r="S506" i="3"/>
  <c r="M506" i="3"/>
  <c r="Y505" i="3"/>
  <c r="X505" i="3"/>
  <c r="V505" i="3"/>
  <c r="U505" i="3"/>
  <c r="T505" i="3"/>
  <c r="Q505" i="3"/>
  <c r="R505" i="3"/>
  <c r="S505" i="3"/>
  <c r="M505" i="3"/>
  <c r="W505" i="3"/>
  <c r="J505" i="3"/>
  <c r="H505" i="3"/>
  <c r="G505" i="3"/>
  <c r="Y504" i="3"/>
  <c r="X504" i="3"/>
  <c r="W504" i="3"/>
  <c r="V504" i="3"/>
  <c r="U504" i="3"/>
  <c r="T504" i="3"/>
  <c r="S504" i="3"/>
  <c r="M504" i="3"/>
  <c r="Y503" i="3"/>
  <c r="X503" i="3"/>
  <c r="W503" i="3"/>
  <c r="V503" i="3"/>
  <c r="U503" i="3"/>
  <c r="T503" i="3"/>
  <c r="S503" i="3"/>
  <c r="M503" i="3"/>
  <c r="Y502" i="3"/>
  <c r="X502" i="3"/>
  <c r="W502" i="3"/>
  <c r="V502" i="3"/>
  <c r="U502" i="3"/>
  <c r="T502" i="3"/>
  <c r="S502" i="3"/>
  <c r="M502" i="3"/>
  <c r="Y501" i="3"/>
  <c r="X501" i="3"/>
  <c r="V501" i="3"/>
  <c r="U501" i="3"/>
  <c r="T501" i="3"/>
  <c r="Q501" i="3"/>
  <c r="R501" i="3"/>
  <c r="S501" i="3"/>
  <c r="M501" i="3"/>
  <c r="W501" i="3"/>
  <c r="J501" i="3"/>
  <c r="H501" i="3"/>
  <c r="G501" i="3"/>
  <c r="Y500" i="3"/>
  <c r="X500" i="3"/>
  <c r="W500" i="3"/>
  <c r="V500" i="3"/>
  <c r="U500" i="3"/>
  <c r="T500" i="3"/>
  <c r="S500" i="3"/>
  <c r="M500" i="3"/>
  <c r="Y499" i="3"/>
  <c r="X499" i="3"/>
  <c r="W499" i="3"/>
  <c r="V499" i="3"/>
  <c r="U499" i="3"/>
  <c r="T499" i="3"/>
  <c r="S499" i="3"/>
  <c r="M499" i="3"/>
  <c r="Y498" i="3"/>
  <c r="X498" i="3"/>
  <c r="W498" i="3"/>
  <c r="V498" i="3"/>
  <c r="U498" i="3"/>
  <c r="T498" i="3"/>
  <c r="S498" i="3"/>
  <c r="M498" i="3"/>
  <c r="Y497" i="3"/>
  <c r="X497" i="3"/>
  <c r="V497" i="3"/>
  <c r="U497" i="3"/>
  <c r="T497" i="3"/>
  <c r="Q497" i="3"/>
  <c r="R497" i="3"/>
  <c r="S497" i="3"/>
  <c r="M497" i="3"/>
  <c r="W497" i="3"/>
  <c r="J497" i="3"/>
  <c r="H497" i="3"/>
  <c r="G497" i="3"/>
  <c r="Y496" i="3"/>
  <c r="X496" i="3"/>
  <c r="W496" i="3"/>
  <c r="V496" i="3"/>
  <c r="U496" i="3"/>
  <c r="T496" i="3"/>
  <c r="S496" i="3"/>
  <c r="M496" i="3"/>
  <c r="Y495" i="3"/>
  <c r="X495" i="3"/>
  <c r="W495" i="3"/>
  <c r="V495" i="3"/>
  <c r="U495" i="3"/>
  <c r="T495" i="3"/>
  <c r="S495" i="3"/>
  <c r="M495" i="3"/>
  <c r="Y494" i="3"/>
  <c r="X494" i="3"/>
  <c r="W494" i="3"/>
  <c r="V494" i="3"/>
  <c r="U494" i="3"/>
  <c r="T494" i="3"/>
  <c r="S494" i="3"/>
  <c r="M494" i="3"/>
  <c r="Y493" i="3"/>
  <c r="W493" i="3"/>
  <c r="V493" i="3"/>
  <c r="U493" i="3"/>
  <c r="T493" i="3"/>
  <c r="Q493" i="3"/>
  <c r="R493" i="3"/>
  <c r="S493" i="3"/>
  <c r="M493" i="3"/>
  <c r="X493" i="3"/>
  <c r="J493" i="3"/>
  <c r="H493" i="3"/>
  <c r="G493" i="3"/>
  <c r="Y492" i="3"/>
  <c r="X492" i="3"/>
  <c r="W492" i="3"/>
  <c r="V492" i="3"/>
  <c r="U492" i="3"/>
  <c r="T492" i="3"/>
  <c r="S492" i="3"/>
  <c r="M492" i="3"/>
  <c r="Y491" i="3"/>
  <c r="X491" i="3"/>
  <c r="W491" i="3"/>
  <c r="V491" i="3"/>
  <c r="U491" i="3"/>
  <c r="T491" i="3"/>
  <c r="S491" i="3"/>
  <c r="M491" i="3"/>
  <c r="Y490" i="3"/>
  <c r="X490" i="3"/>
  <c r="W490" i="3"/>
  <c r="V490" i="3"/>
  <c r="U490" i="3"/>
  <c r="T490" i="3"/>
  <c r="S490" i="3"/>
  <c r="M490" i="3"/>
  <c r="Y489" i="3"/>
  <c r="X489" i="3"/>
  <c r="V489" i="3"/>
  <c r="U489" i="3"/>
  <c r="T489" i="3"/>
  <c r="Q489" i="3"/>
  <c r="R489" i="3"/>
  <c r="S489" i="3"/>
  <c r="M489" i="3"/>
  <c r="W489" i="3"/>
  <c r="J489" i="3"/>
  <c r="H489" i="3"/>
  <c r="G489" i="3"/>
  <c r="Y488" i="3"/>
  <c r="X488" i="3"/>
  <c r="W488" i="3"/>
  <c r="V488" i="3"/>
  <c r="U488" i="3"/>
  <c r="T488" i="3"/>
  <c r="S488" i="3"/>
  <c r="M488" i="3"/>
  <c r="Y487" i="3"/>
  <c r="X487" i="3"/>
  <c r="W487" i="3"/>
  <c r="V487" i="3"/>
  <c r="U487" i="3"/>
  <c r="T487" i="3"/>
  <c r="S487" i="3"/>
  <c r="M487" i="3"/>
  <c r="Y486" i="3"/>
  <c r="X486" i="3"/>
  <c r="W486" i="3"/>
  <c r="U486" i="3"/>
  <c r="T486" i="3"/>
  <c r="S486" i="3"/>
  <c r="M486" i="3"/>
  <c r="V486" i="3"/>
  <c r="Y485" i="3"/>
  <c r="X485" i="3"/>
  <c r="V485" i="3"/>
  <c r="U485" i="3"/>
  <c r="T485" i="3"/>
  <c r="Q485" i="3"/>
  <c r="R485" i="3"/>
  <c r="S485" i="3"/>
  <c r="M485" i="3"/>
  <c r="W485" i="3"/>
  <c r="J485" i="3"/>
  <c r="H485" i="3"/>
  <c r="G485" i="3"/>
  <c r="Y484" i="3"/>
  <c r="X484" i="3"/>
  <c r="W484" i="3"/>
  <c r="V484" i="3"/>
  <c r="U484" i="3"/>
  <c r="T484" i="3"/>
  <c r="S484" i="3"/>
  <c r="M484" i="3"/>
  <c r="Y483" i="3"/>
  <c r="X483" i="3"/>
  <c r="W483" i="3"/>
  <c r="V483" i="3"/>
  <c r="U483" i="3"/>
  <c r="T483" i="3"/>
  <c r="S483" i="3"/>
  <c r="M483" i="3"/>
  <c r="Y482" i="3"/>
  <c r="X482" i="3"/>
  <c r="W482" i="3"/>
  <c r="U482" i="3"/>
  <c r="T482" i="3"/>
  <c r="S482" i="3"/>
  <c r="M482" i="3"/>
  <c r="V482" i="3"/>
  <c r="Y481" i="3"/>
  <c r="X481" i="3"/>
  <c r="V481" i="3"/>
  <c r="U481" i="3"/>
  <c r="T481" i="3"/>
  <c r="Q481" i="3"/>
  <c r="R481" i="3"/>
  <c r="S481" i="3"/>
  <c r="M481" i="3"/>
  <c r="W481" i="3"/>
  <c r="J481" i="3"/>
  <c r="H481" i="3"/>
  <c r="G481" i="3"/>
  <c r="Y480" i="3"/>
  <c r="X480" i="3"/>
  <c r="W480" i="3"/>
  <c r="V480" i="3"/>
  <c r="U480" i="3"/>
  <c r="T480" i="3"/>
  <c r="S480" i="3"/>
  <c r="M480" i="3"/>
  <c r="Y479" i="3"/>
  <c r="X479" i="3"/>
  <c r="W479" i="3"/>
  <c r="V479" i="3"/>
  <c r="U479" i="3"/>
  <c r="T479" i="3"/>
  <c r="S479" i="3"/>
  <c r="M479" i="3"/>
  <c r="Y478" i="3"/>
  <c r="X478" i="3"/>
  <c r="V478" i="3"/>
  <c r="U478" i="3"/>
  <c r="T478" i="3"/>
  <c r="S478" i="3"/>
  <c r="M478" i="3"/>
  <c r="W478" i="3"/>
  <c r="Y477" i="3"/>
  <c r="W477" i="3"/>
  <c r="V477" i="3"/>
  <c r="U477" i="3"/>
  <c r="T477" i="3"/>
  <c r="Q477" i="3"/>
  <c r="R477" i="3"/>
  <c r="S477" i="3"/>
  <c r="M477" i="3"/>
  <c r="X477" i="3"/>
  <c r="J477" i="3"/>
  <c r="H477" i="3"/>
  <c r="G477" i="3"/>
  <c r="Y476" i="3"/>
  <c r="X476" i="3"/>
  <c r="W476" i="3"/>
  <c r="V476" i="3"/>
  <c r="U476" i="3"/>
  <c r="T476" i="3"/>
  <c r="S476" i="3"/>
  <c r="M476" i="3"/>
  <c r="Y475" i="3"/>
  <c r="X475" i="3"/>
  <c r="W475" i="3"/>
  <c r="V475" i="3"/>
  <c r="U475" i="3"/>
  <c r="T475" i="3"/>
  <c r="S475" i="3"/>
  <c r="M475" i="3"/>
  <c r="Y474" i="3"/>
  <c r="X474" i="3"/>
  <c r="V474" i="3"/>
  <c r="U474" i="3"/>
  <c r="T474" i="3"/>
  <c r="S474" i="3"/>
  <c r="M474" i="3"/>
  <c r="W474" i="3"/>
  <c r="Y473" i="3"/>
  <c r="W473" i="3"/>
  <c r="V473" i="3"/>
  <c r="U473" i="3"/>
  <c r="T473" i="3"/>
  <c r="Q473" i="3"/>
  <c r="R473" i="3"/>
  <c r="S473" i="3"/>
  <c r="M473" i="3"/>
  <c r="X473" i="3"/>
  <c r="J473" i="3"/>
  <c r="H473" i="3"/>
  <c r="G473" i="3"/>
  <c r="Y472" i="3"/>
  <c r="X472" i="3"/>
  <c r="W472" i="3"/>
  <c r="V472" i="3"/>
  <c r="U472" i="3"/>
  <c r="T472" i="3"/>
  <c r="S472" i="3"/>
  <c r="M472" i="3"/>
  <c r="Y471" i="3"/>
  <c r="X471" i="3"/>
  <c r="W471" i="3"/>
  <c r="V471" i="3"/>
  <c r="U471" i="3"/>
  <c r="T471" i="3"/>
  <c r="S471" i="3"/>
  <c r="M471" i="3"/>
  <c r="Y470" i="3"/>
  <c r="X470" i="3"/>
  <c r="W470" i="3"/>
  <c r="V470" i="3"/>
  <c r="U470" i="3"/>
  <c r="T470" i="3"/>
  <c r="S470" i="3"/>
  <c r="M470" i="3"/>
  <c r="Y469" i="3"/>
  <c r="X469" i="3"/>
  <c r="V469" i="3"/>
  <c r="U469" i="3"/>
  <c r="T469" i="3"/>
  <c r="Q469" i="3"/>
  <c r="R469" i="3"/>
  <c r="S469" i="3"/>
  <c r="M469" i="3"/>
  <c r="W469" i="3"/>
  <c r="J469" i="3"/>
  <c r="H469" i="3"/>
  <c r="G469" i="3"/>
  <c r="Y468" i="3"/>
  <c r="X468" i="3"/>
  <c r="W468" i="3"/>
  <c r="V468" i="3"/>
  <c r="U468" i="3"/>
  <c r="T468" i="3"/>
  <c r="S468" i="3"/>
  <c r="M468" i="3"/>
  <c r="Y467" i="3"/>
  <c r="X467" i="3"/>
  <c r="W467" i="3"/>
  <c r="V467" i="3"/>
  <c r="U467" i="3"/>
  <c r="T467" i="3"/>
  <c r="S467" i="3"/>
  <c r="M467" i="3"/>
  <c r="Y466" i="3"/>
  <c r="X466" i="3"/>
  <c r="W466" i="3"/>
  <c r="V466" i="3"/>
  <c r="U466" i="3"/>
  <c r="T466" i="3"/>
  <c r="S466" i="3"/>
  <c r="M466" i="3"/>
  <c r="Y465" i="3"/>
  <c r="X465" i="3"/>
  <c r="V465" i="3"/>
  <c r="U465" i="3"/>
  <c r="T465" i="3"/>
  <c r="Q465" i="3"/>
  <c r="R465" i="3"/>
  <c r="S465" i="3"/>
  <c r="M465" i="3"/>
  <c r="W465" i="3"/>
  <c r="J465" i="3"/>
  <c r="H465" i="3"/>
  <c r="G465" i="3"/>
  <c r="L68" i="1"/>
  <c r="L74" i="1"/>
  <c r="N80" i="16"/>
  <c r="N86" i="16"/>
  <c r="J517" i="3"/>
  <c r="C18" i="6"/>
  <c r="J582" i="3"/>
  <c r="E9" i="16"/>
  <c r="E9" i="7"/>
  <c r="E10" i="7"/>
  <c r="E8" i="7"/>
  <c r="F29" i="1"/>
  <c r="E20" i="7"/>
  <c r="F30" i="1"/>
  <c r="E21" i="7"/>
  <c r="E22" i="7"/>
  <c r="E24" i="7"/>
  <c r="C33" i="6"/>
  <c r="E8" i="8"/>
  <c r="H582" i="3"/>
  <c r="U582" i="3"/>
  <c r="U584" i="3"/>
  <c r="Y582" i="3"/>
  <c r="Y584" i="3"/>
  <c r="T582" i="3"/>
  <c r="T584" i="3"/>
  <c r="G582" i="3"/>
  <c r="G517" i="3"/>
  <c r="H517" i="3"/>
  <c r="T517" i="3"/>
  <c r="T519" i="3"/>
  <c r="U517" i="3"/>
  <c r="U519" i="3"/>
  <c r="X517" i="3"/>
  <c r="X519" i="3"/>
  <c r="Y517" i="3"/>
  <c r="Y519" i="3"/>
  <c r="V582" i="3"/>
  <c r="V584" i="3"/>
  <c r="X582" i="3"/>
  <c r="X584" i="3"/>
  <c r="S582" i="3"/>
  <c r="S584" i="3"/>
  <c r="W582" i="3"/>
  <c r="W584" i="3"/>
  <c r="S517" i="3"/>
  <c r="S519" i="3"/>
  <c r="V517" i="3"/>
  <c r="V519" i="3"/>
  <c r="W517" i="3"/>
  <c r="W519" i="3"/>
  <c r="K25" i="1"/>
  <c r="K30" i="1"/>
  <c r="F37" i="1"/>
  <c r="F35" i="1"/>
  <c r="F41" i="1"/>
  <c r="F36" i="1"/>
  <c r="F25" i="1"/>
  <c r="F23" i="1"/>
  <c r="F24" i="1"/>
  <c r="F22" i="1"/>
  <c r="E11" i="7"/>
  <c r="G29" i="1"/>
  <c r="E23" i="7"/>
  <c r="G30" i="1"/>
  <c r="M38" i="16"/>
  <c r="M28" i="16"/>
  <c r="M36" i="16"/>
  <c r="M34" i="16"/>
  <c r="M30" i="16"/>
  <c r="M26" i="16"/>
  <c r="G37" i="16"/>
  <c r="G35" i="16"/>
  <c r="G33" i="16"/>
  <c r="G29" i="16"/>
  <c r="G27" i="16"/>
  <c r="G25" i="16"/>
  <c r="G38" i="16"/>
  <c r="G36" i="16"/>
  <c r="G34" i="16"/>
  <c r="G30" i="16"/>
  <c r="G28" i="16"/>
  <c r="G26" i="16"/>
  <c r="E9" i="8"/>
  <c r="E10" i="8"/>
  <c r="E11" i="8"/>
  <c r="C19" i="6"/>
  <c r="Y585" i="3"/>
  <c r="Y520" i="3"/>
  <c r="J41" i="1"/>
  <c r="J36" i="1"/>
  <c r="J37" i="1"/>
  <c r="J35" i="1"/>
  <c r="K34" i="1"/>
  <c r="K35" i="1"/>
  <c r="G25" i="1"/>
  <c r="G23" i="1"/>
  <c r="G24" i="1"/>
  <c r="G22" i="1"/>
  <c r="I27" i="16"/>
  <c r="I30" i="16"/>
  <c r="I35" i="16"/>
  <c r="I34" i="16"/>
  <c r="I37" i="16"/>
  <c r="I33" i="16"/>
  <c r="I28" i="16"/>
  <c r="I38" i="16"/>
  <c r="I26" i="16"/>
  <c r="I36" i="16"/>
  <c r="I29" i="16"/>
  <c r="I25" i="16"/>
  <c r="M80" i="16"/>
  <c r="M86" i="16"/>
  <c r="G49" i="16"/>
  <c r="G43" i="16"/>
  <c r="G52" i="16"/>
  <c r="G48" i="16"/>
  <c r="G42" i="16"/>
  <c r="G51" i="16"/>
  <c r="G50" i="16"/>
  <c r="G44" i="16"/>
  <c r="L50" i="16"/>
  <c r="L44" i="16"/>
  <c r="L49" i="16"/>
  <c r="L43" i="16"/>
  <c r="L52" i="16"/>
  <c r="L48" i="16"/>
  <c r="L42" i="16"/>
  <c r="L51" i="16"/>
  <c r="K488" i="4"/>
  <c r="K489" i="4"/>
  <c r="J488" i="4"/>
  <c r="J489" i="4"/>
  <c r="I488" i="4"/>
  <c r="I489" i="4"/>
  <c r="H488" i="4"/>
  <c r="H489" i="4"/>
  <c r="G488" i="4"/>
  <c r="F488" i="4"/>
  <c r="E488" i="4"/>
  <c r="K68" i="1"/>
  <c r="K74" i="1"/>
  <c r="J68" i="1"/>
  <c r="J74" i="1"/>
  <c r="L80" i="16"/>
  <c r="L86" i="16"/>
  <c r="L488" i="4"/>
  <c r="AX477" i="4"/>
  <c r="AW477" i="4"/>
  <c r="AV477" i="4"/>
  <c r="AU477" i="4"/>
  <c r="AT477" i="4"/>
  <c r="AS477" i="4"/>
  <c r="AR477" i="4"/>
  <c r="AP473" i="4"/>
  <c r="AX473" i="4"/>
  <c r="AM473" i="4"/>
  <c r="AL473" i="4"/>
  <c r="AK473" i="4"/>
  <c r="AH473" i="4"/>
  <c r="AJ473" i="4"/>
  <c r="AG473" i="4"/>
  <c r="AN473" i="4"/>
  <c r="AE473" i="4"/>
  <c r="AD473" i="4"/>
  <c r="AC473" i="4"/>
  <c r="AB473" i="4"/>
  <c r="Z473" i="4"/>
  <c r="Y473" i="4"/>
  <c r="AI473" i="4"/>
  <c r="AW473" i="4"/>
  <c r="AV473" i="4"/>
  <c r="AU473" i="4"/>
  <c r="AF473" i="4"/>
  <c r="W473" i="4"/>
  <c r="V473" i="4"/>
  <c r="U473" i="4"/>
  <c r="T473" i="4"/>
  <c r="Q473" i="4"/>
  <c r="AA473" i="4"/>
  <c r="R473" i="4"/>
  <c r="X473" i="4"/>
  <c r="O473" i="4"/>
  <c r="N473" i="4"/>
  <c r="M473" i="4"/>
  <c r="I473" i="4"/>
  <c r="J473" i="4"/>
  <c r="L473" i="4"/>
  <c r="S473" i="4"/>
  <c r="AT473" i="4"/>
  <c r="AR473" i="4"/>
  <c r="AS473" i="4"/>
  <c r="P473" i="4"/>
  <c r="H473" i="4"/>
  <c r="G473" i="4"/>
  <c r="AP472" i="4"/>
  <c r="AX472" i="4"/>
  <c r="AM472" i="4"/>
  <c r="AL472" i="4"/>
  <c r="AK472" i="4"/>
  <c r="AJ472" i="4"/>
  <c r="K473" i="4"/>
  <c r="AH472" i="4"/>
  <c r="AG472" i="4"/>
  <c r="AN472" i="4"/>
  <c r="AE472" i="4"/>
  <c r="AD472" i="4"/>
  <c r="AC472" i="4"/>
  <c r="AI472" i="4"/>
  <c r="Z472" i="4"/>
  <c r="AB472" i="4"/>
  <c r="Y472" i="4"/>
  <c r="AV472" i="4"/>
  <c r="AU472" i="4"/>
  <c r="AW472" i="4"/>
  <c r="AF472" i="4"/>
  <c r="W472" i="4"/>
  <c r="V472" i="4"/>
  <c r="U472" i="4"/>
  <c r="T472" i="4"/>
  <c r="Q472" i="4"/>
  <c r="R472" i="4"/>
  <c r="AA472" i="4"/>
  <c r="X472" i="4"/>
  <c r="O472" i="4"/>
  <c r="N472" i="4"/>
  <c r="M472" i="4"/>
  <c r="I472" i="4"/>
  <c r="S472" i="4"/>
  <c r="J472" i="4"/>
  <c r="L472" i="4"/>
  <c r="AS472" i="4"/>
  <c r="AT472" i="4"/>
  <c r="AR472" i="4"/>
  <c r="P472" i="4"/>
  <c r="H472" i="4"/>
  <c r="G472" i="4"/>
  <c r="AP471" i="4"/>
  <c r="AX471" i="4"/>
  <c r="AM471" i="4"/>
  <c r="AL471" i="4"/>
  <c r="AK471" i="4"/>
  <c r="AJ471" i="4"/>
  <c r="AH471" i="4"/>
  <c r="AG471" i="4"/>
  <c r="K472" i="4"/>
  <c r="AN471" i="4"/>
  <c r="AE471" i="4"/>
  <c r="AD471" i="4"/>
  <c r="AC471" i="4"/>
  <c r="Z471" i="4"/>
  <c r="AB471" i="4"/>
  <c r="Y471" i="4"/>
  <c r="AI471" i="4"/>
  <c r="AV471" i="4"/>
  <c r="AU471" i="4"/>
  <c r="AW471" i="4"/>
  <c r="AF471" i="4"/>
  <c r="W471" i="4"/>
  <c r="V471" i="4"/>
  <c r="U471" i="4"/>
  <c r="AA471" i="4"/>
  <c r="Q471" i="4"/>
  <c r="T471" i="4"/>
  <c r="R471" i="4"/>
  <c r="X471" i="4"/>
  <c r="O471" i="4"/>
  <c r="N471" i="4"/>
  <c r="M471" i="4"/>
  <c r="L471" i="4"/>
  <c r="J471" i="4"/>
  <c r="I471" i="4"/>
  <c r="S471" i="4"/>
  <c r="AS471" i="4"/>
  <c r="AT471" i="4"/>
  <c r="AR471" i="4"/>
  <c r="P471" i="4"/>
  <c r="H471" i="4"/>
  <c r="G471" i="4"/>
  <c r="AP470" i="4"/>
  <c r="AX470" i="4"/>
  <c r="AM470" i="4"/>
  <c r="AL470" i="4"/>
  <c r="AK470" i="4"/>
  <c r="K471" i="4"/>
  <c r="AJ470" i="4"/>
  <c r="AH470" i="4"/>
  <c r="AG470" i="4"/>
  <c r="AN470" i="4"/>
  <c r="AE470" i="4"/>
  <c r="AD470" i="4"/>
  <c r="AC470" i="4"/>
  <c r="Z470" i="4"/>
  <c r="AB470" i="4"/>
  <c r="Y470" i="4"/>
  <c r="AI470" i="4"/>
  <c r="AU470" i="4"/>
  <c r="AV470" i="4"/>
  <c r="AW470" i="4"/>
  <c r="AF470" i="4"/>
  <c r="W470" i="4"/>
  <c r="V470" i="4"/>
  <c r="U470" i="4"/>
  <c r="T470" i="4"/>
  <c r="Q470" i="4"/>
  <c r="R470" i="4"/>
  <c r="AA470" i="4"/>
  <c r="X470" i="4"/>
  <c r="O470" i="4"/>
  <c r="N470" i="4"/>
  <c r="M470" i="4"/>
  <c r="I470" i="4"/>
  <c r="J470" i="4"/>
  <c r="L470" i="4"/>
  <c r="S470" i="4"/>
  <c r="AS470" i="4"/>
  <c r="AT470" i="4"/>
  <c r="AR470" i="4"/>
  <c r="P470" i="4"/>
  <c r="H470" i="4"/>
  <c r="G470" i="4"/>
  <c r="AP469" i="4"/>
  <c r="AX469" i="4"/>
  <c r="AM469" i="4"/>
  <c r="AL469" i="4"/>
  <c r="AK469" i="4"/>
  <c r="AJ469" i="4"/>
  <c r="AH469" i="4"/>
  <c r="K470" i="4"/>
  <c r="AG469" i="4"/>
  <c r="AN469" i="4"/>
  <c r="AE469" i="4"/>
  <c r="AD469" i="4"/>
  <c r="AC469" i="4"/>
  <c r="Y469" i="4"/>
  <c r="AI469" i="4"/>
  <c r="Z469" i="4"/>
  <c r="AB469" i="4"/>
  <c r="AV469" i="4"/>
  <c r="AU469" i="4"/>
  <c r="AW469" i="4"/>
  <c r="AF469" i="4"/>
  <c r="W469" i="4"/>
  <c r="V469" i="4"/>
  <c r="U469" i="4"/>
  <c r="AA469" i="4"/>
  <c r="R469" i="4"/>
  <c r="Q469" i="4"/>
  <c r="T469" i="4"/>
  <c r="X469" i="4"/>
  <c r="O469" i="4"/>
  <c r="N469" i="4"/>
  <c r="M469" i="4"/>
  <c r="S469" i="4"/>
  <c r="I469" i="4"/>
  <c r="L469" i="4"/>
  <c r="J469" i="4"/>
  <c r="AS469" i="4"/>
  <c r="AT469" i="4"/>
  <c r="AR469" i="4"/>
  <c r="P469" i="4"/>
  <c r="H469" i="4"/>
  <c r="G469" i="4"/>
  <c r="AP468" i="4"/>
  <c r="AX468" i="4"/>
  <c r="AM468" i="4"/>
  <c r="AL468" i="4"/>
  <c r="AK468" i="4"/>
  <c r="AJ468" i="4"/>
  <c r="AG468" i="4"/>
  <c r="K469" i="4"/>
  <c r="AH468" i="4"/>
  <c r="AN468" i="4"/>
  <c r="AE468" i="4"/>
  <c r="AD468" i="4"/>
  <c r="AC468" i="4"/>
  <c r="Y468" i="4"/>
  <c r="AI468" i="4"/>
  <c r="Z468" i="4"/>
  <c r="AB468" i="4"/>
  <c r="AU468" i="4"/>
  <c r="AV468" i="4"/>
  <c r="AW468" i="4"/>
  <c r="AF468" i="4"/>
  <c r="W468" i="4"/>
  <c r="V468" i="4"/>
  <c r="U468" i="4"/>
  <c r="T468" i="4"/>
  <c r="Q468" i="4"/>
  <c r="R468" i="4"/>
  <c r="AA468" i="4"/>
  <c r="X468" i="4"/>
  <c r="O468" i="4"/>
  <c r="N468" i="4"/>
  <c r="M468" i="4"/>
  <c r="L468" i="4"/>
  <c r="J468" i="4"/>
  <c r="I468" i="4"/>
  <c r="S468" i="4"/>
  <c r="AS468" i="4"/>
  <c r="AT468" i="4"/>
  <c r="AR468" i="4"/>
  <c r="P468" i="4"/>
  <c r="H468" i="4"/>
  <c r="G468" i="4"/>
  <c r="AP467" i="4"/>
  <c r="AX467" i="4"/>
  <c r="AM467" i="4"/>
  <c r="AL467" i="4"/>
  <c r="AK467" i="4"/>
  <c r="AJ467" i="4"/>
  <c r="AH467" i="4"/>
  <c r="AG467" i="4"/>
  <c r="K468" i="4"/>
  <c r="AN467" i="4"/>
  <c r="AE467" i="4"/>
  <c r="AD467" i="4"/>
  <c r="AC467" i="4"/>
  <c r="Y467" i="4"/>
  <c r="AI467" i="4"/>
  <c r="Z467" i="4"/>
  <c r="AB467" i="4"/>
  <c r="AV467" i="4"/>
  <c r="AU467" i="4"/>
  <c r="AW467" i="4"/>
  <c r="AF467" i="4"/>
  <c r="W467" i="4"/>
  <c r="V467" i="4"/>
  <c r="U467" i="4"/>
  <c r="T467" i="4"/>
  <c r="Q467" i="4"/>
  <c r="AA467" i="4"/>
  <c r="R467" i="4"/>
  <c r="X467" i="4"/>
  <c r="O467" i="4"/>
  <c r="N467" i="4"/>
  <c r="M467" i="4"/>
  <c r="L467" i="4"/>
  <c r="I467" i="4"/>
  <c r="S467" i="4"/>
  <c r="J467" i="4"/>
  <c r="AS467" i="4"/>
  <c r="AT467" i="4"/>
  <c r="AR467" i="4"/>
  <c r="P467" i="4"/>
  <c r="H467" i="4"/>
  <c r="G467" i="4"/>
  <c r="AP466" i="4"/>
  <c r="AX466" i="4"/>
  <c r="AM466" i="4"/>
  <c r="AL466" i="4"/>
  <c r="AK466" i="4"/>
  <c r="AJ466" i="4"/>
  <c r="K467" i="4"/>
  <c r="AH466" i="4"/>
  <c r="AG466" i="4"/>
  <c r="AN466" i="4"/>
  <c r="AE466" i="4"/>
  <c r="AD466" i="4"/>
  <c r="AC466" i="4"/>
  <c r="AI466" i="4"/>
  <c r="Y466" i="4"/>
  <c r="Z466" i="4"/>
  <c r="AB466" i="4"/>
  <c r="AU466" i="4"/>
  <c r="AV466" i="4"/>
  <c r="AW466" i="4"/>
  <c r="AF466" i="4"/>
  <c r="W466" i="4"/>
  <c r="V466" i="4"/>
  <c r="U466" i="4"/>
  <c r="T466" i="4"/>
  <c r="R466" i="4"/>
  <c r="AA466" i="4"/>
  <c r="Q466" i="4"/>
  <c r="X466" i="4"/>
  <c r="O466" i="4"/>
  <c r="N466" i="4"/>
  <c r="M466" i="4"/>
  <c r="S466" i="4"/>
  <c r="J466" i="4"/>
  <c r="L466" i="4"/>
  <c r="I466" i="4"/>
  <c r="AS466" i="4"/>
  <c r="AT466" i="4"/>
  <c r="AR466" i="4"/>
  <c r="P466" i="4"/>
  <c r="H466" i="4"/>
  <c r="G466" i="4"/>
  <c r="AM465" i="4"/>
  <c r="AL465" i="4"/>
  <c r="AK465" i="4"/>
  <c r="AH465" i="4"/>
  <c r="AJ465" i="4"/>
  <c r="K466" i="4"/>
  <c r="AG465" i="4"/>
  <c r="AE465" i="4"/>
  <c r="AD465" i="4"/>
  <c r="AC465" i="4"/>
  <c r="AB465" i="4"/>
  <c r="Z465" i="4"/>
  <c r="Y465" i="4"/>
  <c r="AU465" i="4"/>
  <c r="AV465" i="4"/>
  <c r="AW465" i="4"/>
  <c r="W465" i="4"/>
  <c r="V465" i="4"/>
  <c r="U465" i="4"/>
  <c r="O465" i="4"/>
  <c r="N465" i="4"/>
  <c r="M465" i="4"/>
  <c r="R465" i="4"/>
  <c r="J465" i="4"/>
  <c r="T465" i="4"/>
  <c r="Q465" i="4"/>
  <c r="I465" i="4"/>
  <c r="L465" i="4"/>
  <c r="AS465" i="4"/>
  <c r="AT465" i="4"/>
  <c r="AR465" i="4"/>
  <c r="E465" i="4"/>
  <c r="D465" i="4"/>
  <c r="AM463" i="4"/>
  <c r="AL463" i="4"/>
  <c r="AK463" i="4"/>
  <c r="AJ463" i="4"/>
  <c r="AH463" i="4"/>
  <c r="K465" i="4"/>
  <c r="AA465" i="4"/>
  <c r="S465" i="4"/>
  <c r="AG463" i="4"/>
  <c r="AI465" i="4"/>
  <c r="G465" i="4"/>
  <c r="AN465" i="4"/>
  <c r="AF465" i="4"/>
  <c r="AP465" i="4"/>
  <c r="AX465" i="4"/>
  <c r="X465" i="4"/>
  <c r="P465" i="4"/>
  <c r="H465" i="4"/>
  <c r="AE463" i="4"/>
  <c r="AD463" i="4"/>
  <c r="AC463" i="4"/>
  <c r="Y463" i="4"/>
  <c r="Z463" i="4"/>
  <c r="AB463" i="4"/>
  <c r="AW463" i="4"/>
  <c r="AV463" i="4"/>
  <c r="AU463" i="4"/>
  <c r="W463" i="4"/>
  <c r="V463" i="4"/>
  <c r="U463" i="4"/>
  <c r="O463" i="4"/>
  <c r="N463" i="4"/>
  <c r="M463" i="4"/>
  <c r="R463" i="4"/>
  <c r="Q463" i="4"/>
  <c r="T463" i="4"/>
  <c r="J463" i="4"/>
  <c r="I463" i="4"/>
  <c r="L463" i="4"/>
  <c r="AT463" i="4"/>
  <c r="AR463" i="4"/>
  <c r="AS463" i="4"/>
  <c r="E463" i="4"/>
  <c r="D463" i="4"/>
  <c r="AP461" i="4"/>
  <c r="AX461" i="4"/>
  <c r="AM461" i="4"/>
  <c r="AL461" i="4"/>
  <c r="AK461" i="4"/>
  <c r="AG461" i="4"/>
  <c r="K463" i="4"/>
  <c r="S463" i="4"/>
  <c r="AJ461" i="4"/>
  <c r="AH461" i="4"/>
  <c r="AI463" i="4"/>
  <c r="AA463" i="4"/>
  <c r="G463" i="4"/>
  <c r="AN461" i="4"/>
  <c r="AP463" i="4"/>
  <c r="AX463" i="4"/>
  <c r="X463" i="4"/>
  <c r="P463" i="4"/>
  <c r="AN463" i="4"/>
  <c r="AF463" i="4"/>
  <c r="H463" i="4"/>
  <c r="AE461" i="4"/>
  <c r="AD461" i="4"/>
  <c r="AC461" i="4"/>
  <c r="Z461" i="4"/>
  <c r="AI461" i="4"/>
  <c r="Y461" i="4"/>
  <c r="AB461" i="4"/>
  <c r="AW461" i="4"/>
  <c r="AV461" i="4"/>
  <c r="AU461" i="4"/>
  <c r="AF461" i="4"/>
  <c r="W461" i="4"/>
  <c r="V461" i="4"/>
  <c r="U461" i="4"/>
  <c r="T461" i="4"/>
  <c r="Q461" i="4"/>
  <c r="AA461" i="4"/>
  <c r="R461" i="4"/>
  <c r="X461" i="4"/>
  <c r="O461" i="4"/>
  <c r="N461" i="4"/>
  <c r="M461" i="4"/>
  <c r="L461" i="4"/>
  <c r="I461" i="4"/>
  <c r="S461" i="4"/>
  <c r="J461" i="4"/>
  <c r="AT461" i="4"/>
  <c r="AR461" i="4"/>
  <c r="AS461" i="4"/>
  <c r="P461" i="4"/>
  <c r="H461" i="4"/>
  <c r="G461" i="4"/>
  <c r="AP460" i="4"/>
  <c r="AX460" i="4"/>
  <c r="AM460" i="4"/>
  <c r="AL460" i="4"/>
  <c r="AK460" i="4"/>
  <c r="K461" i="4"/>
  <c r="AJ460" i="4"/>
  <c r="AH460" i="4"/>
  <c r="AG460" i="4"/>
  <c r="AN460" i="4"/>
  <c r="AE460" i="4"/>
  <c r="AD460" i="4"/>
  <c r="AC460" i="4"/>
  <c r="AB460" i="4"/>
  <c r="Y460" i="4"/>
  <c r="AI460" i="4"/>
  <c r="Z460" i="4"/>
  <c r="AU460" i="4"/>
  <c r="AV460" i="4"/>
  <c r="AW460" i="4"/>
  <c r="AF460" i="4"/>
  <c r="W460" i="4"/>
  <c r="V460" i="4"/>
  <c r="U460" i="4"/>
  <c r="AA460" i="4"/>
  <c r="Q460" i="4"/>
  <c r="T460" i="4"/>
  <c r="R460" i="4"/>
  <c r="X460" i="4"/>
  <c r="O460" i="4"/>
  <c r="N460" i="4"/>
  <c r="M460" i="4"/>
  <c r="L460" i="4"/>
  <c r="I460" i="4"/>
  <c r="S460" i="4"/>
  <c r="J460" i="4"/>
  <c r="AS460" i="4"/>
  <c r="AT460" i="4"/>
  <c r="AR460" i="4"/>
  <c r="P460" i="4"/>
  <c r="H460" i="4"/>
  <c r="G460" i="4"/>
  <c r="AP459" i="4"/>
  <c r="AX459" i="4"/>
  <c r="AM459" i="4"/>
  <c r="AL459" i="4"/>
  <c r="AK459" i="4"/>
  <c r="AG459" i="4"/>
  <c r="AJ459" i="4"/>
  <c r="K460" i="4"/>
  <c r="AH459" i="4"/>
  <c r="AN459" i="4"/>
  <c r="AE459" i="4"/>
  <c r="AD459" i="4"/>
  <c r="AC459" i="4"/>
  <c r="AB459" i="4"/>
  <c r="Y459" i="4"/>
  <c r="AI459" i="4"/>
  <c r="Z459" i="4"/>
  <c r="AU459" i="4"/>
  <c r="AV459" i="4"/>
  <c r="AW459" i="4"/>
  <c r="AF459" i="4"/>
  <c r="W459" i="4"/>
  <c r="V459" i="4"/>
  <c r="U459" i="4"/>
  <c r="AA459" i="4"/>
  <c r="Q459" i="4"/>
  <c r="T459" i="4"/>
  <c r="R459" i="4"/>
  <c r="X459" i="4"/>
  <c r="O459" i="4"/>
  <c r="N459" i="4"/>
  <c r="M459" i="4"/>
  <c r="J459" i="4"/>
  <c r="S459" i="4"/>
  <c r="I459" i="4"/>
  <c r="L459" i="4"/>
  <c r="AS459" i="4"/>
  <c r="AT459" i="4"/>
  <c r="AR459" i="4"/>
  <c r="P459" i="4"/>
  <c r="H459" i="4"/>
  <c r="G459" i="4"/>
  <c r="AP457" i="4"/>
  <c r="AX457" i="4"/>
  <c r="AM457" i="4"/>
  <c r="AL457" i="4"/>
  <c r="AK457" i="4"/>
  <c r="AG457" i="4"/>
  <c r="AJ457" i="4"/>
  <c r="K459" i="4"/>
  <c r="AH457" i="4"/>
  <c r="AN457" i="4"/>
  <c r="AE457" i="4"/>
  <c r="AD457" i="4"/>
  <c r="AC457" i="4"/>
  <c r="AB457" i="4"/>
  <c r="AI457" i="4"/>
  <c r="Y457" i="4"/>
  <c r="Z457" i="4"/>
  <c r="AU457" i="4"/>
  <c r="AW457" i="4"/>
  <c r="AV457" i="4"/>
  <c r="AF457" i="4"/>
  <c r="W457" i="4"/>
  <c r="V457" i="4"/>
  <c r="U457" i="4"/>
  <c r="R457" i="4"/>
  <c r="T457" i="4"/>
  <c r="Q457" i="4"/>
  <c r="AA457" i="4"/>
  <c r="X457" i="4"/>
  <c r="O457" i="4"/>
  <c r="N457" i="4"/>
  <c r="M457" i="4"/>
  <c r="J457" i="4"/>
  <c r="L457" i="4"/>
  <c r="I457" i="4"/>
  <c r="S457" i="4"/>
  <c r="AS457" i="4"/>
  <c r="AT457" i="4"/>
  <c r="AR457" i="4"/>
  <c r="P457" i="4"/>
  <c r="H457" i="4"/>
  <c r="G457" i="4"/>
  <c r="AP456" i="4"/>
  <c r="AX456" i="4"/>
  <c r="AM456" i="4"/>
  <c r="AL456" i="4"/>
  <c r="AK456" i="4"/>
  <c r="AJ456" i="4"/>
  <c r="AH456" i="4"/>
  <c r="AG456" i="4"/>
  <c r="K457" i="4"/>
  <c r="AN456" i="4"/>
  <c r="AE456" i="4"/>
  <c r="AD456" i="4"/>
  <c r="AC456" i="4"/>
  <c r="Y456" i="4"/>
  <c r="Z456" i="4"/>
  <c r="AB456" i="4"/>
  <c r="AI456" i="4"/>
  <c r="AU456" i="4"/>
  <c r="AV456" i="4"/>
  <c r="AW456" i="4"/>
  <c r="AF456" i="4"/>
  <c r="W456" i="4"/>
  <c r="V456" i="4"/>
  <c r="U456" i="4"/>
  <c r="Q456" i="4"/>
  <c r="R456" i="4"/>
  <c r="T456" i="4"/>
  <c r="AA456" i="4"/>
  <c r="X456" i="4"/>
  <c r="O456" i="4"/>
  <c r="N456" i="4"/>
  <c r="M456" i="4"/>
  <c r="L456" i="4"/>
  <c r="I456" i="4"/>
  <c r="S456" i="4"/>
  <c r="J456" i="4"/>
  <c r="AS456" i="4"/>
  <c r="AT456" i="4"/>
  <c r="AR456" i="4"/>
  <c r="P456" i="4"/>
  <c r="H456" i="4"/>
  <c r="G456" i="4"/>
  <c r="AP455" i="4"/>
  <c r="AX455" i="4"/>
  <c r="AM455" i="4"/>
  <c r="AL455" i="4"/>
  <c r="AK455" i="4"/>
  <c r="AH455" i="4"/>
  <c r="AG455" i="4"/>
  <c r="K456" i="4"/>
  <c r="AJ455" i="4"/>
  <c r="AN455" i="4"/>
  <c r="AE455" i="4"/>
  <c r="AD455" i="4"/>
  <c r="AC455" i="4"/>
  <c r="Z455" i="4"/>
  <c r="AB455" i="4"/>
  <c r="Y455" i="4"/>
  <c r="AI455" i="4"/>
  <c r="AV455" i="4"/>
  <c r="AU455" i="4"/>
  <c r="AW455" i="4"/>
  <c r="AF455" i="4"/>
  <c r="W455" i="4"/>
  <c r="V455" i="4"/>
  <c r="U455" i="4"/>
  <c r="R455" i="4"/>
  <c r="AA455" i="4"/>
  <c r="T455" i="4"/>
  <c r="Q455" i="4"/>
  <c r="X455" i="4"/>
  <c r="O455" i="4"/>
  <c r="N455" i="4"/>
  <c r="M455" i="4"/>
  <c r="L455" i="4"/>
  <c r="J455" i="4"/>
  <c r="I455" i="4"/>
  <c r="S455" i="4"/>
  <c r="AS455" i="4"/>
  <c r="AR455" i="4"/>
  <c r="AT455" i="4"/>
  <c r="P455" i="4"/>
  <c r="H455" i="4"/>
  <c r="G455" i="4"/>
  <c r="AP454" i="4"/>
  <c r="AX454" i="4"/>
  <c r="AM454" i="4"/>
  <c r="AL454" i="4"/>
  <c r="AK454" i="4"/>
  <c r="K455" i="4"/>
  <c r="AH454" i="4"/>
  <c r="AG454" i="4"/>
  <c r="AJ454" i="4"/>
  <c r="AN454" i="4"/>
  <c r="AE454" i="4"/>
  <c r="AD454" i="4"/>
  <c r="AC454" i="4"/>
  <c r="AB454" i="4"/>
  <c r="Z454" i="4"/>
  <c r="Y454" i="4"/>
  <c r="AI454" i="4"/>
  <c r="AU454" i="4"/>
  <c r="AW454" i="4"/>
  <c r="AV454" i="4"/>
  <c r="AF454" i="4"/>
  <c r="W454" i="4"/>
  <c r="V454" i="4"/>
  <c r="U454" i="4"/>
  <c r="AA454" i="4"/>
  <c r="R454" i="4"/>
  <c r="T454" i="4"/>
  <c r="Q454" i="4"/>
  <c r="X454" i="4"/>
  <c r="O454" i="4"/>
  <c r="N454" i="4"/>
  <c r="M454" i="4"/>
  <c r="L454" i="4"/>
  <c r="J454" i="4"/>
  <c r="I454" i="4"/>
  <c r="S454" i="4"/>
  <c r="AS454" i="4"/>
  <c r="AT454" i="4"/>
  <c r="AR454" i="4"/>
  <c r="P454" i="4"/>
  <c r="H454" i="4"/>
  <c r="G454" i="4"/>
  <c r="AP452" i="4"/>
  <c r="AX452" i="4"/>
  <c r="AM452" i="4"/>
  <c r="AL452" i="4"/>
  <c r="AK452" i="4"/>
  <c r="AG452" i="4"/>
  <c r="K454" i="4"/>
  <c r="AH452" i="4"/>
  <c r="AJ452" i="4"/>
  <c r="AN452" i="4"/>
  <c r="AE452" i="4"/>
  <c r="AD452" i="4"/>
  <c r="AC452" i="4"/>
  <c r="AB452" i="4"/>
  <c r="Z452" i="4"/>
  <c r="Y452" i="4"/>
  <c r="AI452" i="4"/>
  <c r="AU452" i="4"/>
  <c r="AV452" i="4"/>
  <c r="AW452" i="4"/>
  <c r="AF452" i="4"/>
  <c r="W452" i="4"/>
  <c r="V452" i="4"/>
  <c r="U452" i="4"/>
  <c r="T452" i="4"/>
  <c r="R452" i="4"/>
  <c r="AA452" i="4"/>
  <c r="Q452" i="4"/>
  <c r="X452" i="4"/>
  <c r="O452" i="4"/>
  <c r="N452" i="4"/>
  <c r="M452" i="4"/>
  <c r="I452" i="4"/>
  <c r="L452" i="4"/>
  <c r="J452" i="4"/>
  <c r="S452" i="4"/>
  <c r="AS452" i="4"/>
  <c r="AT452" i="4"/>
  <c r="AR452" i="4"/>
  <c r="P452" i="4"/>
  <c r="H452" i="4"/>
  <c r="G452" i="4"/>
  <c r="AP451" i="4"/>
  <c r="AX451" i="4"/>
  <c r="AM451" i="4"/>
  <c r="AL451" i="4"/>
  <c r="AK451" i="4"/>
  <c r="K452" i="4"/>
  <c r="AH451" i="4"/>
  <c r="AJ451" i="4"/>
  <c r="AG451" i="4"/>
  <c r="AN451" i="4"/>
  <c r="AE451" i="4"/>
  <c r="AD451" i="4"/>
  <c r="AC451" i="4"/>
  <c r="AB451" i="4"/>
  <c r="Y451" i="4"/>
  <c r="AI451" i="4"/>
  <c r="Z451" i="4"/>
  <c r="AU451" i="4"/>
  <c r="AV451" i="4"/>
  <c r="AW451" i="4"/>
  <c r="AF451" i="4"/>
  <c r="W451" i="4"/>
  <c r="V451" i="4"/>
  <c r="U451" i="4"/>
  <c r="Q451" i="4"/>
  <c r="T451" i="4"/>
  <c r="R451" i="4"/>
  <c r="AA451" i="4"/>
  <c r="X451" i="4"/>
  <c r="O451" i="4"/>
  <c r="N451" i="4"/>
  <c r="M451" i="4"/>
  <c r="I451" i="4"/>
  <c r="J451" i="4"/>
  <c r="L451" i="4"/>
  <c r="S451" i="4"/>
  <c r="AS451" i="4"/>
  <c r="AT451" i="4"/>
  <c r="AR451" i="4"/>
  <c r="P451" i="4"/>
  <c r="H451" i="4"/>
  <c r="G451" i="4"/>
  <c r="AP448" i="4"/>
  <c r="AX448" i="4"/>
  <c r="AM448" i="4"/>
  <c r="AL448" i="4"/>
  <c r="AK448" i="4"/>
  <c r="K451" i="4"/>
  <c r="AJ448" i="4"/>
  <c r="AH448" i="4"/>
  <c r="AG448" i="4"/>
  <c r="AN448" i="4"/>
  <c r="AE448" i="4"/>
  <c r="AD448" i="4"/>
  <c r="AC448" i="4"/>
  <c r="AB448" i="4"/>
  <c r="Y448" i="4"/>
  <c r="Z448" i="4"/>
  <c r="AI448" i="4"/>
  <c r="AV448" i="4"/>
  <c r="AW448" i="4"/>
  <c r="AU448" i="4"/>
  <c r="AF448" i="4"/>
  <c r="W448" i="4"/>
  <c r="V448" i="4"/>
  <c r="U448" i="4"/>
  <c r="Q448" i="4"/>
  <c r="R448" i="4"/>
  <c r="AA448" i="4"/>
  <c r="T448" i="4"/>
  <c r="X448" i="4"/>
  <c r="O448" i="4"/>
  <c r="N448" i="4"/>
  <c r="M448" i="4"/>
  <c r="L448" i="4"/>
  <c r="I448" i="4"/>
  <c r="S448" i="4"/>
  <c r="J448" i="4"/>
  <c r="AS448" i="4"/>
  <c r="AT448" i="4"/>
  <c r="AR448" i="4"/>
  <c r="P448" i="4"/>
  <c r="H448" i="4"/>
  <c r="G448" i="4"/>
  <c r="AP447" i="4"/>
  <c r="AX447" i="4"/>
  <c r="AM447" i="4"/>
  <c r="AL447" i="4"/>
  <c r="AK447" i="4"/>
  <c r="AG447" i="4"/>
  <c r="K448" i="4"/>
  <c r="AH447" i="4"/>
  <c r="AJ447" i="4"/>
  <c r="AN447" i="4"/>
  <c r="AE447" i="4"/>
  <c r="AD447" i="4"/>
  <c r="AC447" i="4"/>
  <c r="AB447" i="4"/>
  <c r="Z447" i="4"/>
  <c r="Y447" i="4"/>
  <c r="AI447" i="4"/>
  <c r="AU447" i="4"/>
  <c r="AW447" i="4"/>
  <c r="AV447" i="4"/>
  <c r="AF447" i="4"/>
  <c r="W447" i="4"/>
  <c r="V447" i="4"/>
  <c r="U447" i="4"/>
  <c r="Q447" i="4"/>
  <c r="AA447" i="4"/>
  <c r="T447" i="4"/>
  <c r="R447" i="4"/>
  <c r="X447" i="4"/>
  <c r="O447" i="4"/>
  <c r="N447" i="4"/>
  <c r="M447" i="4"/>
  <c r="S447" i="4"/>
  <c r="J447" i="4"/>
  <c r="L447" i="4"/>
  <c r="I447" i="4"/>
  <c r="AS447" i="4"/>
  <c r="AT447" i="4"/>
  <c r="AR447" i="4"/>
  <c r="P447" i="4"/>
  <c r="H447" i="4"/>
  <c r="G447" i="4"/>
  <c r="AP446" i="4"/>
  <c r="AX446" i="4"/>
  <c r="AM446" i="4"/>
  <c r="AL446" i="4"/>
  <c r="AK446" i="4"/>
  <c r="K447" i="4"/>
  <c r="AJ446" i="4"/>
  <c r="AH446" i="4"/>
  <c r="AG446" i="4"/>
  <c r="AN446" i="4"/>
  <c r="AE446" i="4"/>
  <c r="AD446" i="4"/>
  <c r="AC446" i="4"/>
  <c r="AB446" i="4"/>
  <c r="Y446" i="4"/>
  <c r="AI446" i="4"/>
  <c r="Z446" i="4"/>
  <c r="AV446" i="4"/>
  <c r="AU446" i="4"/>
  <c r="AW446" i="4"/>
  <c r="AF446" i="4"/>
  <c r="W446" i="4"/>
  <c r="V446" i="4"/>
  <c r="U446" i="4"/>
  <c r="Q446" i="4"/>
  <c r="R446" i="4"/>
  <c r="AA446" i="4"/>
  <c r="T446" i="4"/>
  <c r="X446" i="4"/>
  <c r="O446" i="4"/>
  <c r="N446" i="4"/>
  <c r="M446" i="4"/>
  <c r="J446" i="4"/>
  <c r="L446" i="4"/>
  <c r="I446" i="4"/>
  <c r="S446" i="4"/>
  <c r="AS446" i="4"/>
  <c r="AT446" i="4"/>
  <c r="AR446" i="4"/>
  <c r="P446" i="4"/>
  <c r="H446" i="4"/>
  <c r="G446" i="4"/>
  <c r="AP445" i="4"/>
  <c r="AX445" i="4"/>
  <c r="AM445" i="4"/>
  <c r="AL445" i="4"/>
  <c r="AK445" i="4"/>
  <c r="AG445" i="4"/>
  <c r="AJ445" i="4"/>
  <c r="K446" i="4"/>
  <c r="AH445" i="4"/>
  <c r="AN445" i="4"/>
  <c r="AE445" i="4"/>
  <c r="AD445" i="4"/>
  <c r="AC445" i="4"/>
  <c r="AB445" i="4"/>
  <c r="Y445" i="4"/>
  <c r="AI445" i="4"/>
  <c r="Z445" i="4"/>
  <c r="AU445" i="4"/>
  <c r="AV445" i="4"/>
  <c r="AW445" i="4"/>
  <c r="AF445" i="4"/>
  <c r="W445" i="4"/>
  <c r="V445" i="4"/>
  <c r="U445" i="4"/>
  <c r="Q445" i="4"/>
  <c r="R445" i="4"/>
  <c r="AA445" i="4"/>
  <c r="T445" i="4"/>
  <c r="X445" i="4"/>
  <c r="O445" i="4"/>
  <c r="N445" i="4"/>
  <c r="M445" i="4"/>
  <c r="S445" i="4"/>
  <c r="J445" i="4"/>
  <c r="L445" i="4"/>
  <c r="I445" i="4"/>
  <c r="AS445" i="4"/>
  <c r="AT445" i="4"/>
  <c r="AR445" i="4"/>
  <c r="P445" i="4"/>
  <c r="H445" i="4"/>
  <c r="G445" i="4"/>
  <c r="AP444" i="4"/>
  <c r="AX444" i="4"/>
  <c r="AM444" i="4"/>
  <c r="AL444" i="4"/>
  <c r="AK444" i="4"/>
  <c r="AH444" i="4"/>
  <c r="AG444" i="4"/>
  <c r="AJ444" i="4"/>
  <c r="K445" i="4"/>
  <c r="AN444" i="4"/>
  <c r="AE444" i="4"/>
  <c r="AD444" i="4"/>
  <c r="AC444" i="4"/>
  <c r="AB444" i="4"/>
  <c r="Z444" i="4"/>
  <c r="Y444" i="4"/>
  <c r="AI444" i="4"/>
  <c r="AV444" i="4"/>
  <c r="AU444" i="4"/>
  <c r="AW444" i="4"/>
  <c r="AF444" i="4"/>
  <c r="W444" i="4"/>
  <c r="V444" i="4"/>
  <c r="U444" i="4"/>
  <c r="AA444" i="4"/>
  <c r="Q444" i="4"/>
  <c r="R444" i="4"/>
  <c r="T444" i="4"/>
  <c r="X444" i="4"/>
  <c r="O444" i="4"/>
  <c r="N444" i="4"/>
  <c r="M444" i="4"/>
  <c r="I444" i="4"/>
  <c r="J444" i="4"/>
  <c r="L444" i="4"/>
  <c r="S444" i="4"/>
  <c r="AS444" i="4"/>
  <c r="AT444" i="4"/>
  <c r="AR444" i="4"/>
  <c r="P444" i="4"/>
  <c r="H444" i="4"/>
  <c r="G444" i="4"/>
  <c r="AP442" i="4"/>
  <c r="AX442" i="4"/>
  <c r="AM442" i="4"/>
  <c r="AL442" i="4"/>
  <c r="AK442" i="4"/>
  <c r="AJ442" i="4"/>
  <c r="AH442" i="4"/>
  <c r="AG442" i="4"/>
  <c r="K444" i="4"/>
  <c r="AN442" i="4"/>
  <c r="AE442" i="4"/>
  <c r="AD442" i="4"/>
  <c r="AC442" i="4"/>
  <c r="Z442" i="4"/>
  <c r="AB442" i="4"/>
  <c r="Y442" i="4"/>
  <c r="AI442" i="4"/>
  <c r="AU442" i="4"/>
  <c r="AV442" i="4"/>
  <c r="AW442" i="4"/>
  <c r="AF442" i="4"/>
  <c r="W442" i="4"/>
  <c r="V442" i="4"/>
  <c r="U442" i="4"/>
  <c r="Q442" i="4"/>
  <c r="T442" i="4"/>
  <c r="AA442" i="4"/>
  <c r="R442" i="4"/>
  <c r="X442" i="4"/>
  <c r="O442" i="4"/>
  <c r="N442" i="4"/>
  <c r="M442" i="4"/>
  <c r="I442" i="4"/>
  <c r="S442" i="4"/>
  <c r="J442" i="4"/>
  <c r="L442" i="4"/>
  <c r="AS442" i="4"/>
  <c r="AT442" i="4"/>
  <c r="AR442" i="4"/>
  <c r="P442" i="4"/>
  <c r="H442" i="4"/>
  <c r="G442" i="4"/>
  <c r="AP441" i="4"/>
  <c r="AX441" i="4"/>
  <c r="AM441" i="4"/>
  <c r="AL441" i="4"/>
  <c r="AK441" i="4"/>
  <c r="AJ441" i="4"/>
  <c r="AH441" i="4"/>
  <c r="AG441" i="4"/>
  <c r="K442" i="4"/>
  <c r="AN441" i="4"/>
  <c r="AE441" i="4"/>
  <c r="AD441" i="4"/>
  <c r="AC441" i="4"/>
  <c r="AI441" i="4"/>
  <c r="Z441" i="4"/>
  <c r="AB441" i="4"/>
  <c r="Y441" i="4"/>
  <c r="AU441" i="4"/>
  <c r="AV441" i="4"/>
  <c r="AW441" i="4"/>
  <c r="AF441" i="4"/>
  <c r="W441" i="4"/>
  <c r="V441" i="4"/>
  <c r="U441" i="4"/>
  <c r="T441" i="4"/>
  <c r="Q441" i="4"/>
  <c r="R441" i="4"/>
  <c r="AA441" i="4"/>
  <c r="X441" i="4"/>
  <c r="O441" i="4"/>
  <c r="N441" i="4"/>
  <c r="M441" i="4"/>
  <c r="I441" i="4"/>
  <c r="S441" i="4"/>
  <c r="J441" i="4"/>
  <c r="L441" i="4"/>
  <c r="AS441" i="4"/>
  <c r="AT441" i="4"/>
  <c r="AR441" i="4"/>
  <c r="P441" i="4"/>
  <c r="H441" i="4"/>
  <c r="G441" i="4"/>
  <c r="AP440" i="4"/>
  <c r="AX440" i="4"/>
  <c r="AM440" i="4"/>
  <c r="AL440" i="4"/>
  <c r="AK440" i="4"/>
  <c r="AG440" i="4"/>
  <c r="AJ440" i="4"/>
  <c r="K441" i="4"/>
  <c r="AH440" i="4"/>
  <c r="AN440" i="4"/>
  <c r="AE440" i="4"/>
  <c r="AD440" i="4"/>
  <c r="AC440" i="4"/>
  <c r="Y440" i="4"/>
  <c r="AI440" i="4"/>
  <c r="Z440" i="4"/>
  <c r="AB440" i="4"/>
  <c r="AV440" i="4"/>
  <c r="AU440" i="4"/>
  <c r="AW440" i="4"/>
  <c r="AF440" i="4"/>
  <c r="W440" i="4"/>
  <c r="V440" i="4"/>
  <c r="U440" i="4"/>
  <c r="R440" i="4"/>
  <c r="AA440" i="4"/>
  <c r="Q440" i="4"/>
  <c r="T440" i="4"/>
  <c r="X440" i="4"/>
  <c r="O440" i="4"/>
  <c r="N440" i="4"/>
  <c r="M440" i="4"/>
  <c r="I440" i="4"/>
  <c r="J440" i="4"/>
  <c r="L440" i="4"/>
  <c r="S440" i="4"/>
  <c r="AS440" i="4"/>
  <c r="AT440" i="4"/>
  <c r="AR440" i="4"/>
  <c r="P440" i="4"/>
  <c r="H440" i="4"/>
  <c r="G440" i="4"/>
  <c r="AP439" i="4"/>
  <c r="AX439" i="4"/>
  <c r="AM439" i="4"/>
  <c r="AL439" i="4"/>
  <c r="AK439" i="4"/>
  <c r="AG439" i="4"/>
  <c r="AH439" i="4"/>
  <c r="AJ439" i="4"/>
  <c r="K440" i="4"/>
  <c r="AN439" i="4"/>
  <c r="AE439" i="4"/>
  <c r="AD439" i="4"/>
  <c r="AC439" i="4"/>
  <c r="AB439" i="4"/>
  <c r="Y439" i="4"/>
  <c r="Z439" i="4"/>
  <c r="AI439" i="4"/>
  <c r="AV439" i="4"/>
  <c r="AU439" i="4"/>
  <c r="AW439" i="4"/>
  <c r="AF439" i="4"/>
  <c r="W439" i="4"/>
  <c r="V439" i="4"/>
  <c r="U439" i="4"/>
  <c r="AA439" i="4"/>
  <c r="Q439" i="4"/>
  <c r="R439" i="4"/>
  <c r="T439" i="4"/>
  <c r="X439" i="4"/>
  <c r="O439" i="4"/>
  <c r="N439" i="4"/>
  <c r="M439" i="4"/>
  <c r="S439" i="4"/>
  <c r="J439" i="4"/>
  <c r="I439" i="4"/>
  <c r="L439" i="4"/>
  <c r="AS439" i="4"/>
  <c r="AT439" i="4"/>
  <c r="AR439" i="4"/>
  <c r="P439" i="4"/>
  <c r="H439" i="4"/>
  <c r="G439" i="4"/>
  <c r="AP436" i="4"/>
  <c r="AX436" i="4"/>
  <c r="AM436" i="4"/>
  <c r="AL436" i="4"/>
  <c r="AK436" i="4"/>
  <c r="AH436" i="4"/>
  <c r="AJ436" i="4"/>
  <c r="AG436" i="4"/>
  <c r="K439" i="4"/>
  <c r="AN436" i="4"/>
  <c r="AE436" i="4"/>
  <c r="AD436" i="4"/>
  <c r="AC436" i="4"/>
  <c r="Y436" i="4"/>
  <c r="Z436" i="4"/>
  <c r="AB436" i="4"/>
  <c r="AI436" i="4"/>
  <c r="AV436" i="4"/>
  <c r="AW436" i="4"/>
  <c r="AU436" i="4"/>
  <c r="AF436" i="4"/>
  <c r="W436" i="4"/>
  <c r="V436" i="4"/>
  <c r="U436" i="4"/>
  <c r="Q436" i="4"/>
  <c r="R436" i="4"/>
  <c r="AA436" i="4"/>
  <c r="T436" i="4"/>
  <c r="X436" i="4"/>
  <c r="O436" i="4"/>
  <c r="N436" i="4"/>
  <c r="M436" i="4"/>
  <c r="S436" i="4"/>
  <c r="J436" i="4"/>
  <c r="L436" i="4"/>
  <c r="I436" i="4"/>
  <c r="AS436" i="4"/>
  <c r="AT436" i="4"/>
  <c r="AR436" i="4"/>
  <c r="P436" i="4"/>
  <c r="H436" i="4"/>
  <c r="G436" i="4"/>
  <c r="AP435" i="4"/>
  <c r="AX435" i="4"/>
  <c r="AM435" i="4"/>
  <c r="AL435" i="4"/>
  <c r="AK435" i="4"/>
  <c r="AG435" i="4"/>
  <c r="AJ435" i="4"/>
  <c r="K436" i="4"/>
  <c r="AH435" i="4"/>
  <c r="AN435" i="4"/>
  <c r="AE435" i="4"/>
  <c r="AD435" i="4"/>
  <c r="AC435" i="4"/>
  <c r="Z435" i="4"/>
  <c r="AB435" i="4"/>
  <c r="Y435" i="4"/>
  <c r="AI435" i="4"/>
  <c r="AU435" i="4"/>
  <c r="AV435" i="4"/>
  <c r="AW435" i="4"/>
  <c r="AF435" i="4"/>
  <c r="W435" i="4"/>
  <c r="V435" i="4"/>
  <c r="U435" i="4"/>
  <c r="Q435" i="4"/>
  <c r="AA435" i="4"/>
  <c r="T435" i="4"/>
  <c r="R435" i="4"/>
  <c r="X435" i="4"/>
  <c r="O435" i="4"/>
  <c r="N435" i="4"/>
  <c r="M435" i="4"/>
  <c r="J435" i="4"/>
  <c r="L435" i="4"/>
  <c r="I435" i="4"/>
  <c r="S435" i="4"/>
  <c r="AS435" i="4"/>
  <c r="AR435" i="4"/>
  <c r="AT435" i="4"/>
  <c r="P435" i="4"/>
  <c r="H435" i="4"/>
  <c r="G435" i="4"/>
  <c r="AP434" i="4"/>
  <c r="AX434" i="4"/>
  <c r="AL434" i="4"/>
  <c r="AK434" i="4"/>
  <c r="K435" i="4"/>
  <c r="AH434" i="4"/>
  <c r="AG434" i="4"/>
  <c r="AJ434" i="4"/>
  <c r="AN434" i="4"/>
  <c r="AD434" i="4"/>
  <c r="AC434" i="4"/>
  <c r="AI434" i="4"/>
  <c r="AB434" i="4"/>
  <c r="Y434" i="4"/>
  <c r="Z434" i="4"/>
  <c r="AV434" i="4"/>
  <c r="AU434" i="4"/>
  <c r="AW434" i="4"/>
  <c r="AF434" i="4"/>
  <c r="W434" i="4"/>
  <c r="V434" i="4"/>
  <c r="U434" i="4"/>
  <c r="Q434" i="4"/>
  <c r="R434" i="4"/>
  <c r="AA434" i="4"/>
  <c r="T434" i="4"/>
  <c r="X434" i="4"/>
  <c r="O434" i="4"/>
  <c r="N434" i="4"/>
  <c r="M434" i="4"/>
  <c r="I434" i="4"/>
  <c r="S434" i="4"/>
  <c r="J434" i="4"/>
  <c r="L434" i="4"/>
  <c r="AS434" i="4"/>
  <c r="AT434" i="4"/>
  <c r="AR434" i="4"/>
  <c r="P434" i="4"/>
  <c r="H434" i="4"/>
  <c r="AP432" i="4"/>
  <c r="AX432" i="4"/>
  <c r="AM432" i="4"/>
  <c r="AL432" i="4"/>
  <c r="AK432" i="4"/>
  <c r="AH432" i="4"/>
  <c r="K434" i="4"/>
  <c r="AG432" i="4"/>
  <c r="AJ432" i="4"/>
  <c r="AN432" i="4"/>
  <c r="AE432" i="4"/>
  <c r="AD432" i="4"/>
  <c r="AC432" i="4"/>
  <c r="Z432" i="4"/>
  <c r="AB432" i="4"/>
  <c r="Y432" i="4"/>
  <c r="AI432" i="4"/>
  <c r="AU432" i="4"/>
  <c r="AW432" i="4"/>
  <c r="AV432" i="4"/>
  <c r="AF432" i="4"/>
  <c r="W432" i="4"/>
  <c r="V432" i="4"/>
  <c r="U432" i="4"/>
  <c r="Q432" i="4"/>
  <c r="T432" i="4"/>
  <c r="R432" i="4"/>
  <c r="AA432" i="4"/>
  <c r="X432" i="4"/>
  <c r="O432" i="4"/>
  <c r="N432" i="4"/>
  <c r="M432" i="4"/>
  <c r="J432" i="4"/>
  <c r="L432" i="4"/>
  <c r="I432" i="4"/>
  <c r="S432" i="4"/>
  <c r="AR432" i="4"/>
  <c r="AT432" i="4"/>
  <c r="AS432" i="4"/>
  <c r="P432" i="4"/>
  <c r="H432" i="4"/>
  <c r="G432" i="4"/>
  <c r="AP430" i="4"/>
  <c r="AX430" i="4"/>
  <c r="AM430" i="4"/>
  <c r="AL430" i="4"/>
  <c r="AK430" i="4"/>
  <c r="AG430" i="4"/>
  <c r="K432" i="4"/>
  <c r="AH430" i="4"/>
  <c r="AJ430" i="4"/>
  <c r="AN430" i="4"/>
  <c r="AE430" i="4"/>
  <c r="AD430" i="4"/>
  <c r="AC430" i="4"/>
  <c r="AB430" i="4"/>
  <c r="Z430" i="4"/>
  <c r="Y430" i="4"/>
  <c r="AI430" i="4"/>
  <c r="AV430" i="4"/>
  <c r="AW430" i="4"/>
  <c r="AU430" i="4"/>
  <c r="AF430" i="4"/>
  <c r="W430" i="4"/>
  <c r="V430" i="4"/>
  <c r="U430" i="4"/>
  <c r="T430" i="4"/>
  <c r="R430" i="4"/>
  <c r="AA430" i="4"/>
  <c r="Q430" i="4"/>
  <c r="X430" i="4"/>
  <c r="O430" i="4"/>
  <c r="N430" i="4"/>
  <c r="M430" i="4"/>
  <c r="S430" i="4"/>
  <c r="J430" i="4"/>
  <c r="L430" i="4"/>
  <c r="I430" i="4"/>
  <c r="AS430" i="4"/>
  <c r="AT430" i="4"/>
  <c r="AR430" i="4"/>
  <c r="P430" i="4"/>
  <c r="H430" i="4"/>
  <c r="G430" i="4"/>
  <c r="AP427" i="4"/>
  <c r="AX427" i="4"/>
  <c r="AM427" i="4"/>
  <c r="AL427" i="4"/>
  <c r="AK427" i="4"/>
  <c r="AJ427" i="4"/>
  <c r="AH427" i="4"/>
  <c r="AG427" i="4"/>
  <c r="K430" i="4"/>
  <c r="AN427" i="4"/>
  <c r="AE427" i="4"/>
  <c r="AD427" i="4"/>
  <c r="AC427" i="4"/>
  <c r="AB427" i="4"/>
  <c r="Z427" i="4"/>
  <c r="Y427" i="4"/>
  <c r="AI427" i="4"/>
  <c r="AU427" i="4"/>
  <c r="AW427" i="4"/>
  <c r="AV427" i="4"/>
  <c r="AF427" i="4"/>
  <c r="W427" i="4"/>
  <c r="V427" i="4"/>
  <c r="U427" i="4"/>
  <c r="R427" i="4"/>
  <c r="AA427" i="4"/>
  <c r="T427" i="4"/>
  <c r="Q427" i="4"/>
  <c r="X427" i="4"/>
  <c r="O427" i="4"/>
  <c r="N427" i="4"/>
  <c r="M427" i="4"/>
  <c r="S427" i="4"/>
  <c r="I427" i="4"/>
  <c r="L427" i="4"/>
  <c r="J427" i="4"/>
  <c r="AS427" i="4"/>
  <c r="AT427" i="4"/>
  <c r="AR427" i="4"/>
  <c r="P427" i="4"/>
  <c r="H427" i="4"/>
  <c r="G427" i="4"/>
  <c r="AP426" i="4"/>
  <c r="AX426" i="4"/>
  <c r="AM426" i="4"/>
  <c r="AL426" i="4"/>
  <c r="AK426" i="4"/>
  <c r="K427" i="4"/>
  <c r="AG426" i="4"/>
  <c r="AJ426" i="4"/>
  <c r="AH426" i="4"/>
  <c r="AN426" i="4"/>
  <c r="AE426" i="4"/>
  <c r="AD426" i="4"/>
  <c r="AC426" i="4"/>
  <c r="Z426" i="4"/>
  <c r="AI426" i="4"/>
  <c r="Y426" i="4"/>
  <c r="AB426" i="4"/>
  <c r="AV426" i="4"/>
  <c r="AU426" i="4"/>
  <c r="AW426" i="4"/>
  <c r="AF426" i="4"/>
  <c r="W426" i="4"/>
  <c r="V426" i="4"/>
  <c r="U426" i="4"/>
  <c r="R426" i="4"/>
  <c r="Q426" i="4"/>
  <c r="AA426" i="4"/>
  <c r="T426" i="4"/>
  <c r="X426" i="4"/>
  <c r="O426" i="4"/>
  <c r="N426" i="4"/>
  <c r="M426" i="4"/>
  <c r="L426" i="4"/>
  <c r="J426" i="4"/>
  <c r="I426" i="4"/>
  <c r="S426" i="4"/>
  <c r="AS426" i="4"/>
  <c r="AT426" i="4"/>
  <c r="AR426" i="4"/>
  <c r="P426" i="4"/>
  <c r="H426" i="4"/>
  <c r="G426" i="4"/>
  <c r="AP423" i="4"/>
  <c r="AX423" i="4"/>
  <c r="AM423" i="4"/>
  <c r="AL423" i="4"/>
  <c r="AK423" i="4"/>
  <c r="K426" i="4"/>
  <c r="AH423" i="4"/>
  <c r="AG423" i="4"/>
  <c r="AJ423" i="4"/>
  <c r="AN423" i="4"/>
  <c r="AE423" i="4"/>
  <c r="AD423" i="4"/>
  <c r="AC423" i="4"/>
  <c r="Z423" i="4"/>
  <c r="AB423" i="4"/>
  <c r="Y423" i="4"/>
  <c r="AI423" i="4"/>
  <c r="AU423" i="4"/>
  <c r="AV423" i="4"/>
  <c r="AW423" i="4"/>
  <c r="AF423" i="4"/>
  <c r="W423" i="4"/>
  <c r="V423" i="4"/>
  <c r="U423" i="4"/>
  <c r="AA423" i="4"/>
  <c r="Q423" i="4"/>
  <c r="T423" i="4"/>
  <c r="R423" i="4"/>
  <c r="X423" i="4"/>
  <c r="O423" i="4"/>
  <c r="N423" i="4"/>
  <c r="M423" i="4"/>
  <c r="S423" i="4"/>
  <c r="I423" i="4"/>
  <c r="J423" i="4"/>
  <c r="L423" i="4"/>
  <c r="AS423" i="4"/>
  <c r="AT423" i="4"/>
  <c r="AR423" i="4"/>
  <c r="P423" i="4"/>
  <c r="H423" i="4"/>
  <c r="G423" i="4"/>
  <c r="BF417" i="4"/>
  <c r="BG416" i="4"/>
  <c r="BF416" i="4"/>
  <c r="BG415" i="4"/>
  <c r="BF415" i="4"/>
  <c r="BG414" i="4"/>
  <c r="BF414" i="4"/>
  <c r="BG413" i="4"/>
  <c r="BF413" i="4"/>
  <c r="BG412" i="4"/>
  <c r="BF412" i="4"/>
  <c r="BF411" i="4"/>
  <c r="BG410" i="4"/>
  <c r="BF410" i="4"/>
  <c r="BG409" i="4"/>
  <c r="BF409" i="4"/>
  <c r="BG408" i="4"/>
  <c r="BF408" i="4"/>
  <c r="BF407" i="4"/>
  <c r="BG406" i="4"/>
  <c r="BF406" i="4"/>
  <c r="BG405" i="4"/>
  <c r="BF405" i="4"/>
  <c r="BG404" i="4"/>
  <c r="BF404" i="4"/>
  <c r="AP404" i="4"/>
  <c r="AX404" i="4"/>
  <c r="AX476" i="4"/>
  <c r="AM404" i="4"/>
  <c r="AL404" i="4"/>
  <c r="AK404" i="4"/>
  <c r="AJ404" i="4"/>
  <c r="AH404" i="4"/>
  <c r="K423" i="4"/>
  <c r="AG404" i="4"/>
  <c r="AN404" i="4"/>
  <c r="AE404" i="4"/>
  <c r="AD404" i="4"/>
  <c r="AC404" i="4"/>
  <c r="AB404" i="4"/>
  <c r="Z404" i="4"/>
  <c r="Y404" i="4"/>
  <c r="AI404" i="4"/>
  <c r="AW404" i="4"/>
  <c r="AW476" i="4"/>
  <c r="AW478" i="4"/>
  <c r="AU404" i="4"/>
  <c r="AU476" i="4"/>
  <c r="AU478" i="4"/>
  <c r="AV404" i="4"/>
  <c r="AV476" i="4"/>
  <c r="AV478" i="4"/>
  <c r="AF404" i="4"/>
  <c r="W404" i="4"/>
  <c r="V404" i="4"/>
  <c r="U404" i="4"/>
  <c r="R404" i="4"/>
  <c r="AA404" i="4"/>
  <c r="Q404" i="4"/>
  <c r="T404" i="4"/>
  <c r="X404" i="4"/>
  <c r="O404" i="4"/>
  <c r="N404" i="4"/>
  <c r="M404" i="4"/>
  <c r="I404" i="4"/>
  <c r="L404" i="4"/>
  <c r="J404" i="4"/>
  <c r="S404" i="4"/>
  <c r="AT404" i="4"/>
  <c r="AT476" i="4"/>
  <c r="AT478" i="4"/>
  <c r="AT480" i="4"/>
  <c r="G487" i="4"/>
  <c r="G489" i="4"/>
  <c r="AS404" i="4"/>
  <c r="AS476" i="4"/>
  <c r="AS478" i="4"/>
  <c r="AS480" i="4"/>
  <c r="F487" i="4"/>
  <c r="F489" i="4"/>
  <c r="AR404" i="4"/>
  <c r="AR476" i="4"/>
  <c r="AR478" i="4"/>
  <c r="P404" i="4"/>
  <c r="H404" i="4"/>
  <c r="G404" i="4"/>
  <c r="BG403" i="4"/>
  <c r="BF403" i="4"/>
  <c r="BG402" i="4"/>
  <c r="BF402" i="4"/>
  <c r="BG401" i="4"/>
  <c r="BF401" i="4"/>
  <c r="BG400" i="4"/>
  <c r="BF400" i="4"/>
  <c r="BG399" i="4"/>
  <c r="BF399" i="4"/>
  <c r="AX399" i="4"/>
  <c r="AP399" i="4"/>
  <c r="AM399" i="4"/>
  <c r="AL399" i="4"/>
  <c r="AK399" i="4"/>
  <c r="AH399" i="4"/>
  <c r="AJ399" i="4"/>
  <c r="K404" i="4"/>
  <c r="AG399" i="4"/>
  <c r="AN399" i="4"/>
  <c r="AR479" i="4"/>
  <c r="AR480" i="4"/>
  <c r="AE399" i="4"/>
  <c r="AD399" i="4"/>
  <c r="AC399" i="4"/>
  <c r="AI399" i="4"/>
  <c r="Y399" i="4"/>
  <c r="AB399" i="4"/>
  <c r="Z399" i="4"/>
  <c r="AW399" i="4"/>
  <c r="AV399" i="4"/>
  <c r="AU399" i="4"/>
  <c r="AF399" i="4"/>
  <c r="E487" i="4"/>
  <c r="AX480" i="4"/>
  <c r="W399" i="4"/>
  <c r="V399" i="4"/>
  <c r="U399" i="4"/>
  <c r="R399" i="4"/>
  <c r="T399" i="4"/>
  <c r="Q399" i="4"/>
  <c r="AA399" i="4"/>
  <c r="X399" i="4"/>
  <c r="E489" i="4"/>
  <c r="L487" i="4"/>
  <c r="L489" i="4"/>
  <c r="O399" i="4"/>
  <c r="N399" i="4"/>
  <c r="M399" i="4"/>
  <c r="L399" i="4"/>
  <c r="S399" i="4"/>
  <c r="J399" i="4"/>
  <c r="I399" i="4"/>
  <c r="AR399" i="4"/>
  <c r="AS399" i="4"/>
  <c r="AT399" i="4"/>
  <c r="P399" i="4"/>
  <c r="H399" i="4"/>
  <c r="G399" i="4"/>
  <c r="BG398" i="4"/>
  <c r="BF398" i="4"/>
  <c r="AP398" i="4"/>
  <c r="AX398" i="4"/>
  <c r="AM398" i="4"/>
  <c r="AL398" i="4"/>
  <c r="AK398" i="4"/>
  <c r="AG398" i="4"/>
  <c r="K399" i="4"/>
  <c r="AJ398" i="4"/>
  <c r="AH398" i="4"/>
  <c r="AN398" i="4"/>
  <c r="AE398" i="4"/>
  <c r="AD398" i="4"/>
  <c r="AC398" i="4"/>
  <c r="AB398" i="4"/>
  <c r="Y398" i="4"/>
  <c r="AI398" i="4"/>
  <c r="Z398" i="4"/>
  <c r="AW398" i="4"/>
  <c r="AU398" i="4"/>
  <c r="AV398" i="4"/>
  <c r="AF398" i="4"/>
  <c r="W398" i="4"/>
  <c r="V398" i="4"/>
  <c r="U398" i="4"/>
  <c r="AA398" i="4"/>
  <c r="Q398" i="4"/>
  <c r="T398" i="4"/>
  <c r="R398" i="4"/>
  <c r="X398" i="4"/>
  <c r="O398" i="4"/>
  <c r="N398" i="4"/>
  <c r="M398" i="4"/>
  <c r="L398" i="4"/>
  <c r="I398" i="4"/>
  <c r="S398" i="4"/>
  <c r="J398" i="4"/>
  <c r="AR398" i="4"/>
  <c r="AS398" i="4"/>
  <c r="AT398" i="4"/>
  <c r="P398" i="4"/>
  <c r="H398" i="4"/>
  <c r="G398" i="4"/>
  <c r="BG397" i="4"/>
  <c r="BF397" i="4"/>
  <c r="AP397" i="4"/>
  <c r="AX397" i="4"/>
  <c r="AM397" i="4"/>
  <c r="AL397" i="4"/>
  <c r="AK397" i="4"/>
  <c r="AG397" i="4"/>
  <c r="K398" i="4"/>
  <c r="AH397" i="4"/>
  <c r="AJ397" i="4"/>
  <c r="AN397" i="4"/>
  <c r="AE397" i="4"/>
  <c r="AD397" i="4"/>
  <c r="AC397" i="4"/>
  <c r="AB397" i="4"/>
  <c r="Y397" i="4"/>
  <c r="AI397" i="4"/>
  <c r="Z397" i="4"/>
  <c r="AW397" i="4"/>
  <c r="AV397" i="4"/>
  <c r="AU397" i="4"/>
  <c r="AF397" i="4"/>
  <c r="W397" i="4"/>
  <c r="V397" i="4"/>
  <c r="U397" i="4"/>
  <c r="AA397" i="4"/>
  <c r="Q397" i="4"/>
  <c r="T397" i="4"/>
  <c r="R397" i="4"/>
  <c r="X397" i="4"/>
  <c r="O397" i="4"/>
  <c r="N397" i="4"/>
  <c r="M397" i="4"/>
  <c r="L397" i="4"/>
  <c r="I397" i="4"/>
  <c r="S397" i="4"/>
  <c r="J397" i="4"/>
  <c r="AR397" i="4"/>
  <c r="AS397" i="4"/>
  <c r="AT397" i="4"/>
  <c r="P397" i="4"/>
  <c r="H397" i="4"/>
  <c r="G397" i="4"/>
  <c r="BG396" i="4"/>
  <c r="BF396" i="4"/>
  <c r="AP396" i="4"/>
  <c r="AX396" i="4"/>
  <c r="AM396" i="4"/>
  <c r="AL396" i="4"/>
  <c r="AK396" i="4"/>
  <c r="AG396" i="4"/>
  <c r="K397" i="4"/>
  <c r="AH396" i="4"/>
  <c r="AJ396" i="4"/>
  <c r="AN396" i="4"/>
  <c r="AE396" i="4"/>
  <c r="AD396" i="4"/>
  <c r="AC396" i="4"/>
  <c r="AB396" i="4"/>
  <c r="Y396" i="4"/>
  <c r="AI396" i="4"/>
  <c r="Z396" i="4"/>
  <c r="AW396" i="4"/>
  <c r="AV396" i="4"/>
  <c r="AU396" i="4"/>
  <c r="AF396" i="4"/>
  <c r="W396" i="4"/>
  <c r="V396" i="4"/>
  <c r="U396" i="4"/>
  <c r="AA396" i="4"/>
  <c r="Q396" i="4"/>
  <c r="T396" i="4"/>
  <c r="R396" i="4"/>
  <c r="X396" i="4"/>
  <c r="O396" i="4"/>
  <c r="N396" i="4"/>
  <c r="M396" i="4"/>
  <c r="L396" i="4"/>
  <c r="I396" i="4"/>
  <c r="S396" i="4"/>
  <c r="J396" i="4"/>
  <c r="AR396" i="4"/>
  <c r="AS396" i="4"/>
  <c r="AT396" i="4"/>
  <c r="P396" i="4"/>
  <c r="H396" i="4"/>
  <c r="G396" i="4"/>
  <c r="BG395" i="4"/>
  <c r="BF395" i="4"/>
  <c r="AP395" i="4"/>
  <c r="AX395" i="4"/>
  <c r="AM395" i="4"/>
  <c r="AL395" i="4"/>
  <c r="AK395" i="4"/>
  <c r="AG395" i="4"/>
  <c r="K396" i="4"/>
  <c r="AH395" i="4"/>
  <c r="AJ395" i="4"/>
  <c r="AN395" i="4"/>
  <c r="AD395" i="4"/>
  <c r="AC395" i="4"/>
  <c r="Y395" i="4"/>
  <c r="AB395" i="4"/>
  <c r="Z395" i="4"/>
  <c r="AI395" i="4"/>
  <c r="AW395" i="4"/>
  <c r="AV395" i="4"/>
  <c r="AU395" i="4"/>
  <c r="AF395" i="4"/>
  <c r="W395" i="4"/>
  <c r="V395" i="4"/>
  <c r="U395" i="4"/>
  <c r="R395" i="4"/>
  <c r="Q395" i="4"/>
  <c r="T395" i="4"/>
  <c r="AA395" i="4"/>
  <c r="X395" i="4"/>
  <c r="O395" i="4"/>
  <c r="N395" i="4"/>
  <c r="M395" i="4"/>
  <c r="L395" i="4"/>
  <c r="I395" i="4"/>
  <c r="S395" i="4"/>
  <c r="J395" i="4"/>
  <c r="AR395" i="4"/>
  <c r="AS395" i="4"/>
  <c r="AT395" i="4"/>
  <c r="P395" i="4"/>
  <c r="H395" i="4"/>
  <c r="G395" i="4"/>
  <c r="BG394" i="4"/>
  <c r="BF394" i="4"/>
  <c r="AP394" i="4"/>
  <c r="AX394" i="4"/>
  <c r="AM394" i="4"/>
  <c r="AL394" i="4"/>
  <c r="AK394" i="4"/>
  <c r="AG394" i="4"/>
  <c r="K395" i="4"/>
  <c r="AH394" i="4"/>
  <c r="AJ394" i="4"/>
  <c r="AN394" i="4"/>
  <c r="AE394" i="4"/>
  <c r="AD394" i="4"/>
  <c r="AC394" i="4"/>
  <c r="AB394" i="4"/>
  <c r="Y394" i="4"/>
  <c r="AI394" i="4"/>
  <c r="Z394" i="4"/>
  <c r="AW394" i="4"/>
  <c r="AV394" i="4"/>
  <c r="AU394" i="4"/>
  <c r="AF394" i="4"/>
  <c r="W394" i="4"/>
  <c r="V394" i="4"/>
  <c r="U394" i="4"/>
  <c r="T394" i="4"/>
  <c r="Q394" i="4"/>
  <c r="R394" i="4"/>
  <c r="AA394" i="4"/>
  <c r="X394" i="4"/>
  <c r="O394" i="4"/>
  <c r="N394" i="4"/>
  <c r="M394" i="4"/>
  <c r="L394" i="4"/>
  <c r="I394" i="4"/>
  <c r="S394" i="4"/>
  <c r="J394" i="4"/>
  <c r="AR394" i="4"/>
  <c r="AS394" i="4"/>
  <c r="AT394" i="4"/>
  <c r="P394" i="4"/>
  <c r="H394" i="4"/>
  <c r="G394" i="4"/>
  <c r="BG393" i="4"/>
  <c r="BF393" i="4"/>
  <c r="AP393" i="4"/>
  <c r="AX393" i="4"/>
  <c r="AM393" i="4"/>
  <c r="AL393" i="4"/>
  <c r="AK393" i="4"/>
  <c r="AG393" i="4"/>
  <c r="K394" i="4"/>
  <c r="AH393" i="4"/>
  <c r="AJ393" i="4"/>
  <c r="AN393" i="4"/>
  <c r="AE393" i="4"/>
  <c r="AD393" i="4"/>
  <c r="AC393" i="4"/>
  <c r="AB393" i="4"/>
  <c r="Y393" i="4"/>
  <c r="AI393" i="4"/>
  <c r="Z393" i="4"/>
  <c r="AW393" i="4"/>
  <c r="AV393" i="4"/>
  <c r="AU393" i="4"/>
  <c r="AF393" i="4"/>
  <c r="W393" i="4"/>
  <c r="V393" i="4"/>
  <c r="U393" i="4"/>
  <c r="T393" i="4"/>
  <c r="Q393" i="4"/>
  <c r="R393" i="4"/>
  <c r="AA393" i="4"/>
  <c r="X393" i="4"/>
  <c r="O393" i="4"/>
  <c r="N393" i="4"/>
  <c r="M393" i="4"/>
  <c r="L393" i="4"/>
  <c r="I393" i="4"/>
  <c r="S393" i="4"/>
  <c r="J393" i="4"/>
  <c r="AR393" i="4"/>
  <c r="AS393" i="4"/>
  <c r="AT393" i="4"/>
  <c r="P393" i="4"/>
  <c r="H393" i="4"/>
  <c r="G393" i="4"/>
  <c r="AP392" i="4"/>
  <c r="AX392" i="4"/>
  <c r="AM392" i="4"/>
  <c r="AL392" i="4"/>
  <c r="AK392" i="4"/>
  <c r="K393" i="4"/>
  <c r="AJ392" i="4"/>
  <c r="AH392" i="4"/>
  <c r="AG392" i="4"/>
  <c r="AN392" i="4"/>
  <c r="AE392" i="4"/>
  <c r="AD392" i="4"/>
  <c r="AC392" i="4"/>
  <c r="AB392" i="4"/>
  <c r="Y392" i="4"/>
  <c r="AI392" i="4"/>
  <c r="Z392" i="4"/>
  <c r="AV392" i="4"/>
  <c r="AU392" i="4"/>
  <c r="AW392" i="4"/>
  <c r="AF392" i="4"/>
  <c r="W392" i="4"/>
  <c r="V392" i="4"/>
  <c r="U392" i="4"/>
  <c r="R392" i="4"/>
  <c r="Q392" i="4"/>
  <c r="T392" i="4"/>
  <c r="AA392" i="4"/>
  <c r="X392" i="4"/>
  <c r="O392" i="4"/>
  <c r="N392" i="4"/>
  <c r="M392" i="4"/>
  <c r="L392" i="4"/>
  <c r="I392" i="4"/>
  <c r="S392" i="4"/>
  <c r="J392" i="4"/>
  <c r="AS392" i="4"/>
  <c r="AT392" i="4"/>
  <c r="AR392" i="4"/>
  <c r="P392" i="4"/>
  <c r="H392" i="4"/>
  <c r="G392" i="4"/>
  <c r="AP391" i="4"/>
  <c r="AX391" i="4"/>
  <c r="AM391" i="4"/>
  <c r="AL391" i="4"/>
  <c r="AK391" i="4"/>
  <c r="AG391" i="4"/>
  <c r="AJ391" i="4"/>
  <c r="K392" i="4"/>
  <c r="AH391" i="4"/>
  <c r="AN391" i="4"/>
  <c r="AE391" i="4"/>
  <c r="AD391" i="4"/>
  <c r="AC391" i="4"/>
  <c r="AB391" i="4"/>
  <c r="Y391" i="4"/>
  <c r="AI391" i="4"/>
  <c r="Z391" i="4"/>
  <c r="AV391" i="4"/>
  <c r="AU391" i="4"/>
  <c r="AW391" i="4"/>
  <c r="AF391" i="4"/>
  <c r="W391" i="4"/>
  <c r="V391" i="4"/>
  <c r="U391" i="4"/>
  <c r="Q391" i="4"/>
  <c r="R391" i="4"/>
  <c r="AA391" i="4"/>
  <c r="T391" i="4"/>
  <c r="X391" i="4"/>
  <c r="O391" i="4"/>
  <c r="N391" i="4"/>
  <c r="M391" i="4"/>
  <c r="L391" i="4"/>
  <c r="J391" i="4"/>
  <c r="I391" i="4"/>
  <c r="S391" i="4"/>
  <c r="AS391" i="4"/>
  <c r="AT391" i="4"/>
  <c r="AR391" i="4"/>
  <c r="P391" i="4"/>
  <c r="H391" i="4"/>
  <c r="G391" i="4"/>
  <c r="AP390" i="4"/>
  <c r="AX390" i="4"/>
  <c r="AM390" i="4"/>
  <c r="AL390" i="4"/>
  <c r="AK390" i="4"/>
  <c r="AG390" i="4"/>
  <c r="K391" i="4"/>
  <c r="AJ390" i="4"/>
  <c r="AH390" i="4"/>
  <c r="AN390" i="4"/>
  <c r="AE390" i="4"/>
  <c r="AD390" i="4"/>
  <c r="AC390" i="4"/>
  <c r="AB390" i="4"/>
  <c r="Y390" i="4"/>
  <c r="AI390" i="4"/>
  <c r="Z390" i="4"/>
  <c r="AV390" i="4"/>
  <c r="AW390" i="4"/>
  <c r="AU390" i="4"/>
  <c r="AF390" i="4"/>
  <c r="W390" i="4"/>
  <c r="V390" i="4"/>
  <c r="U390" i="4"/>
  <c r="Q390" i="4"/>
  <c r="T390" i="4"/>
  <c r="AA390" i="4"/>
  <c r="R390" i="4"/>
  <c r="X390" i="4"/>
  <c r="O390" i="4"/>
  <c r="N390" i="4"/>
  <c r="M390" i="4"/>
  <c r="J390" i="4"/>
  <c r="L390" i="4"/>
  <c r="I390" i="4"/>
  <c r="S390" i="4"/>
  <c r="AS390" i="4"/>
  <c r="AT390" i="4"/>
  <c r="AR390" i="4"/>
  <c r="P390" i="4"/>
  <c r="H390" i="4"/>
  <c r="H476" i="4"/>
  <c r="G390" i="4"/>
  <c r="G476" i="4"/>
  <c r="AX378" i="4"/>
  <c r="AW378" i="4"/>
  <c r="AV378" i="4"/>
  <c r="AU378" i="4"/>
  <c r="AT378" i="4"/>
  <c r="AS378" i="4"/>
  <c r="AR378" i="4"/>
  <c r="AP376" i="4"/>
  <c r="AX376" i="4"/>
  <c r="AM376" i="4"/>
  <c r="AL376" i="4"/>
  <c r="AK376" i="4"/>
  <c r="AJ376" i="4"/>
  <c r="K390" i="4"/>
  <c r="AH376" i="4"/>
  <c r="AG376" i="4"/>
  <c r="AN376" i="4"/>
  <c r="G477" i="4"/>
  <c r="B480" i="4"/>
  <c r="AD376" i="4"/>
  <c r="AC376" i="4"/>
  <c r="AB376" i="4"/>
  <c r="AI376" i="4"/>
  <c r="Z376" i="4"/>
  <c r="Y376" i="4"/>
  <c r="AU376" i="4"/>
  <c r="AW376" i="4"/>
  <c r="AV376" i="4"/>
  <c r="AF376" i="4"/>
  <c r="W376" i="4"/>
  <c r="V376" i="4"/>
  <c r="U376" i="4"/>
  <c r="T376" i="4"/>
  <c r="Q376" i="4"/>
  <c r="R376" i="4"/>
  <c r="AA376" i="4"/>
  <c r="X376" i="4"/>
  <c r="O376" i="4"/>
  <c r="N376" i="4"/>
  <c r="M376" i="4"/>
  <c r="L376" i="4"/>
  <c r="I376" i="4"/>
  <c r="S376" i="4"/>
  <c r="J376" i="4"/>
  <c r="AR376" i="4"/>
  <c r="AS376" i="4"/>
  <c r="AT376" i="4"/>
  <c r="P376" i="4"/>
  <c r="H376" i="4"/>
  <c r="G376" i="4"/>
  <c r="AP375" i="4"/>
  <c r="AX375" i="4"/>
  <c r="AL375" i="4"/>
  <c r="AK375" i="4"/>
  <c r="AG375" i="4"/>
  <c r="AJ375" i="4"/>
  <c r="AH375" i="4"/>
  <c r="K376" i="4"/>
  <c r="AN375" i="4"/>
  <c r="AD375" i="4"/>
  <c r="AC375" i="4"/>
  <c r="Y375" i="4"/>
  <c r="AB375" i="4"/>
  <c r="Z375" i="4"/>
  <c r="AI375" i="4"/>
  <c r="AU375" i="4"/>
  <c r="AV375" i="4"/>
  <c r="AW375" i="4"/>
  <c r="AF375" i="4"/>
  <c r="W375" i="4"/>
  <c r="V375" i="4"/>
  <c r="U375" i="4"/>
  <c r="AA375" i="4"/>
  <c r="T375" i="4"/>
  <c r="R375" i="4"/>
  <c r="Q375" i="4"/>
  <c r="X375" i="4"/>
  <c r="O375" i="4"/>
  <c r="N375" i="4"/>
  <c r="M375" i="4"/>
  <c r="L375" i="4"/>
  <c r="I375" i="4"/>
  <c r="S375" i="4"/>
  <c r="J375" i="4"/>
  <c r="AS375" i="4"/>
  <c r="AT375" i="4"/>
  <c r="AR375" i="4"/>
  <c r="P375" i="4"/>
  <c r="H375" i="4"/>
  <c r="G375" i="4"/>
  <c r="AP374" i="4"/>
  <c r="AX374" i="4"/>
  <c r="AL374" i="4"/>
  <c r="AK374" i="4"/>
  <c r="AJ374" i="4"/>
  <c r="K375" i="4"/>
  <c r="AH374" i="4"/>
  <c r="AG374" i="4"/>
  <c r="AN374" i="4"/>
  <c r="AD374" i="4"/>
  <c r="AC374" i="4"/>
  <c r="Z374" i="4"/>
  <c r="AI374" i="4"/>
  <c r="Y374" i="4"/>
  <c r="AB374" i="4"/>
  <c r="AV374" i="4"/>
  <c r="AU374" i="4"/>
  <c r="AW374" i="4"/>
  <c r="AF374" i="4"/>
  <c r="W374" i="4"/>
  <c r="V374" i="4"/>
  <c r="U374" i="4"/>
  <c r="Q374" i="4"/>
  <c r="R374" i="4"/>
  <c r="AA374" i="4"/>
  <c r="T374" i="4"/>
  <c r="X374" i="4"/>
  <c r="O374" i="4"/>
  <c r="N374" i="4"/>
  <c r="M374" i="4"/>
  <c r="L374" i="4"/>
  <c r="I374" i="4"/>
  <c r="S374" i="4"/>
  <c r="J374" i="4"/>
  <c r="AS374" i="4"/>
  <c r="AT374" i="4"/>
  <c r="AR374" i="4"/>
  <c r="P374" i="4"/>
  <c r="H374" i="4"/>
  <c r="G374" i="4"/>
  <c r="AP373" i="4"/>
  <c r="AX373" i="4"/>
  <c r="AL373" i="4"/>
  <c r="AK373" i="4"/>
  <c r="AH373" i="4"/>
  <c r="AG373" i="4"/>
  <c r="AJ373" i="4"/>
  <c r="K374" i="4"/>
  <c r="AN373" i="4"/>
  <c r="AD373" i="4"/>
  <c r="AC373" i="4"/>
  <c r="Z373" i="4"/>
  <c r="AI373" i="4"/>
  <c r="Y373" i="4"/>
  <c r="AB373" i="4"/>
  <c r="AU373" i="4"/>
  <c r="AV373" i="4"/>
  <c r="AW373" i="4"/>
  <c r="AF373" i="4"/>
  <c r="W373" i="4"/>
  <c r="V373" i="4"/>
  <c r="U373" i="4"/>
  <c r="Q373" i="4"/>
  <c r="AA373" i="4"/>
  <c r="R373" i="4"/>
  <c r="T373" i="4"/>
  <c r="X373" i="4"/>
  <c r="O373" i="4"/>
  <c r="N373" i="4"/>
  <c r="M373" i="4"/>
  <c r="I373" i="4"/>
  <c r="S373" i="4"/>
  <c r="J373" i="4"/>
  <c r="L373" i="4"/>
  <c r="AS373" i="4"/>
  <c r="AT373" i="4"/>
  <c r="AR373" i="4"/>
  <c r="P373" i="4"/>
  <c r="H373" i="4"/>
  <c r="G373" i="4"/>
  <c r="AP372" i="4"/>
  <c r="AX372" i="4"/>
  <c r="AL372" i="4"/>
  <c r="AK372" i="4"/>
  <c r="AJ372" i="4"/>
  <c r="K373" i="4"/>
  <c r="AH372" i="4"/>
  <c r="AG372" i="4"/>
  <c r="AN372" i="4"/>
  <c r="AD372" i="4"/>
  <c r="AC372" i="4"/>
  <c r="Y372" i="4"/>
  <c r="AB372" i="4"/>
  <c r="Z372" i="4"/>
  <c r="AI372" i="4"/>
  <c r="AV372" i="4"/>
  <c r="AU372" i="4"/>
  <c r="AW372" i="4"/>
  <c r="AF372" i="4"/>
  <c r="W372" i="4"/>
  <c r="V372" i="4"/>
  <c r="U372" i="4"/>
  <c r="R372" i="4"/>
  <c r="Q372" i="4"/>
  <c r="T372" i="4"/>
  <c r="AA372" i="4"/>
  <c r="X372" i="4"/>
  <c r="O372" i="4"/>
  <c r="N372" i="4"/>
  <c r="M372" i="4"/>
  <c r="L372" i="4"/>
  <c r="I372" i="4"/>
  <c r="S372" i="4"/>
  <c r="J372" i="4"/>
  <c r="AS372" i="4"/>
  <c r="AT372" i="4"/>
  <c r="AR372" i="4"/>
  <c r="P372" i="4"/>
  <c r="H372" i="4"/>
  <c r="G372" i="4"/>
  <c r="AP371" i="4"/>
  <c r="AX371" i="4"/>
  <c r="AL371" i="4"/>
  <c r="AK371" i="4"/>
  <c r="AH371" i="4"/>
  <c r="AG371" i="4"/>
  <c r="AJ371" i="4"/>
  <c r="K372" i="4"/>
  <c r="AN371" i="4"/>
  <c r="AD371" i="4"/>
  <c r="AC371" i="4"/>
  <c r="Y371" i="4"/>
  <c r="AB371" i="4"/>
  <c r="Z371" i="4"/>
  <c r="AI371" i="4"/>
  <c r="AV371" i="4"/>
  <c r="AW371" i="4"/>
  <c r="AU371" i="4"/>
  <c r="AF371" i="4"/>
  <c r="W371" i="4"/>
  <c r="V371" i="4"/>
  <c r="U371" i="4"/>
  <c r="R371" i="4"/>
  <c r="AA371" i="4"/>
  <c r="T371" i="4"/>
  <c r="Q371" i="4"/>
  <c r="X371" i="4"/>
  <c r="O371" i="4"/>
  <c r="N371" i="4"/>
  <c r="M371" i="4"/>
  <c r="I371" i="4"/>
  <c r="S371" i="4"/>
  <c r="J371" i="4"/>
  <c r="L371" i="4"/>
  <c r="AS371" i="4"/>
  <c r="AT371" i="4"/>
  <c r="AR371" i="4"/>
  <c r="P371" i="4"/>
  <c r="H371" i="4"/>
  <c r="G371" i="4"/>
  <c r="AP370" i="4"/>
  <c r="AX370" i="4"/>
  <c r="AL370" i="4"/>
  <c r="AK370" i="4"/>
  <c r="K371" i="4"/>
  <c r="AG370" i="4"/>
  <c r="AH370" i="4"/>
  <c r="AJ370" i="4"/>
  <c r="AN370" i="4"/>
  <c r="AD370" i="4"/>
  <c r="AC370" i="4"/>
  <c r="Z370" i="4"/>
  <c r="AI370" i="4"/>
  <c r="Y370" i="4"/>
  <c r="AB370" i="4"/>
  <c r="AV370" i="4"/>
  <c r="AU370" i="4"/>
  <c r="AW370" i="4"/>
  <c r="AF370" i="4"/>
  <c r="W370" i="4"/>
  <c r="V370" i="4"/>
  <c r="U370" i="4"/>
  <c r="Q370" i="4"/>
  <c r="R370" i="4"/>
  <c r="AA370" i="4"/>
  <c r="T370" i="4"/>
  <c r="X370" i="4"/>
  <c r="O370" i="4"/>
  <c r="N370" i="4"/>
  <c r="M370" i="4"/>
  <c r="I370" i="4"/>
  <c r="S370" i="4"/>
  <c r="J370" i="4"/>
  <c r="L370" i="4"/>
  <c r="AS370" i="4"/>
  <c r="AT370" i="4"/>
  <c r="AR370" i="4"/>
  <c r="P370" i="4"/>
  <c r="H370" i="4"/>
  <c r="G370" i="4"/>
  <c r="AP369" i="4"/>
  <c r="AX369" i="4"/>
  <c r="AL369" i="4"/>
  <c r="AK369" i="4"/>
  <c r="AJ369" i="4"/>
  <c r="AG369" i="4"/>
  <c r="AH369" i="4"/>
  <c r="K370" i="4"/>
  <c r="AN369" i="4"/>
  <c r="AD369" i="4"/>
  <c r="AC369" i="4"/>
  <c r="Y369" i="4"/>
  <c r="AI369" i="4"/>
  <c r="AB369" i="4"/>
  <c r="Z369" i="4"/>
  <c r="AU369" i="4"/>
  <c r="AV369" i="4"/>
  <c r="AW369" i="4"/>
  <c r="AF369" i="4"/>
  <c r="W369" i="4"/>
  <c r="V369" i="4"/>
  <c r="U369" i="4"/>
  <c r="Q369" i="4"/>
  <c r="T369" i="4"/>
  <c r="AA369" i="4"/>
  <c r="R369" i="4"/>
  <c r="X369" i="4"/>
  <c r="O369" i="4"/>
  <c r="N369" i="4"/>
  <c r="M369" i="4"/>
  <c r="I369" i="4"/>
  <c r="S369" i="4"/>
  <c r="J369" i="4"/>
  <c r="L369" i="4"/>
  <c r="AS369" i="4"/>
  <c r="AR369" i="4"/>
  <c r="AT369" i="4"/>
  <c r="P369" i="4"/>
  <c r="H369" i="4"/>
  <c r="G369" i="4"/>
  <c r="AP368" i="4"/>
  <c r="AX368" i="4"/>
  <c r="AL368" i="4"/>
  <c r="AK368" i="4"/>
  <c r="K369" i="4"/>
  <c r="AJ368" i="4"/>
  <c r="AG368" i="4"/>
  <c r="AH368" i="4"/>
  <c r="AN368" i="4"/>
  <c r="AE368" i="4"/>
  <c r="AD368" i="4"/>
  <c r="AC368" i="4"/>
  <c r="AB368" i="4"/>
  <c r="Z368" i="4"/>
  <c r="Y368" i="4"/>
  <c r="AI368" i="4"/>
  <c r="AV368" i="4"/>
  <c r="AU368" i="4"/>
  <c r="AW368" i="4"/>
  <c r="AF368" i="4"/>
  <c r="W368" i="4"/>
  <c r="V368" i="4"/>
  <c r="U368" i="4"/>
  <c r="AA368" i="4"/>
  <c r="Q368" i="4"/>
  <c r="T368" i="4"/>
  <c r="R368" i="4"/>
  <c r="X368" i="4"/>
  <c r="O368" i="4"/>
  <c r="N368" i="4"/>
  <c r="M368" i="4"/>
  <c r="L368" i="4"/>
  <c r="J368" i="4"/>
  <c r="I368" i="4"/>
  <c r="S368" i="4"/>
  <c r="AS368" i="4"/>
  <c r="AT368" i="4"/>
  <c r="AR368" i="4"/>
  <c r="P368" i="4"/>
  <c r="H368" i="4"/>
  <c r="G368" i="4"/>
  <c r="AP367" i="4"/>
  <c r="AX367" i="4"/>
  <c r="AM367" i="4"/>
  <c r="AL367" i="4"/>
  <c r="AK367" i="4"/>
  <c r="K368" i="4"/>
  <c r="AH367" i="4"/>
  <c r="AG367" i="4"/>
  <c r="AJ367" i="4"/>
  <c r="AN367" i="4"/>
  <c r="AE367" i="4"/>
  <c r="AD367" i="4"/>
  <c r="AC367" i="4"/>
  <c r="Z367" i="4"/>
  <c r="AB367" i="4"/>
  <c r="Y367" i="4"/>
  <c r="AI367" i="4"/>
  <c r="AU367" i="4"/>
  <c r="AW367" i="4"/>
  <c r="AV367" i="4"/>
  <c r="AF367" i="4"/>
  <c r="W367" i="4"/>
  <c r="V367" i="4"/>
  <c r="U367" i="4"/>
  <c r="R367" i="4"/>
  <c r="AA367" i="4"/>
  <c r="Q367" i="4"/>
  <c r="T367" i="4"/>
  <c r="X367" i="4"/>
  <c r="O367" i="4"/>
  <c r="N367" i="4"/>
  <c r="M367" i="4"/>
  <c r="J367" i="4"/>
  <c r="L367" i="4"/>
  <c r="I367" i="4"/>
  <c r="S367" i="4"/>
  <c r="AS367" i="4"/>
  <c r="AT367" i="4"/>
  <c r="AR367" i="4"/>
  <c r="P367" i="4"/>
  <c r="H367" i="4"/>
  <c r="G367" i="4"/>
  <c r="AP366" i="4"/>
  <c r="AX366" i="4"/>
  <c r="AM366" i="4"/>
  <c r="AL366" i="4"/>
  <c r="AK366" i="4"/>
  <c r="AG366" i="4"/>
  <c r="K367" i="4"/>
  <c r="AJ366" i="4"/>
  <c r="AH366" i="4"/>
  <c r="AN366" i="4"/>
  <c r="AE366" i="4"/>
  <c r="AD366" i="4"/>
  <c r="AC366" i="4"/>
  <c r="Y366" i="4"/>
  <c r="AI366" i="4"/>
  <c r="Z366" i="4"/>
  <c r="AB366" i="4"/>
  <c r="AV366" i="4"/>
  <c r="AU366" i="4"/>
  <c r="AW366" i="4"/>
  <c r="AF366" i="4"/>
  <c r="W366" i="4"/>
  <c r="V366" i="4"/>
  <c r="U366" i="4"/>
  <c r="T366" i="4"/>
  <c r="Q366" i="4"/>
  <c r="AA366" i="4"/>
  <c r="R366" i="4"/>
  <c r="X366" i="4"/>
  <c r="O366" i="4"/>
  <c r="N366" i="4"/>
  <c r="M366" i="4"/>
  <c r="J366" i="4"/>
  <c r="L366" i="4"/>
  <c r="I366" i="4"/>
  <c r="S366" i="4"/>
  <c r="AS366" i="4"/>
  <c r="AT366" i="4"/>
  <c r="AR366" i="4"/>
  <c r="P366" i="4"/>
  <c r="H366" i="4"/>
  <c r="G366" i="4"/>
  <c r="AP365" i="4"/>
  <c r="AX365" i="4"/>
  <c r="AM365" i="4"/>
  <c r="AL365" i="4"/>
  <c r="AK365" i="4"/>
  <c r="AH365" i="4"/>
  <c r="AG365" i="4"/>
  <c r="K366" i="4"/>
  <c r="AJ365" i="4"/>
  <c r="AN365" i="4"/>
  <c r="AE365" i="4"/>
  <c r="AD365" i="4"/>
  <c r="AC365" i="4"/>
  <c r="AI365" i="4"/>
  <c r="Z365" i="4"/>
  <c r="AB365" i="4"/>
  <c r="Y365" i="4"/>
  <c r="AV365" i="4"/>
  <c r="AU365" i="4"/>
  <c r="AW365" i="4"/>
  <c r="AF365" i="4"/>
  <c r="W365" i="4"/>
  <c r="V365" i="4"/>
  <c r="U365" i="4"/>
  <c r="R365" i="4"/>
  <c r="AA365" i="4"/>
  <c r="T365" i="4"/>
  <c r="Q365" i="4"/>
  <c r="X365" i="4"/>
  <c r="O365" i="4"/>
  <c r="N365" i="4"/>
  <c r="M365" i="4"/>
  <c r="I365" i="4"/>
  <c r="J365" i="4"/>
  <c r="L365" i="4"/>
  <c r="S365" i="4"/>
  <c r="AS365" i="4"/>
  <c r="AT365" i="4"/>
  <c r="AR365" i="4"/>
  <c r="P365" i="4"/>
  <c r="H365" i="4"/>
  <c r="G365" i="4"/>
  <c r="AP364" i="4"/>
  <c r="AX364" i="4"/>
  <c r="AM364" i="4"/>
  <c r="AL364" i="4"/>
  <c r="AK364" i="4"/>
  <c r="AJ364" i="4"/>
  <c r="AH364" i="4"/>
  <c r="AG364" i="4"/>
  <c r="K365" i="4"/>
  <c r="AN364" i="4"/>
  <c r="AE364" i="4"/>
  <c r="AD364" i="4"/>
  <c r="AC364" i="4"/>
  <c r="Y364" i="4"/>
  <c r="Z364" i="4"/>
  <c r="AB364" i="4"/>
  <c r="AI364" i="4"/>
  <c r="AV364" i="4"/>
  <c r="AU364" i="4"/>
  <c r="AW364" i="4"/>
  <c r="AF364" i="4"/>
  <c r="W364" i="4"/>
  <c r="V364" i="4"/>
  <c r="U364" i="4"/>
  <c r="Q364" i="4"/>
  <c r="T364" i="4"/>
  <c r="R364" i="4"/>
  <c r="AA364" i="4"/>
  <c r="X364" i="4"/>
  <c r="O364" i="4"/>
  <c r="N364" i="4"/>
  <c r="M364" i="4"/>
  <c r="I364" i="4"/>
  <c r="S364" i="4"/>
  <c r="J364" i="4"/>
  <c r="L364" i="4"/>
  <c r="AS364" i="4"/>
  <c r="AT364" i="4"/>
  <c r="AR364" i="4"/>
  <c r="P364" i="4"/>
  <c r="H364" i="4"/>
  <c r="G364" i="4"/>
  <c r="AP363" i="4"/>
  <c r="AX363" i="4"/>
  <c r="AM363" i="4"/>
  <c r="AL363" i="4"/>
  <c r="AK363" i="4"/>
  <c r="AJ363" i="4"/>
  <c r="AH363" i="4"/>
  <c r="AG363" i="4"/>
  <c r="K364" i="4"/>
  <c r="AN363" i="4"/>
  <c r="AE363" i="4"/>
  <c r="AD363" i="4"/>
  <c r="AC363" i="4"/>
  <c r="Z363" i="4"/>
  <c r="AB363" i="4"/>
  <c r="Y363" i="4"/>
  <c r="AI363" i="4"/>
  <c r="AU363" i="4"/>
  <c r="AV363" i="4"/>
  <c r="AW363" i="4"/>
  <c r="AF363" i="4"/>
  <c r="W363" i="4"/>
  <c r="V363" i="4"/>
  <c r="U363" i="4"/>
  <c r="Q363" i="4"/>
  <c r="R363" i="4"/>
  <c r="T363" i="4"/>
  <c r="AA363" i="4"/>
  <c r="X363" i="4"/>
  <c r="O363" i="4"/>
  <c r="N363" i="4"/>
  <c r="M363" i="4"/>
  <c r="I363" i="4"/>
  <c r="S363" i="4"/>
  <c r="J363" i="4"/>
  <c r="L363" i="4"/>
  <c r="AS363" i="4"/>
  <c r="AT363" i="4"/>
  <c r="AR363" i="4"/>
  <c r="P363" i="4"/>
  <c r="H363" i="4"/>
  <c r="G363" i="4"/>
  <c r="AP362" i="4"/>
  <c r="AX362" i="4"/>
  <c r="AM362" i="4"/>
  <c r="AL362" i="4"/>
  <c r="AK362" i="4"/>
  <c r="AG362" i="4"/>
  <c r="AJ362" i="4"/>
  <c r="K363" i="4"/>
  <c r="AH362" i="4"/>
  <c r="AN362" i="4"/>
  <c r="AE362" i="4"/>
  <c r="AD362" i="4"/>
  <c r="AC362" i="4"/>
  <c r="Z362" i="4"/>
  <c r="AB362" i="4"/>
  <c r="Y362" i="4"/>
  <c r="AI362" i="4"/>
  <c r="AV362" i="4"/>
  <c r="AU362" i="4"/>
  <c r="AW362" i="4"/>
  <c r="AF362" i="4"/>
  <c r="W362" i="4"/>
  <c r="V362" i="4"/>
  <c r="U362" i="4"/>
  <c r="AA362" i="4"/>
  <c r="T362" i="4"/>
  <c r="R362" i="4"/>
  <c r="Q362" i="4"/>
  <c r="X362" i="4"/>
  <c r="O362" i="4"/>
  <c r="N362" i="4"/>
  <c r="M362" i="4"/>
  <c r="J362" i="4"/>
  <c r="L362" i="4"/>
  <c r="I362" i="4"/>
  <c r="S362" i="4"/>
  <c r="AS362" i="4"/>
  <c r="AT362" i="4"/>
  <c r="AR362" i="4"/>
  <c r="P362" i="4"/>
  <c r="H362" i="4"/>
  <c r="G362" i="4"/>
  <c r="AP361" i="4"/>
  <c r="AX361" i="4"/>
  <c r="AM361" i="4"/>
  <c r="AL361" i="4"/>
  <c r="AK361" i="4"/>
  <c r="AG361" i="4"/>
  <c r="AJ361" i="4"/>
  <c r="K362" i="4"/>
  <c r="AH361" i="4"/>
  <c r="AN361" i="4"/>
  <c r="AE361" i="4"/>
  <c r="AD361" i="4"/>
  <c r="AC361" i="4"/>
  <c r="Z361" i="4"/>
  <c r="AB361" i="4"/>
  <c r="Y361" i="4"/>
  <c r="AI361" i="4"/>
  <c r="AV361" i="4"/>
  <c r="AU361" i="4"/>
  <c r="AW361" i="4"/>
  <c r="AF361" i="4"/>
  <c r="W361" i="4"/>
  <c r="V361" i="4"/>
  <c r="U361" i="4"/>
  <c r="R361" i="4"/>
  <c r="AA361" i="4"/>
  <c r="T361" i="4"/>
  <c r="Q361" i="4"/>
  <c r="X361" i="4"/>
  <c r="O361" i="4"/>
  <c r="N361" i="4"/>
  <c r="M361" i="4"/>
  <c r="J361" i="4"/>
  <c r="L361" i="4"/>
  <c r="I361" i="4"/>
  <c r="S361" i="4"/>
  <c r="AS361" i="4"/>
  <c r="AT361" i="4"/>
  <c r="AR361" i="4"/>
  <c r="P361" i="4"/>
  <c r="H361" i="4"/>
  <c r="G361" i="4"/>
  <c r="AP360" i="4"/>
  <c r="AX360" i="4"/>
  <c r="AM360" i="4"/>
  <c r="AL360" i="4"/>
  <c r="AK360" i="4"/>
  <c r="AJ360" i="4"/>
  <c r="K361" i="4"/>
  <c r="AG360" i="4"/>
  <c r="AH360" i="4"/>
  <c r="AN360" i="4"/>
  <c r="AE360" i="4"/>
  <c r="AD360" i="4"/>
  <c r="AC360" i="4"/>
  <c r="Y360" i="4"/>
  <c r="AI360" i="4"/>
  <c r="Z360" i="4"/>
  <c r="AB360" i="4"/>
  <c r="AU360" i="4"/>
  <c r="AV360" i="4"/>
  <c r="AW360" i="4"/>
  <c r="AF360" i="4"/>
  <c r="W360" i="4"/>
  <c r="V360" i="4"/>
  <c r="U360" i="4"/>
  <c r="Q360" i="4"/>
  <c r="T360" i="4"/>
  <c r="R360" i="4"/>
  <c r="AA360" i="4"/>
  <c r="X360" i="4"/>
  <c r="O360" i="4"/>
  <c r="N360" i="4"/>
  <c r="M360" i="4"/>
  <c r="I360" i="4"/>
  <c r="S360" i="4"/>
  <c r="J360" i="4"/>
  <c r="L360" i="4"/>
  <c r="AS360" i="4"/>
  <c r="AT360" i="4"/>
  <c r="AR360" i="4"/>
  <c r="P360" i="4"/>
  <c r="H360" i="4"/>
  <c r="G360" i="4"/>
  <c r="AP359" i="4"/>
  <c r="AX359" i="4"/>
  <c r="AM359" i="4"/>
  <c r="AL359" i="4"/>
  <c r="AK359" i="4"/>
  <c r="AG359" i="4"/>
  <c r="K360" i="4"/>
  <c r="AH359" i="4"/>
  <c r="AJ359" i="4"/>
  <c r="AN359" i="4"/>
  <c r="AE359" i="4"/>
  <c r="AD359" i="4"/>
  <c r="AC359" i="4"/>
  <c r="AI359" i="4"/>
  <c r="Z359" i="4"/>
  <c r="AB359" i="4"/>
  <c r="Y359" i="4"/>
  <c r="AV359" i="4"/>
  <c r="AU359" i="4"/>
  <c r="AW359" i="4"/>
  <c r="AF359" i="4"/>
  <c r="W359" i="4"/>
  <c r="V359" i="4"/>
  <c r="U359" i="4"/>
  <c r="R359" i="4"/>
  <c r="Q359" i="4"/>
  <c r="AA359" i="4"/>
  <c r="T359" i="4"/>
  <c r="X359" i="4"/>
  <c r="O359" i="4"/>
  <c r="N359" i="4"/>
  <c r="M359" i="4"/>
  <c r="J359" i="4"/>
  <c r="L359" i="4"/>
  <c r="I359" i="4"/>
  <c r="S359" i="4"/>
  <c r="AS359" i="4"/>
  <c r="AT359" i="4"/>
  <c r="AR359" i="4"/>
  <c r="P359" i="4"/>
  <c r="H359" i="4"/>
  <c r="G359" i="4"/>
  <c r="AP358" i="4"/>
  <c r="AX358" i="4"/>
  <c r="AM358" i="4"/>
  <c r="AL358" i="4"/>
  <c r="AK358" i="4"/>
  <c r="AJ358" i="4"/>
  <c r="AH358" i="4"/>
  <c r="AG358" i="4"/>
  <c r="K359" i="4"/>
  <c r="AN358" i="4"/>
  <c r="AE358" i="4"/>
  <c r="AD358" i="4"/>
  <c r="AC358" i="4"/>
  <c r="Y358" i="4"/>
  <c r="AI358" i="4"/>
  <c r="Z358" i="4"/>
  <c r="AB358" i="4"/>
  <c r="AU358" i="4"/>
  <c r="AV358" i="4"/>
  <c r="AW358" i="4"/>
  <c r="AF358" i="4"/>
  <c r="W358" i="4"/>
  <c r="V358" i="4"/>
  <c r="U358" i="4"/>
  <c r="Q358" i="4"/>
  <c r="R358" i="4"/>
  <c r="AA358" i="4"/>
  <c r="T358" i="4"/>
  <c r="X358" i="4"/>
  <c r="O358" i="4"/>
  <c r="N358" i="4"/>
  <c r="M358" i="4"/>
  <c r="I358" i="4"/>
  <c r="S358" i="4"/>
  <c r="J358" i="4"/>
  <c r="L358" i="4"/>
  <c r="AS358" i="4"/>
  <c r="AR358" i="4"/>
  <c r="AT358" i="4"/>
  <c r="P358" i="4"/>
  <c r="H358" i="4"/>
  <c r="G358" i="4"/>
  <c r="AP357" i="4"/>
  <c r="AX357" i="4"/>
  <c r="AM357" i="4"/>
  <c r="AL357" i="4"/>
  <c r="AK357" i="4"/>
  <c r="AJ357" i="4"/>
  <c r="K358" i="4"/>
  <c r="AG357" i="4"/>
  <c r="AH357" i="4"/>
  <c r="AN357" i="4"/>
  <c r="AE357" i="4"/>
  <c r="AD357" i="4"/>
  <c r="AC357" i="4"/>
  <c r="Z357" i="4"/>
  <c r="AB357" i="4"/>
  <c r="Y357" i="4"/>
  <c r="AI357" i="4"/>
  <c r="AV357" i="4"/>
  <c r="AU357" i="4"/>
  <c r="AW357" i="4"/>
  <c r="AF357" i="4"/>
  <c r="W357" i="4"/>
  <c r="V357" i="4"/>
  <c r="U357" i="4"/>
  <c r="Q357" i="4"/>
  <c r="T357" i="4"/>
  <c r="R357" i="4"/>
  <c r="AA357" i="4"/>
  <c r="X357" i="4"/>
  <c r="O357" i="4"/>
  <c r="N357" i="4"/>
  <c r="M357" i="4"/>
  <c r="I357" i="4"/>
  <c r="J357" i="4"/>
  <c r="L357" i="4"/>
  <c r="S357" i="4"/>
  <c r="AS357" i="4"/>
  <c r="AT357" i="4"/>
  <c r="AR357" i="4"/>
  <c r="P357" i="4"/>
  <c r="H357" i="4"/>
  <c r="G357" i="4"/>
  <c r="AP356" i="4"/>
  <c r="AX356" i="4"/>
  <c r="AM356" i="4"/>
  <c r="AL356" i="4"/>
  <c r="AK356" i="4"/>
  <c r="AJ356" i="4"/>
  <c r="AH356" i="4"/>
  <c r="K357" i="4"/>
  <c r="AG356" i="4"/>
  <c r="AN356" i="4"/>
  <c r="AE356" i="4"/>
  <c r="AD356" i="4"/>
  <c r="AC356" i="4"/>
  <c r="Y356" i="4"/>
  <c r="Z356" i="4"/>
  <c r="AB356" i="4"/>
  <c r="AI356" i="4"/>
  <c r="AU356" i="4"/>
  <c r="AW356" i="4"/>
  <c r="AV356" i="4"/>
  <c r="AF356" i="4"/>
  <c r="W356" i="4"/>
  <c r="V356" i="4"/>
  <c r="U356" i="4"/>
  <c r="Q356" i="4"/>
  <c r="AA356" i="4"/>
  <c r="T356" i="4"/>
  <c r="R356" i="4"/>
  <c r="X356" i="4"/>
  <c r="O356" i="4"/>
  <c r="N356" i="4"/>
  <c r="M356" i="4"/>
  <c r="J356" i="4"/>
  <c r="L356" i="4"/>
  <c r="I356" i="4"/>
  <c r="S356" i="4"/>
  <c r="AS356" i="4"/>
  <c r="AT356" i="4"/>
  <c r="AR356" i="4"/>
  <c r="P356" i="4"/>
  <c r="H356" i="4"/>
  <c r="G356" i="4"/>
  <c r="AP355" i="4"/>
  <c r="AX355" i="4"/>
  <c r="AM355" i="4"/>
  <c r="AL355" i="4"/>
  <c r="AK355" i="4"/>
  <c r="AG355" i="4"/>
  <c r="K356" i="4"/>
  <c r="AJ355" i="4"/>
  <c r="AH355" i="4"/>
  <c r="AN355" i="4"/>
  <c r="AE355" i="4"/>
  <c r="AD355" i="4"/>
  <c r="AC355" i="4"/>
  <c r="Z355" i="4"/>
  <c r="AB355" i="4"/>
  <c r="Y355" i="4"/>
  <c r="AI355" i="4"/>
  <c r="AV355" i="4"/>
  <c r="AU355" i="4"/>
  <c r="AW355" i="4"/>
  <c r="AF355" i="4"/>
  <c r="W355" i="4"/>
  <c r="V355" i="4"/>
  <c r="U355" i="4"/>
  <c r="Q355" i="4"/>
  <c r="T355" i="4"/>
  <c r="R355" i="4"/>
  <c r="AA355" i="4"/>
  <c r="X355" i="4"/>
  <c r="O355" i="4"/>
  <c r="N355" i="4"/>
  <c r="M355" i="4"/>
  <c r="I355" i="4"/>
  <c r="J355" i="4"/>
  <c r="L355" i="4"/>
  <c r="S355" i="4"/>
  <c r="AS355" i="4"/>
  <c r="AT355" i="4"/>
  <c r="AR355" i="4"/>
  <c r="P355" i="4"/>
  <c r="H355" i="4"/>
  <c r="G355" i="4"/>
  <c r="AP354" i="4"/>
  <c r="AX354" i="4"/>
  <c r="AM354" i="4"/>
  <c r="AL354" i="4"/>
  <c r="AK354" i="4"/>
  <c r="AH354" i="4"/>
  <c r="AG354" i="4"/>
  <c r="K355" i="4"/>
  <c r="AJ354" i="4"/>
  <c r="AN354" i="4"/>
  <c r="AE354" i="4"/>
  <c r="AD354" i="4"/>
  <c r="AC354" i="4"/>
  <c r="Z354" i="4"/>
  <c r="AB354" i="4"/>
  <c r="Y354" i="4"/>
  <c r="AI354" i="4"/>
  <c r="AU354" i="4"/>
  <c r="AV354" i="4"/>
  <c r="AW354" i="4"/>
  <c r="AF354" i="4"/>
  <c r="W354" i="4"/>
  <c r="V354" i="4"/>
  <c r="U354" i="4"/>
  <c r="T354" i="4"/>
  <c r="R354" i="4"/>
  <c r="AA354" i="4"/>
  <c r="Q354" i="4"/>
  <c r="X354" i="4"/>
  <c r="O354" i="4"/>
  <c r="N354" i="4"/>
  <c r="M354" i="4"/>
  <c r="L354" i="4"/>
  <c r="I354" i="4"/>
  <c r="J354" i="4"/>
  <c r="S354" i="4"/>
  <c r="AS354" i="4"/>
  <c r="AT354" i="4"/>
  <c r="AR354" i="4"/>
  <c r="P354" i="4"/>
  <c r="H354" i="4"/>
  <c r="G354" i="4"/>
  <c r="AP353" i="4"/>
  <c r="AX353" i="4"/>
  <c r="AM353" i="4"/>
  <c r="AL353" i="4"/>
  <c r="AK353" i="4"/>
  <c r="AJ353" i="4"/>
  <c r="AH353" i="4"/>
  <c r="AG353" i="4"/>
  <c r="K354" i="4"/>
  <c r="AN353" i="4"/>
  <c r="AE353" i="4"/>
  <c r="AD353" i="4"/>
  <c r="AC353" i="4"/>
  <c r="AI353" i="4"/>
  <c r="Z353" i="4"/>
  <c r="AB353" i="4"/>
  <c r="Y353" i="4"/>
  <c r="AU353" i="4"/>
  <c r="AW353" i="4"/>
  <c r="AV353" i="4"/>
  <c r="AF353" i="4"/>
  <c r="W353" i="4"/>
  <c r="V353" i="4"/>
  <c r="U353" i="4"/>
  <c r="Q353" i="4"/>
  <c r="R353" i="4"/>
  <c r="AA353" i="4"/>
  <c r="T353" i="4"/>
  <c r="X353" i="4"/>
  <c r="O353" i="4"/>
  <c r="N353" i="4"/>
  <c r="M353" i="4"/>
  <c r="I353" i="4"/>
  <c r="J353" i="4"/>
  <c r="L353" i="4"/>
  <c r="S353" i="4"/>
  <c r="AS353" i="4"/>
  <c r="AT353" i="4"/>
  <c r="AR353" i="4"/>
  <c r="P353" i="4"/>
  <c r="H353" i="4"/>
  <c r="G353" i="4"/>
  <c r="AP352" i="4"/>
  <c r="AX352" i="4"/>
  <c r="AM352" i="4"/>
  <c r="AL352" i="4"/>
  <c r="AK352" i="4"/>
  <c r="AG352" i="4"/>
  <c r="K353" i="4"/>
  <c r="AJ352" i="4"/>
  <c r="AH352" i="4"/>
  <c r="AN352" i="4"/>
  <c r="AE352" i="4"/>
  <c r="AD352" i="4"/>
  <c r="AC352" i="4"/>
  <c r="AI352" i="4"/>
  <c r="Z352" i="4"/>
  <c r="AB352" i="4"/>
  <c r="Y352" i="4"/>
  <c r="AU352" i="4"/>
  <c r="AV352" i="4"/>
  <c r="AW352" i="4"/>
  <c r="AF352" i="4"/>
  <c r="W352" i="4"/>
  <c r="V352" i="4"/>
  <c r="U352" i="4"/>
  <c r="AA352" i="4"/>
  <c r="Q352" i="4"/>
  <c r="R352" i="4"/>
  <c r="T352" i="4"/>
  <c r="X352" i="4"/>
  <c r="O352" i="4"/>
  <c r="N352" i="4"/>
  <c r="M352" i="4"/>
  <c r="I352" i="4"/>
  <c r="J352" i="4"/>
  <c r="L352" i="4"/>
  <c r="S352" i="4"/>
  <c r="AS352" i="4"/>
  <c r="AR352" i="4"/>
  <c r="AT352" i="4"/>
  <c r="P352" i="4"/>
  <c r="H352" i="4"/>
  <c r="G352" i="4"/>
  <c r="AP351" i="4"/>
  <c r="AX351" i="4"/>
  <c r="AM351" i="4"/>
  <c r="AL351" i="4"/>
  <c r="AK351" i="4"/>
  <c r="AG351" i="4"/>
  <c r="K352" i="4"/>
  <c r="AJ351" i="4"/>
  <c r="AH351" i="4"/>
  <c r="AN351" i="4"/>
  <c r="AE351" i="4"/>
  <c r="AD351" i="4"/>
  <c r="AC351" i="4"/>
  <c r="AI351" i="4"/>
  <c r="Z351" i="4"/>
  <c r="AB351" i="4"/>
  <c r="Y351" i="4"/>
  <c r="AV351" i="4"/>
  <c r="AU351" i="4"/>
  <c r="AW351" i="4"/>
  <c r="AF351" i="4"/>
  <c r="W351" i="4"/>
  <c r="V351" i="4"/>
  <c r="U351" i="4"/>
  <c r="R351" i="4"/>
  <c r="AA351" i="4"/>
  <c r="Q351" i="4"/>
  <c r="T351" i="4"/>
  <c r="X351" i="4"/>
  <c r="O351" i="4"/>
  <c r="N351" i="4"/>
  <c r="M351" i="4"/>
  <c r="I351" i="4"/>
  <c r="J351" i="4"/>
  <c r="S351" i="4"/>
  <c r="L351" i="4"/>
  <c r="AS351" i="4"/>
  <c r="AT351" i="4"/>
  <c r="AR351" i="4"/>
  <c r="P351" i="4"/>
  <c r="H351" i="4"/>
  <c r="G351" i="4"/>
  <c r="AP350" i="4"/>
  <c r="AX350" i="4"/>
  <c r="AM350" i="4"/>
  <c r="AL350" i="4"/>
  <c r="AK350" i="4"/>
  <c r="K351" i="4"/>
  <c r="AH350" i="4"/>
  <c r="AG350" i="4"/>
  <c r="AJ350" i="4"/>
  <c r="AN350" i="4"/>
  <c r="AE350" i="4"/>
  <c r="AD350" i="4"/>
  <c r="AC350" i="4"/>
  <c r="Y350" i="4"/>
  <c r="Z350" i="4"/>
  <c r="AI350" i="4"/>
  <c r="AB350" i="4"/>
  <c r="AU350" i="4"/>
  <c r="AV350" i="4"/>
  <c r="AW350" i="4"/>
  <c r="AF350" i="4"/>
  <c r="W350" i="4"/>
  <c r="V350" i="4"/>
  <c r="U350" i="4"/>
  <c r="T350" i="4"/>
  <c r="Q350" i="4"/>
  <c r="AA350" i="4"/>
  <c r="R350" i="4"/>
  <c r="X350" i="4"/>
  <c r="O350" i="4"/>
  <c r="N350" i="4"/>
  <c r="M350" i="4"/>
  <c r="S350" i="4"/>
  <c r="J350" i="4"/>
  <c r="L350" i="4"/>
  <c r="I350" i="4"/>
  <c r="AS350" i="4"/>
  <c r="AT350" i="4"/>
  <c r="AR350" i="4"/>
  <c r="P350" i="4"/>
  <c r="H350" i="4"/>
  <c r="G350" i="4"/>
  <c r="AP349" i="4"/>
  <c r="AX349" i="4"/>
  <c r="AM349" i="4"/>
  <c r="AL349" i="4"/>
  <c r="AK349" i="4"/>
  <c r="AJ349" i="4"/>
  <c r="AH349" i="4"/>
  <c r="AG349" i="4"/>
  <c r="K350" i="4"/>
  <c r="AN349" i="4"/>
  <c r="AE349" i="4"/>
  <c r="AD349" i="4"/>
  <c r="AC349" i="4"/>
  <c r="Z349" i="4"/>
  <c r="AB349" i="4"/>
  <c r="Y349" i="4"/>
  <c r="AI349" i="4"/>
  <c r="AU349" i="4"/>
  <c r="AW349" i="4"/>
  <c r="AV349" i="4"/>
  <c r="AF349" i="4"/>
  <c r="W349" i="4"/>
  <c r="V349" i="4"/>
  <c r="U349" i="4"/>
  <c r="AA349" i="4"/>
  <c r="T349" i="4"/>
  <c r="Q349" i="4"/>
  <c r="R349" i="4"/>
  <c r="X349" i="4"/>
  <c r="O349" i="4"/>
  <c r="N349" i="4"/>
  <c r="M349" i="4"/>
  <c r="L349" i="4"/>
  <c r="I349" i="4"/>
  <c r="S349" i="4"/>
  <c r="J349" i="4"/>
  <c r="AS349" i="4"/>
  <c r="AT349" i="4"/>
  <c r="AR349" i="4"/>
  <c r="P349" i="4"/>
  <c r="H349" i="4"/>
  <c r="G349" i="4"/>
  <c r="AP348" i="4"/>
  <c r="AX348" i="4"/>
  <c r="AM348" i="4"/>
  <c r="AL348" i="4"/>
  <c r="AK348" i="4"/>
  <c r="AJ348" i="4"/>
  <c r="K349" i="4"/>
  <c r="AH348" i="4"/>
  <c r="AG348" i="4"/>
  <c r="AN348" i="4"/>
  <c r="AE348" i="4"/>
  <c r="AD348" i="4"/>
  <c r="AC348" i="4"/>
  <c r="Y348" i="4"/>
  <c r="Z348" i="4"/>
  <c r="AB348" i="4"/>
  <c r="AI348" i="4"/>
  <c r="AU348" i="4"/>
  <c r="AV348" i="4"/>
  <c r="AW348" i="4"/>
  <c r="AF348" i="4"/>
  <c r="W348" i="4"/>
  <c r="V348" i="4"/>
  <c r="U348" i="4"/>
  <c r="AA348" i="4"/>
  <c r="Q348" i="4"/>
  <c r="R348" i="4"/>
  <c r="T348" i="4"/>
  <c r="X348" i="4"/>
  <c r="O348" i="4"/>
  <c r="N348" i="4"/>
  <c r="M348" i="4"/>
  <c r="J348" i="4"/>
  <c r="L348" i="4"/>
  <c r="I348" i="4"/>
  <c r="S348" i="4"/>
  <c r="AS348" i="4"/>
  <c r="AT348" i="4"/>
  <c r="AR348" i="4"/>
  <c r="P348" i="4"/>
  <c r="H348" i="4"/>
  <c r="G348" i="4"/>
  <c r="AP347" i="4"/>
  <c r="AX347" i="4"/>
  <c r="AM347" i="4"/>
  <c r="AL347" i="4"/>
  <c r="AK347" i="4"/>
  <c r="AJ347" i="4"/>
  <c r="K348" i="4"/>
  <c r="AH347" i="4"/>
  <c r="AG347" i="4"/>
  <c r="AN347" i="4"/>
  <c r="AE347" i="4"/>
  <c r="AD347" i="4"/>
  <c r="AC347" i="4"/>
  <c r="Y347" i="4"/>
  <c r="AI347" i="4"/>
  <c r="Z347" i="4"/>
  <c r="AB347" i="4"/>
  <c r="AV347" i="4"/>
  <c r="AW347" i="4"/>
  <c r="AU347" i="4"/>
  <c r="AF347" i="4"/>
  <c r="W347" i="4"/>
  <c r="V347" i="4"/>
  <c r="U347" i="4"/>
  <c r="Q347" i="4"/>
  <c r="T347" i="4"/>
  <c r="R347" i="4"/>
  <c r="AA347" i="4"/>
  <c r="X347" i="4"/>
  <c r="O347" i="4"/>
  <c r="N347" i="4"/>
  <c r="M347" i="4"/>
  <c r="L347" i="4"/>
  <c r="J347" i="4"/>
  <c r="I347" i="4"/>
  <c r="S347" i="4"/>
  <c r="AS347" i="4"/>
  <c r="AT347" i="4"/>
  <c r="AR347" i="4"/>
  <c r="P347" i="4"/>
  <c r="H347" i="4"/>
  <c r="G347" i="4"/>
  <c r="AP346" i="4"/>
  <c r="AX346" i="4"/>
  <c r="AM346" i="4"/>
  <c r="AL346" i="4"/>
  <c r="AK346" i="4"/>
  <c r="AJ346" i="4"/>
  <c r="K347" i="4"/>
  <c r="AH346" i="4"/>
  <c r="AG346" i="4"/>
  <c r="AN346" i="4"/>
  <c r="AE346" i="4"/>
  <c r="AD346" i="4"/>
  <c r="AC346" i="4"/>
  <c r="Y346" i="4"/>
  <c r="AI346" i="4"/>
  <c r="Z346" i="4"/>
  <c r="AB346" i="4"/>
  <c r="AU346" i="4"/>
  <c r="AW346" i="4"/>
  <c r="AV346" i="4"/>
  <c r="AF346" i="4"/>
  <c r="W346" i="4"/>
  <c r="V346" i="4"/>
  <c r="U346" i="4"/>
  <c r="T346" i="4"/>
  <c r="R346" i="4"/>
  <c r="Q346" i="4"/>
  <c r="AA346" i="4"/>
  <c r="X346" i="4"/>
  <c r="O346" i="4"/>
  <c r="N346" i="4"/>
  <c r="M346" i="4"/>
  <c r="I346" i="4"/>
  <c r="J346" i="4"/>
  <c r="L346" i="4"/>
  <c r="S346" i="4"/>
  <c r="AS346" i="4"/>
  <c r="AT346" i="4"/>
  <c r="AR346" i="4"/>
  <c r="P346" i="4"/>
  <c r="H346" i="4"/>
  <c r="G346" i="4"/>
  <c r="AP345" i="4"/>
  <c r="AX345" i="4"/>
  <c r="AM345" i="4"/>
  <c r="AL345" i="4"/>
  <c r="AK345" i="4"/>
  <c r="AG345" i="4"/>
  <c r="AJ345" i="4"/>
  <c r="AH345" i="4"/>
  <c r="K346" i="4"/>
  <c r="AN345" i="4"/>
  <c r="AE345" i="4"/>
  <c r="AD345" i="4"/>
  <c r="AC345" i="4"/>
  <c r="Z345" i="4"/>
  <c r="AB345" i="4"/>
  <c r="Y345" i="4"/>
  <c r="AI345" i="4"/>
  <c r="AU345" i="4"/>
  <c r="AV345" i="4"/>
  <c r="AW345" i="4"/>
  <c r="AF345" i="4"/>
  <c r="W345" i="4"/>
  <c r="V345" i="4"/>
  <c r="U345" i="4"/>
  <c r="T345" i="4"/>
  <c r="R345" i="4"/>
  <c r="AA345" i="4"/>
  <c r="Q345" i="4"/>
  <c r="X345" i="4"/>
  <c r="O345" i="4"/>
  <c r="N345" i="4"/>
  <c r="M345" i="4"/>
  <c r="J345" i="4"/>
  <c r="L345" i="4"/>
  <c r="I345" i="4"/>
  <c r="S345" i="4"/>
  <c r="AS345" i="4"/>
  <c r="AR345" i="4"/>
  <c r="AT345" i="4"/>
  <c r="P345" i="4"/>
  <c r="H345" i="4"/>
  <c r="G345" i="4"/>
  <c r="AP344" i="4"/>
  <c r="AX344" i="4"/>
  <c r="AL344" i="4"/>
  <c r="AK344" i="4"/>
  <c r="AJ344" i="4"/>
  <c r="AG344" i="4"/>
  <c r="K345" i="4"/>
  <c r="AH344" i="4"/>
  <c r="AN344" i="4"/>
  <c r="AD344" i="4"/>
  <c r="AC344" i="4"/>
  <c r="Y344" i="4"/>
  <c r="Z344" i="4"/>
  <c r="AI344" i="4"/>
  <c r="AB344" i="4"/>
  <c r="AV344" i="4"/>
  <c r="AU344" i="4"/>
  <c r="AW344" i="4"/>
  <c r="AF344" i="4"/>
  <c r="W344" i="4"/>
  <c r="V344" i="4"/>
  <c r="U344" i="4"/>
  <c r="Q344" i="4"/>
  <c r="T344" i="4"/>
  <c r="R344" i="4"/>
  <c r="AA344" i="4"/>
  <c r="X344" i="4"/>
  <c r="O344" i="4"/>
  <c r="N344" i="4"/>
  <c r="M344" i="4"/>
  <c r="S344" i="4"/>
  <c r="J344" i="4"/>
  <c r="L344" i="4"/>
  <c r="I344" i="4"/>
  <c r="AS344" i="4"/>
  <c r="AT344" i="4"/>
  <c r="AR344" i="4"/>
  <c r="P344" i="4"/>
  <c r="H344" i="4"/>
  <c r="G344" i="4"/>
  <c r="AP343" i="4"/>
  <c r="AX343" i="4"/>
  <c r="AL343" i="4"/>
  <c r="AK343" i="4"/>
  <c r="AJ343" i="4"/>
  <c r="K344" i="4"/>
  <c r="AH343" i="4"/>
  <c r="AG343" i="4"/>
  <c r="AN343" i="4"/>
  <c r="AD343" i="4"/>
  <c r="AC343" i="4"/>
  <c r="AI343" i="4"/>
  <c r="Y343" i="4"/>
  <c r="AB343" i="4"/>
  <c r="Z343" i="4"/>
  <c r="AV343" i="4"/>
  <c r="AU343" i="4"/>
  <c r="AW343" i="4"/>
  <c r="AF343" i="4"/>
  <c r="V343" i="4"/>
  <c r="U343" i="4"/>
  <c r="AA343" i="4"/>
  <c r="T343" i="4"/>
  <c r="R343" i="4"/>
  <c r="Q343" i="4"/>
  <c r="X343" i="4"/>
  <c r="O343" i="4"/>
  <c r="N343" i="4"/>
  <c r="M343" i="4"/>
  <c r="J343" i="4"/>
  <c r="L343" i="4"/>
  <c r="I343" i="4"/>
  <c r="S343" i="4"/>
  <c r="AS343" i="4"/>
  <c r="AT343" i="4"/>
  <c r="AR343" i="4"/>
  <c r="P343" i="4"/>
  <c r="H343" i="4"/>
  <c r="G343" i="4"/>
  <c r="AP342" i="4"/>
  <c r="AX342" i="4"/>
  <c r="AM342" i="4"/>
  <c r="AL342" i="4"/>
  <c r="AK342" i="4"/>
  <c r="AJ342" i="4"/>
  <c r="AH342" i="4"/>
  <c r="AG342" i="4"/>
  <c r="K343" i="4"/>
  <c r="AN342" i="4"/>
  <c r="AE342" i="4"/>
  <c r="AD342" i="4"/>
  <c r="AC342" i="4"/>
  <c r="Z342" i="4"/>
  <c r="AB342" i="4"/>
  <c r="Y342" i="4"/>
  <c r="AI342" i="4"/>
  <c r="AU342" i="4"/>
  <c r="AW342" i="4"/>
  <c r="AV342" i="4"/>
  <c r="AF342" i="4"/>
  <c r="W342" i="4"/>
  <c r="V342" i="4"/>
  <c r="U342" i="4"/>
  <c r="T342" i="4"/>
  <c r="R342" i="4"/>
  <c r="AA342" i="4"/>
  <c r="Q342" i="4"/>
  <c r="X342" i="4"/>
  <c r="O342" i="4"/>
  <c r="N342" i="4"/>
  <c r="M342" i="4"/>
  <c r="L342" i="4"/>
  <c r="S342" i="4"/>
  <c r="I342" i="4"/>
  <c r="J342" i="4"/>
  <c r="AS342" i="4"/>
  <c r="AR342" i="4"/>
  <c r="AT342" i="4"/>
  <c r="P342" i="4"/>
  <c r="H342" i="4"/>
  <c r="G342" i="4"/>
  <c r="AP341" i="4"/>
  <c r="AX341" i="4"/>
  <c r="AM341" i="4"/>
  <c r="AL341" i="4"/>
  <c r="AK341" i="4"/>
  <c r="AJ341" i="4"/>
  <c r="AH341" i="4"/>
  <c r="AG341" i="4"/>
  <c r="K342" i="4"/>
  <c r="AN341" i="4"/>
  <c r="AE341" i="4"/>
  <c r="AD341" i="4"/>
  <c r="AC341" i="4"/>
  <c r="Y341" i="4"/>
  <c r="AI341" i="4"/>
  <c r="Z341" i="4"/>
  <c r="AB341" i="4"/>
  <c r="AU341" i="4"/>
  <c r="AV341" i="4"/>
  <c r="AW341" i="4"/>
  <c r="AF341" i="4"/>
  <c r="W341" i="4"/>
  <c r="V341" i="4"/>
  <c r="U341" i="4"/>
  <c r="T341" i="4"/>
  <c r="Q341" i="4"/>
  <c r="R341" i="4"/>
  <c r="AA341" i="4"/>
  <c r="X341" i="4"/>
  <c r="O341" i="4"/>
  <c r="N341" i="4"/>
  <c r="M341" i="4"/>
  <c r="S341" i="4"/>
  <c r="J341" i="4"/>
  <c r="L341" i="4"/>
  <c r="I341" i="4"/>
  <c r="AS341" i="4"/>
  <c r="AT341" i="4"/>
  <c r="AR341" i="4"/>
  <c r="P341" i="4"/>
  <c r="H341" i="4"/>
  <c r="G341" i="4"/>
  <c r="AP340" i="4"/>
  <c r="AX340" i="4"/>
  <c r="AM340" i="4"/>
  <c r="AL340" i="4"/>
  <c r="AK340" i="4"/>
  <c r="K341" i="4"/>
  <c r="AJ340" i="4"/>
  <c r="AH340" i="4"/>
  <c r="AG340" i="4"/>
  <c r="AN340" i="4"/>
  <c r="AE340" i="4"/>
  <c r="AD340" i="4"/>
  <c r="AC340" i="4"/>
  <c r="AB340" i="4"/>
  <c r="Y340" i="4"/>
  <c r="Z340" i="4"/>
  <c r="AI340" i="4"/>
  <c r="AV340" i="4"/>
  <c r="AU340" i="4"/>
  <c r="AW340" i="4"/>
  <c r="AF340" i="4"/>
  <c r="W340" i="4"/>
  <c r="V340" i="4"/>
  <c r="U340" i="4"/>
  <c r="AA340" i="4"/>
  <c r="Q340" i="4"/>
  <c r="T340" i="4"/>
  <c r="R340" i="4"/>
  <c r="X340" i="4"/>
  <c r="O340" i="4"/>
  <c r="N340" i="4"/>
  <c r="M340" i="4"/>
  <c r="I340" i="4"/>
  <c r="S340" i="4"/>
  <c r="J340" i="4"/>
  <c r="L340" i="4"/>
  <c r="AS340" i="4"/>
  <c r="AT340" i="4"/>
  <c r="AR340" i="4"/>
  <c r="P340" i="4"/>
  <c r="H340" i="4"/>
  <c r="G340" i="4"/>
  <c r="AP339" i="4"/>
  <c r="AX339" i="4"/>
  <c r="AM339" i="4"/>
  <c r="AL339" i="4"/>
  <c r="AK339" i="4"/>
  <c r="K340" i="4"/>
  <c r="AJ339" i="4"/>
  <c r="AH339" i="4"/>
  <c r="AG339" i="4"/>
  <c r="AN339" i="4"/>
  <c r="AE339" i="4"/>
  <c r="AD339" i="4"/>
  <c r="AC339" i="4"/>
  <c r="Y339" i="4"/>
  <c r="AI339" i="4"/>
  <c r="Z339" i="4"/>
  <c r="AB339" i="4"/>
  <c r="AU339" i="4"/>
  <c r="AV339" i="4"/>
  <c r="AW339" i="4"/>
  <c r="AF339" i="4"/>
  <c r="W339" i="4"/>
  <c r="V339" i="4"/>
  <c r="U339" i="4"/>
  <c r="T339" i="4"/>
  <c r="AA339" i="4"/>
  <c r="Q339" i="4"/>
  <c r="R339" i="4"/>
  <c r="X339" i="4"/>
  <c r="O339" i="4"/>
  <c r="N339" i="4"/>
  <c r="M339" i="4"/>
  <c r="I339" i="4"/>
  <c r="S339" i="4"/>
  <c r="J339" i="4"/>
  <c r="L339" i="4"/>
  <c r="AS339" i="4"/>
  <c r="AT339" i="4"/>
  <c r="AR339" i="4"/>
  <c r="P339" i="4"/>
  <c r="H339" i="4"/>
  <c r="G339" i="4"/>
  <c r="AP338" i="4"/>
  <c r="AX338" i="4"/>
  <c r="AM338" i="4"/>
  <c r="AL338" i="4"/>
  <c r="AK338" i="4"/>
  <c r="AJ338" i="4"/>
  <c r="AH338" i="4"/>
  <c r="AG338" i="4"/>
  <c r="K339" i="4"/>
  <c r="AN338" i="4"/>
  <c r="AE338" i="4"/>
  <c r="AD338" i="4"/>
  <c r="AC338" i="4"/>
  <c r="AB338" i="4"/>
  <c r="Z338" i="4"/>
  <c r="Y338" i="4"/>
  <c r="AI338" i="4"/>
  <c r="AU338" i="4"/>
  <c r="AV338" i="4"/>
  <c r="AW338" i="4"/>
  <c r="AF338" i="4"/>
  <c r="W338" i="4"/>
  <c r="V338" i="4"/>
  <c r="U338" i="4"/>
  <c r="Q338" i="4"/>
  <c r="R338" i="4"/>
  <c r="AA338" i="4"/>
  <c r="T338" i="4"/>
  <c r="X338" i="4"/>
  <c r="O338" i="4"/>
  <c r="N338" i="4"/>
  <c r="M338" i="4"/>
  <c r="I338" i="4"/>
  <c r="S338" i="4"/>
  <c r="J338" i="4"/>
  <c r="L338" i="4"/>
  <c r="AS338" i="4"/>
  <c r="AT338" i="4"/>
  <c r="AR338" i="4"/>
  <c r="P338" i="4"/>
  <c r="H338" i="4"/>
  <c r="G338" i="4"/>
  <c r="AP337" i="4"/>
  <c r="AX337" i="4"/>
  <c r="AM337" i="4"/>
  <c r="AL337" i="4"/>
  <c r="AK337" i="4"/>
  <c r="AJ337" i="4"/>
  <c r="AH337" i="4"/>
  <c r="AG337" i="4"/>
  <c r="K338" i="4"/>
  <c r="AN337" i="4"/>
  <c r="AE337" i="4"/>
  <c r="AD337" i="4"/>
  <c r="AC337" i="4"/>
  <c r="AB337" i="4"/>
  <c r="Y337" i="4"/>
  <c r="AI337" i="4"/>
  <c r="Z337" i="4"/>
  <c r="AV337" i="4"/>
  <c r="AU337" i="4"/>
  <c r="AW337" i="4"/>
  <c r="AF337" i="4"/>
  <c r="W337" i="4"/>
  <c r="V337" i="4"/>
  <c r="U337" i="4"/>
  <c r="Q337" i="4"/>
  <c r="R337" i="4"/>
  <c r="T337" i="4"/>
  <c r="AA337" i="4"/>
  <c r="X337" i="4"/>
  <c r="O337" i="4"/>
  <c r="N337" i="4"/>
  <c r="M337" i="4"/>
  <c r="L337" i="4"/>
  <c r="J337" i="4"/>
  <c r="I337" i="4"/>
  <c r="S337" i="4"/>
  <c r="AS337" i="4"/>
  <c r="AT337" i="4"/>
  <c r="AR337" i="4"/>
  <c r="P337" i="4"/>
  <c r="H337" i="4"/>
  <c r="G337" i="4"/>
  <c r="AP336" i="4"/>
  <c r="AX336" i="4"/>
  <c r="AM336" i="4"/>
  <c r="AL336" i="4"/>
  <c r="AK336" i="4"/>
  <c r="AJ336" i="4"/>
  <c r="AH336" i="4"/>
  <c r="AG336" i="4"/>
  <c r="K337" i="4"/>
  <c r="AN336" i="4"/>
  <c r="AE336" i="4"/>
  <c r="AD336" i="4"/>
  <c r="AC336" i="4"/>
  <c r="AI336" i="4"/>
  <c r="Z336" i="4"/>
  <c r="AB336" i="4"/>
  <c r="Y336" i="4"/>
  <c r="AU336" i="4"/>
  <c r="AV336" i="4"/>
  <c r="AW336" i="4"/>
  <c r="AF336" i="4"/>
  <c r="W336" i="4"/>
  <c r="V336" i="4"/>
  <c r="U336" i="4"/>
  <c r="T336" i="4"/>
  <c r="AA336" i="4"/>
  <c r="R336" i="4"/>
  <c r="Q336" i="4"/>
  <c r="X336" i="4"/>
  <c r="O336" i="4"/>
  <c r="N336" i="4"/>
  <c r="M336" i="4"/>
  <c r="J336" i="4"/>
  <c r="L336" i="4"/>
  <c r="I336" i="4"/>
  <c r="S336" i="4"/>
  <c r="AS336" i="4"/>
  <c r="AT336" i="4"/>
  <c r="AR336" i="4"/>
  <c r="P336" i="4"/>
  <c r="H336" i="4"/>
  <c r="G336" i="4"/>
  <c r="AP335" i="4"/>
  <c r="AX335" i="4"/>
  <c r="AM335" i="4"/>
  <c r="AL335" i="4"/>
  <c r="AK335" i="4"/>
  <c r="AJ335" i="4"/>
  <c r="AG335" i="4"/>
  <c r="K336" i="4"/>
  <c r="AH335" i="4"/>
  <c r="AN335" i="4"/>
  <c r="AE335" i="4"/>
  <c r="AD335" i="4"/>
  <c r="AC335" i="4"/>
  <c r="Z335" i="4"/>
  <c r="AB335" i="4"/>
  <c r="Y335" i="4"/>
  <c r="AI335" i="4"/>
  <c r="AV335" i="4"/>
  <c r="AU335" i="4"/>
  <c r="AW335" i="4"/>
  <c r="AF335" i="4"/>
  <c r="W335" i="4"/>
  <c r="V335" i="4"/>
  <c r="U335" i="4"/>
  <c r="AA335" i="4"/>
  <c r="T335" i="4"/>
  <c r="R335" i="4"/>
  <c r="Q335" i="4"/>
  <c r="X335" i="4"/>
  <c r="O335" i="4"/>
  <c r="N335" i="4"/>
  <c r="M335" i="4"/>
  <c r="L335" i="4"/>
  <c r="J335" i="4"/>
  <c r="I335" i="4"/>
  <c r="S335" i="4"/>
  <c r="AS335" i="4"/>
  <c r="AT335" i="4"/>
  <c r="AR335" i="4"/>
  <c r="P335" i="4"/>
  <c r="H335" i="4"/>
  <c r="G335" i="4"/>
  <c r="AP334" i="4"/>
  <c r="AX334" i="4"/>
  <c r="AM334" i="4"/>
  <c r="AL334" i="4"/>
  <c r="AK334" i="4"/>
  <c r="AG334" i="4"/>
  <c r="AJ334" i="4"/>
  <c r="AH334" i="4"/>
  <c r="K335" i="4"/>
  <c r="AN334" i="4"/>
  <c r="AE334" i="4"/>
  <c r="AD334" i="4"/>
  <c r="AC334" i="4"/>
  <c r="AB334" i="4"/>
  <c r="AI334" i="4"/>
  <c r="Z334" i="4"/>
  <c r="Y334" i="4"/>
  <c r="AV334" i="4"/>
  <c r="AW334" i="4"/>
  <c r="AU334" i="4"/>
  <c r="AF334" i="4"/>
  <c r="W334" i="4"/>
  <c r="V334" i="4"/>
  <c r="U334" i="4"/>
  <c r="T334" i="4"/>
  <c r="R334" i="4"/>
  <c r="AA334" i="4"/>
  <c r="Q334" i="4"/>
  <c r="X334" i="4"/>
  <c r="O334" i="4"/>
  <c r="N334" i="4"/>
  <c r="M334" i="4"/>
  <c r="I334" i="4"/>
  <c r="J334" i="4"/>
  <c r="L334" i="4"/>
  <c r="S334" i="4"/>
  <c r="AS334" i="4"/>
  <c r="AT334" i="4"/>
  <c r="AR334" i="4"/>
  <c r="P334" i="4"/>
  <c r="H334" i="4"/>
  <c r="G334" i="4"/>
  <c r="AP333" i="4"/>
  <c r="AX333" i="4"/>
  <c r="AM333" i="4"/>
  <c r="AL333" i="4"/>
  <c r="AK333" i="4"/>
  <c r="AJ333" i="4"/>
  <c r="AG333" i="4"/>
  <c r="K334" i="4"/>
  <c r="AH333" i="4"/>
  <c r="AN333" i="4"/>
  <c r="AE333" i="4"/>
  <c r="AD333" i="4"/>
  <c r="AC333" i="4"/>
  <c r="AB333" i="4"/>
  <c r="AI333" i="4"/>
  <c r="Z333" i="4"/>
  <c r="Y333" i="4"/>
  <c r="AV333" i="4"/>
  <c r="AW333" i="4"/>
  <c r="AU333" i="4"/>
  <c r="AF333" i="4"/>
  <c r="W333" i="4"/>
  <c r="V333" i="4"/>
  <c r="U333" i="4"/>
  <c r="AA333" i="4"/>
  <c r="R333" i="4"/>
  <c r="T333" i="4"/>
  <c r="Q333" i="4"/>
  <c r="X333" i="4"/>
  <c r="O333" i="4"/>
  <c r="N333" i="4"/>
  <c r="M333" i="4"/>
  <c r="I333" i="4"/>
  <c r="J333" i="4"/>
  <c r="L333" i="4"/>
  <c r="S333" i="4"/>
  <c r="AS333" i="4"/>
  <c r="AT333" i="4"/>
  <c r="AR333" i="4"/>
  <c r="P333" i="4"/>
  <c r="H333" i="4"/>
  <c r="G333" i="4"/>
  <c r="AP332" i="4"/>
  <c r="AX332" i="4"/>
  <c r="AM332" i="4"/>
  <c r="AL332" i="4"/>
  <c r="AK332" i="4"/>
  <c r="K333" i="4"/>
  <c r="AJ332" i="4"/>
  <c r="AH332" i="4"/>
  <c r="AG332" i="4"/>
  <c r="AN332" i="4"/>
  <c r="AE332" i="4"/>
  <c r="AD332" i="4"/>
  <c r="AC332" i="4"/>
  <c r="Y332" i="4"/>
  <c r="AI332" i="4"/>
  <c r="Z332" i="4"/>
  <c r="AB332" i="4"/>
  <c r="AU332" i="4"/>
  <c r="AV332" i="4"/>
  <c r="AW332" i="4"/>
  <c r="AF332" i="4"/>
  <c r="W332" i="4"/>
  <c r="V332" i="4"/>
  <c r="U332" i="4"/>
  <c r="AA332" i="4"/>
  <c r="T332" i="4"/>
  <c r="R332" i="4"/>
  <c r="Q332" i="4"/>
  <c r="X332" i="4"/>
  <c r="O332" i="4"/>
  <c r="N332" i="4"/>
  <c r="M332" i="4"/>
  <c r="J332" i="4"/>
  <c r="L332" i="4"/>
  <c r="I332" i="4"/>
  <c r="S332" i="4"/>
  <c r="AS332" i="4"/>
  <c r="AT332" i="4"/>
  <c r="AR332" i="4"/>
  <c r="P332" i="4"/>
  <c r="H332" i="4"/>
  <c r="G332" i="4"/>
  <c r="AP331" i="4"/>
  <c r="AX331" i="4"/>
  <c r="AL331" i="4"/>
  <c r="AK331" i="4"/>
  <c r="K332" i="4"/>
  <c r="AH331" i="4"/>
  <c r="AG331" i="4"/>
  <c r="AJ331" i="4"/>
  <c r="AN331" i="4"/>
  <c r="AD331" i="4"/>
  <c r="AC331" i="4"/>
  <c r="AI331" i="4"/>
  <c r="Y331" i="4"/>
  <c r="AB331" i="4"/>
  <c r="Z331" i="4"/>
  <c r="AV331" i="4"/>
  <c r="AU331" i="4"/>
  <c r="AW331" i="4"/>
  <c r="AF331" i="4"/>
  <c r="W331" i="4"/>
  <c r="V331" i="4"/>
  <c r="U331" i="4"/>
  <c r="R331" i="4"/>
  <c r="AA331" i="4"/>
  <c r="Q331" i="4"/>
  <c r="T331" i="4"/>
  <c r="X331" i="4"/>
  <c r="O331" i="4"/>
  <c r="N331" i="4"/>
  <c r="M331" i="4"/>
  <c r="J331" i="4"/>
  <c r="L331" i="4"/>
  <c r="I331" i="4"/>
  <c r="S331" i="4"/>
  <c r="AS331" i="4"/>
  <c r="AT331" i="4"/>
  <c r="AR331" i="4"/>
  <c r="P331" i="4"/>
  <c r="H331" i="4"/>
  <c r="G331" i="4"/>
  <c r="AP330" i="4"/>
  <c r="AX330" i="4"/>
  <c r="AM330" i="4"/>
  <c r="AL330" i="4"/>
  <c r="AK330" i="4"/>
  <c r="AJ330" i="4"/>
  <c r="AG330" i="4"/>
  <c r="K331" i="4"/>
  <c r="AH330" i="4"/>
  <c r="AN330" i="4"/>
  <c r="AE330" i="4"/>
  <c r="AD330" i="4"/>
  <c r="AC330" i="4"/>
  <c r="Z330" i="4"/>
  <c r="AB330" i="4"/>
  <c r="Y330" i="4"/>
  <c r="AI330" i="4"/>
  <c r="AV330" i="4"/>
  <c r="AU330" i="4"/>
  <c r="AW330" i="4"/>
  <c r="AF330" i="4"/>
  <c r="W330" i="4"/>
  <c r="V330" i="4"/>
  <c r="U330" i="4"/>
  <c r="T330" i="4"/>
  <c r="R330" i="4"/>
  <c r="AA330" i="4"/>
  <c r="Q330" i="4"/>
  <c r="X330" i="4"/>
  <c r="O330" i="4"/>
  <c r="N330" i="4"/>
  <c r="M330" i="4"/>
  <c r="J330" i="4"/>
  <c r="L330" i="4"/>
  <c r="I330" i="4"/>
  <c r="S330" i="4"/>
  <c r="AS330" i="4"/>
  <c r="AT330" i="4"/>
  <c r="AR330" i="4"/>
  <c r="P330" i="4"/>
  <c r="H330" i="4"/>
  <c r="G330" i="4"/>
  <c r="AP329" i="4"/>
  <c r="AX329" i="4"/>
  <c r="AM329" i="4"/>
  <c r="AL329" i="4"/>
  <c r="AK329" i="4"/>
  <c r="AJ329" i="4"/>
  <c r="AG329" i="4"/>
  <c r="K330" i="4"/>
  <c r="AH329" i="4"/>
  <c r="AN329" i="4"/>
  <c r="AE329" i="4"/>
  <c r="AD329" i="4"/>
  <c r="AC329" i="4"/>
  <c r="Z329" i="4"/>
  <c r="AB329" i="4"/>
  <c r="Y329" i="4"/>
  <c r="AI329" i="4"/>
  <c r="AV329" i="4"/>
  <c r="AU329" i="4"/>
  <c r="AW329" i="4"/>
  <c r="AF329" i="4"/>
  <c r="W329" i="4"/>
  <c r="V329" i="4"/>
  <c r="U329" i="4"/>
  <c r="AA329" i="4"/>
  <c r="Q329" i="4"/>
  <c r="T329" i="4"/>
  <c r="R329" i="4"/>
  <c r="X329" i="4"/>
  <c r="O329" i="4"/>
  <c r="N329" i="4"/>
  <c r="M329" i="4"/>
  <c r="L329" i="4"/>
  <c r="J329" i="4"/>
  <c r="I329" i="4"/>
  <c r="S329" i="4"/>
  <c r="AS329" i="4"/>
  <c r="AT329" i="4"/>
  <c r="AR329" i="4"/>
  <c r="P329" i="4"/>
  <c r="H329" i="4"/>
  <c r="G329" i="4"/>
  <c r="AP328" i="4"/>
  <c r="AX328" i="4"/>
  <c r="AM328" i="4"/>
  <c r="AL328" i="4"/>
  <c r="AK328" i="4"/>
  <c r="AG328" i="4"/>
  <c r="AJ328" i="4"/>
  <c r="AH328" i="4"/>
  <c r="K329" i="4"/>
  <c r="AN328" i="4"/>
  <c r="AE328" i="4"/>
  <c r="AD328" i="4"/>
  <c r="AC328" i="4"/>
  <c r="Y328" i="4"/>
  <c r="Z328" i="4"/>
  <c r="AB328" i="4"/>
  <c r="AI328" i="4"/>
  <c r="AU328" i="4"/>
  <c r="AV328" i="4"/>
  <c r="AW328" i="4"/>
  <c r="AF328" i="4"/>
  <c r="W328" i="4"/>
  <c r="V328" i="4"/>
  <c r="U328" i="4"/>
  <c r="Q328" i="4"/>
  <c r="R328" i="4"/>
  <c r="AA328" i="4"/>
  <c r="T328" i="4"/>
  <c r="X328" i="4"/>
  <c r="O328" i="4"/>
  <c r="N328" i="4"/>
  <c r="M328" i="4"/>
  <c r="I328" i="4"/>
  <c r="J328" i="4"/>
  <c r="L328" i="4"/>
  <c r="S328" i="4"/>
  <c r="AS328" i="4"/>
  <c r="AT328" i="4"/>
  <c r="AR328" i="4"/>
  <c r="P328" i="4"/>
  <c r="H328" i="4"/>
  <c r="G328" i="4"/>
  <c r="AP327" i="4"/>
  <c r="AX327" i="4"/>
  <c r="AM327" i="4"/>
  <c r="AL327" i="4"/>
  <c r="AK327" i="4"/>
  <c r="K328" i="4"/>
  <c r="AJ327" i="4"/>
  <c r="AG327" i="4"/>
  <c r="AH327" i="4"/>
  <c r="AN327" i="4"/>
  <c r="AE327" i="4"/>
  <c r="AD327" i="4"/>
  <c r="AC327" i="4"/>
  <c r="AB327" i="4"/>
  <c r="Z327" i="4"/>
  <c r="Y327" i="4"/>
  <c r="AI327" i="4"/>
  <c r="AU327" i="4"/>
  <c r="AV327" i="4"/>
  <c r="AW327" i="4"/>
  <c r="AF327" i="4"/>
  <c r="W327" i="4"/>
  <c r="V327" i="4"/>
  <c r="U327" i="4"/>
  <c r="T327" i="4"/>
  <c r="R327" i="4"/>
  <c r="AA327" i="4"/>
  <c r="Q327" i="4"/>
  <c r="X327" i="4"/>
  <c r="O327" i="4"/>
  <c r="N327" i="4"/>
  <c r="M327" i="4"/>
  <c r="S327" i="4"/>
  <c r="J327" i="4"/>
  <c r="L327" i="4"/>
  <c r="I327" i="4"/>
  <c r="AS327" i="4"/>
  <c r="AT327" i="4"/>
  <c r="AR327" i="4"/>
  <c r="P327" i="4"/>
  <c r="H327" i="4"/>
  <c r="G327" i="4"/>
  <c r="AP326" i="4"/>
  <c r="AX326" i="4"/>
  <c r="AM326" i="4"/>
  <c r="AL326" i="4"/>
  <c r="AK326" i="4"/>
  <c r="AJ326" i="4"/>
  <c r="AG326" i="4"/>
  <c r="K327" i="4"/>
  <c r="AH326" i="4"/>
  <c r="AN326" i="4"/>
  <c r="AE326" i="4"/>
  <c r="AD326" i="4"/>
  <c r="AC326" i="4"/>
  <c r="AB326" i="4"/>
  <c r="Z326" i="4"/>
  <c r="Y326" i="4"/>
  <c r="AI326" i="4"/>
  <c r="AU326" i="4"/>
  <c r="AV326" i="4"/>
  <c r="AW326" i="4"/>
  <c r="AF326" i="4"/>
  <c r="W326" i="4"/>
  <c r="V326" i="4"/>
  <c r="U326" i="4"/>
  <c r="R326" i="4"/>
  <c r="AA326" i="4"/>
  <c r="Q326" i="4"/>
  <c r="T326" i="4"/>
  <c r="X326" i="4"/>
  <c r="O326" i="4"/>
  <c r="N326" i="4"/>
  <c r="M326" i="4"/>
  <c r="I326" i="4"/>
  <c r="J326" i="4"/>
  <c r="L326" i="4"/>
  <c r="S326" i="4"/>
  <c r="AS326" i="4"/>
  <c r="AT326" i="4"/>
  <c r="AR326" i="4"/>
  <c r="P326" i="4"/>
  <c r="H326" i="4"/>
  <c r="G326" i="4"/>
  <c r="AP325" i="4"/>
  <c r="AX325" i="4"/>
  <c r="AM325" i="4"/>
  <c r="AL325" i="4"/>
  <c r="AK325" i="4"/>
  <c r="AH325" i="4"/>
  <c r="AG325" i="4"/>
  <c r="K326" i="4"/>
  <c r="AJ325" i="4"/>
  <c r="AN325" i="4"/>
  <c r="AE325" i="4"/>
  <c r="AD325" i="4"/>
  <c r="AC325" i="4"/>
  <c r="AI325" i="4"/>
  <c r="Z325" i="4"/>
  <c r="AB325" i="4"/>
  <c r="Y325" i="4"/>
  <c r="AU325" i="4"/>
  <c r="AW325" i="4"/>
  <c r="AV325" i="4"/>
  <c r="AF325" i="4"/>
  <c r="W325" i="4"/>
  <c r="V325" i="4"/>
  <c r="U325" i="4"/>
  <c r="T325" i="4"/>
  <c r="AA325" i="4"/>
  <c r="R325" i="4"/>
  <c r="Q325" i="4"/>
  <c r="X325" i="4"/>
  <c r="O325" i="4"/>
  <c r="N325" i="4"/>
  <c r="M325" i="4"/>
  <c r="L325" i="4"/>
  <c r="J325" i="4"/>
  <c r="I325" i="4"/>
  <c r="S325" i="4"/>
  <c r="AS325" i="4"/>
  <c r="AT325" i="4"/>
  <c r="AR325" i="4"/>
  <c r="P325" i="4"/>
  <c r="H325" i="4"/>
  <c r="G325" i="4"/>
  <c r="AP324" i="4"/>
  <c r="AX324" i="4"/>
  <c r="AM324" i="4"/>
  <c r="AL324" i="4"/>
  <c r="AK324" i="4"/>
  <c r="AG324" i="4"/>
  <c r="K325" i="4"/>
  <c r="AH324" i="4"/>
  <c r="AJ324" i="4"/>
  <c r="AN324" i="4"/>
  <c r="AE324" i="4"/>
  <c r="AD324" i="4"/>
  <c r="AC324" i="4"/>
  <c r="Y324" i="4"/>
  <c r="Z324" i="4"/>
  <c r="AB324" i="4"/>
  <c r="AI324" i="4"/>
  <c r="AU324" i="4"/>
  <c r="AV324" i="4"/>
  <c r="AW324" i="4"/>
  <c r="AF324" i="4"/>
  <c r="W324" i="4"/>
  <c r="V324" i="4"/>
  <c r="U324" i="4"/>
  <c r="T324" i="4"/>
  <c r="Q324" i="4"/>
  <c r="R324" i="4"/>
  <c r="AA324" i="4"/>
  <c r="X324" i="4"/>
  <c r="O324" i="4"/>
  <c r="N324" i="4"/>
  <c r="M324" i="4"/>
  <c r="I324" i="4"/>
  <c r="J324" i="4"/>
  <c r="L324" i="4"/>
  <c r="S324" i="4"/>
  <c r="AS324" i="4"/>
  <c r="AT324" i="4"/>
  <c r="AR324" i="4"/>
  <c r="P324" i="4"/>
  <c r="H324" i="4"/>
  <c r="G324" i="4"/>
  <c r="AP323" i="4"/>
  <c r="AX323" i="4"/>
  <c r="AM323" i="4"/>
  <c r="AL323" i="4"/>
  <c r="AK323" i="4"/>
  <c r="AH323" i="4"/>
  <c r="AG323" i="4"/>
  <c r="K324" i="4"/>
  <c r="AJ323" i="4"/>
  <c r="AN323" i="4"/>
  <c r="AE323" i="4"/>
  <c r="AD323" i="4"/>
  <c r="AC323" i="4"/>
  <c r="Z323" i="4"/>
  <c r="AB323" i="4"/>
  <c r="Y323" i="4"/>
  <c r="AI323" i="4"/>
  <c r="AV323" i="4"/>
  <c r="AU323" i="4"/>
  <c r="AW323" i="4"/>
  <c r="AF323" i="4"/>
  <c r="W323" i="4"/>
  <c r="V323" i="4"/>
  <c r="U323" i="4"/>
  <c r="R323" i="4"/>
  <c r="Q323" i="4"/>
  <c r="AA323" i="4"/>
  <c r="T323" i="4"/>
  <c r="X323" i="4"/>
  <c r="O323" i="4"/>
  <c r="N323" i="4"/>
  <c r="M323" i="4"/>
  <c r="L323" i="4"/>
  <c r="J323" i="4"/>
  <c r="I323" i="4"/>
  <c r="S323" i="4"/>
  <c r="AS323" i="4"/>
  <c r="AT323" i="4"/>
  <c r="AR323" i="4"/>
  <c r="P323" i="4"/>
  <c r="H323" i="4"/>
  <c r="G323" i="4"/>
  <c r="AP322" i="4"/>
  <c r="AX322" i="4"/>
  <c r="AM322" i="4"/>
  <c r="AL322" i="4"/>
  <c r="AK322" i="4"/>
  <c r="AJ322" i="4"/>
  <c r="AH322" i="4"/>
  <c r="AG322" i="4"/>
  <c r="K323" i="4"/>
  <c r="AN322" i="4"/>
  <c r="AE322" i="4"/>
  <c r="AD322" i="4"/>
  <c r="AC322" i="4"/>
  <c r="AB322" i="4"/>
  <c r="AI322" i="4"/>
  <c r="Z322" i="4"/>
  <c r="Y322" i="4"/>
  <c r="AV322" i="4"/>
  <c r="AU322" i="4"/>
  <c r="AW322" i="4"/>
  <c r="AF322" i="4"/>
  <c r="W322" i="4"/>
  <c r="V322" i="4"/>
  <c r="U322" i="4"/>
  <c r="AA322" i="4"/>
  <c r="T322" i="4"/>
  <c r="Q322" i="4"/>
  <c r="R322" i="4"/>
  <c r="X322" i="4"/>
  <c r="O322" i="4"/>
  <c r="N322" i="4"/>
  <c r="M322" i="4"/>
  <c r="L322" i="4"/>
  <c r="I322" i="4"/>
  <c r="J322" i="4"/>
  <c r="S322" i="4"/>
  <c r="AS322" i="4"/>
  <c r="AT322" i="4"/>
  <c r="AR322" i="4"/>
  <c r="P322" i="4"/>
  <c r="H322" i="4"/>
  <c r="G322" i="4"/>
  <c r="AP321" i="4"/>
  <c r="AX321" i="4"/>
  <c r="AL321" i="4"/>
  <c r="AK321" i="4"/>
  <c r="AH321" i="4"/>
  <c r="AJ321" i="4"/>
  <c r="K322" i="4"/>
  <c r="AG321" i="4"/>
  <c r="AN321" i="4"/>
  <c r="AE321" i="4"/>
  <c r="AD321" i="4"/>
  <c r="AC321" i="4"/>
  <c r="AB321" i="4"/>
  <c r="Z321" i="4"/>
  <c r="Y321" i="4"/>
  <c r="AI321" i="4"/>
  <c r="AV321" i="4"/>
  <c r="AU321" i="4"/>
  <c r="AW321" i="4"/>
  <c r="AF321" i="4"/>
  <c r="W321" i="4"/>
  <c r="V321" i="4"/>
  <c r="U321" i="4"/>
  <c r="Q321" i="4"/>
  <c r="AA321" i="4"/>
  <c r="T321" i="4"/>
  <c r="R321" i="4"/>
  <c r="X321" i="4"/>
  <c r="O321" i="4"/>
  <c r="N321" i="4"/>
  <c r="M321" i="4"/>
  <c r="I321" i="4"/>
  <c r="S321" i="4"/>
  <c r="J321" i="4"/>
  <c r="L321" i="4"/>
  <c r="AS321" i="4"/>
  <c r="AT321" i="4"/>
  <c r="AR321" i="4"/>
  <c r="P321" i="4"/>
  <c r="H321" i="4"/>
  <c r="G321" i="4"/>
  <c r="AP320" i="4"/>
  <c r="AX320" i="4"/>
  <c r="AM320" i="4"/>
  <c r="AL320" i="4"/>
  <c r="AK320" i="4"/>
  <c r="K321" i="4"/>
  <c r="AJ320" i="4"/>
  <c r="AH320" i="4"/>
  <c r="AG320" i="4"/>
  <c r="AN320" i="4"/>
  <c r="AE320" i="4"/>
  <c r="AD320" i="4"/>
  <c r="AC320" i="4"/>
  <c r="Z320" i="4"/>
  <c r="AB320" i="4"/>
  <c r="Y320" i="4"/>
  <c r="AI320" i="4"/>
  <c r="AV320" i="4"/>
  <c r="AU320" i="4"/>
  <c r="AW320" i="4"/>
  <c r="AF320" i="4"/>
  <c r="W320" i="4"/>
  <c r="V320" i="4"/>
  <c r="U320" i="4"/>
  <c r="Q320" i="4"/>
  <c r="R320" i="4"/>
  <c r="AA320" i="4"/>
  <c r="T320" i="4"/>
  <c r="X320" i="4"/>
  <c r="O320" i="4"/>
  <c r="N320" i="4"/>
  <c r="M320" i="4"/>
  <c r="I320" i="4"/>
  <c r="S320" i="4"/>
  <c r="J320" i="4"/>
  <c r="L320" i="4"/>
  <c r="AS320" i="4"/>
  <c r="AT320" i="4"/>
  <c r="AR320" i="4"/>
  <c r="P320" i="4"/>
  <c r="H320" i="4"/>
  <c r="G320" i="4"/>
  <c r="AP319" i="4"/>
  <c r="AX319" i="4"/>
  <c r="AL319" i="4"/>
  <c r="AK319" i="4"/>
  <c r="AJ319" i="4"/>
  <c r="K320" i="4"/>
  <c r="AH319" i="4"/>
  <c r="AG319" i="4"/>
  <c r="AN319" i="4"/>
  <c r="AE319" i="4"/>
  <c r="AD319" i="4"/>
  <c r="AC319" i="4"/>
  <c r="AI319" i="4"/>
  <c r="Z319" i="4"/>
  <c r="AB319" i="4"/>
  <c r="Y319" i="4"/>
  <c r="AU319" i="4"/>
  <c r="AW319" i="4"/>
  <c r="AV319" i="4"/>
  <c r="AF319" i="4"/>
  <c r="W319" i="4"/>
  <c r="V319" i="4"/>
  <c r="U319" i="4"/>
  <c r="Q319" i="4"/>
  <c r="R319" i="4"/>
  <c r="AA319" i="4"/>
  <c r="T319" i="4"/>
  <c r="X319" i="4"/>
  <c r="O319" i="4"/>
  <c r="N319" i="4"/>
  <c r="M319" i="4"/>
  <c r="J319" i="4"/>
  <c r="L319" i="4"/>
  <c r="I319" i="4"/>
  <c r="S319" i="4"/>
  <c r="AS319" i="4"/>
  <c r="AT319" i="4"/>
  <c r="AR319" i="4"/>
  <c r="P319" i="4"/>
  <c r="H319" i="4"/>
  <c r="G319" i="4"/>
  <c r="AP318" i="4"/>
  <c r="AX318" i="4"/>
  <c r="AM318" i="4"/>
  <c r="AL318" i="4"/>
  <c r="AK318" i="4"/>
  <c r="AG318" i="4"/>
  <c r="AJ318" i="4"/>
  <c r="AH318" i="4"/>
  <c r="K319" i="4"/>
  <c r="AN318" i="4"/>
  <c r="AE318" i="4"/>
  <c r="AD318" i="4"/>
  <c r="AC318" i="4"/>
  <c r="AI318" i="4"/>
  <c r="Z318" i="4"/>
  <c r="AB318" i="4"/>
  <c r="Y318" i="4"/>
  <c r="AV318" i="4"/>
  <c r="AU318" i="4"/>
  <c r="AW318" i="4"/>
  <c r="AF318" i="4"/>
  <c r="W318" i="4"/>
  <c r="V318" i="4"/>
  <c r="U318" i="4"/>
  <c r="T318" i="4"/>
  <c r="R318" i="4"/>
  <c r="AA318" i="4"/>
  <c r="Q318" i="4"/>
  <c r="X318" i="4"/>
  <c r="O318" i="4"/>
  <c r="N318" i="4"/>
  <c r="M318" i="4"/>
  <c r="S318" i="4"/>
  <c r="J318" i="4"/>
  <c r="L318" i="4"/>
  <c r="I318" i="4"/>
  <c r="AS318" i="4"/>
  <c r="AT318" i="4"/>
  <c r="AR318" i="4"/>
  <c r="P318" i="4"/>
  <c r="H318" i="4"/>
  <c r="G318" i="4"/>
  <c r="AP317" i="4"/>
  <c r="AX317" i="4"/>
  <c r="AL317" i="4"/>
  <c r="AK317" i="4"/>
  <c r="AH317" i="4"/>
  <c r="AJ317" i="4"/>
  <c r="K318" i="4"/>
  <c r="AG317" i="4"/>
  <c r="AN317" i="4"/>
  <c r="AD317" i="4"/>
  <c r="AC317" i="4"/>
  <c r="Y317" i="4"/>
  <c r="AI317" i="4"/>
  <c r="AB317" i="4"/>
  <c r="Z317" i="4"/>
  <c r="AV317" i="4"/>
  <c r="AU317" i="4"/>
  <c r="AW317" i="4"/>
  <c r="AF317" i="4"/>
  <c r="W317" i="4"/>
  <c r="V317" i="4"/>
  <c r="U317" i="4"/>
  <c r="T317" i="4"/>
  <c r="R317" i="4"/>
  <c r="AA317" i="4"/>
  <c r="Q317" i="4"/>
  <c r="X317" i="4"/>
  <c r="O317" i="4"/>
  <c r="N317" i="4"/>
  <c r="M317" i="4"/>
  <c r="L317" i="4"/>
  <c r="I317" i="4"/>
  <c r="J317" i="4"/>
  <c r="S317" i="4"/>
  <c r="AS317" i="4"/>
  <c r="AT317" i="4"/>
  <c r="AR317" i="4"/>
  <c r="P317" i="4"/>
  <c r="H317" i="4"/>
  <c r="G317" i="4"/>
  <c r="AP316" i="4"/>
  <c r="AX316" i="4"/>
  <c r="AM316" i="4"/>
  <c r="AL316" i="4"/>
  <c r="AK316" i="4"/>
  <c r="AJ316" i="4"/>
  <c r="K317" i="4"/>
  <c r="AH316" i="4"/>
  <c r="AG316" i="4"/>
  <c r="AN316" i="4"/>
  <c r="AE316" i="4"/>
  <c r="AD316" i="4"/>
  <c r="AC316" i="4"/>
  <c r="Z316" i="4"/>
  <c r="AB316" i="4"/>
  <c r="Y316" i="4"/>
  <c r="AI316" i="4"/>
  <c r="AV316" i="4"/>
  <c r="AU316" i="4"/>
  <c r="AW316" i="4"/>
  <c r="AF316" i="4"/>
  <c r="W316" i="4"/>
  <c r="V316" i="4"/>
  <c r="U316" i="4"/>
  <c r="AA316" i="4"/>
  <c r="R316" i="4"/>
  <c r="Q316" i="4"/>
  <c r="T316" i="4"/>
  <c r="X316" i="4"/>
  <c r="O316" i="4"/>
  <c r="N316" i="4"/>
  <c r="M316" i="4"/>
  <c r="J316" i="4"/>
  <c r="L316" i="4"/>
  <c r="I316" i="4"/>
  <c r="S316" i="4"/>
  <c r="AS316" i="4"/>
  <c r="AT316" i="4"/>
  <c r="AR316" i="4"/>
  <c r="P316" i="4"/>
  <c r="H316" i="4"/>
  <c r="G316" i="4"/>
  <c r="AP315" i="4"/>
  <c r="AX315" i="4"/>
  <c r="AM315" i="4"/>
  <c r="AL315" i="4"/>
  <c r="AK315" i="4"/>
  <c r="K316" i="4"/>
  <c r="AG315" i="4"/>
  <c r="AJ315" i="4"/>
  <c r="AH315" i="4"/>
  <c r="AN315" i="4"/>
  <c r="AE315" i="4"/>
  <c r="AD315" i="4"/>
  <c r="AC315" i="4"/>
  <c r="Z315" i="4"/>
  <c r="AB315" i="4"/>
  <c r="Y315" i="4"/>
  <c r="AI315" i="4"/>
  <c r="AV315" i="4"/>
  <c r="AU315" i="4"/>
  <c r="AW315" i="4"/>
  <c r="AF315" i="4"/>
  <c r="W315" i="4"/>
  <c r="V315" i="4"/>
  <c r="U315" i="4"/>
  <c r="T315" i="4"/>
  <c r="Q315" i="4"/>
  <c r="R315" i="4"/>
  <c r="AA315" i="4"/>
  <c r="X315" i="4"/>
  <c r="O315" i="4"/>
  <c r="N315" i="4"/>
  <c r="M315" i="4"/>
  <c r="J315" i="4"/>
  <c r="L315" i="4"/>
  <c r="I315" i="4"/>
  <c r="S315" i="4"/>
  <c r="AS315" i="4"/>
  <c r="AT315" i="4"/>
  <c r="AR315" i="4"/>
  <c r="P315" i="4"/>
  <c r="H315" i="4"/>
  <c r="G315" i="4"/>
  <c r="AP314" i="4"/>
  <c r="AX314" i="4"/>
  <c r="AM314" i="4"/>
  <c r="AL314" i="4"/>
  <c r="AK314" i="4"/>
  <c r="AH314" i="4"/>
  <c r="AG314" i="4"/>
  <c r="K315" i="4"/>
  <c r="AJ314" i="4"/>
  <c r="AN314" i="4"/>
  <c r="AE314" i="4"/>
  <c r="AD314" i="4"/>
  <c r="AC314" i="4"/>
  <c r="AI314" i="4"/>
  <c r="Z314" i="4"/>
  <c r="AB314" i="4"/>
  <c r="Y314" i="4"/>
  <c r="AV314" i="4"/>
  <c r="AU314" i="4"/>
  <c r="AW314" i="4"/>
  <c r="AF314" i="4"/>
  <c r="W314" i="4"/>
  <c r="V314" i="4"/>
  <c r="U314" i="4"/>
  <c r="Q314" i="4"/>
  <c r="AA314" i="4"/>
  <c r="R314" i="4"/>
  <c r="T314" i="4"/>
  <c r="X314" i="4"/>
  <c r="O314" i="4"/>
  <c r="N314" i="4"/>
  <c r="M314" i="4"/>
  <c r="J314" i="4"/>
  <c r="L314" i="4"/>
  <c r="I314" i="4"/>
  <c r="S314" i="4"/>
  <c r="AS314" i="4"/>
  <c r="AT314" i="4"/>
  <c r="AR314" i="4"/>
  <c r="P314" i="4"/>
  <c r="H314" i="4"/>
  <c r="G314" i="4"/>
  <c r="AP313" i="4"/>
  <c r="AX313" i="4"/>
  <c r="AM313" i="4"/>
  <c r="AL313" i="4"/>
  <c r="AK313" i="4"/>
  <c r="AG313" i="4"/>
  <c r="K314" i="4"/>
  <c r="AJ313" i="4"/>
  <c r="AH313" i="4"/>
  <c r="AN313" i="4"/>
  <c r="AE313" i="4"/>
  <c r="AD313" i="4"/>
  <c r="AC313" i="4"/>
  <c r="Y313" i="4"/>
  <c r="AI313" i="4"/>
  <c r="Z313" i="4"/>
  <c r="AB313" i="4"/>
  <c r="AV313" i="4"/>
  <c r="AU313" i="4"/>
  <c r="AW313" i="4"/>
  <c r="AF313" i="4"/>
  <c r="W313" i="4"/>
  <c r="V313" i="4"/>
  <c r="U313" i="4"/>
  <c r="T313" i="4"/>
  <c r="Q313" i="4"/>
  <c r="R313" i="4"/>
  <c r="AA313" i="4"/>
  <c r="X313" i="4"/>
  <c r="O313" i="4"/>
  <c r="N313" i="4"/>
  <c r="M313" i="4"/>
  <c r="L313" i="4"/>
  <c r="I313" i="4"/>
  <c r="S313" i="4"/>
  <c r="J313" i="4"/>
  <c r="AS313" i="4"/>
  <c r="AT313" i="4"/>
  <c r="AR313" i="4"/>
  <c r="P313" i="4"/>
  <c r="H313" i="4"/>
  <c r="G313" i="4"/>
  <c r="AP312" i="4"/>
  <c r="AX312" i="4"/>
  <c r="AM312" i="4"/>
  <c r="AL312" i="4"/>
  <c r="AK312" i="4"/>
  <c r="AJ312" i="4"/>
  <c r="AH312" i="4"/>
  <c r="AG312" i="4"/>
  <c r="K313" i="4"/>
  <c r="AN312" i="4"/>
  <c r="AE312" i="4"/>
  <c r="AD312" i="4"/>
  <c r="AC312" i="4"/>
  <c r="AB312" i="4"/>
  <c r="Y312" i="4"/>
  <c r="AI312" i="4"/>
  <c r="Z312" i="4"/>
  <c r="AU312" i="4"/>
  <c r="AV312" i="4"/>
  <c r="AW312" i="4"/>
  <c r="AF312" i="4"/>
  <c r="W312" i="4"/>
  <c r="V312" i="4"/>
  <c r="U312" i="4"/>
  <c r="Q312" i="4"/>
  <c r="T312" i="4"/>
  <c r="R312" i="4"/>
  <c r="AA312" i="4"/>
  <c r="X312" i="4"/>
  <c r="N312" i="4"/>
  <c r="M312" i="4"/>
  <c r="I312" i="4"/>
  <c r="S312" i="4"/>
  <c r="L312" i="4"/>
  <c r="J312" i="4"/>
  <c r="AS312" i="4"/>
  <c r="AT312" i="4"/>
  <c r="AR312" i="4"/>
  <c r="P312" i="4"/>
  <c r="H312" i="4"/>
  <c r="G312" i="4"/>
  <c r="AP311" i="4"/>
  <c r="AX311" i="4"/>
  <c r="AM311" i="4"/>
  <c r="AL311" i="4"/>
  <c r="AK311" i="4"/>
  <c r="AG311" i="4"/>
  <c r="AJ311" i="4"/>
  <c r="K312" i="4"/>
  <c r="AH311" i="4"/>
  <c r="AN311" i="4"/>
  <c r="AE311" i="4"/>
  <c r="AD311" i="4"/>
  <c r="AC311" i="4"/>
  <c r="AB311" i="4"/>
  <c r="AI311" i="4"/>
  <c r="Z311" i="4"/>
  <c r="Y311" i="4"/>
  <c r="AU311" i="4"/>
  <c r="AW311" i="4"/>
  <c r="AV311" i="4"/>
  <c r="AF311" i="4"/>
  <c r="V311" i="4"/>
  <c r="U311" i="4"/>
  <c r="AA311" i="4"/>
  <c r="R311" i="4"/>
  <c r="T311" i="4"/>
  <c r="Q311" i="4"/>
  <c r="X311" i="4"/>
  <c r="N311" i="4"/>
  <c r="M311" i="4"/>
  <c r="J311" i="4"/>
  <c r="S311" i="4"/>
  <c r="I311" i="4"/>
  <c r="L311" i="4"/>
  <c r="AS311" i="4"/>
  <c r="AT311" i="4"/>
  <c r="AR311" i="4"/>
  <c r="P311" i="4"/>
  <c r="H311" i="4"/>
  <c r="G311" i="4"/>
  <c r="AP310" i="4"/>
  <c r="AX310" i="4"/>
  <c r="AL310" i="4"/>
  <c r="AK310" i="4"/>
  <c r="AH310" i="4"/>
  <c r="AG310" i="4"/>
  <c r="AJ310" i="4"/>
  <c r="K311" i="4"/>
  <c r="AN310" i="4"/>
  <c r="AD310" i="4"/>
  <c r="AC310" i="4"/>
  <c r="Z310" i="4"/>
  <c r="AI310" i="4"/>
  <c r="Y310" i="4"/>
  <c r="AB310" i="4"/>
  <c r="AV310" i="4"/>
  <c r="AU310" i="4"/>
  <c r="AW310" i="4"/>
  <c r="AF310" i="4"/>
  <c r="W310" i="4"/>
  <c r="V310" i="4"/>
  <c r="U310" i="4"/>
  <c r="AA310" i="4"/>
  <c r="Q310" i="4"/>
  <c r="R310" i="4"/>
  <c r="T310" i="4"/>
  <c r="X310" i="4"/>
  <c r="O310" i="4"/>
  <c r="N310" i="4"/>
  <c r="M310" i="4"/>
  <c r="L310" i="4"/>
  <c r="J310" i="4"/>
  <c r="I310" i="4"/>
  <c r="S310" i="4"/>
  <c r="AS310" i="4"/>
  <c r="AT310" i="4"/>
  <c r="AR310" i="4"/>
  <c r="P310" i="4"/>
  <c r="H310" i="4"/>
  <c r="G310" i="4"/>
  <c r="AP309" i="4"/>
  <c r="AX309" i="4"/>
  <c r="AM309" i="4"/>
  <c r="AL309" i="4"/>
  <c r="AK309" i="4"/>
  <c r="AJ309" i="4"/>
  <c r="AH309" i="4"/>
  <c r="AG309" i="4"/>
  <c r="K310" i="4"/>
  <c r="AN309" i="4"/>
  <c r="AE309" i="4"/>
  <c r="AD309" i="4"/>
  <c r="AC309" i="4"/>
  <c r="Y309" i="4"/>
  <c r="Z309" i="4"/>
  <c r="AB309" i="4"/>
  <c r="AI309" i="4"/>
  <c r="AV309" i="4"/>
  <c r="AU309" i="4"/>
  <c r="AW309" i="4"/>
  <c r="AF309" i="4"/>
  <c r="V309" i="4"/>
  <c r="U309" i="4"/>
  <c r="T309" i="4"/>
  <c r="AA309" i="4"/>
  <c r="R309" i="4"/>
  <c r="Q309" i="4"/>
  <c r="X309" i="4"/>
  <c r="O309" i="4"/>
  <c r="N309" i="4"/>
  <c r="M309" i="4"/>
  <c r="S309" i="4"/>
  <c r="J309" i="4"/>
  <c r="L309" i="4"/>
  <c r="I309" i="4"/>
  <c r="AS309" i="4"/>
  <c r="AT309" i="4"/>
  <c r="AR309" i="4"/>
  <c r="P309" i="4"/>
  <c r="H309" i="4"/>
  <c r="G309" i="4"/>
  <c r="AP308" i="4"/>
  <c r="AX308" i="4"/>
  <c r="AM308" i="4"/>
  <c r="AL308" i="4"/>
  <c r="AK308" i="4"/>
  <c r="AG308" i="4"/>
  <c r="K309" i="4"/>
  <c r="AJ308" i="4"/>
  <c r="AH308" i="4"/>
  <c r="AN308" i="4"/>
  <c r="AE308" i="4"/>
  <c r="AD308" i="4"/>
  <c r="AC308" i="4"/>
  <c r="AI308" i="4"/>
  <c r="Z308" i="4"/>
  <c r="AB308" i="4"/>
  <c r="Y308" i="4"/>
  <c r="AV308" i="4"/>
  <c r="AW308" i="4"/>
  <c r="AU308" i="4"/>
  <c r="AF308" i="4"/>
  <c r="W308" i="4"/>
  <c r="V308" i="4"/>
  <c r="U308" i="4"/>
  <c r="AA308" i="4"/>
  <c r="T308" i="4"/>
  <c r="R308" i="4"/>
  <c r="Q308" i="4"/>
  <c r="X308" i="4"/>
  <c r="O308" i="4"/>
  <c r="N308" i="4"/>
  <c r="M308" i="4"/>
  <c r="L308" i="4"/>
  <c r="J308" i="4"/>
  <c r="I308" i="4"/>
  <c r="S308" i="4"/>
  <c r="AS308" i="4"/>
  <c r="AT308" i="4"/>
  <c r="AR308" i="4"/>
  <c r="P308" i="4"/>
  <c r="H308" i="4"/>
  <c r="G308" i="4"/>
  <c r="AP307" i="4"/>
  <c r="AX307" i="4"/>
  <c r="AM307" i="4"/>
  <c r="AL307" i="4"/>
  <c r="AK307" i="4"/>
  <c r="AJ307" i="4"/>
  <c r="AH307" i="4"/>
  <c r="AG307" i="4"/>
  <c r="K308" i="4"/>
  <c r="AN307" i="4"/>
  <c r="AE307" i="4"/>
  <c r="AD307" i="4"/>
  <c r="AC307" i="4"/>
  <c r="AI307" i="4"/>
  <c r="Z307" i="4"/>
  <c r="AB307" i="4"/>
  <c r="Y307" i="4"/>
  <c r="AV307" i="4"/>
  <c r="AU307" i="4"/>
  <c r="AW307" i="4"/>
  <c r="AF307" i="4"/>
  <c r="W307" i="4"/>
  <c r="V307" i="4"/>
  <c r="U307" i="4"/>
  <c r="AA307" i="4"/>
  <c r="T307" i="4"/>
  <c r="Q307" i="4"/>
  <c r="R307" i="4"/>
  <c r="X307" i="4"/>
  <c r="O307" i="4"/>
  <c r="N307" i="4"/>
  <c r="M307" i="4"/>
  <c r="J307" i="4"/>
  <c r="L307" i="4"/>
  <c r="I307" i="4"/>
  <c r="S307" i="4"/>
  <c r="AS307" i="4"/>
  <c r="AT307" i="4"/>
  <c r="AR307" i="4"/>
  <c r="P307" i="4"/>
  <c r="H307" i="4"/>
  <c r="G307" i="4"/>
  <c r="AP306" i="4"/>
  <c r="AX306" i="4"/>
  <c r="AM306" i="4"/>
  <c r="AL306" i="4"/>
  <c r="AK306" i="4"/>
  <c r="AH306" i="4"/>
  <c r="AG306" i="4"/>
  <c r="AJ306" i="4"/>
  <c r="K307" i="4"/>
  <c r="AN306" i="4"/>
  <c r="AE306" i="4"/>
  <c r="AD306" i="4"/>
  <c r="AC306" i="4"/>
  <c r="AB306" i="4"/>
  <c r="Y306" i="4"/>
  <c r="AI306" i="4"/>
  <c r="Z306" i="4"/>
  <c r="AU306" i="4"/>
  <c r="AV306" i="4"/>
  <c r="AW306" i="4"/>
  <c r="AF306" i="4"/>
  <c r="W306" i="4"/>
  <c r="V306" i="4"/>
  <c r="U306" i="4"/>
  <c r="R306" i="4"/>
  <c r="Q306" i="4"/>
  <c r="AA306" i="4"/>
  <c r="T306" i="4"/>
  <c r="X306" i="4"/>
  <c r="O306" i="4"/>
  <c r="N306" i="4"/>
  <c r="M306" i="4"/>
  <c r="L306" i="4"/>
  <c r="S306" i="4"/>
  <c r="J306" i="4"/>
  <c r="I306" i="4"/>
  <c r="AS306" i="4"/>
  <c r="AT306" i="4"/>
  <c r="AR306" i="4"/>
  <c r="P306" i="4"/>
  <c r="H306" i="4"/>
  <c r="G306" i="4"/>
  <c r="AP305" i="4"/>
  <c r="AX305" i="4"/>
  <c r="AM305" i="4"/>
  <c r="AL305" i="4"/>
  <c r="AK305" i="4"/>
  <c r="AJ305" i="4"/>
  <c r="AH305" i="4"/>
  <c r="AG305" i="4"/>
  <c r="K306" i="4"/>
  <c r="AN305" i="4"/>
  <c r="AE305" i="4"/>
  <c r="AD305" i="4"/>
  <c r="AC305" i="4"/>
  <c r="AB305" i="4"/>
  <c r="AI305" i="4"/>
  <c r="Y305" i="4"/>
  <c r="Z305" i="4"/>
  <c r="AU305" i="4"/>
  <c r="AW305" i="4"/>
  <c r="AV305" i="4"/>
  <c r="AF305" i="4"/>
  <c r="W305" i="4"/>
  <c r="V305" i="4"/>
  <c r="U305" i="4"/>
  <c r="AA305" i="4"/>
  <c r="T305" i="4"/>
  <c r="R305" i="4"/>
  <c r="Q305" i="4"/>
  <c r="X305" i="4"/>
  <c r="O305" i="4"/>
  <c r="N305" i="4"/>
  <c r="M305" i="4"/>
  <c r="I305" i="4"/>
  <c r="J305" i="4"/>
  <c r="L305" i="4"/>
  <c r="S305" i="4"/>
  <c r="AS305" i="4"/>
  <c r="AT305" i="4"/>
  <c r="AR305" i="4"/>
  <c r="P305" i="4"/>
  <c r="H305" i="4"/>
  <c r="G305" i="4"/>
  <c r="AP304" i="4"/>
  <c r="AX304" i="4"/>
  <c r="AM304" i="4"/>
  <c r="AL304" i="4"/>
  <c r="AK304" i="4"/>
  <c r="AJ304" i="4"/>
  <c r="K305" i="4"/>
  <c r="AH304" i="4"/>
  <c r="AG304" i="4"/>
  <c r="AN304" i="4"/>
  <c r="AE304" i="4"/>
  <c r="AD304" i="4"/>
  <c r="AC304" i="4"/>
  <c r="Y304" i="4"/>
  <c r="AI304" i="4"/>
  <c r="Z304" i="4"/>
  <c r="AB304" i="4"/>
  <c r="AV304" i="4"/>
  <c r="AU304" i="4"/>
  <c r="AW304" i="4"/>
  <c r="AF304" i="4"/>
  <c r="W304" i="4"/>
  <c r="V304" i="4"/>
  <c r="U304" i="4"/>
  <c r="Q304" i="4"/>
  <c r="AA304" i="4"/>
  <c r="T304" i="4"/>
  <c r="R304" i="4"/>
  <c r="X304" i="4"/>
  <c r="O304" i="4"/>
  <c r="N304" i="4"/>
  <c r="M304" i="4"/>
  <c r="I304" i="4"/>
  <c r="S304" i="4"/>
  <c r="J304" i="4"/>
  <c r="L304" i="4"/>
  <c r="AS304" i="4"/>
  <c r="AT304" i="4"/>
  <c r="AR304" i="4"/>
  <c r="P304" i="4"/>
  <c r="H304" i="4"/>
  <c r="G304" i="4"/>
  <c r="AP303" i="4"/>
  <c r="AX303" i="4"/>
  <c r="AM303" i="4"/>
  <c r="AL303" i="4"/>
  <c r="AK303" i="4"/>
  <c r="AJ303" i="4"/>
  <c r="AH303" i="4"/>
  <c r="AG303" i="4"/>
  <c r="K304" i="4"/>
  <c r="AN303" i="4"/>
  <c r="AE303" i="4"/>
  <c r="AD303" i="4"/>
  <c r="AC303" i="4"/>
  <c r="Z303" i="4"/>
  <c r="AB303" i="4"/>
  <c r="Y303" i="4"/>
  <c r="AI303" i="4"/>
  <c r="AV303" i="4"/>
  <c r="AU303" i="4"/>
  <c r="AW303" i="4"/>
  <c r="AF303" i="4"/>
  <c r="W303" i="4"/>
  <c r="V303" i="4"/>
  <c r="U303" i="4"/>
  <c r="AA303" i="4"/>
  <c r="R303" i="4"/>
  <c r="Q303" i="4"/>
  <c r="T303" i="4"/>
  <c r="X303" i="4"/>
  <c r="O303" i="4"/>
  <c r="N303" i="4"/>
  <c r="M303" i="4"/>
  <c r="I303" i="4"/>
  <c r="S303" i="4"/>
  <c r="J303" i="4"/>
  <c r="L303" i="4"/>
  <c r="AS303" i="4"/>
  <c r="AT303" i="4"/>
  <c r="AR303" i="4"/>
  <c r="P303" i="4"/>
  <c r="H303" i="4"/>
  <c r="G303" i="4"/>
  <c r="AP302" i="4"/>
  <c r="AX302" i="4"/>
  <c r="AM302" i="4"/>
  <c r="AL302" i="4"/>
  <c r="AK302" i="4"/>
  <c r="AJ302" i="4"/>
  <c r="K303" i="4"/>
  <c r="AH302" i="4"/>
  <c r="AG302" i="4"/>
  <c r="AN302" i="4"/>
  <c r="AE302" i="4"/>
  <c r="AD302" i="4"/>
  <c r="AC302" i="4"/>
  <c r="Y302" i="4"/>
  <c r="AI302" i="4"/>
  <c r="Z302" i="4"/>
  <c r="AB302" i="4"/>
  <c r="AU302" i="4"/>
  <c r="AV302" i="4"/>
  <c r="AW302" i="4"/>
  <c r="AF302" i="4"/>
  <c r="W302" i="4"/>
  <c r="V302" i="4"/>
  <c r="U302" i="4"/>
  <c r="T302" i="4"/>
  <c r="AA302" i="4"/>
  <c r="R302" i="4"/>
  <c r="Q302" i="4"/>
  <c r="X302" i="4"/>
  <c r="O302" i="4"/>
  <c r="N302" i="4"/>
  <c r="M302" i="4"/>
  <c r="I302" i="4"/>
  <c r="S302" i="4"/>
  <c r="J302" i="4"/>
  <c r="L302" i="4"/>
  <c r="AS302" i="4"/>
  <c r="AT302" i="4"/>
  <c r="AR302" i="4"/>
  <c r="P302" i="4"/>
  <c r="H302" i="4"/>
  <c r="G302" i="4"/>
  <c r="AP301" i="4"/>
  <c r="AX301" i="4"/>
  <c r="AM301" i="4"/>
  <c r="AL301" i="4"/>
  <c r="AK301" i="4"/>
  <c r="K302" i="4"/>
  <c r="AJ301" i="4"/>
  <c r="AH301" i="4"/>
  <c r="AG301" i="4"/>
  <c r="AN301" i="4"/>
  <c r="AD301" i="4"/>
  <c r="AC301" i="4"/>
  <c r="Y301" i="4"/>
  <c r="Z301" i="4"/>
  <c r="AI301" i="4"/>
  <c r="AB301" i="4"/>
  <c r="AV301" i="4"/>
  <c r="AW301" i="4"/>
  <c r="AU301" i="4"/>
  <c r="AF301" i="4"/>
  <c r="W301" i="4"/>
  <c r="V301" i="4"/>
  <c r="U301" i="4"/>
  <c r="Q301" i="4"/>
  <c r="T301" i="4"/>
  <c r="R301" i="4"/>
  <c r="AA301" i="4"/>
  <c r="X301" i="4"/>
  <c r="O301" i="4"/>
  <c r="N301" i="4"/>
  <c r="M301" i="4"/>
  <c r="S301" i="4"/>
  <c r="I301" i="4"/>
  <c r="J301" i="4"/>
  <c r="L301" i="4"/>
  <c r="AS301" i="4"/>
  <c r="AT301" i="4"/>
  <c r="AR301" i="4"/>
  <c r="P301" i="4"/>
  <c r="H301" i="4"/>
  <c r="G301" i="4"/>
  <c r="AP300" i="4"/>
  <c r="AX300" i="4"/>
  <c r="AM300" i="4"/>
  <c r="AL300" i="4"/>
  <c r="AK300" i="4"/>
  <c r="AG300" i="4"/>
  <c r="K301" i="4"/>
  <c r="AJ300" i="4"/>
  <c r="AH300" i="4"/>
  <c r="AN300" i="4"/>
  <c r="AE300" i="4"/>
  <c r="AD300" i="4"/>
  <c r="AC300" i="4"/>
  <c r="AB300" i="4"/>
  <c r="Z300" i="4"/>
  <c r="Y300" i="4"/>
  <c r="AI300" i="4"/>
  <c r="AV300" i="4"/>
  <c r="AW300" i="4"/>
  <c r="AU300" i="4"/>
  <c r="AF300" i="4"/>
  <c r="W300" i="4"/>
  <c r="V300" i="4"/>
  <c r="U300" i="4"/>
  <c r="AA300" i="4"/>
  <c r="T300" i="4"/>
  <c r="R300" i="4"/>
  <c r="Q300" i="4"/>
  <c r="X300" i="4"/>
  <c r="O300" i="4"/>
  <c r="N300" i="4"/>
  <c r="M300" i="4"/>
  <c r="J300" i="4"/>
  <c r="L300" i="4"/>
  <c r="I300" i="4"/>
  <c r="S300" i="4"/>
  <c r="AS300" i="4"/>
  <c r="AT300" i="4"/>
  <c r="AR300" i="4"/>
  <c r="P300" i="4"/>
  <c r="H300" i="4"/>
  <c r="G300" i="4"/>
  <c r="AP299" i="4"/>
  <c r="AX299" i="4"/>
  <c r="AL299" i="4"/>
  <c r="AK299" i="4"/>
  <c r="AH299" i="4"/>
  <c r="AG299" i="4"/>
  <c r="AJ299" i="4"/>
  <c r="K300" i="4"/>
  <c r="AN299" i="4"/>
  <c r="AD299" i="4"/>
  <c r="AC299" i="4"/>
  <c r="Z299" i="4"/>
  <c r="AI299" i="4"/>
  <c r="Y299" i="4"/>
  <c r="AB299" i="4"/>
  <c r="AU299" i="4"/>
  <c r="AV299" i="4"/>
  <c r="AW299" i="4"/>
  <c r="AF299" i="4"/>
  <c r="W299" i="4"/>
  <c r="V299" i="4"/>
  <c r="U299" i="4"/>
  <c r="AA299" i="4"/>
  <c r="T299" i="4"/>
  <c r="Q299" i="4"/>
  <c r="R299" i="4"/>
  <c r="X299" i="4"/>
  <c r="O299" i="4"/>
  <c r="N299" i="4"/>
  <c r="M299" i="4"/>
  <c r="S299" i="4"/>
  <c r="J299" i="4"/>
  <c r="L299" i="4"/>
  <c r="I299" i="4"/>
  <c r="AS299" i="4"/>
  <c r="AT299" i="4"/>
  <c r="AR299" i="4"/>
  <c r="P299" i="4"/>
  <c r="H299" i="4"/>
  <c r="G299" i="4"/>
  <c r="AP298" i="4"/>
  <c r="AX298" i="4"/>
  <c r="AL298" i="4"/>
  <c r="AK298" i="4"/>
  <c r="K299" i="4"/>
  <c r="AH298" i="4"/>
  <c r="AG298" i="4"/>
  <c r="AJ298" i="4"/>
  <c r="AN298" i="4"/>
  <c r="AE298" i="4"/>
  <c r="AD298" i="4"/>
  <c r="AC298" i="4"/>
  <c r="AI298" i="4"/>
  <c r="Z298" i="4"/>
  <c r="AB298" i="4"/>
  <c r="Y298" i="4"/>
  <c r="AU298" i="4"/>
  <c r="AW298" i="4"/>
  <c r="AV298" i="4"/>
  <c r="AF298" i="4"/>
  <c r="W298" i="4"/>
  <c r="V298" i="4"/>
  <c r="U298" i="4"/>
  <c r="AA298" i="4"/>
  <c r="R298" i="4"/>
  <c r="Q298" i="4"/>
  <c r="T298" i="4"/>
  <c r="X298" i="4"/>
  <c r="O298" i="4"/>
  <c r="N298" i="4"/>
  <c r="M298" i="4"/>
  <c r="L298" i="4"/>
  <c r="J298" i="4"/>
  <c r="I298" i="4"/>
  <c r="S298" i="4"/>
  <c r="AS298" i="4"/>
  <c r="AT298" i="4"/>
  <c r="AR298" i="4"/>
  <c r="P298" i="4"/>
  <c r="H298" i="4"/>
  <c r="G298" i="4"/>
  <c r="AP297" i="4"/>
  <c r="AX297" i="4"/>
  <c r="AM297" i="4"/>
  <c r="AL297" i="4"/>
  <c r="AK297" i="4"/>
  <c r="K298" i="4"/>
  <c r="AJ297" i="4"/>
  <c r="AG297" i="4"/>
  <c r="AH297" i="4"/>
  <c r="AN297" i="4"/>
  <c r="AE297" i="4"/>
  <c r="AD297" i="4"/>
  <c r="AC297" i="4"/>
  <c r="Z297" i="4"/>
  <c r="AB297" i="4"/>
  <c r="Y297" i="4"/>
  <c r="AI297" i="4"/>
  <c r="AU297" i="4"/>
  <c r="AW297" i="4"/>
  <c r="AV297" i="4"/>
  <c r="AF297" i="4"/>
  <c r="W297" i="4"/>
  <c r="V297" i="4"/>
  <c r="U297" i="4"/>
  <c r="AA297" i="4"/>
  <c r="R297" i="4"/>
  <c r="Q297" i="4"/>
  <c r="T297" i="4"/>
  <c r="X297" i="4"/>
  <c r="O297" i="4"/>
  <c r="N297" i="4"/>
  <c r="M297" i="4"/>
  <c r="J297" i="4"/>
  <c r="L297" i="4"/>
  <c r="I297" i="4"/>
  <c r="S297" i="4"/>
  <c r="AS297" i="4"/>
  <c r="AT297" i="4"/>
  <c r="AR297" i="4"/>
  <c r="P297" i="4"/>
  <c r="H297" i="4"/>
  <c r="G297" i="4"/>
  <c r="AP296" i="4"/>
  <c r="AX296" i="4"/>
  <c r="AM296" i="4"/>
  <c r="AL296" i="4"/>
  <c r="AK296" i="4"/>
  <c r="K297" i="4"/>
  <c r="AH296" i="4"/>
  <c r="AG296" i="4"/>
  <c r="AJ296" i="4"/>
  <c r="AN296" i="4"/>
  <c r="AE296" i="4"/>
  <c r="AD296" i="4"/>
  <c r="AC296" i="4"/>
  <c r="AB296" i="4"/>
  <c r="AI296" i="4"/>
  <c r="Y296" i="4"/>
  <c r="Z296" i="4"/>
  <c r="AU296" i="4"/>
  <c r="AW296" i="4"/>
  <c r="AV296" i="4"/>
  <c r="AF296" i="4"/>
  <c r="W296" i="4"/>
  <c r="V296" i="4"/>
  <c r="U296" i="4"/>
  <c r="T296" i="4"/>
  <c r="Q296" i="4"/>
  <c r="R296" i="4"/>
  <c r="AA296" i="4"/>
  <c r="X296" i="4"/>
  <c r="O296" i="4"/>
  <c r="N296" i="4"/>
  <c r="M296" i="4"/>
  <c r="L296" i="4"/>
  <c r="I296" i="4"/>
  <c r="S296" i="4"/>
  <c r="J296" i="4"/>
  <c r="AS296" i="4"/>
  <c r="AT296" i="4"/>
  <c r="AR296" i="4"/>
  <c r="P296" i="4"/>
  <c r="H296" i="4"/>
  <c r="G296" i="4"/>
  <c r="AP295" i="4"/>
  <c r="AX295" i="4"/>
  <c r="AL295" i="4"/>
  <c r="AK295" i="4"/>
  <c r="AJ295" i="4"/>
  <c r="K296" i="4"/>
  <c r="AG295" i="4"/>
  <c r="AH295" i="4"/>
  <c r="AN295" i="4"/>
  <c r="AD295" i="4"/>
  <c r="AC295" i="4"/>
  <c r="Y295" i="4"/>
  <c r="Z295" i="4"/>
  <c r="AI295" i="4"/>
  <c r="AB295" i="4"/>
  <c r="AU295" i="4"/>
  <c r="AV295" i="4"/>
  <c r="AW295" i="4"/>
  <c r="AF295" i="4"/>
  <c r="W295" i="4"/>
  <c r="V295" i="4"/>
  <c r="U295" i="4"/>
  <c r="T295" i="4"/>
  <c r="AA295" i="4"/>
  <c r="Q295" i="4"/>
  <c r="R295" i="4"/>
  <c r="X295" i="4"/>
  <c r="O295" i="4"/>
  <c r="N295" i="4"/>
  <c r="M295" i="4"/>
  <c r="S295" i="4"/>
  <c r="J295" i="4"/>
  <c r="L295" i="4"/>
  <c r="I295" i="4"/>
  <c r="AS295" i="4"/>
  <c r="AT295" i="4"/>
  <c r="AR295" i="4"/>
  <c r="P295" i="4"/>
  <c r="H295" i="4"/>
  <c r="G295" i="4"/>
  <c r="AP294" i="4"/>
  <c r="AX294" i="4"/>
  <c r="AL294" i="4"/>
  <c r="AK294" i="4"/>
  <c r="AJ294" i="4"/>
  <c r="K295" i="4"/>
  <c r="AH294" i="4"/>
  <c r="AG294" i="4"/>
  <c r="AN294" i="4"/>
  <c r="AD294" i="4"/>
  <c r="AC294" i="4"/>
  <c r="Y294" i="4"/>
  <c r="AB294" i="4"/>
  <c r="AI294" i="4"/>
  <c r="Z294" i="4"/>
  <c r="AU294" i="4"/>
  <c r="AW294" i="4"/>
  <c r="AV294" i="4"/>
  <c r="AF294" i="4"/>
  <c r="W294" i="4"/>
  <c r="V294" i="4"/>
  <c r="U294" i="4"/>
  <c r="Q294" i="4"/>
  <c r="R294" i="4"/>
  <c r="AA294" i="4"/>
  <c r="T294" i="4"/>
  <c r="X294" i="4"/>
  <c r="N294" i="4"/>
  <c r="M294" i="4"/>
  <c r="I294" i="4"/>
  <c r="J294" i="4"/>
  <c r="S294" i="4"/>
  <c r="L294" i="4"/>
  <c r="AS294" i="4"/>
  <c r="AT294" i="4"/>
  <c r="AR294" i="4"/>
  <c r="P294" i="4"/>
  <c r="H294" i="4"/>
  <c r="G294" i="4"/>
  <c r="AP293" i="4"/>
  <c r="AX293" i="4"/>
  <c r="AM293" i="4"/>
  <c r="AL293" i="4"/>
  <c r="AK293" i="4"/>
  <c r="AG293" i="4"/>
  <c r="AJ293" i="4"/>
  <c r="K294" i="4"/>
  <c r="AH293" i="4"/>
  <c r="AN293" i="4"/>
  <c r="AE293" i="4"/>
  <c r="AD293" i="4"/>
  <c r="AC293" i="4"/>
  <c r="AB293" i="4"/>
  <c r="Y293" i="4"/>
  <c r="AI293" i="4"/>
  <c r="Z293" i="4"/>
  <c r="AU293" i="4"/>
  <c r="AV293" i="4"/>
  <c r="AW293" i="4"/>
  <c r="AF293" i="4"/>
  <c r="W293" i="4"/>
  <c r="V293" i="4"/>
  <c r="U293" i="4"/>
  <c r="AA293" i="4"/>
  <c r="T293" i="4"/>
  <c r="Q293" i="4"/>
  <c r="R293" i="4"/>
  <c r="X293" i="4"/>
  <c r="O293" i="4"/>
  <c r="N293" i="4"/>
  <c r="M293" i="4"/>
  <c r="S293" i="4"/>
  <c r="J293" i="4"/>
  <c r="L293" i="4"/>
  <c r="I293" i="4"/>
  <c r="AS293" i="4"/>
  <c r="AT293" i="4"/>
  <c r="AR293" i="4"/>
  <c r="P293" i="4"/>
  <c r="H293" i="4"/>
  <c r="G293" i="4"/>
  <c r="AP292" i="4"/>
  <c r="AX292" i="4"/>
  <c r="AM292" i="4"/>
  <c r="AL292" i="4"/>
  <c r="AK292" i="4"/>
  <c r="AJ292" i="4"/>
  <c r="K293" i="4"/>
  <c r="AH292" i="4"/>
  <c r="AG292" i="4"/>
  <c r="AN292" i="4"/>
  <c r="AE292" i="4"/>
  <c r="AD292" i="4"/>
  <c r="AC292" i="4"/>
  <c r="Z292" i="4"/>
  <c r="AB292" i="4"/>
  <c r="Y292" i="4"/>
  <c r="AI292" i="4"/>
  <c r="AU292" i="4"/>
  <c r="AW292" i="4"/>
  <c r="AV292" i="4"/>
  <c r="AF292" i="4"/>
  <c r="W292" i="4"/>
  <c r="V292" i="4"/>
  <c r="U292" i="4"/>
  <c r="AA292" i="4"/>
  <c r="Q292" i="4"/>
  <c r="T292" i="4"/>
  <c r="R292" i="4"/>
  <c r="X292" i="4"/>
  <c r="O292" i="4"/>
  <c r="N292" i="4"/>
  <c r="M292" i="4"/>
  <c r="J292" i="4"/>
  <c r="L292" i="4"/>
  <c r="I292" i="4"/>
  <c r="S292" i="4"/>
  <c r="AS292" i="4"/>
  <c r="AT292" i="4"/>
  <c r="AR292" i="4"/>
  <c r="P292" i="4"/>
  <c r="H292" i="4"/>
  <c r="G292" i="4"/>
  <c r="AP291" i="4"/>
  <c r="AX291" i="4"/>
  <c r="AM291" i="4"/>
  <c r="AL291" i="4"/>
  <c r="AK291" i="4"/>
  <c r="AJ291" i="4"/>
  <c r="AH291" i="4"/>
  <c r="AG291" i="4"/>
  <c r="K292" i="4"/>
  <c r="AN291" i="4"/>
  <c r="AE291" i="4"/>
  <c r="AD291" i="4"/>
  <c r="AC291" i="4"/>
  <c r="Y291" i="4"/>
  <c r="AI291" i="4"/>
  <c r="Z291" i="4"/>
  <c r="AB291" i="4"/>
  <c r="AU291" i="4"/>
  <c r="AV291" i="4"/>
  <c r="AW291" i="4"/>
  <c r="AF291" i="4"/>
  <c r="W291" i="4"/>
  <c r="V291" i="4"/>
  <c r="U291" i="4"/>
  <c r="Q291" i="4"/>
  <c r="T291" i="4"/>
  <c r="R291" i="4"/>
  <c r="AA291" i="4"/>
  <c r="X291" i="4"/>
  <c r="O291" i="4"/>
  <c r="N291" i="4"/>
  <c r="M291" i="4"/>
  <c r="J291" i="4"/>
  <c r="L291" i="4"/>
  <c r="I291" i="4"/>
  <c r="S291" i="4"/>
  <c r="AS291" i="4"/>
  <c r="AT291" i="4"/>
  <c r="AR291" i="4"/>
  <c r="P291" i="4"/>
  <c r="H291" i="4"/>
  <c r="G291" i="4"/>
  <c r="AP290" i="4"/>
  <c r="AX290" i="4"/>
  <c r="AM290" i="4"/>
  <c r="AL290" i="4"/>
  <c r="AK290" i="4"/>
  <c r="AG290" i="4"/>
  <c r="K291" i="4"/>
  <c r="AH290" i="4"/>
  <c r="AJ290" i="4"/>
  <c r="AN290" i="4"/>
  <c r="AE290" i="4"/>
  <c r="AD290" i="4"/>
  <c r="AC290" i="4"/>
  <c r="Y290" i="4"/>
  <c r="AI290" i="4"/>
  <c r="Z290" i="4"/>
  <c r="AB290" i="4"/>
  <c r="AV290" i="4"/>
  <c r="AU290" i="4"/>
  <c r="AW290" i="4"/>
  <c r="AF290" i="4"/>
  <c r="W290" i="4"/>
  <c r="V290" i="4"/>
  <c r="U290" i="4"/>
  <c r="T290" i="4"/>
  <c r="Q290" i="4"/>
  <c r="R290" i="4"/>
  <c r="AA290" i="4"/>
  <c r="X290" i="4"/>
  <c r="O290" i="4"/>
  <c r="N290" i="4"/>
  <c r="M290" i="4"/>
  <c r="L290" i="4"/>
  <c r="I290" i="4"/>
  <c r="S290" i="4"/>
  <c r="J290" i="4"/>
  <c r="AS290" i="4"/>
  <c r="AT290" i="4"/>
  <c r="AR290" i="4"/>
  <c r="P290" i="4"/>
  <c r="H290" i="4"/>
  <c r="G290" i="4"/>
  <c r="AP289" i="4"/>
  <c r="AX289" i="4"/>
  <c r="AM289" i="4"/>
  <c r="AL289" i="4"/>
  <c r="AK289" i="4"/>
  <c r="K290" i="4"/>
  <c r="AH289" i="4"/>
  <c r="AJ289" i="4"/>
  <c r="AG289" i="4"/>
  <c r="AN289" i="4"/>
  <c r="AE289" i="4"/>
  <c r="AD289" i="4"/>
  <c r="AC289" i="4"/>
  <c r="Z289" i="4"/>
  <c r="AB289" i="4"/>
  <c r="Y289" i="4"/>
  <c r="AI289" i="4"/>
  <c r="AV289" i="4"/>
  <c r="AU289" i="4"/>
  <c r="AW289" i="4"/>
  <c r="AF289" i="4"/>
  <c r="W289" i="4"/>
  <c r="V289" i="4"/>
  <c r="U289" i="4"/>
  <c r="AA289" i="4"/>
  <c r="T289" i="4"/>
  <c r="R289" i="4"/>
  <c r="Q289" i="4"/>
  <c r="X289" i="4"/>
  <c r="O289" i="4"/>
  <c r="N289" i="4"/>
  <c r="M289" i="4"/>
  <c r="J289" i="4"/>
  <c r="L289" i="4"/>
  <c r="I289" i="4"/>
  <c r="S289" i="4"/>
  <c r="AS289" i="4"/>
  <c r="AT289" i="4"/>
  <c r="AR289" i="4"/>
  <c r="P289" i="4"/>
  <c r="H289" i="4"/>
  <c r="G289" i="4"/>
  <c r="AP288" i="4"/>
  <c r="AX288" i="4"/>
  <c r="AL288" i="4"/>
  <c r="AK288" i="4"/>
  <c r="AH288" i="4"/>
  <c r="K289" i="4"/>
  <c r="AG288" i="4"/>
  <c r="AJ288" i="4"/>
  <c r="AN288" i="4"/>
  <c r="AD288" i="4"/>
  <c r="AC288" i="4"/>
  <c r="AI288" i="4"/>
  <c r="Y288" i="4"/>
  <c r="AB288" i="4"/>
  <c r="Z288" i="4"/>
  <c r="AV288" i="4"/>
  <c r="AU288" i="4"/>
  <c r="AW288" i="4"/>
  <c r="AF288" i="4"/>
  <c r="W288" i="4"/>
  <c r="V288" i="4"/>
  <c r="U288" i="4"/>
  <c r="Q288" i="4"/>
  <c r="R288" i="4"/>
  <c r="AA288" i="4"/>
  <c r="T288" i="4"/>
  <c r="X288" i="4"/>
  <c r="O288" i="4"/>
  <c r="N288" i="4"/>
  <c r="M288" i="4"/>
  <c r="I288" i="4"/>
  <c r="S288" i="4"/>
  <c r="J288" i="4"/>
  <c r="L288" i="4"/>
  <c r="AS288" i="4"/>
  <c r="AT288" i="4"/>
  <c r="AR288" i="4"/>
  <c r="P288" i="4"/>
  <c r="H288" i="4"/>
  <c r="G288" i="4"/>
  <c r="AP287" i="4"/>
  <c r="AX287" i="4"/>
  <c r="AM287" i="4"/>
  <c r="AL287" i="4"/>
  <c r="AK287" i="4"/>
  <c r="AG287" i="4"/>
  <c r="AH287" i="4"/>
  <c r="AJ287" i="4"/>
  <c r="K288" i="4"/>
  <c r="AN287" i="4"/>
  <c r="AE287" i="4"/>
  <c r="AD287" i="4"/>
  <c r="AC287" i="4"/>
  <c r="Y287" i="4"/>
  <c r="AI287" i="4"/>
  <c r="Z287" i="4"/>
  <c r="AB287" i="4"/>
  <c r="AU287" i="4"/>
  <c r="AV287" i="4"/>
  <c r="AW287" i="4"/>
  <c r="AF287" i="4"/>
  <c r="V287" i="4"/>
  <c r="U287" i="4"/>
  <c r="T287" i="4"/>
  <c r="Q287" i="4"/>
  <c r="R287" i="4"/>
  <c r="AA287" i="4"/>
  <c r="X287" i="4"/>
  <c r="O287" i="4"/>
  <c r="N287" i="4"/>
  <c r="M287" i="4"/>
  <c r="S287" i="4"/>
  <c r="J287" i="4"/>
  <c r="L287" i="4"/>
  <c r="I287" i="4"/>
  <c r="AS287" i="4"/>
  <c r="AT287" i="4"/>
  <c r="AR287" i="4"/>
  <c r="P287" i="4"/>
  <c r="H287" i="4"/>
  <c r="G287" i="4"/>
  <c r="AP286" i="4"/>
  <c r="AX286" i="4"/>
  <c r="AL286" i="4"/>
  <c r="AK286" i="4"/>
  <c r="AJ286" i="4"/>
  <c r="K287" i="4"/>
  <c r="AH286" i="4"/>
  <c r="AG286" i="4"/>
  <c r="AN286" i="4"/>
  <c r="AD286" i="4"/>
  <c r="AC286" i="4"/>
  <c r="Y286" i="4"/>
  <c r="AB286" i="4"/>
  <c r="Z286" i="4"/>
  <c r="AI286" i="4"/>
  <c r="AV286" i="4"/>
  <c r="AW286" i="4"/>
  <c r="AU286" i="4"/>
  <c r="AF286" i="4"/>
  <c r="W286" i="4"/>
  <c r="V286" i="4"/>
  <c r="U286" i="4"/>
  <c r="AA286" i="4"/>
  <c r="Q286" i="4"/>
  <c r="R286" i="4"/>
  <c r="T286" i="4"/>
  <c r="X286" i="4"/>
  <c r="O286" i="4"/>
  <c r="N286" i="4"/>
  <c r="M286" i="4"/>
  <c r="I286" i="4"/>
  <c r="J286" i="4"/>
  <c r="L286" i="4"/>
  <c r="S286" i="4"/>
  <c r="AS286" i="4"/>
  <c r="AT286" i="4"/>
  <c r="AR286" i="4"/>
  <c r="P286" i="4"/>
  <c r="H286" i="4"/>
  <c r="G286" i="4"/>
  <c r="AP285" i="4"/>
  <c r="AX285" i="4"/>
  <c r="AM285" i="4"/>
  <c r="AL285" i="4"/>
  <c r="AK285" i="4"/>
  <c r="AH285" i="4"/>
  <c r="AG285" i="4"/>
  <c r="AJ285" i="4"/>
  <c r="K286" i="4"/>
  <c r="AN285" i="4"/>
  <c r="AE285" i="4"/>
  <c r="AD285" i="4"/>
  <c r="AC285" i="4"/>
  <c r="Z285" i="4"/>
  <c r="AB285" i="4"/>
  <c r="Y285" i="4"/>
  <c r="AI285" i="4"/>
  <c r="AU285" i="4"/>
  <c r="AV285" i="4"/>
  <c r="AW285" i="4"/>
  <c r="AF285" i="4"/>
  <c r="W285" i="4"/>
  <c r="V285" i="4"/>
  <c r="U285" i="4"/>
  <c r="Q285" i="4"/>
  <c r="T285" i="4"/>
  <c r="R285" i="4"/>
  <c r="AA285" i="4"/>
  <c r="X285" i="4"/>
  <c r="O285" i="4"/>
  <c r="N285" i="4"/>
  <c r="M285" i="4"/>
  <c r="L285" i="4"/>
  <c r="I285" i="4"/>
  <c r="S285" i="4"/>
  <c r="J285" i="4"/>
  <c r="AS285" i="4"/>
  <c r="AT285" i="4"/>
  <c r="AR285" i="4"/>
  <c r="P285" i="4"/>
  <c r="H285" i="4"/>
  <c r="G285" i="4"/>
  <c r="AP284" i="4"/>
  <c r="AX284" i="4"/>
  <c r="AM284" i="4"/>
  <c r="AL284" i="4"/>
  <c r="AK284" i="4"/>
  <c r="AJ284" i="4"/>
  <c r="K285" i="4"/>
  <c r="AH284" i="4"/>
  <c r="AG284" i="4"/>
  <c r="AN284" i="4"/>
  <c r="AE284" i="4"/>
  <c r="AD284" i="4"/>
  <c r="AC284" i="4"/>
  <c r="Z284" i="4"/>
  <c r="AB284" i="4"/>
  <c r="Y284" i="4"/>
  <c r="AI284" i="4"/>
  <c r="AU284" i="4"/>
  <c r="AV284" i="4"/>
  <c r="AW284" i="4"/>
  <c r="AF284" i="4"/>
  <c r="W284" i="4"/>
  <c r="V284" i="4"/>
  <c r="U284" i="4"/>
  <c r="T284" i="4"/>
  <c r="R284" i="4"/>
  <c r="AA284" i="4"/>
  <c r="Q284" i="4"/>
  <c r="X284" i="4"/>
  <c r="O284" i="4"/>
  <c r="N284" i="4"/>
  <c r="M284" i="4"/>
  <c r="L284" i="4"/>
  <c r="I284" i="4"/>
  <c r="S284" i="4"/>
  <c r="J284" i="4"/>
  <c r="AS284" i="4"/>
  <c r="AT284" i="4"/>
  <c r="AR284" i="4"/>
  <c r="P284" i="4"/>
  <c r="H284" i="4"/>
  <c r="G284" i="4"/>
  <c r="AP283" i="4"/>
  <c r="AX283" i="4"/>
  <c r="AM283" i="4"/>
  <c r="AL283" i="4"/>
  <c r="AK283" i="4"/>
  <c r="AG283" i="4"/>
  <c r="AJ283" i="4"/>
  <c r="K284" i="4"/>
  <c r="AH283" i="4"/>
  <c r="AN283" i="4"/>
  <c r="AE283" i="4"/>
  <c r="AD283" i="4"/>
  <c r="AC283" i="4"/>
  <c r="AI283" i="4"/>
  <c r="Z283" i="4"/>
  <c r="AB283" i="4"/>
  <c r="Y283" i="4"/>
  <c r="AU283" i="4"/>
  <c r="AV283" i="4"/>
  <c r="AW283" i="4"/>
  <c r="AF283" i="4"/>
  <c r="W283" i="4"/>
  <c r="V283" i="4"/>
  <c r="U283" i="4"/>
  <c r="Q283" i="4"/>
  <c r="R283" i="4"/>
  <c r="AA283" i="4"/>
  <c r="T283" i="4"/>
  <c r="X283" i="4"/>
  <c r="O283" i="4"/>
  <c r="N283" i="4"/>
  <c r="M283" i="4"/>
  <c r="J283" i="4"/>
  <c r="L283" i="4"/>
  <c r="I283" i="4"/>
  <c r="S283" i="4"/>
  <c r="AS283" i="4"/>
  <c r="AT283" i="4"/>
  <c r="AR283" i="4"/>
  <c r="P283" i="4"/>
  <c r="H283" i="4"/>
  <c r="G283" i="4"/>
  <c r="AP282" i="4"/>
  <c r="AX282" i="4"/>
  <c r="AL282" i="4"/>
  <c r="AK282" i="4"/>
  <c r="AJ282" i="4"/>
  <c r="K283" i="4"/>
  <c r="AG282" i="4"/>
  <c r="AH282" i="4"/>
  <c r="AN282" i="4"/>
  <c r="AE282" i="4"/>
  <c r="AD282" i="4"/>
  <c r="AC282" i="4"/>
  <c r="AI282" i="4"/>
  <c r="Z282" i="4"/>
  <c r="AB282" i="4"/>
  <c r="Y282" i="4"/>
  <c r="AU282" i="4"/>
  <c r="AV282" i="4"/>
  <c r="AW282" i="4"/>
  <c r="AF282" i="4"/>
  <c r="W282" i="4"/>
  <c r="V282" i="4"/>
  <c r="U282" i="4"/>
  <c r="T282" i="4"/>
  <c r="Q282" i="4"/>
  <c r="AA282" i="4"/>
  <c r="R282" i="4"/>
  <c r="X282" i="4"/>
  <c r="O282" i="4"/>
  <c r="N282" i="4"/>
  <c r="M282" i="4"/>
  <c r="L282" i="4"/>
  <c r="I282" i="4"/>
  <c r="S282" i="4"/>
  <c r="J282" i="4"/>
  <c r="AS282" i="4"/>
  <c r="AT282" i="4"/>
  <c r="AR282" i="4"/>
  <c r="P282" i="4"/>
  <c r="H282" i="4"/>
  <c r="G282" i="4"/>
  <c r="AP281" i="4"/>
  <c r="AX281" i="4"/>
  <c r="AM281" i="4"/>
  <c r="AL281" i="4"/>
  <c r="AK281" i="4"/>
  <c r="K282" i="4"/>
  <c r="AH281" i="4"/>
  <c r="AG281" i="4"/>
  <c r="AJ281" i="4"/>
  <c r="AN281" i="4"/>
  <c r="AE281" i="4"/>
  <c r="AD281" i="4"/>
  <c r="AC281" i="4"/>
  <c r="Z281" i="4"/>
  <c r="AB281" i="4"/>
  <c r="Y281" i="4"/>
  <c r="AI281" i="4"/>
  <c r="AV281" i="4"/>
  <c r="AW281" i="4"/>
  <c r="AU281" i="4"/>
  <c r="AF281" i="4"/>
  <c r="W281" i="4"/>
  <c r="V281" i="4"/>
  <c r="U281" i="4"/>
  <c r="T281" i="4"/>
  <c r="AA281" i="4"/>
  <c r="R281" i="4"/>
  <c r="Q281" i="4"/>
  <c r="X281" i="4"/>
  <c r="O281" i="4"/>
  <c r="N281" i="4"/>
  <c r="M281" i="4"/>
  <c r="L281" i="4"/>
  <c r="J281" i="4"/>
  <c r="I281" i="4"/>
  <c r="S281" i="4"/>
  <c r="AS281" i="4"/>
  <c r="AT281" i="4"/>
  <c r="AR281" i="4"/>
  <c r="P281" i="4"/>
  <c r="H281" i="4"/>
  <c r="G281" i="4"/>
  <c r="AP280" i="4"/>
  <c r="AX280" i="4"/>
  <c r="AM280" i="4"/>
  <c r="AL280" i="4"/>
  <c r="AK280" i="4"/>
  <c r="AJ280" i="4"/>
  <c r="AG280" i="4"/>
  <c r="K281" i="4"/>
  <c r="AH280" i="4"/>
  <c r="AN280" i="4"/>
  <c r="AE280" i="4"/>
  <c r="AD280" i="4"/>
  <c r="AC280" i="4"/>
  <c r="AB280" i="4"/>
  <c r="Y280" i="4"/>
  <c r="AI280" i="4"/>
  <c r="Z280" i="4"/>
  <c r="AV280" i="4"/>
  <c r="AU280" i="4"/>
  <c r="AW280" i="4"/>
  <c r="AF280" i="4"/>
  <c r="W280" i="4"/>
  <c r="V280" i="4"/>
  <c r="U280" i="4"/>
  <c r="Q280" i="4"/>
  <c r="AA280" i="4"/>
  <c r="R280" i="4"/>
  <c r="T280" i="4"/>
  <c r="X280" i="4"/>
  <c r="O280" i="4"/>
  <c r="N280" i="4"/>
  <c r="M280" i="4"/>
  <c r="I280" i="4"/>
  <c r="S280" i="4"/>
  <c r="J280" i="4"/>
  <c r="L280" i="4"/>
  <c r="AS280" i="4"/>
  <c r="AT280" i="4"/>
  <c r="AR280" i="4"/>
  <c r="P280" i="4"/>
  <c r="H280" i="4"/>
  <c r="G280" i="4"/>
  <c r="AP279" i="4"/>
  <c r="AX279" i="4"/>
  <c r="AM279" i="4"/>
  <c r="AL279" i="4"/>
  <c r="AK279" i="4"/>
  <c r="K280" i="4"/>
  <c r="AJ279" i="4"/>
  <c r="AH279" i="4"/>
  <c r="AG279" i="4"/>
  <c r="AN279" i="4"/>
  <c r="AE279" i="4"/>
  <c r="AD279" i="4"/>
  <c r="AC279" i="4"/>
  <c r="AB279" i="4"/>
  <c r="Y279" i="4"/>
  <c r="Z279" i="4"/>
  <c r="AI279" i="4"/>
  <c r="AV279" i="4"/>
  <c r="AU279" i="4"/>
  <c r="AW279" i="4"/>
  <c r="AF279" i="4"/>
  <c r="W279" i="4"/>
  <c r="V279" i="4"/>
  <c r="U279" i="4"/>
  <c r="Q279" i="4"/>
  <c r="T279" i="4"/>
  <c r="R279" i="4"/>
  <c r="AA279" i="4"/>
  <c r="X279" i="4"/>
  <c r="O279" i="4"/>
  <c r="N279" i="4"/>
  <c r="M279" i="4"/>
  <c r="J279" i="4"/>
  <c r="L279" i="4"/>
  <c r="I279" i="4"/>
  <c r="S279" i="4"/>
  <c r="AS279" i="4"/>
  <c r="AT279" i="4"/>
  <c r="AR279" i="4"/>
  <c r="P279" i="4"/>
  <c r="H279" i="4"/>
  <c r="G279" i="4"/>
  <c r="AP278" i="4"/>
  <c r="AX278" i="4"/>
  <c r="AM278" i="4"/>
  <c r="AL278" i="4"/>
  <c r="AK278" i="4"/>
  <c r="AJ278" i="4"/>
  <c r="AH278" i="4"/>
  <c r="K279" i="4"/>
  <c r="AG278" i="4"/>
  <c r="AN278" i="4"/>
  <c r="AE278" i="4"/>
  <c r="AD278" i="4"/>
  <c r="AC278" i="4"/>
  <c r="AB278" i="4"/>
  <c r="Z278" i="4"/>
  <c r="Y278" i="4"/>
  <c r="AI278" i="4"/>
  <c r="AV278" i="4"/>
  <c r="AU278" i="4"/>
  <c r="AW278" i="4"/>
  <c r="AF278" i="4"/>
  <c r="W278" i="4"/>
  <c r="V278" i="4"/>
  <c r="U278" i="4"/>
  <c r="T278" i="4"/>
  <c r="Q278" i="4"/>
  <c r="R278" i="4"/>
  <c r="AA278" i="4"/>
  <c r="X278" i="4"/>
  <c r="O278" i="4"/>
  <c r="N278" i="4"/>
  <c r="M278" i="4"/>
  <c r="S278" i="4"/>
  <c r="J278" i="4"/>
  <c r="L278" i="4"/>
  <c r="I278" i="4"/>
  <c r="AS278" i="4"/>
  <c r="AT278" i="4"/>
  <c r="AR278" i="4"/>
  <c r="P278" i="4"/>
  <c r="H278" i="4"/>
  <c r="G278" i="4"/>
  <c r="AP277" i="4"/>
  <c r="AX277" i="4"/>
  <c r="AM277" i="4"/>
  <c r="AL277" i="4"/>
  <c r="AK277" i="4"/>
  <c r="AJ277" i="4"/>
  <c r="AG277" i="4"/>
  <c r="K278" i="4"/>
  <c r="AH277" i="4"/>
  <c r="AN277" i="4"/>
  <c r="AE277" i="4"/>
  <c r="AD277" i="4"/>
  <c r="AC277" i="4"/>
  <c r="Z277" i="4"/>
  <c r="AB277" i="4"/>
  <c r="Y277" i="4"/>
  <c r="AI277" i="4"/>
  <c r="AV277" i="4"/>
  <c r="AU277" i="4"/>
  <c r="AW277" i="4"/>
  <c r="AF277" i="4"/>
  <c r="W277" i="4"/>
  <c r="V277" i="4"/>
  <c r="U277" i="4"/>
  <c r="Q277" i="4"/>
  <c r="AA277" i="4"/>
  <c r="T277" i="4"/>
  <c r="R277" i="4"/>
  <c r="X277" i="4"/>
  <c r="O277" i="4"/>
  <c r="N277" i="4"/>
  <c r="M277" i="4"/>
  <c r="J277" i="4"/>
  <c r="L277" i="4"/>
  <c r="I277" i="4"/>
  <c r="S277" i="4"/>
  <c r="AS277" i="4"/>
  <c r="AT277" i="4"/>
  <c r="AR277" i="4"/>
  <c r="P277" i="4"/>
  <c r="H277" i="4"/>
  <c r="G277" i="4"/>
  <c r="AP276" i="4"/>
  <c r="AX276" i="4"/>
  <c r="AM276" i="4"/>
  <c r="AL276" i="4"/>
  <c r="AK276" i="4"/>
  <c r="AJ276" i="4"/>
  <c r="AH276" i="4"/>
  <c r="AG276" i="4"/>
  <c r="K277" i="4"/>
  <c r="AN276" i="4"/>
  <c r="AE276" i="4"/>
  <c r="AD276" i="4"/>
  <c r="AC276" i="4"/>
  <c r="AB276" i="4"/>
  <c r="Y276" i="4"/>
  <c r="AI276" i="4"/>
  <c r="Z276" i="4"/>
  <c r="AV276" i="4"/>
  <c r="AU276" i="4"/>
  <c r="AW276" i="4"/>
  <c r="AF276" i="4"/>
  <c r="W276" i="4"/>
  <c r="V276" i="4"/>
  <c r="U276" i="4"/>
  <c r="AA276" i="4"/>
  <c r="Q276" i="4"/>
  <c r="T276" i="4"/>
  <c r="R276" i="4"/>
  <c r="X276" i="4"/>
  <c r="O276" i="4"/>
  <c r="N276" i="4"/>
  <c r="M276" i="4"/>
  <c r="I276" i="4"/>
  <c r="S276" i="4"/>
  <c r="J276" i="4"/>
  <c r="L276" i="4"/>
  <c r="AS276" i="4"/>
  <c r="AT276" i="4"/>
  <c r="AR276" i="4"/>
  <c r="P276" i="4"/>
  <c r="H276" i="4"/>
  <c r="G276" i="4"/>
  <c r="AP275" i="4"/>
  <c r="AX275" i="4"/>
  <c r="AM275" i="4"/>
  <c r="AL275" i="4"/>
  <c r="AK275" i="4"/>
  <c r="K276" i="4"/>
  <c r="AJ275" i="4"/>
  <c r="AH275" i="4"/>
  <c r="AG275" i="4"/>
  <c r="AN275" i="4"/>
  <c r="AE275" i="4"/>
  <c r="AD275" i="4"/>
  <c r="AC275" i="4"/>
  <c r="Y275" i="4"/>
  <c r="AI275" i="4"/>
  <c r="Z275" i="4"/>
  <c r="AB275" i="4"/>
  <c r="AV275" i="4"/>
  <c r="AU275" i="4"/>
  <c r="AW275" i="4"/>
  <c r="AF275" i="4"/>
  <c r="W275" i="4"/>
  <c r="V275" i="4"/>
  <c r="U275" i="4"/>
  <c r="T275" i="4"/>
  <c r="Q275" i="4"/>
  <c r="R275" i="4"/>
  <c r="AA275" i="4"/>
  <c r="X275" i="4"/>
  <c r="O275" i="4"/>
  <c r="N275" i="4"/>
  <c r="M275" i="4"/>
  <c r="L275" i="4"/>
  <c r="S275" i="4"/>
  <c r="I275" i="4"/>
  <c r="J275" i="4"/>
  <c r="AS275" i="4"/>
  <c r="AT275" i="4"/>
  <c r="AR275" i="4"/>
  <c r="P275" i="4"/>
  <c r="H275" i="4"/>
  <c r="G275" i="4"/>
  <c r="AP274" i="4"/>
  <c r="AX274" i="4"/>
  <c r="AM274" i="4"/>
  <c r="AL274" i="4"/>
  <c r="AK274" i="4"/>
  <c r="AG274" i="4"/>
  <c r="AJ274" i="4"/>
  <c r="AH274" i="4"/>
  <c r="K275" i="4"/>
  <c r="AN274" i="4"/>
  <c r="AE274" i="4"/>
  <c r="AD274" i="4"/>
  <c r="AC274" i="4"/>
  <c r="Y274" i="4"/>
  <c r="AI274" i="4"/>
  <c r="Z274" i="4"/>
  <c r="AB274" i="4"/>
  <c r="AV274" i="4"/>
  <c r="AU274" i="4"/>
  <c r="AW274" i="4"/>
  <c r="AF274" i="4"/>
  <c r="W274" i="4"/>
  <c r="V274" i="4"/>
  <c r="U274" i="4"/>
  <c r="T274" i="4"/>
  <c r="R274" i="4"/>
  <c r="AA274" i="4"/>
  <c r="Q274" i="4"/>
  <c r="X274" i="4"/>
  <c r="O274" i="4"/>
  <c r="N274" i="4"/>
  <c r="M274" i="4"/>
  <c r="J274" i="4"/>
  <c r="L274" i="4"/>
  <c r="I274" i="4"/>
  <c r="S274" i="4"/>
  <c r="AS274" i="4"/>
  <c r="AR274" i="4"/>
  <c r="AT274" i="4"/>
  <c r="P274" i="4"/>
  <c r="H274" i="4"/>
  <c r="G274" i="4"/>
  <c r="AP273" i="4"/>
  <c r="AX273" i="4"/>
  <c r="AM273" i="4"/>
  <c r="AL273" i="4"/>
  <c r="AK273" i="4"/>
  <c r="K274" i="4"/>
  <c r="AH273" i="4"/>
  <c r="AG273" i="4"/>
  <c r="AJ273" i="4"/>
  <c r="AN273" i="4"/>
  <c r="AE273" i="4"/>
  <c r="AD273" i="4"/>
  <c r="AC273" i="4"/>
  <c r="AI273" i="4"/>
  <c r="Z273" i="4"/>
  <c r="AB273" i="4"/>
  <c r="Y273" i="4"/>
  <c r="AV273" i="4"/>
  <c r="AU273" i="4"/>
  <c r="AW273" i="4"/>
  <c r="AF273" i="4"/>
  <c r="W273" i="4"/>
  <c r="V273" i="4"/>
  <c r="U273" i="4"/>
  <c r="T273" i="4"/>
  <c r="R273" i="4"/>
  <c r="AA273" i="4"/>
  <c r="Q273" i="4"/>
  <c r="X273" i="4"/>
  <c r="O273" i="4"/>
  <c r="N273" i="4"/>
  <c r="M273" i="4"/>
  <c r="J273" i="4"/>
  <c r="L273" i="4"/>
  <c r="I273" i="4"/>
  <c r="S273" i="4"/>
  <c r="AS273" i="4"/>
  <c r="AT273" i="4"/>
  <c r="AR273" i="4"/>
  <c r="P273" i="4"/>
  <c r="H273" i="4"/>
  <c r="G273" i="4"/>
  <c r="AP272" i="4"/>
  <c r="AX272" i="4"/>
  <c r="AM272" i="4"/>
  <c r="AL272" i="4"/>
  <c r="AK272" i="4"/>
  <c r="AJ272" i="4"/>
  <c r="K273" i="4"/>
  <c r="AH272" i="4"/>
  <c r="AG272" i="4"/>
  <c r="AN272" i="4"/>
  <c r="AD272" i="4"/>
  <c r="AC272" i="4"/>
  <c r="AB272" i="4"/>
  <c r="AI272" i="4"/>
  <c r="Y272" i="4"/>
  <c r="Z272" i="4"/>
  <c r="AV272" i="4"/>
  <c r="AU272" i="4"/>
  <c r="AW272" i="4"/>
  <c r="AF272" i="4"/>
  <c r="W272" i="4"/>
  <c r="V272" i="4"/>
  <c r="U272" i="4"/>
  <c r="AA272" i="4"/>
  <c r="Q272" i="4"/>
  <c r="T272" i="4"/>
  <c r="R272" i="4"/>
  <c r="X272" i="4"/>
  <c r="O272" i="4"/>
  <c r="N272" i="4"/>
  <c r="M272" i="4"/>
  <c r="I272" i="4"/>
  <c r="S272" i="4"/>
  <c r="J272" i="4"/>
  <c r="L272" i="4"/>
  <c r="AS272" i="4"/>
  <c r="AR272" i="4"/>
  <c r="AT272" i="4"/>
  <c r="P272" i="4"/>
  <c r="H272" i="4"/>
  <c r="G272" i="4"/>
  <c r="AP271" i="4"/>
  <c r="AX271" i="4"/>
  <c r="AM271" i="4"/>
  <c r="AL271" i="4"/>
  <c r="AK271" i="4"/>
  <c r="AJ271" i="4"/>
  <c r="K272" i="4"/>
  <c r="AH271" i="4"/>
  <c r="AG271" i="4"/>
  <c r="AN271" i="4"/>
  <c r="AE271" i="4"/>
  <c r="AD271" i="4"/>
  <c r="AC271" i="4"/>
  <c r="AB271" i="4"/>
  <c r="AI271" i="4"/>
  <c r="Z271" i="4"/>
  <c r="Y271" i="4"/>
  <c r="AV271" i="4"/>
  <c r="AU271" i="4"/>
  <c r="AW271" i="4"/>
  <c r="AF271" i="4"/>
  <c r="W271" i="4"/>
  <c r="V271" i="4"/>
  <c r="U271" i="4"/>
  <c r="Q271" i="4"/>
  <c r="T271" i="4"/>
  <c r="R271" i="4"/>
  <c r="AA271" i="4"/>
  <c r="X271" i="4"/>
  <c r="O271" i="4"/>
  <c r="N271" i="4"/>
  <c r="M271" i="4"/>
  <c r="J271" i="4"/>
  <c r="L271" i="4"/>
  <c r="I271" i="4"/>
  <c r="S271" i="4"/>
  <c r="AS271" i="4"/>
  <c r="AT271" i="4"/>
  <c r="AR271" i="4"/>
  <c r="P271" i="4"/>
  <c r="H271" i="4"/>
  <c r="G271" i="4"/>
  <c r="AP270" i="4"/>
  <c r="AX270" i="4"/>
  <c r="AM270" i="4"/>
  <c r="AL270" i="4"/>
  <c r="AK270" i="4"/>
  <c r="K271" i="4"/>
  <c r="AH270" i="4"/>
  <c r="AG270" i="4"/>
  <c r="AJ270" i="4"/>
  <c r="AN270" i="4"/>
  <c r="AD270" i="4"/>
  <c r="AC270" i="4"/>
  <c r="Y270" i="4"/>
  <c r="Z270" i="4"/>
  <c r="AI270" i="4"/>
  <c r="AB270" i="4"/>
  <c r="AV270" i="4"/>
  <c r="AU270" i="4"/>
  <c r="AW270" i="4"/>
  <c r="AF270" i="4"/>
  <c r="W270" i="4"/>
  <c r="V270" i="4"/>
  <c r="U270" i="4"/>
  <c r="AA270" i="4"/>
  <c r="T270" i="4"/>
  <c r="R270" i="4"/>
  <c r="Q270" i="4"/>
  <c r="X270" i="4"/>
  <c r="O270" i="4"/>
  <c r="N270" i="4"/>
  <c r="M270" i="4"/>
  <c r="L270" i="4"/>
  <c r="I270" i="4"/>
  <c r="S270" i="4"/>
  <c r="J270" i="4"/>
  <c r="AS270" i="4"/>
  <c r="AT270" i="4"/>
  <c r="AR270" i="4"/>
  <c r="P270" i="4"/>
  <c r="H270" i="4"/>
  <c r="G270" i="4"/>
  <c r="AP269" i="4"/>
  <c r="AX269" i="4"/>
  <c r="AM269" i="4"/>
  <c r="AL269" i="4"/>
  <c r="AK269" i="4"/>
  <c r="AJ269" i="4"/>
  <c r="K270" i="4"/>
  <c r="AG269" i="4"/>
  <c r="AH269" i="4"/>
  <c r="AN269" i="4"/>
  <c r="AE269" i="4"/>
  <c r="AD269" i="4"/>
  <c r="AC269" i="4"/>
  <c r="AB269" i="4"/>
  <c r="Y269" i="4"/>
  <c r="Z269" i="4"/>
  <c r="AI269" i="4"/>
  <c r="AV269" i="4"/>
  <c r="AU269" i="4"/>
  <c r="AW269" i="4"/>
  <c r="AF269" i="4"/>
  <c r="W269" i="4"/>
  <c r="V269" i="4"/>
  <c r="U269" i="4"/>
  <c r="Q269" i="4"/>
  <c r="AA269" i="4"/>
  <c r="T269" i="4"/>
  <c r="R269" i="4"/>
  <c r="X269" i="4"/>
  <c r="O269" i="4"/>
  <c r="N269" i="4"/>
  <c r="M269" i="4"/>
  <c r="I269" i="4"/>
  <c r="S269" i="4"/>
  <c r="J269" i="4"/>
  <c r="L269" i="4"/>
  <c r="AS269" i="4"/>
  <c r="AR269" i="4"/>
  <c r="AT269" i="4"/>
  <c r="P269" i="4"/>
  <c r="H269" i="4"/>
  <c r="G269" i="4"/>
  <c r="AP268" i="4"/>
  <c r="AX268" i="4"/>
  <c r="AM268" i="4"/>
  <c r="AL268" i="4"/>
  <c r="AK268" i="4"/>
  <c r="AJ268" i="4"/>
  <c r="AH268" i="4"/>
  <c r="K269" i="4"/>
  <c r="AG268" i="4"/>
  <c r="AN268" i="4"/>
  <c r="AE268" i="4"/>
  <c r="AD268" i="4"/>
  <c r="AC268" i="4"/>
  <c r="Y268" i="4"/>
  <c r="AI268" i="4"/>
  <c r="Z268" i="4"/>
  <c r="AB268" i="4"/>
  <c r="AV268" i="4"/>
  <c r="AW268" i="4"/>
  <c r="AU268" i="4"/>
  <c r="AF268" i="4"/>
  <c r="W268" i="4"/>
  <c r="V268" i="4"/>
  <c r="U268" i="4"/>
  <c r="T268" i="4"/>
  <c r="AA268" i="4"/>
  <c r="Q268" i="4"/>
  <c r="R268" i="4"/>
  <c r="X268" i="4"/>
  <c r="O268" i="4"/>
  <c r="N268" i="4"/>
  <c r="M268" i="4"/>
  <c r="L268" i="4"/>
  <c r="I268" i="4"/>
  <c r="S268" i="4"/>
  <c r="J268" i="4"/>
  <c r="AS268" i="4"/>
  <c r="AT268" i="4"/>
  <c r="AR268" i="4"/>
  <c r="P268" i="4"/>
  <c r="H268" i="4"/>
  <c r="G268" i="4"/>
  <c r="AP267" i="4"/>
  <c r="AX267" i="4"/>
  <c r="AM267" i="4"/>
  <c r="AL267" i="4"/>
  <c r="AK267" i="4"/>
  <c r="K268" i="4"/>
  <c r="AH267" i="4"/>
  <c r="AJ267" i="4"/>
  <c r="AG267" i="4"/>
  <c r="AN267" i="4"/>
  <c r="AE267" i="4"/>
  <c r="AD267" i="4"/>
  <c r="AC267" i="4"/>
  <c r="Z267" i="4"/>
  <c r="AB267" i="4"/>
  <c r="Y267" i="4"/>
  <c r="AI267" i="4"/>
  <c r="AV267" i="4"/>
  <c r="AU267" i="4"/>
  <c r="AW267" i="4"/>
  <c r="AF267" i="4"/>
  <c r="W267" i="4"/>
  <c r="V267" i="4"/>
  <c r="U267" i="4"/>
  <c r="R267" i="4"/>
  <c r="AA267" i="4"/>
  <c r="Q267" i="4"/>
  <c r="T267" i="4"/>
  <c r="X267" i="4"/>
  <c r="O267" i="4"/>
  <c r="N267" i="4"/>
  <c r="M267" i="4"/>
  <c r="I267" i="4"/>
  <c r="J267" i="4"/>
  <c r="L267" i="4"/>
  <c r="S267" i="4"/>
  <c r="AS267" i="4"/>
  <c r="AR267" i="4"/>
  <c r="AT267" i="4"/>
  <c r="P267" i="4"/>
  <c r="H267" i="4"/>
  <c r="G267" i="4"/>
  <c r="AP266" i="4"/>
  <c r="AX266" i="4"/>
  <c r="AM266" i="4"/>
  <c r="AL266" i="4"/>
  <c r="AK266" i="4"/>
  <c r="AG266" i="4"/>
  <c r="AJ266" i="4"/>
  <c r="AH266" i="4"/>
  <c r="K267" i="4"/>
  <c r="AN266" i="4"/>
  <c r="AE266" i="4"/>
  <c r="AD266" i="4"/>
  <c r="AC266" i="4"/>
  <c r="Y266" i="4"/>
  <c r="Z266" i="4"/>
  <c r="AB266" i="4"/>
  <c r="AI266" i="4"/>
  <c r="AV266" i="4"/>
  <c r="AU266" i="4"/>
  <c r="AW266" i="4"/>
  <c r="AF266" i="4"/>
  <c r="W266" i="4"/>
  <c r="V266" i="4"/>
  <c r="U266" i="4"/>
  <c r="T266" i="4"/>
  <c r="R266" i="4"/>
  <c r="AA266" i="4"/>
  <c r="Q266" i="4"/>
  <c r="X266" i="4"/>
  <c r="O266" i="4"/>
  <c r="N266" i="4"/>
  <c r="M266" i="4"/>
  <c r="I266" i="4"/>
  <c r="J266" i="4"/>
  <c r="L266" i="4"/>
  <c r="S266" i="4"/>
  <c r="AS266" i="4"/>
  <c r="AT266" i="4"/>
  <c r="AR266" i="4"/>
  <c r="P266" i="4"/>
  <c r="H266" i="4"/>
  <c r="G266" i="4"/>
  <c r="AP265" i="4"/>
  <c r="AX265" i="4"/>
  <c r="AM265" i="4"/>
  <c r="AL265" i="4"/>
  <c r="AK265" i="4"/>
  <c r="K266" i="4"/>
  <c r="AH265" i="4"/>
  <c r="AG265" i="4"/>
  <c r="AJ265" i="4"/>
  <c r="AN265" i="4"/>
  <c r="AE265" i="4"/>
  <c r="AD265" i="4"/>
  <c r="AC265" i="4"/>
  <c r="Y265" i="4"/>
  <c r="Z265" i="4"/>
  <c r="AB265" i="4"/>
  <c r="AI265" i="4"/>
  <c r="AV265" i="4"/>
  <c r="AU265" i="4"/>
  <c r="AW265" i="4"/>
  <c r="AF265" i="4"/>
  <c r="W265" i="4"/>
  <c r="V265" i="4"/>
  <c r="U265" i="4"/>
  <c r="AA265" i="4"/>
  <c r="T265" i="4"/>
  <c r="R265" i="4"/>
  <c r="Q265" i="4"/>
  <c r="X265" i="4"/>
  <c r="O265" i="4"/>
  <c r="N265" i="4"/>
  <c r="M265" i="4"/>
  <c r="J265" i="4"/>
  <c r="L265" i="4"/>
  <c r="I265" i="4"/>
  <c r="S265" i="4"/>
  <c r="AS265" i="4"/>
  <c r="AR265" i="4"/>
  <c r="AT265" i="4"/>
  <c r="P265" i="4"/>
  <c r="H265" i="4"/>
  <c r="G265" i="4"/>
  <c r="AP264" i="4"/>
  <c r="AX264" i="4"/>
  <c r="AM264" i="4"/>
  <c r="AL264" i="4"/>
  <c r="AK264" i="4"/>
  <c r="AJ264" i="4"/>
  <c r="AG264" i="4"/>
  <c r="K265" i="4"/>
  <c r="AH264" i="4"/>
  <c r="AN264" i="4"/>
  <c r="AE264" i="4"/>
  <c r="AD264" i="4"/>
  <c r="AC264" i="4"/>
  <c r="Z264" i="4"/>
  <c r="AB264" i="4"/>
  <c r="Y264" i="4"/>
  <c r="AI264" i="4"/>
  <c r="AV264" i="4"/>
  <c r="AU264" i="4"/>
  <c r="AW264" i="4"/>
  <c r="AF264" i="4"/>
  <c r="W264" i="4"/>
  <c r="V264" i="4"/>
  <c r="U264" i="4"/>
  <c r="AA264" i="4"/>
  <c r="Q264" i="4"/>
  <c r="T264" i="4"/>
  <c r="R264" i="4"/>
  <c r="X264" i="4"/>
  <c r="O264" i="4"/>
  <c r="N264" i="4"/>
  <c r="M264" i="4"/>
  <c r="L264" i="4"/>
  <c r="I264" i="4"/>
  <c r="J264" i="4"/>
  <c r="S264" i="4"/>
  <c r="AS264" i="4"/>
  <c r="AT264" i="4"/>
  <c r="AR264" i="4"/>
  <c r="P264" i="4"/>
  <c r="H264" i="4"/>
  <c r="G264" i="4"/>
  <c r="AP263" i="4"/>
  <c r="AX263" i="4"/>
  <c r="AL263" i="4"/>
  <c r="AH263" i="4"/>
  <c r="AJ263" i="4"/>
  <c r="K264" i="4"/>
  <c r="AG263" i="4"/>
  <c r="AN263" i="4"/>
  <c r="AE263" i="4"/>
  <c r="AD263" i="4"/>
  <c r="Z263" i="4"/>
  <c r="AI263" i="4"/>
  <c r="Y263" i="4"/>
  <c r="AB263" i="4"/>
  <c r="AV263" i="4"/>
  <c r="AW263" i="4"/>
  <c r="AU263" i="4"/>
  <c r="AF263" i="4"/>
  <c r="W263" i="4"/>
  <c r="V263" i="4"/>
  <c r="U263" i="4"/>
  <c r="T263" i="4"/>
  <c r="R263" i="4"/>
  <c r="AA263" i="4"/>
  <c r="Q263" i="4"/>
  <c r="X263" i="4"/>
  <c r="O263" i="4"/>
  <c r="N263" i="4"/>
  <c r="M263" i="4"/>
  <c r="I263" i="4"/>
  <c r="S263" i="4"/>
  <c r="J263" i="4"/>
  <c r="L263" i="4"/>
  <c r="AS263" i="4"/>
  <c r="AT263" i="4"/>
  <c r="AR263" i="4"/>
  <c r="P263" i="4"/>
  <c r="H263" i="4"/>
  <c r="G263" i="4"/>
  <c r="AP262" i="4"/>
  <c r="AX262" i="4"/>
  <c r="AM262" i="4"/>
  <c r="AL262" i="4"/>
  <c r="K263" i="4"/>
  <c r="AG262" i="4"/>
  <c r="AH262" i="4"/>
  <c r="AJ262" i="4"/>
  <c r="AN262" i="4"/>
  <c r="AD262" i="4"/>
  <c r="AI262" i="4"/>
  <c r="AB262" i="4"/>
  <c r="Z262" i="4"/>
  <c r="Y262" i="4"/>
  <c r="AV262" i="4"/>
  <c r="AU262" i="4"/>
  <c r="AW262" i="4"/>
  <c r="AF262" i="4"/>
  <c r="W262" i="4"/>
  <c r="V262" i="4"/>
  <c r="U262" i="4"/>
  <c r="AA262" i="4"/>
  <c r="Q262" i="4"/>
  <c r="T262" i="4"/>
  <c r="R262" i="4"/>
  <c r="X262" i="4"/>
  <c r="O262" i="4"/>
  <c r="N262" i="4"/>
  <c r="M262" i="4"/>
  <c r="L262" i="4"/>
  <c r="I262" i="4"/>
  <c r="S262" i="4"/>
  <c r="J262" i="4"/>
  <c r="AS262" i="4"/>
  <c r="AR262" i="4"/>
  <c r="AT262" i="4"/>
  <c r="P262" i="4"/>
  <c r="H262" i="4"/>
  <c r="G262" i="4"/>
  <c r="AP261" i="4"/>
  <c r="AX261" i="4"/>
  <c r="AM261" i="4"/>
  <c r="AL261" i="4"/>
  <c r="AK261" i="4"/>
  <c r="AJ261" i="4"/>
  <c r="AH261" i="4"/>
  <c r="AG261" i="4"/>
  <c r="K262" i="4"/>
  <c r="AN261" i="4"/>
  <c r="AE261" i="4"/>
  <c r="AD261" i="4"/>
  <c r="AC261" i="4"/>
  <c r="Y261" i="4"/>
  <c r="AI261" i="4"/>
  <c r="Z261" i="4"/>
  <c r="AB261" i="4"/>
  <c r="AV261" i="4"/>
  <c r="AW261" i="4"/>
  <c r="AU261" i="4"/>
  <c r="AF261" i="4"/>
  <c r="W261" i="4"/>
  <c r="V261" i="4"/>
  <c r="U261" i="4"/>
  <c r="Q261" i="4"/>
  <c r="R261" i="4"/>
  <c r="AA261" i="4"/>
  <c r="T261" i="4"/>
  <c r="X261" i="4"/>
  <c r="O261" i="4"/>
  <c r="N261" i="4"/>
  <c r="M261" i="4"/>
  <c r="L261" i="4"/>
  <c r="I261" i="4"/>
  <c r="S261" i="4"/>
  <c r="J261" i="4"/>
  <c r="AS261" i="4"/>
  <c r="AT261" i="4"/>
  <c r="AR261" i="4"/>
  <c r="P261" i="4"/>
  <c r="H261" i="4"/>
  <c r="G261" i="4"/>
  <c r="AP260" i="4"/>
  <c r="AX260" i="4"/>
  <c r="AL260" i="4"/>
  <c r="AH260" i="4"/>
  <c r="AJ260" i="4"/>
  <c r="AG260" i="4"/>
  <c r="K261" i="4"/>
  <c r="AN260" i="4"/>
  <c r="AE260" i="4"/>
  <c r="AD260" i="4"/>
  <c r="Z260" i="4"/>
  <c r="Y260" i="4"/>
  <c r="AB260" i="4"/>
  <c r="AI260" i="4"/>
  <c r="AV260" i="4"/>
  <c r="AU260" i="4"/>
  <c r="AW260" i="4"/>
  <c r="AF260" i="4"/>
  <c r="W260" i="4"/>
  <c r="V260" i="4"/>
  <c r="U260" i="4"/>
  <c r="T260" i="4"/>
  <c r="Q260" i="4"/>
  <c r="AA260" i="4"/>
  <c r="R260" i="4"/>
  <c r="X260" i="4"/>
  <c r="O260" i="4"/>
  <c r="N260" i="4"/>
  <c r="M260" i="4"/>
  <c r="L260" i="4"/>
  <c r="J260" i="4"/>
  <c r="I260" i="4"/>
  <c r="S260" i="4"/>
  <c r="AS260" i="4"/>
  <c r="AT260" i="4"/>
  <c r="AR260" i="4"/>
  <c r="P260" i="4"/>
  <c r="H260" i="4"/>
  <c r="G260" i="4"/>
  <c r="AP259" i="4"/>
  <c r="AX259" i="4"/>
  <c r="AL259" i="4"/>
  <c r="K260" i="4"/>
  <c r="AG259" i="4"/>
  <c r="AH259" i="4"/>
  <c r="AJ259" i="4"/>
  <c r="AN259" i="4"/>
  <c r="AE259" i="4"/>
  <c r="AD259" i="4"/>
  <c r="Y259" i="4"/>
  <c r="Z259" i="4"/>
  <c r="AI259" i="4"/>
  <c r="AB259" i="4"/>
  <c r="AV259" i="4"/>
  <c r="AU259" i="4"/>
  <c r="AW259" i="4"/>
  <c r="AF259" i="4"/>
  <c r="W259" i="4"/>
  <c r="V259" i="4"/>
  <c r="U259" i="4"/>
  <c r="T259" i="4"/>
  <c r="R259" i="4"/>
  <c r="AA259" i="4"/>
  <c r="Q259" i="4"/>
  <c r="X259" i="4"/>
  <c r="O259" i="4"/>
  <c r="N259" i="4"/>
  <c r="M259" i="4"/>
  <c r="I259" i="4"/>
  <c r="J259" i="4"/>
  <c r="L259" i="4"/>
  <c r="S259" i="4"/>
  <c r="AS259" i="4"/>
  <c r="AR259" i="4"/>
  <c r="AT259" i="4"/>
  <c r="P259" i="4"/>
  <c r="H259" i="4"/>
  <c r="G259" i="4"/>
  <c r="AP258" i="4"/>
  <c r="AX258" i="4"/>
  <c r="AM258" i="4"/>
  <c r="AL258" i="4"/>
  <c r="AK258" i="4"/>
  <c r="AJ258" i="4"/>
  <c r="AG258" i="4"/>
  <c r="K259" i="4"/>
  <c r="AH258" i="4"/>
  <c r="AN258" i="4"/>
  <c r="AE258" i="4"/>
  <c r="AD258" i="4"/>
  <c r="AC258" i="4"/>
  <c r="AI258" i="4"/>
  <c r="Z258" i="4"/>
  <c r="AB258" i="4"/>
  <c r="Y258" i="4"/>
  <c r="AU258" i="4"/>
  <c r="AV258" i="4"/>
  <c r="AW258" i="4"/>
  <c r="AF258" i="4"/>
  <c r="W258" i="4"/>
  <c r="V258" i="4"/>
  <c r="U258" i="4"/>
  <c r="Q258" i="4"/>
  <c r="R258" i="4"/>
  <c r="AA258" i="4"/>
  <c r="T258" i="4"/>
  <c r="X258" i="4"/>
  <c r="O258" i="4"/>
  <c r="N258" i="4"/>
  <c r="M258" i="4"/>
  <c r="I258" i="4"/>
  <c r="S258" i="4"/>
  <c r="J258" i="4"/>
  <c r="L258" i="4"/>
  <c r="AS258" i="4"/>
  <c r="AR258" i="4"/>
  <c r="AT258" i="4"/>
  <c r="P258" i="4"/>
  <c r="H258" i="4"/>
  <c r="G258" i="4"/>
  <c r="AP257" i="4"/>
  <c r="AX257" i="4"/>
  <c r="AM257" i="4"/>
  <c r="AL257" i="4"/>
  <c r="AK257" i="4"/>
  <c r="AJ257" i="4"/>
  <c r="K258" i="4"/>
  <c r="AH257" i="4"/>
  <c r="AG257" i="4"/>
  <c r="AN257" i="4"/>
  <c r="AE257" i="4"/>
  <c r="AD257" i="4"/>
  <c r="AC257" i="4"/>
  <c r="AB257" i="4"/>
  <c r="Y257" i="4"/>
  <c r="AI257" i="4"/>
  <c r="Z257" i="4"/>
  <c r="AU257" i="4"/>
  <c r="AV257" i="4"/>
  <c r="AW257" i="4"/>
  <c r="AF257" i="4"/>
  <c r="W257" i="4"/>
  <c r="V257" i="4"/>
  <c r="U257" i="4"/>
  <c r="Q257" i="4"/>
  <c r="T257" i="4"/>
  <c r="R257" i="4"/>
  <c r="AA257" i="4"/>
  <c r="X257" i="4"/>
  <c r="O257" i="4"/>
  <c r="N257" i="4"/>
  <c r="M257" i="4"/>
  <c r="I257" i="4"/>
  <c r="S257" i="4"/>
  <c r="J257" i="4"/>
  <c r="L257" i="4"/>
  <c r="AS257" i="4"/>
  <c r="AT257" i="4"/>
  <c r="AR257" i="4"/>
  <c r="P257" i="4"/>
  <c r="H257" i="4"/>
  <c r="G257" i="4"/>
  <c r="AP256" i="4"/>
  <c r="AX256" i="4"/>
  <c r="AM256" i="4"/>
  <c r="AL256" i="4"/>
  <c r="AK256" i="4"/>
  <c r="AJ256" i="4"/>
  <c r="AH256" i="4"/>
  <c r="AG256" i="4"/>
  <c r="K257" i="4"/>
  <c r="AN256" i="4"/>
  <c r="AE256" i="4"/>
  <c r="AD256" i="4"/>
  <c r="AC256" i="4"/>
  <c r="AB256" i="4"/>
  <c r="Y256" i="4"/>
  <c r="AI256" i="4"/>
  <c r="Z256" i="4"/>
  <c r="AV256" i="4"/>
  <c r="AU256" i="4"/>
  <c r="AW256" i="4"/>
  <c r="AF256" i="4"/>
  <c r="W256" i="4"/>
  <c r="V256" i="4"/>
  <c r="U256" i="4"/>
  <c r="AA256" i="4"/>
  <c r="Q256" i="4"/>
  <c r="R256" i="4"/>
  <c r="T256" i="4"/>
  <c r="X256" i="4"/>
  <c r="O256" i="4"/>
  <c r="N256" i="4"/>
  <c r="M256" i="4"/>
  <c r="S256" i="4"/>
  <c r="J256" i="4"/>
  <c r="L256" i="4"/>
  <c r="I256" i="4"/>
  <c r="AS256" i="4"/>
  <c r="AT256" i="4"/>
  <c r="AR256" i="4"/>
  <c r="P256" i="4"/>
  <c r="H256" i="4"/>
  <c r="G256" i="4"/>
  <c r="AP255" i="4"/>
  <c r="AX255" i="4"/>
  <c r="AM255" i="4"/>
  <c r="AL255" i="4"/>
  <c r="AK255" i="4"/>
  <c r="AJ255" i="4"/>
  <c r="AG255" i="4"/>
  <c r="K256" i="4"/>
  <c r="AH255" i="4"/>
  <c r="AN255" i="4"/>
  <c r="AE255" i="4"/>
  <c r="AD255" i="4"/>
  <c r="AC255" i="4"/>
  <c r="Z255" i="4"/>
  <c r="AB255" i="4"/>
  <c r="Y255" i="4"/>
  <c r="AI255" i="4"/>
  <c r="AV255" i="4"/>
  <c r="AU255" i="4"/>
  <c r="AW255" i="4"/>
  <c r="AF255" i="4"/>
  <c r="W255" i="4"/>
  <c r="V255" i="4"/>
  <c r="U255" i="4"/>
  <c r="AA255" i="4"/>
  <c r="T255" i="4"/>
  <c r="Q255" i="4"/>
  <c r="R255" i="4"/>
  <c r="X255" i="4"/>
  <c r="O255" i="4"/>
  <c r="N255" i="4"/>
  <c r="M255" i="4"/>
  <c r="I255" i="4"/>
  <c r="J255" i="4"/>
  <c r="L255" i="4"/>
  <c r="S255" i="4"/>
  <c r="AS255" i="4"/>
  <c r="AT255" i="4"/>
  <c r="AR255" i="4"/>
  <c r="P255" i="4"/>
  <c r="H255" i="4"/>
  <c r="G255" i="4"/>
  <c r="AP254" i="4"/>
  <c r="AX254" i="4"/>
  <c r="AM254" i="4"/>
  <c r="AL254" i="4"/>
  <c r="AK254" i="4"/>
  <c r="AH254" i="4"/>
  <c r="AG254" i="4"/>
  <c r="AJ254" i="4"/>
  <c r="K255" i="4"/>
  <c r="AN254" i="4"/>
  <c r="AE254" i="4"/>
  <c r="AD254" i="4"/>
  <c r="AC254" i="4"/>
  <c r="Z254" i="4"/>
  <c r="AB254" i="4"/>
  <c r="Y254" i="4"/>
  <c r="AI254" i="4"/>
  <c r="AV254" i="4"/>
  <c r="AU254" i="4"/>
  <c r="AW254" i="4"/>
  <c r="AF254" i="4"/>
  <c r="W254" i="4"/>
  <c r="V254" i="4"/>
  <c r="U254" i="4"/>
  <c r="T254" i="4"/>
  <c r="Q254" i="4"/>
  <c r="AA254" i="4"/>
  <c r="R254" i="4"/>
  <c r="X254" i="4"/>
  <c r="O254" i="4"/>
  <c r="N254" i="4"/>
  <c r="M254" i="4"/>
  <c r="S254" i="4"/>
  <c r="J254" i="4"/>
  <c r="L254" i="4"/>
  <c r="I254" i="4"/>
  <c r="AS254" i="4"/>
  <c r="AT254" i="4"/>
  <c r="AR254" i="4"/>
  <c r="P254" i="4"/>
  <c r="H254" i="4"/>
  <c r="G254" i="4"/>
  <c r="AP253" i="4"/>
  <c r="AX253" i="4"/>
  <c r="AL253" i="4"/>
  <c r="AK253" i="4"/>
  <c r="AH253" i="4"/>
  <c r="K254" i="4"/>
  <c r="AJ253" i="4"/>
  <c r="AG253" i="4"/>
  <c r="AN253" i="4"/>
  <c r="AD253" i="4"/>
  <c r="AC253" i="4"/>
  <c r="AI253" i="4"/>
  <c r="Y253" i="4"/>
  <c r="AB253" i="4"/>
  <c r="Z253" i="4"/>
  <c r="AV253" i="4"/>
  <c r="AU253" i="4"/>
  <c r="AW253" i="4"/>
  <c r="AF253" i="4"/>
  <c r="V253" i="4"/>
  <c r="U253" i="4"/>
  <c r="R253" i="4"/>
  <c r="T253" i="4"/>
  <c r="Q253" i="4"/>
  <c r="AA253" i="4"/>
  <c r="X253" i="4"/>
  <c r="O253" i="4"/>
  <c r="N253" i="4"/>
  <c r="M253" i="4"/>
  <c r="I253" i="4"/>
  <c r="J253" i="4"/>
  <c r="L253" i="4"/>
  <c r="S253" i="4"/>
  <c r="AS253" i="4"/>
  <c r="AR253" i="4"/>
  <c r="AT253" i="4"/>
  <c r="P253" i="4"/>
  <c r="H253" i="4"/>
  <c r="G253" i="4"/>
  <c r="AP252" i="4"/>
  <c r="AX252" i="4"/>
  <c r="AL252" i="4"/>
  <c r="AK252" i="4"/>
  <c r="AG252" i="4"/>
  <c r="AH252" i="4"/>
  <c r="K253" i="4"/>
  <c r="AJ252" i="4"/>
  <c r="AN252" i="4"/>
  <c r="AD252" i="4"/>
  <c r="AC252" i="4"/>
  <c r="Y252" i="4"/>
  <c r="AB252" i="4"/>
  <c r="Z252" i="4"/>
  <c r="AI252" i="4"/>
  <c r="AU252" i="4"/>
  <c r="AV252" i="4"/>
  <c r="AW252" i="4"/>
  <c r="AF252" i="4"/>
  <c r="V252" i="4"/>
  <c r="U252" i="4"/>
  <c r="T252" i="4"/>
  <c r="R252" i="4"/>
  <c r="Q252" i="4"/>
  <c r="AA252" i="4"/>
  <c r="X252" i="4"/>
  <c r="O252" i="4"/>
  <c r="N252" i="4"/>
  <c r="M252" i="4"/>
  <c r="I252" i="4"/>
  <c r="S252" i="4"/>
  <c r="J252" i="4"/>
  <c r="L252" i="4"/>
  <c r="AS252" i="4"/>
  <c r="AT252" i="4"/>
  <c r="AR252" i="4"/>
  <c r="P252" i="4"/>
  <c r="H252" i="4"/>
  <c r="G252" i="4"/>
  <c r="AP251" i="4"/>
  <c r="AX251" i="4"/>
  <c r="AM251" i="4"/>
  <c r="AL251" i="4"/>
  <c r="AK251" i="4"/>
  <c r="K252" i="4"/>
  <c r="AJ251" i="4"/>
  <c r="AH251" i="4"/>
  <c r="AG251" i="4"/>
  <c r="AN251" i="4"/>
  <c r="AE251" i="4"/>
  <c r="AD251" i="4"/>
  <c r="AC251" i="4"/>
  <c r="Y251" i="4"/>
  <c r="AI251" i="4"/>
  <c r="Z251" i="4"/>
  <c r="AB251" i="4"/>
  <c r="AV251" i="4"/>
  <c r="AU251" i="4"/>
  <c r="AW251" i="4"/>
  <c r="AF251" i="4"/>
  <c r="W251" i="4"/>
  <c r="V251" i="4"/>
  <c r="U251" i="4"/>
  <c r="Q251" i="4"/>
  <c r="T251" i="4"/>
  <c r="AA251" i="4"/>
  <c r="R251" i="4"/>
  <c r="X251" i="4"/>
  <c r="O251" i="4"/>
  <c r="N251" i="4"/>
  <c r="M251" i="4"/>
  <c r="I251" i="4"/>
  <c r="S251" i="4"/>
  <c r="J251" i="4"/>
  <c r="L251" i="4"/>
  <c r="AS251" i="4"/>
  <c r="AR251" i="4"/>
  <c r="AT251" i="4"/>
  <c r="P251" i="4"/>
  <c r="H251" i="4"/>
  <c r="G251" i="4"/>
  <c r="AP250" i="4"/>
  <c r="AX250" i="4"/>
  <c r="AM250" i="4"/>
  <c r="AL250" i="4"/>
  <c r="AK250" i="4"/>
  <c r="AG250" i="4"/>
  <c r="K251" i="4"/>
  <c r="AH250" i="4"/>
  <c r="AJ250" i="4"/>
  <c r="AN250" i="4"/>
  <c r="AE250" i="4"/>
  <c r="AD250" i="4"/>
  <c r="AC250" i="4"/>
  <c r="Z250" i="4"/>
  <c r="AB250" i="4"/>
  <c r="Y250" i="4"/>
  <c r="AI250" i="4"/>
  <c r="AV250" i="4"/>
  <c r="AU250" i="4"/>
  <c r="AW250" i="4"/>
  <c r="AF250" i="4"/>
  <c r="W250" i="4"/>
  <c r="V250" i="4"/>
  <c r="U250" i="4"/>
  <c r="Q250" i="4"/>
  <c r="T250" i="4"/>
  <c r="R250" i="4"/>
  <c r="AA250" i="4"/>
  <c r="X250" i="4"/>
  <c r="O250" i="4"/>
  <c r="N250" i="4"/>
  <c r="M250" i="4"/>
  <c r="J250" i="4"/>
  <c r="L250" i="4"/>
  <c r="I250" i="4"/>
  <c r="S250" i="4"/>
  <c r="AS250" i="4"/>
  <c r="AT250" i="4"/>
  <c r="AR250" i="4"/>
  <c r="P250" i="4"/>
  <c r="H250" i="4"/>
  <c r="G250" i="4"/>
  <c r="AP249" i="4"/>
  <c r="AX249" i="4"/>
  <c r="AM249" i="4"/>
  <c r="AL249" i="4"/>
  <c r="AK249" i="4"/>
  <c r="AJ249" i="4"/>
  <c r="AG249" i="4"/>
  <c r="K250" i="4"/>
  <c r="AH249" i="4"/>
  <c r="AN249" i="4"/>
  <c r="AE249" i="4"/>
  <c r="AD249" i="4"/>
  <c r="AC249" i="4"/>
  <c r="Z249" i="4"/>
  <c r="AB249" i="4"/>
  <c r="Y249" i="4"/>
  <c r="AI249" i="4"/>
  <c r="AV249" i="4"/>
  <c r="AU249" i="4"/>
  <c r="AW249" i="4"/>
  <c r="AF249" i="4"/>
  <c r="W249" i="4"/>
  <c r="V249" i="4"/>
  <c r="U249" i="4"/>
  <c r="Q249" i="4"/>
  <c r="T249" i="4"/>
  <c r="AA249" i="4"/>
  <c r="R249" i="4"/>
  <c r="X249" i="4"/>
  <c r="O249" i="4"/>
  <c r="N249" i="4"/>
  <c r="M249" i="4"/>
  <c r="L249" i="4"/>
  <c r="S249" i="4"/>
  <c r="J249" i="4"/>
  <c r="I249" i="4"/>
  <c r="AS249" i="4"/>
  <c r="AT249" i="4"/>
  <c r="AR249" i="4"/>
  <c r="P249" i="4"/>
  <c r="H249" i="4"/>
  <c r="G249" i="4"/>
  <c r="AP248" i="4"/>
  <c r="AX248" i="4"/>
  <c r="AM248" i="4"/>
  <c r="AL248" i="4"/>
  <c r="AK248" i="4"/>
  <c r="AJ248" i="4"/>
  <c r="AG248" i="4"/>
  <c r="K249" i="4"/>
  <c r="AH248" i="4"/>
  <c r="AN248" i="4"/>
  <c r="AE248" i="4"/>
  <c r="AD248" i="4"/>
  <c r="AC248" i="4"/>
  <c r="Z248" i="4"/>
  <c r="AB248" i="4"/>
  <c r="Y248" i="4"/>
  <c r="AI248" i="4"/>
  <c r="AV248" i="4"/>
  <c r="AU248" i="4"/>
  <c r="AW248" i="4"/>
  <c r="AF248" i="4"/>
  <c r="W248" i="4"/>
  <c r="V248" i="4"/>
  <c r="U248" i="4"/>
  <c r="Q248" i="4"/>
  <c r="R248" i="4"/>
  <c r="AA248" i="4"/>
  <c r="T248" i="4"/>
  <c r="X248" i="4"/>
  <c r="O248" i="4"/>
  <c r="N248" i="4"/>
  <c r="M248" i="4"/>
  <c r="J248" i="4"/>
  <c r="L248" i="4"/>
  <c r="I248" i="4"/>
  <c r="S248" i="4"/>
  <c r="AS248" i="4"/>
  <c r="AT248" i="4"/>
  <c r="AR248" i="4"/>
  <c r="P248" i="4"/>
  <c r="H248" i="4"/>
  <c r="G248" i="4"/>
  <c r="AP247" i="4"/>
  <c r="AX247" i="4"/>
  <c r="AM247" i="4"/>
  <c r="AL247" i="4"/>
  <c r="AK247" i="4"/>
  <c r="K248" i="4"/>
  <c r="AH247" i="4"/>
  <c r="AG247" i="4"/>
  <c r="AJ247" i="4"/>
  <c r="AN247" i="4"/>
  <c r="AE247" i="4"/>
  <c r="AD247" i="4"/>
  <c r="AC247" i="4"/>
  <c r="Y247" i="4"/>
  <c r="AI247" i="4"/>
  <c r="Z247" i="4"/>
  <c r="AB247" i="4"/>
  <c r="AU247" i="4"/>
  <c r="AV247" i="4"/>
  <c r="AW247" i="4"/>
  <c r="AF247" i="4"/>
  <c r="W247" i="4"/>
  <c r="V247" i="4"/>
  <c r="U247" i="4"/>
  <c r="T247" i="4"/>
  <c r="Q247" i="4"/>
  <c r="AA247" i="4"/>
  <c r="R247" i="4"/>
  <c r="X247" i="4"/>
  <c r="O247" i="4"/>
  <c r="N247" i="4"/>
  <c r="M247" i="4"/>
  <c r="S247" i="4"/>
  <c r="J247" i="4"/>
  <c r="L247" i="4"/>
  <c r="I247" i="4"/>
  <c r="AS247" i="4"/>
  <c r="AT247" i="4"/>
  <c r="AR247" i="4"/>
  <c r="P247" i="4"/>
  <c r="H247" i="4"/>
  <c r="G247" i="4"/>
  <c r="AP246" i="4"/>
  <c r="AX246" i="4"/>
  <c r="AM246" i="4"/>
  <c r="AL246" i="4"/>
  <c r="AK246" i="4"/>
  <c r="K247" i="4"/>
  <c r="AJ246" i="4"/>
  <c r="AH246" i="4"/>
  <c r="AG246" i="4"/>
  <c r="AN246" i="4"/>
  <c r="AE246" i="4"/>
  <c r="AD246" i="4"/>
  <c r="AC246" i="4"/>
  <c r="Y246" i="4"/>
  <c r="AI246" i="4"/>
  <c r="Z246" i="4"/>
  <c r="AB246" i="4"/>
  <c r="AV246" i="4"/>
  <c r="AU246" i="4"/>
  <c r="AW246" i="4"/>
  <c r="AF246" i="4"/>
  <c r="W246" i="4"/>
  <c r="V246" i="4"/>
  <c r="U246" i="4"/>
  <c r="Q246" i="4"/>
  <c r="R246" i="4"/>
  <c r="AA246" i="4"/>
  <c r="T246" i="4"/>
  <c r="X246" i="4"/>
  <c r="O246" i="4"/>
  <c r="N246" i="4"/>
  <c r="M246" i="4"/>
  <c r="I246" i="4"/>
  <c r="S246" i="4"/>
  <c r="J246" i="4"/>
  <c r="L246" i="4"/>
  <c r="AS246" i="4"/>
  <c r="AT246" i="4"/>
  <c r="AR246" i="4"/>
  <c r="P246" i="4"/>
  <c r="H246" i="4"/>
  <c r="G246" i="4"/>
  <c r="AP245" i="4"/>
  <c r="AX245" i="4"/>
  <c r="AM245" i="4"/>
  <c r="AL245" i="4"/>
  <c r="AK245" i="4"/>
  <c r="AJ245" i="4"/>
  <c r="AH245" i="4"/>
  <c r="AG245" i="4"/>
  <c r="K246" i="4"/>
  <c r="AN245" i="4"/>
  <c r="AE245" i="4"/>
  <c r="AD245" i="4"/>
  <c r="AC245" i="4"/>
  <c r="Z245" i="4"/>
  <c r="AB245" i="4"/>
  <c r="Y245" i="4"/>
  <c r="AI245" i="4"/>
  <c r="AU245" i="4"/>
  <c r="AV245" i="4"/>
  <c r="AW245" i="4"/>
  <c r="AF245" i="4"/>
  <c r="W245" i="4"/>
  <c r="V245" i="4"/>
  <c r="U245" i="4"/>
  <c r="Q245" i="4"/>
  <c r="T245" i="4"/>
  <c r="R245" i="4"/>
  <c r="AA245" i="4"/>
  <c r="X245" i="4"/>
  <c r="O245" i="4"/>
  <c r="N245" i="4"/>
  <c r="M245" i="4"/>
  <c r="I245" i="4"/>
  <c r="S245" i="4"/>
  <c r="J245" i="4"/>
  <c r="L245" i="4"/>
  <c r="AS245" i="4"/>
  <c r="AT245" i="4"/>
  <c r="AR245" i="4"/>
  <c r="P245" i="4"/>
  <c r="H245" i="4"/>
  <c r="G245" i="4"/>
  <c r="AP244" i="4"/>
  <c r="AX244" i="4"/>
  <c r="AL244" i="4"/>
  <c r="AK244" i="4"/>
  <c r="AJ244" i="4"/>
  <c r="K245" i="4"/>
  <c r="AH244" i="4"/>
  <c r="AG244" i="4"/>
  <c r="AN244" i="4"/>
  <c r="AD244" i="4"/>
  <c r="AC244" i="4"/>
  <c r="AI244" i="4"/>
  <c r="Y244" i="4"/>
  <c r="AB244" i="4"/>
  <c r="Z244" i="4"/>
  <c r="AV244" i="4"/>
  <c r="AU244" i="4"/>
  <c r="AW244" i="4"/>
  <c r="AF244" i="4"/>
  <c r="W244" i="4"/>
  <c r="V244" i="4"/>
  <c r="U244" i="4"/>
  <c r="T244" i="4"/>
  <c r="R244" i="4"/>
  <c r="AA244" i="4"/>
  <c r="Q244" i="4"/>
  <c r="X244" i="4"/>
  <c r="O244" i="4"/>
  <c r="N244" i="4"/>
  <c r="M244" i="4"/>
  <c r="I244" i="4"/>
  <c r="J244" i="4"/>
  <c r="L244" i="4"/>
  <c r="S244" i="4"/>
  <c r="AS244" i="4"/>
  <c r="AT244" i="4"/>
  <c r="AR244" i="4"/>
  <c r="P244" i="4"/>
  <c r="H244" i="4"/>
  <c r="G244" i="4"/>
  <c r="AP243" i="4"/>
  <c r="AX243" i="4"/>
  <c r="AL243" i="4"/>
  <c r="AK243" i="4"/>
  <c r="AH243" i="4"/>
  <c r="AG243" i="4"/>
  <c r="K244" i="4"/>
  <c r="AJ243" i="4"/>
  <c r="AN243" i="4"/>
  <c r="AD243" i="4"/>
  <c r="AC243" i="4"/>
  <c r="AI243" i="4"/>
  <c r="Y243" i="4"/>
  <c r="AB243" i="4"/>
  <c r="Z243" i="4"/>
  <c r="AV243" i="4"/>
  <c r="AU243" i="4"/>
  <c r="AW243" i="4"/>
  <c r="AF243" i="4"/>
  <c r="W243" i="4"/>
  <c r="V243" i="4"/>
  <c r="U243" i="4"/>
  <c r="AA243" i="4"/>
  <c r="R243" i="4"/>
  <c r="T243" i="4"/>
  <c r="Q243" i="4"/>
  <c r="X243" i="4"/>
  <c r="O243" i="4"/>
  <c r="N243" i="4"/>
  <c r="M243" i="4"/>
  <c r="J243" i="4"/>
  <c r="L243" i="4"/>
  <c r="I243" i="4"/>
  <c r="S243" i="4"/>
  <c r="AS243" i="4"/>
  <c r="AT243" i="4"/>
  <c r="AR243" i="4"/>
  <c r="P243" i="4"/>
  <c r="H243" i="4"/>
  <c r="G243" i="4"/>
  <c r="AP242" i="4"/>
  <c r="AX242" i="4"/>
  <c r="AM242" i="4"/>
  <c r="AL242" i="4"/>
  <c r="AK242" i="4"/>
  <c r="AG242" i="4"/>
  <c r="K243" i="4"/>
  <c r="AH242" i="4"/>
  <c r="AJ242" i="4"/>
  <c r="AN242" i="4"/>
  <c r="AD242" i="4"/>
  <c r="AC242" i="4"/>
  <c r="AI242" i="4"/>
  <c r="Y242" i="4"/>
  <c r="AB242" i="4"/>
  <c r="Z242" i="4"/>
  <c r="AV242" i="4"/>
  <c r="AU242" i="4"/>
  <c r="AW242" i="4"/>
  <c r="AF242" i="4"/>
  <c r="V242" i="4"/>
  <c r="U242" i="4"/>
  <c r="Q242" i="4"/>
  <c r="AA242" i="4"/>
  <c r="T242" i="4"/>
  <c r="R242" i="4"/>
  <c r="X242" i="4"/>
  <c r="N242" i="4"/>
  <c r="M242" i="4"/>
  <c r="S242" i="4"/>
  <c r="I242" i="4"/>
  <c r="L242" i="4"/>
  <c r="J242" i="4"/>
  <c r="AS242" i="4"/>
  <c r="AT242" i="4"/>
  <c r="AR242" i="4"/>
  <c r="P242" i="4"/>
  <c r="H242" i="4"/>
  <c r="G242" i="4"/>
  <c r="AP241" i="4"/>
  <c r="AX241" i="4"/>
  <c r="AM241" i="4"/>
  <c r="AL241" i="4"/>
  <c r="AK241" i="4"/>
  <c r="AJ241" i="4"/>
  <c r="AG241" i="4"/>
  <c r="K242" i="4"/>
  <c r="AH241" i="4"/>
  <c r="AN241" i="4"/>
  <c r="AE241" i="4"/>
  <c r="AD241" i="4"/>
  <c r="AC241" i="4"/>
  <c r="AI241" i="4"/>
  <c r="Z241" i="4"/>
  <c r="AB241" i="4"/>
  <c r="Y241" i="4"/>
  <c r="AV241" i="4"/>
  <c r="AU241" i="4"/>
  <c r="AW241" i="4"/>
  <c r="AF241" i="4"/>
  <c r="W241" i="4"/>
  <c r="V241" i="4"/>
  <c r="U241" i="4"/>
  <c r="R241" i="4"/>
  <c r="AA241" i="4"/>
  <c r="Q241" i="4"/>
  <c r="T241" i="4"/>
  <c r="X241" i="4"/>
  <c r="O241" i="4"/>
  <c r="N241" i="4"/>
  <c r="M241" i="4"/>
  <c r="J241" i="4"/>
  <c r="L241" i="4"/>
  <c r="I241" i="4"/>
  <c r="S241" i="4"/>
  <c r="AS241" i="4"/>
  <c r="AR241" i="4"/>
  <c r="AT241" i="4"/>
  <c r="P241" i="4"/>
  <c r="H241" i="4"/>
  <c r="G241" i="4"/>
  <c r="AP240" i="4"/>
  <c r="AX240" i="4"/>
  <c r="AM240" i="4"/>
  <c r="AL240" i="4"/>
  <c r="AK240" i="4"/>
  <c r="AH240" i="4"/>
  <c r="AG240" i="4"/>
  <c r="K241" i="4"/>
  <c r="AJ240" i="4"/>
  <c r="AN240" i="4"/>
  <c r="AE240" i="4"/>
  <c r="AD240" i="4"/>
  <c r="AC240" i="4"/>
  <c r="Z240" i="4"/>
  <c r="AB240" i="4"/>
  <c r="Y240" i="4"/>
  <c r="AI240" i="4"/>
  <c r="AU240" i="4"/>
  <c r="AV240" i="4"/>
  <c r="AW240" i="4"/>
  <c r="AF240" i="4"/>
  <c r="W240" i="4"/>
  <c r="V240" i="4"/>
  <c r="U240" i="4"/>
  <c r="Q240" i="4"/>
  <c r="AA240" i="4"/>
  <c r="R240" i="4"/>
  <c r="T240" i="4"/>
  <c r="X240" i="4"/>
  <c r="O240" i="4"/>
  <c r="N240" i="4"/>
  <c r="M240" i="4"/>
  <c r="L240" i="4"/>
  <c r="J240" i="4"/>
  <c r="I240" i="4"/>
  <c r="S240" i="4"/>
  <c r="AS240" i="4"/>
  <c r="AT240" i="4"/>
  <c r="AR240" i="4"/>
  <c r="P240" i="4"/>
  <c r="H240" i="4"/>
  <c r="G240" i="4"/>
  <c r="AP239" i="4"/>
  <c r="AX239" i="4"/>
  <c r="AM239" i="4"/>
  <c r="AL239" i="4"/>
  <c r="AK239" i="4"/>
  <c r="AH239" i="4"/>
  <c r="AG239" i="4"/>
  <c r="K240" i="4"/>
  <c r="AJ239" i="4"/>
  <c r="AN239" i="4"/>
  <c r="AE239" i="4"/>
  <c r="AD239" i="4"/>
  <c r="AC239" i="4"/>
  <c r="Y239" i="4"/>
  <c r="Z239" i="4"/>
  <c r="AB239" i="4"/>
  <c r="AI239" i="4"/>
  <c r="AV239" i="4"/>
  <c r="AU239" i="4"/>
  <c r="AW239" i="4"/>
  <c r="AF239" i="4"/>
  <c r="W239" i="4"/>
  <c r="V239" i="4"/>
  <c r="U239" i="4"/>
  <c r="T239" i="4"/>
  <c r="R239" i="4"/>
  <c r="AA239" i="4"/>
  <c r="Q239" i="4"/>
  <c r="X239" i="4"/>
  <c r="O239" i="4"/>
  <c r="N239" i="4"/>
  <c r="M239" i="4"/>
  <c r="I239" i="4"/>
  <c r="J239" i="4"/>
  <c r="L239" i="4"/>
  <c r="S239" i="4"/>
  <c r="AS239" i="4"/>
  <c r="AR239" i="4"/>
  <c r="AT239" i="4"/>
  <c r="P239" i="4"/>
  <c r="H239" i="4"/>
  <c r="G239" i="4"/>
  <c r="AP238" i="4"/>
  <c r="AX238" i="4"/>
  <c r="AX377" i="4"/>
  <c r="AM238" i="4"/>
  <c r="AL238" i="4"/>
  <c r="AK238" i="4"/>
  <c r="K239" i="4"/>
  <c r="AH238" i="4"/>
  <c r="AG238" i="4"/>
  <c r="AJ238" i="4"/>
  <c r="AN238" i="4"/>
  <c r="AE238" i="4"/>
  <c r="AD238" i="4"/>
  <c r="AC238" i="4"/>
  <c r="AI238" i="4"/>
  <c r="Z238" i="4"/>
  <c r="AB238" i="4"/>
  <c r="Y238" i="4"/>
  <c r="AU238" i="4"/>
  <c r="AU377" i="4"/>
  <c r="AU379" i="4"/>
  <c r="AU382" i="4"/>
  <c r="AV238" i="4"/>
  <c r="AV377" i="4"/>
  <c r="AV379" i="4"/>
  <c r="AV382" i="4"/>
  <c r="AW238" i="4"/>
  <c r="AW377" i="4"/>
  <c r="AW379" i="4"/>
  <c r="AW382" i="4"/>
  <c r="AF238" i="4"/>
  <c r="W238" i="4"/>
  <c r="V238" i="4"/>
  <c r="U238" i="4"/>
  <c r="T238" i="4"/>
  <c r="R238" i="4"/>
  <c r="Q238" i="4"/>
  <c r="AA238" i="4"/>
  <c r="X238" i="4"/>
  <c r="N238" i="4"/>
  <c r="M238" i="4"/>
  <c r="I238" i="4"/>
  <c r="L238" i="4"/>
  <c r="J238" i="4"/>
  <c r="S238" i="4"/>
  <c r="AS238" i="4"/>
  <c r="AS377" i="4"/>
  <c r="AS379" i="4"/>
  <c r="AS382" i="4"/>
  <c r="AT238" i="4"/>
  <c r="AT377" i="4"/>
  <c r="AT379" i="4"/>
  <c r="AT382" i="4"/>
  <c r="AR238" i="4"/>
  <c r="AR377" i="4"/>
  <c r="AR379" i="4"/>
  <c r="P238" i="4"/>
  <c r="H238" i="4"/>
  <c r="G238" i="4"/>
  <c r="AX237" i="4"/>
  <c r="AW237" i="4"/>
  <c r="AP236" i="4"/>
  <c r="AX236" i="4"/>
  <c r="AM236" i="4"/>
  <c r="AL236" i="4"/>
  <c r="AK236" i="4"/>
  <c r="AG236" i="4"/>
  <c r="AH236" i="4"/>
  <c r="K238" i="4"/>
  <c r="AJ236" i="4"/>
  <c r="AN236" i="4"/>
  <c r="AR382" i="4"/>
  <c r="AR380" i="4"/>
  <c r="AE236" i="4"/>
  <c r="AD236" i="4"/>
  <c r="AC236" i="4"/>
  <c r="AB236" i="4"/>
  <c r="Y236" i="4"/>
  <c r="Z236" i="4"/>
  <c r="AI236" i="4"/>
  <c r="AW236" i="4"/>
  <c r="AV236" i="4"/>
  <c r="AU236" i="4"/>
  <c r="AF236" i="4"/>
  <c r="V236" i="4"/>
  <c r="U236" i="4"/>
  <c r="AA236" i="4"/>
  <c r="Q236" i="4"/>
  <c r="T236" i="4"/>
  <c r="R236" i="4"/>
  <c r="X236" i="4"/>
  <c r="O236" i="4"/>
  <c r="N236" i="4"/>
  <c r="M236" i="4"/>
  <c r="I236" i="4"/>
  <c r="S236" i="4"/>
  <c r="J236" i="4"/>
  <c r="L236" i="4"/>
  <c r="AR236" i="4"/>
  <c r="AS236" i="4"/>
  <c r="AT236" i="4"/>
  <c r="P236" i="4"/>
  <c r="H236" i="4"/>
  <c r="G236" i="4"/>
  <c r="AP235" i="4"/>
  <c r="AX235" i="4"/>
  <c r="AM235" i="4"/>
  <c r="AL235" i="4"/>
  <c r="AK235" i="4"/>
  <c r="AJ235" i="4"/>
  <c r="AH235" i="4"/>
  <c r="AG235" i="4"/>
  <c r="K236" i="4"/>
  <c r="AN235" i="4"/>
  <c r="AE235" i="4"/>
  <c r="AD235" i="4"/>
  <c r="AC235" i="4"/>
  <c r="Y235" i="4"/>
  <c r="Z235" i="4"/>
  <c r="AB235" i="4"/>
  <c r="AI235" i="4"/>
  <c r="AV235" i="4"/>
  <c r="AU235" i="4"/>
  <c r="AW235" i="4"/>
  <c r="AF235" i="4"/>
  <c r="V235" i="4"/>
  <c r="U235" i="4"/>
  <c r="T235" i="4"/>
  <c r="AA235" i="4"/>
  <c r="Q235" i="4"/>
  <c r="R235" i="4"/>
  <c r="X235" i="4"/>
  <c r="O235" i="4"/>
  <c r="N235" i="4"/>
  <c r="M235" i="4"/>
  <c r="J235" i="4"/>
  <c r="L235" i="4"/>
  <c r="I235" i="4"/>
  <c r="S235" i="4"/>
  <c r="AS235" i="4"/>
  <c r="AR235" i="4"/>
  <c r="AT235" i="4"/>
  <c r="P235" i="4"/>
  <c r="H235" i="4"/>
  <c r="G235" i="4"/>
  <c r="AP234" i="4"/>
  <c r="AX234" i="4"/>
  <c r="AM234" i="4"/>
  <c r="AL234" i="4"/>
  <c r="AK234" i="4"/>
  <c r="AH234" i="4"/>
  <c r="AG234" i="4"/>
  <c r="AJ234" i="4"/>
  <c r="K235" i="4"/>
  <c r="AN234" i="4"/>
  <c r="AE234" i="4"/>
  <c r="AD234" i="4"/>
  <c r="AC234" i="4"/>
  <c r="Z234" i="4"/>
  <c r="AB234" i="4"/>
  <c r="Y234" i="4"/>
  <c r="AI234" i="4"/>
  <c r="AW234" i="4"/>
  <c r="AV234" i="4"/>
  <c r="AU234" i="4"/>
  <c r="AF234" i="4"/>
  <c r="V234" i="4"/>
  <c r="U234" i="4"/>
  <c r="Q234" i="4"/>
  <c r="T234" i="4"/>
  <c r="R234" i="4"/>
  <c r="AA234" i="4"/>
  <c r="X234" i="4"/>
  <c r="O234" i="4"/>
  <c r="N234" i="4"/>
  <c r="M234" i="4"/>
  <c r="L234" i="4"/>
  <c r="I234" i="4"/>
  <c r="J234" i="4"/>
  <c r="S234" i="4"/>
  <c r="AS234" i="4"/>
  <c r="AT234" i="4"/>
  <c r="AR234" i="4"/>
  <c r="P234" i="4"/>
  <c r="H234" i="4"/>
  <c r="G234" i="4"/>
  <c r="BF233" i="4"/>
  <c r="AP233" i="4"/>
  <c r="AX233" i="4"/>
  <c r="AM233" i="4"/>
  <c r="AL233" i="4"/>
  <c r="AK233" i="4"/>
  <c r="K234" i="4"/>
  <c r="AG233" i="4"/>
  <c r="AJ233" i="4"/>
  <c r="AH233" i="4"/>
  <c r="AN233" i="4"/>
  <c r="AE233" i="4"/>
  <c r="AD233" i="4"/>
  <c r="AC233" i="4"/>
  <c r="Y233" i="4"/>
  <c r="AI233" i="4"/>
  <c r="Z233" i="4"/>
  <c r="AB233" i="4"/>
  <c r="AU233" i="4"/>
  <c r="AW233" i="4"/>
  <c r="AV233" i="4"/>
  <c r="AF233" i="4"/>
  <c r="V233" i="4"/>
  <c r="U233" i="4"/>
  <c r="Q233" i="4"/>
  <c r="R233" i="4"/>
  <c r="T233" i="4"/>
  <c r="AA233" i="4"/>
  <c r="X233" i="4"/>
  <c r="O233" i="4"/>
  <c r="N233" i="4"/>
  <c r="M233" i="4"/>
  <c r="J233" i="4"/>
  <c r="L233" i="4"/>
  <c r="I233" i="4"/>
  <c r="S233" i="4"/>
  <c r="AT233" i="4"/>
  <c r="AS233" i="4"/>
  <c r="AR233" i="4"/>
  <c r="P233" i="4"/>
  <c r="H233" i="4"/>
  <c r="G233" i="4"/>
  <c r="BG232" i="4"/>
  <c r="BF232" i="4"/>
  <c r="AP232" i="4"/>
  <c r="AX232" i="4"/>
  <c r="AM232" i="4"/>
  <c r="AL232" i="4"/>
  <c r="AK232" i="4"/>
  <c r="AH232" i="4"/>
  <c r="AJ232" i="4"/>
  <c r="AG232" i="4"/>
  <c r="K233" i="4"/>
  <c r="AN232" i="4"/>
  <c r="AE232" i="4"/>
  <c r="AD232" i="4"/>
  <c r="AC232" i="4"/>
  <c r="Y232" i="4"/>
  <c r="AI232" i="4"/>
  <c r="Z232" i="4"/>
  <c r="AB232" i="4"/>
  <c r="AW232" i="4"/>
  <c r="AV232" i="4"/>
  <c r="AU232" i="4"/>
  <c r="AF232" i="4"/>
  <c r="V232" i="4"/>
  <c r="U232" i="4"/>
  <c r="T232" i="4"/>
  <c r="R232" i="4"/>
  <c r="Q232" i="4"/>
  <c r="AA232" i="4"/>
  <c r="X232" i="4"/>
  <c r="O232" i="4"/>
  <c r="N232" i="4"/>
  <c r="M232" i="4"/>
  <c r="I232" i="4"/>
  <c r="S232" i="4"/>
  <c r="J232" i="4"/>
  <c r="L232" i="4"/>
  <c r="AR232" i="4"/>
  <c r="AS232" i="4"/>
  <c r="AT232" i="4"/>
  <c r="P232" i="4"/>
  <c r="H232" i="4"/>
  <c r="G232" i="4"/>
  <c r="BG231" i="4"/>
  <c r="BF231" i="4"/>
  <c r="AP231" i="4"/>
  <c r="AX231" i="4"/>
  <c r="AM231" i="4"/>
  <c r="AL231" i="4"/>
  <c r="AK231" i="4"/>
  <c r="AG231" i="4"/>
  <c r="K232" i="4"/>
  <c r="AH231" i="4"/>
  <c r="AJ231" i="4"/>
  <c r="AN231" i="4"/>
  <c r="AE231" i="4"/>
  <c r="AD231" i="4"/>
  <c r="AC231" i="4"/>
  <c r="Y231" i="4"/>
  <c r="AI231" i="4"/>
  <c r="Z231" i="4"/>
  <c r="AB231" i="4"/>
  <c r="AW231" i="4"/>
  <c r="AV231" i="4"/>
  <c r="AU231" i="4"/>
  <c r="AF231" i="4"/>
  <c r="V231" i="4"/>
  <c r="U231" i="4"/>
  <c r="T231" i="4"/>
  <c r="AA231" i="4"/>
  <c r="Q231" i="4"/>
  <c r="R231" i="4"/>
  <c r="X231" i="4"/>
  <c r="O231" i="4"/>
  <c r="N231" i="4"/>
  <c r="M231" i="4"/>
  <c r="I231" i="4"/>
  <c r="S231" i="4"/>
  <c r="J231" i="4"/>
  <c r="L231" i="4"/>
  <c r="AR231" i="4"/>
  <c r="AS231" i="4"/>
  <c r="AT231" i="4"/>
  <c r="P231" i="4"/>
  <c r="H231" i="4"/>
  <c r="G231" i="4"/>
  <c r="BG230" i="4"/>
  <c r="BF230" i="4"/>
  <c r="AP230" i="4"/>
  <c r="AX230" i="4"/>
  <c r="AM230" i="4"/>
  <c r="AL230" i="4"/>
  <c r="AK230" i="4"/>
  <c r="AH230" i="4"/>
  <c r="AG230" i="4"/>
  <c r="K231" i="4"/>
  <c r="AJ230" i="4"/>
  <c r="AN230" i="4"/>
  <c r="AE230" i="4"/>
  <c r="AD230" i="4"/>
  <c r="AC230" i="4"/>
  <c r="Y230" i="4"/>
  <c r="AI230" i="4"/>
  <c r="Z230" i="4"/>
  <c r="AB230" i="4"/>
  <c r="AW230" i="4"/>
  <c r="AU230" i="4"/>
  <c r="AV230" i="4"/>
  <c r="AF230" i="4"/>
  <c r="V230" i="4"/>
  <c r="U230" i="4"/>
  <c r="T230" i="4"/>
  <c r="R230" i="4"/>
  <c r="Q230" i="4"/>
  <c r="AA230" i="4"/>
  <c r="X230" i="4"/>
  <c r="O230" i="4"/>
  <c r="N230" i="4"/>
  <c r="M230" i="4"/>
  <c r="I230" i="4"/>
  <c r="S230" i="4"/>
  <c r="J230" i="4"/>
  <c r="L230" i="4"/>
  <c r="AR230" i="4"/>
  <c r="AS230" i="4"/>
  <c r="AT230" i="4"/>
  <c r="P230" i="4"/>
  <c r="H230" i="4"/>
  <c r="G230" i="4"/>
  <c r="BG229" i="4"/>
  <c r="BF229" i="4"/>
  <c r="AP229" i="4"/>
  <c r="AX229" i="4"/>
  <c r="AM229" i="4"/>
  <c r="AL229" i="4"/>
  <c r="AK229" i="4"/>
  <c r="AH229" i="4"/>
  <c r="AG229" i="4"/>
  <c r="K230" i="4"/>
  <c r="AJ229" i="4"/>
  <c r="AN229" i="4"/>
  <c r="AE229" i="4"/>
  <c r="AD229" i="4"/>
  <c r="AC229" i="4"/>
  <c r="Y229" i="4"/>
  <c r="AI229" i="4"/>
  <c r="Z229" i="4"/>
  <c r="AB229" i="4"/>
  <c r="AW229" i="4"/>
  <c r="AV229" i="4"/>
  <c r="AU229" i="4"/>
  <c r="AF229" i="4"/>
  <c r="V229" i="4"/>
  <c r="U229" i="4"/>
  <c r="T229" i="4"/>
  <c r="Q229" i="4"/>
  <c r="AA229" i="4"/>
  <c r="R229" i="4"/>
  <c r="X229" i="4"/>
  <c r="O229" i="4"/>
  <c r="N229" i="4"/>
  <c r="M229" i="4"/>
  <c r="J229" i="4"/>
  <c r="L229" i="4"/>
  <c r="I229" i="4"/>
  <c r="S229" i="4"/>
  <c r="AR229" i="4"/>
  <c r="AS229" i="4"/>
  <c r="AT229" i="4"/>
  <c r="P229" i="4"/>
  <c r="H229" i="4"/>
  <c r="G229" i="4"/>
  <c r="BG228" i="4"/>
  <c r="BF228" i="4"/>
  <c r="AP228" i="4"/>
  <c r="AX228" i="4"/>
  <c r="AM228" i="4"/>
  <c r="AL228" i="4"/>
  <c r="AK228" i="4"/>
  <c r="AH228" i="4"/>
  <c r="AJ228" i="4"/>
  <c r="AG228" i="4"/>
  <c r="K229" i="4"/>
  <c r="AN228" i="4"/>
  <c r="AE228" i="4"/>
  <c r="AD228" i="4"/>
  <c r="AC228" i="4"/>
  <c r="Y228" i="4"/>
  <c r="AI228" i="4"/>
  <c r="Z228" i="4"/>
  <c r="AB228" i="4"/>
  <c r="AW228" i="4"/>
  <c r="AV228" i="4"/>
  <c r="AU228" i="4"/>
  <c r="AF228" i="4"/>
  <c r="V228" i="4"/>
  <c r="U228" i="4"/>
  <c r="AA228" i="4"/>
  <c r="R228" i="4"/>
  <c r="T228" i="4"/>
  <c r="Q228" i="4"/>
  <c r="X228" i="4"/>
  <c r="O228" i="4"/>
  <c r="N228" i="4"/>
  <c r="M228" i="4"/>
  <c r="I228" i="4"/>
  <c r="S228" i="4"/>
  <c r="J228" i="4"/>
  <c r="L228" i="4"/>
  <c r="AR228" i="4"/>
  <c r="AS228" i="4"/>
  <c r="AT228" i="4"/>
  <c r="P228" i="4"/>
  <c r="H228" i="4"/>
  <c r="G228" i="4"/>
  <c r="BF227" i="4"/>
  <c r="AP227" i="4"/>
  <c r="AX227" i="4"/>
  <c r="AM227" i="4"/>
  <c r="AL227" i="4"/>
  <c r="AK227" i="4"/>
  <c r="AH227" i="4"/>
  <c r="K228" i="4"/>
  <c r="AG227" i="4"/>
  <c r="AJ227" i="4"/>
  <c r="AN227" i="4"/>
  <c r="AE227" i="4"/>
  <c r="AD227" i="4"/>
  <c r="AC227" i="4"/>
  <c r="Y227" i="4"/>
  <c r="AI227" i="4"/>
  <c r="Z227" i="4"/>
  <c r="AB227" i="4"/>
  <c r="AV227" i="4"/>
  <c r="AW227" i="4"/>
  <c r="AU227" i="4"/>
  <c r="AF227" i="4"/>
  <c r="V227" i="4"/>
  <c r="U227" i="4"/>
  <c r="T227" i="4"/>
  <c r="Q227" i="4"/>
  <c r="AA227" i="4"/>
  <c r="R227" i="4"/>
  <c r="X227" i="4"/>
  <c r="O227" i="4"/>
  <c r="N227" i="4"/>
  <c r="M227" i="4"/>
  <c r="L227" i="4"/>
  <c r="I227" i="4"/>
  <c r="S227" i="4"/>
  <c r="J227" i="4"/>
  <c r="AT227" i="4"/>
  <c r="AR227" i="4"/>
  <c r="AS227" i="4"/>
  <c r="P227" i="4"/>
  <c r="H227" i="4"/>
  <c r="G227" i="4"/>
  <c r="BG226" i="4"/>
  <c r="BF226" i="4"/>
  <c r="AP226" i="4"/>
  <c r="AX226" i="4"/>
  <c r="AM226" i="4"/>
  <c r="AL226" i="4"/>
  <c r="AK226" i="4"/>
  <c r="AG226" i="4"/>
  <c r="AH226" i="4"/>
  <c r="AJ226" i="4"/>
  <c r="K227" i="4"/>
  <c r="AN226" i="4"/>
  <c r="AE226" i="4"/>
  <c r="AD226" i="4"/>
  <c r="AC226" i="4"/>
  <c r="Z226" i="4"/>
  <c r="AB226" i="4"/>
  <c r="Y226" i="4"/>
  <c r="AI226" i="4"/>
  <c r="AW226" i="4"/>
  <c r="AV226" i="4"/>
  <c r="AU226" i="4"/>
  <c r="AF226" i="4"/>
  <c r="V226" i="4"/>
  <c r="U226" i="4"/>
  <c r="R226" i="4"/>
  <c r="AA226" i="4"/>
  <c r="Q226" i="4"/>
  <c r="T226" i="4"/>
  <c r="X226" i="4"/>
  <c r="O226" i="4"/>
  <c r="N226" i="4"/>
  <c r="M226" i="4"/>
  <c r="J226" i="4"/>
  <c r="L226" i="4"/>
  <c r="I226" i="4"/>
  <c r="S226" i="4"/>
  <c r="AR226" i="4"/>
  <c r="AS226" i="4"/>
  <c r="AT226" i="4"/>
  <c r="P226" i="4"/>
  <c r="H226" i="4"/>
  <c r="G226" i="4"/>
  <c r="BG225" i="4"/>
  <c r="BF225" i="4"/>
  <c r="AP225" i="4"/>
  <c r="AX225" i="4"/>
  <c r="AM225" i="4"/>
  <c r="AL225" i="4"/>
  <c r="AK225" i="4"/>
  <c r="AH225" i="4"/>
  <c r="AJ225" i="4"/>
  <c r="AG225" i="4"/>
  <c r="K226" i="4"/>
  <c r="AN225" i="4"/>
  <c r="AE225" i="4"/>
  <c r="AD225" i="4"/>
  <c r="AC225" i="4"/>
  <c r="Z225" i="4"/>
  <c r="AB225" i="4"/>
  <c r="Y225" i="4"/>
  <c r="AI225" i="4"/>
  <c r="AW225" i="4"/>
  <c r="AV225" i="4"/>
  <c r="AU225" i="4"/>
  <c r="AF225" i="4"/>
  <c r="V225" i="4"/>
  <c r="U225" i="4"/>
  <c r="T225" i="4"/>
  <c r="R225" i="4"/>
  <c r="AA225" i="4"/>
  <c r="Q225" i="4"/>
  <c r="X225" i="4"/>
  <c r="O225" i="4"/>
  <c r="N225" i="4"/>
  <c r="M225" i="4"/>
  <c r="J225" i="4"/>
  <c r="L225" i="4"/>
  <c r="I225" i="4"/>
  <c r="S225" i="4"/>
  <c r="AR225" i="4"/>
  <c r="AT225" i="4"/>
  <c r="AS225" i="4"/>
  <c r="P225" i="4"/>
  <c r="H225" i="4"/>
  <c r="G225" i="4"/>
  <c r="BG224" i="4"/>
  <c r="BF224" i="4"/>
  <c r="AP224" i="4"/>
  <c r="AX224" i="4"/>
  <c r="AM224" i="4"/>
  <c r="AL224" i="4"/>
  <c r="AK224" i="4"/>
  <c r="AG224" i="4"/>
  <c r="AJ224" i="4"/>
  <c r="K225" i="4"/>
  <c r="AH224" i="4"/>
  <c r="AN224" i="4"/>
  <c r="AE224" i="4"/>
  <c r="AD224" i="4"/>
  <c r="AC224" i="4"/>
  <c r="Z224" i="4"/>
  <c r="AB224" i="4"/>
  <c r="Y224" i="4"/>
  <c r="AI224" i="4"/>
  <c r="AW224" i="4"/>
  <c r="AV224" i="4"/>
  <c r="AU224" i="4"/>
  <c r="AF224" i="4"/>
  <c r="W224" i="4"/>
  <c r="V224" i="4"/>
  <c r="U224" i="4"/>
  <c r="Q224" i="4"/>
  <c r="AA224" i="4"/>
  <c r="T224" i="4"/>
  <c r="R224" i="4"/>
  <c r="X224" i="4"/>
  <c r="O224" i="4"/>
  <c r="N224" i="4"/>
  <c r="M224" i="4"/>
  <c r="J224" i="4"/>
  <c r="L224" i="4"/>
  <c r="I224" i="4"/>
  <c r="S224" i="4"/>
  <c r="AR224" i="4"/>
  <c r="AS224" i="4"/>
  <c r="AT224" i="4"/>
  <c r="P224" i="4"/>
  <c r="H224" i="4"/>
  <c r="G224" i="4"/>
  <c r="BF223" i="4"/>
  <c r="AP223" i="4"/>
  <c r="AX223" i="4"/>
  <c r="AM223" i="4"/>
  <c r="AL223" i="4"/>
  <c r="AK223" i="4"/>
  <c r="AH223" i="4"/>
  <c r="AG223" i="4"/>
  <c r="AJ223" i="4"/>
  <c r="K224" i="4"/>
  <c r="AN223" i="4"/>
  <c r="AE223" i="4"/>
  <c r="AD223" i="4"/>
  <c r="AC223" i="4"/>
  <c r="Z223" i="4"/>
  <c r="AB223" i="4"/>
  <c r="Y223" i="4"/>
  <c r="AI223" i="4"/>
  <c r="AW223" i="4"/>
  <c r="AV223" i="4"/>
  <c r="AU223" i="4"/>
  <c r="AF223" i="4"/>
  <c r="W223" i="4"/>
  <c r="V223" i="4"/>
  <c r="U223" i="4"/>
  <c r="Q223" i="4"/>
  <c r="R223" i="4"/>
  <c r="AA223" i="4"/>
  <c r="T223" i="4"/>
  <c r="X223" i="4"/>
  <c r="O223" i="4"/>
  <c r="N223" i="4"/>
  <c r="M223" i="4"/>
  <c r="J223" i="4"/>
  <c r="L223" i="4"/>
  <c r="I223" i="4"/>
  <c r="S223" i="4"/>
  <c r="AT223" i="4"/>
  <c r="AS223" i="4"/>
  <c r="AR223" i="4"/>
  <c r="P223" i="4"/>
  <c r="H223" i="4"/>
  <c r="G223" i="4"/>
  <c r="BG222" i="4"/>
  <c r="BF222" i="4"/>
  <c r="AP222" i="4"/>
  <c r="AX222" i="4"/>
  <c r="AM222" i="4"/>
  <c r="AL222" i="4"/>
  <c r="AK222" i="4"/>
  <c r="AG222" i="4"/>
  <c r="K223" i="4"/>
  <c r="AJ222" i="4"/>
  <c r="AH222" i="4"/>
  <c r="AN222" i="4"/>
  <c r="AE222" i="4"/>
  <c r="AD222" i="4"/>
  <c r="AC222" i="4"/>
  <c r="Y222" i="4"/>
  <c r="AI222" i="4"/>
  <c r="Z222" i="4"/>
  <c r="AB222" i="4"/>
  <c r="AW222" i="4"/>
  <c r="AV222" i="4"/>
  <c r="AU222" i="4"/>
  <c r="AF222" i="4"/>
  <c r="W222" i="4"/>
  <c r="V222" i="4"/>
  <c r="U222" i="4"/>
  <c r="Q222" i="4"/>
  <c r="R222" i="4"/>
  <c r="AA222" i="4"/>
  <c r="T222" i="4"/>
  <c r="X222" i="4"/>
  <c r="O222" i="4"/>
  <c r="N222" i="4"/>
  <c r="M222" i="4"/>
  <c r="L222" i="4"/>
  <c r="I222" i="4"/>
  <c r="S222" i="4"/>
  <c r="J222" i="4"/>
  <c r="AR222" i="4"/>
  <c r="AS222" i="4"/>
  <c r="AT222" i="4"/>
  <c r="P222" i="4"/>
  <c r="H222" i="4"/>
  <c r="G222" i="4"/>
  <c r="BG221" i="4"/>
  <c r="BF221" i="4"/>
  <c r="AL221" i="4"/>
  <c r="AK221" i="4"/>
  <c r="AG221" i="4"/>
  <c r="AH221" i="4"/>
  <c r="AJ221" i="4"/>
  <c r="K222" i="4"/>
  <c r="AE221" i="4"/>
  <c r="AD221" i="4"/>
  <c r="AC221" i="4"/>
  <c r="Z221" i="4"/>
  <c r="Y221" i="4"/>
  <c r="AB221" i="4"/>
  <c r="AV221" i="4"/>
  <c r="AW221" i="4"/>
  <c r="AU221" i="4"/>
  <c r="W221" i="4"/>
  <c r="V221" i="4"/>
  <c r="U221" i="4"/>
  <c r="O221" i="4"/>
  <c r="N221" i="4"/>
  <c r="M221" i="4"/>
  <c r="R221" i="4"/>
  <c r="T221" i="4"/>
  <c r="Q221" i="4"/>
  <c r="I221" i="4"/>
  <c r="L221" i="4"/>
  <c r="J221" i="4"/>
  <c r="AS221" i="4"/>
  <c r="AR221" i="4"/>
  <c r="AT221" i="4"/>
  <c r="E221" i="4"/>
  <c r="D221" i="4"/>
  <c r="BG220" i="4"/>
  <c r="BF220" i="4"/>
  <c r="AP220" i="4"/>
  <c r="AX220" i="4"/>
  <c r="AL220" i="4"/>
  <c r="AK220" i="4"/>
  <c r="AG220" i="4"/>
  <c r="AI221" i="4"/>
  <c r="K221" i="4"/>
  <c r="AA221" i="4"/>
  <c r="AJ220" i="4"/>
  <c r="S221" i="4"/>
  <c r="AH220" i="4"/>
  <c r="G221" i="4"/>
  <c r="AN220" i="4"/>
  <c r="AP221" i="4"/>
  <c r="AX221" i="4"/>
  <c r="X221" i="4"/>
  <c r="P221" i="4"/>
  <c r="AN221" i="4"/>
  <c r="AF221" i="4"/>
  <c r="H221" i="4"/>
  <c r="AE220" i="4"/>
  <c r="AD220" i="4"/>
  <c r="AC220" i="4"/>
  <c r="Y220" i="4"/>
  <c r="Z220" i="4"/>
  <c r="AI220" i="4"/>
  <c r="AB220" i="4"/>
  <c r="AU220" i="4"/>
  <c r="AV220" i="4"/>
  <c r="AW220" i="4"/>
  <c r="AF220" i="4"/>
  <c r="W220" i="4"/>
  <c r="V220" i="4"/>
  <c r="U220" i="4"/>
  <c r="Q220" i="4"/>
  <c r="T220" i="4"/>
  <c r="R220" i="4"/>
  <c r="AA220" i="4"/>
  <c r="X220" i="4"/>
  <c r="O220" i="4"/>
  <c r="N220" i="4"/>
  <c r="M220" i="4"/>
  <c r="L220" i="4"/>
  <c r="I220" i="4"/>
  <c r="S220" i="4"/>
  <c r="J220" i="4"/>
  <c r="AR220" i="4"/>
  <c r="AT220" i="4"/>
  <c r="AS220" i="4"/>
  <c r="P220" i="4"/>
  <c r="H220" i="4"/>
  <c r="G220" i="4"/>
  <c r="BG219" i="4"/>
  <c r="BF219" i="4"/>
  <c r="AP219" i="4"/>
  <c r="AX219" i="4"/>
  <c r="AM219" i="4"/>
  <c r="AL219" i="4"/>
  <c r="AK219" i="4"/>
  <c r="AH219" i="4"/>
  <c r="K220" i="4"/>
  <c r="AJ219" i="4"/>
  <c r="AG219" i="4"/>
  <c r="AN219" i="4"/>
  <c r="AE219" i="4"/>
  <c r="AD219" i="4"/>
  <c r="AC219" i="4"/>
  <c r="Y219" i="4"/>
  <c r="AB219" i="4"/>
  <c r="Z219" i="4"/>
  <c r="AI219" i="4"/>
  <c r="AU219" i="4"/>
  <c r="AW219" i="4"/>
  <c r="AV219" i="4"/>
  <c r="AF219" i="4"/>
  <c r="W219" i="4"/>
  <c r="V219" i="4"/>
  <c r="U219" i="4"/>
  <c r="Q219" i="4"/>
  <c r="R219" i="4"/>
  <c r="AA219" i="4"/>
  <c r="T219" i="4"/>
  <c r="X219" i="4"/>
  <c r="O219" i="4"/>
  <c r="N219" i="4"/>
  <c r="M219" i="4"/>
  <c r="S219" i="4"/>
  <c r="I219" i="4"/>
  <c r="L219" i="4"/>
  <c r="J219" i="4"/>
  <c r="AR219" i="4"/>
  <c r="AS219" i="4"/>
  <c r="AT219" i="4"/>
  <c r="P219" i="4"/>
  <c r="H219" i="4"/>
  <c r="G219" i="4"/>
  <c r="BG218" i="4"/>
  <c r="BF218" i="4"/>
  <c r="AP218" i="4"/>
  <c r="AX218" i="4"/>
  <c r="AL218" i="4"/>
  <c r="AK218" i="4"/>
  <c r="AH218" i="4"/>
  <c r="AG218" i="4"/>
  <c r="AJ218" i="4"/>
  <c r="K219" i="4"/>
  <c r="AN218" i="4"/>
  <c r="AD218" i="4"/>
  <c r="AC218" i="4"/>
  <c r="Y218" i="4"/>
  <c r="AI218" i="4"/>
  <c r="AB218" i="4"/>
  <c r="Z218" i="4"/>
  <c r="AW218" i="4"/>
  <c r="AV218" i="4"/>
  <c r="AU218" i="4"/>
  <c r="AF218" i="4"/>
  <c r="W218" i="4"/>
  <c r="V218" i="4"/>
  <c r="U218" i="4"/>
  <c r="AA218" i="4"/>
  <c r="R218" i="4"/>
  <c r="Q218" i="4"/>
  <c r="T218" i="4"/>
  <c r="X218" i="4"/>
  <c r="O218" i="4"/>
  <c r="N218" i="4"/>
  <c r="M218" i="4"/>
  <c r="L218" i="4"/>
  <c r="I218" i="4"/>
  <c r="S218" i="4"/>
  <c r="J218" i="4"/>
  <c r="AR218" i="4"/>
  <c r="AS218" i="4"/>
  <c r="AT218" i="4"/>
  <c r="P218" i="4"/>
  <c r="H218" i="4"/>
  <c r="G218" i="4"/>
  <c r="BG217" i="4"/>
  <c r="BF217" i="4"/>
  <c r="AP217" i="4"/>
  <c r="AX217" i="4"/>
  <c r="AM217" i="4"/>
  <c r="AL217" i="4"/>
  <c r="AK217" i="4"/>
  <c r="AG217" i="4"/>
  <c r="K218" i="4"/>
  <c r="AH217" i="4"/>
  <c r="AJ217" i="4"/>
  <c r="AN217" i="4"/>
  <c r="AE217" i="4"/>
  <c r="AD217" i="4"/>
  <c r="AC217" i="4"/>
  <c r="Z217" i="4"/>
  <c r="AB217" i="4"/>
  <c r="Y217" i="4"/>
  <c r="AI217" i="4"/>
  <c r="AW217" i="4"/>
  <c r="AU217" i="4"/>
  <c r="AV217" i="4"/>
  <c r="AF217" i="4"/>
  <c r="W217" i="4"/>
  <c r="V217" i="4"/>
  <c r="U217" i="4"/>
  <c r="AA217" i="4"/>
  <c r="Q217" i="4"/>
  <c r="R217" i="4"/>
  <c r="T217" i="4"/>
  <c r="X217" i="4"/>
  <c r="O217" i="4"/>
  <c r="N217" i="4"/>
  <c r="M217" i="4"/>
  <c r="J217" i="4"/>
  <c r="L217" i="4"/>
  <c r="I217" i="4"/>
  <c r="S217" i="4"/>
  <c r="AR217" i="4"/>
  <c r="AS217" i="4"/>
  <c r="AT217" i="4"/>
  <c r="P217" i="4"/>
  <c r="H217" i="4"/>
  <c r="G217" i="4"/>
  <c r="BG216" i="4"/>
  <c r="BF216" i="4"/>
  <c r="AP216" i="4"/>
  <c r="AX216" i="4"/>
  <c r="AL216" i="4"/>
  <c r="AK216" i="4"/>
  <c r="AH216" i="4"/>
  <c r="K217" i="4"/>
  <c r="AJ216" i="4"/>
  <c r="AG216" i="4"/>
  <c r="AN216" i="4"/>
  <c r="AE216" i="4"/>
  <c r="AD216" i="4"/>
  <c r="AC216" i="4"/>
  <c r="Z216" i="4"/>
  <c r="AB216" i="4"/>
  <c r="Y216" i="4"/>
  <c r="AI216" i="4"/>
  <c r="AW216" i="4"/>
  <c r="AV216" i="4"/>
  <c r="AU216" i="4"/>
  <c r="AF216" i="4"/>
  <c r="W216" i="4"/>
  <c r="V216" i="4"/>
  <c r="U216" i="4"/>
  <c r="R216" i="4"/>
  <c r="AA216" i="4"/>
  <c r="T216" i="4"/>
  <c r="Q216" i="4"/>
  <c r="X216" i="4"/>
  <c r="O216" i="4"/>
  <c r="N216" i="4"/>
  <c r="M216" i="4"/>
  <c r="L216" i="4"/>
  <c r="I216" i="4"/>
  <c r="S216" i="4"/>
  <c r="J216" i="4"/>
  <c r="AR216" i="4"/>
  <c r="AS216" i="4"/>
  <c r="AT216" i="4"/>
  <c r="P216" i="4"/>
  <c r="H216" i="4"/>
  <c r="G216" i="4"/>
  <c r="BG215" i="4"/>
  <c r="BF215" i="4"/>
  <c r="AP215" i="4"/>
  <c r="AX215" i="4"/>
  <c r="AM215" i="4"/>
  <c r="AL215" i="4"/>
  <c r="AK215" i="4"/>
  <c r="AH215" i="4"/>
  <c r="AG215" i="4"/>
  <c r="AJ215" i="4"/>
  <c r="K216" i="4"/>
  <c r="AN215" i="4"/>
  <c r="AE215" i="4"/>
  <c r="AD215" i="4"/>
  <c r="AC215" i="4"/>
  <c r="AB215" i="4"/>
  <c r="Y215" i="4"/>
  <c r="AI215" i="4"/>
  <c r="Z215" i="4"/>
  <c r="AW215" i="4"/>
  <c r="AV215" i="4"/>
  <c r="AU215" i="4"/>
  <c r="AF215" i="4"/>
  <c r="W215" i="4"/>
  <c r="V215" i="4"/>
  <c r="U215" i="4"/>
  <c r="T215" i="4"/>
  <c r="R215" i="4"/>
  <c r="AA215" i="4"/>
  <c r="Q215" i="4"/>
  <c r="X215" i="4"/>
  <c r="O215" i="4"/>
  <c r="N215" i="4"/>
  <c r="M215" i="4"/>
  <c r="I215" i="4"/>
  <c r="J215" i="4"/>
  <c r="L215" i="4"/>
  <c r="S215" i="4"/>
  <c r="AR215" i="4"/>
  <c r="AS215" i="4"/>
  <c r="AT215" i="4"/>
  <c r="P215" i="4"/>
  <c r="H215" i="4"/>
  <c r="G215" i="4"/>
  <c r="BG214" i="4"/>
  <c r="BF214" i="4"/>
  <c r="AP214" i="4"/>
  <c r="AX214" i="4"/>
  <c r="AL214" i="4"/>
  <c r="AK214" i="4"/>
  <c r="AJ214" i="4"/>
  <c r="AG214" i="4"/>
  <c r="K215" i="4"/>
  <c r="AH214" i="4"/>
  <c r="AN214" i="4"/>
  <c r="AE214" i="4"/>
  <c r="AD214" i="4"/>
  <c r="AC214" i="4"/>
  <c r="AI214" i="4"/>
  <c r="Z214" i="4"/>
  <c r="AB214" i="4"/>
  <c r="Y214" i="4"/>
  <c r="AW214" i="4"/>
  <c r="AV214" i="4"/>
  <c r="AU214" i="4"/>
  <c r="AF214" i="4"/>
  <c r="W214" i="4"/>
  <c r="V214" i="4"/>
  <c r="U214" i="4"/>
  <c r="Q214" i="4"/>
  <c r="AA214" i="4"/>
  <c r="T214" i="4"/>
  <c r="R214" i="4"/>
  <c r="X214" i="4"/>
  <c r="O214" i="4"/>
  <c r="N214" i="4"/>
  <c r="M214" i="4"/>
  <c r="J214" i="4"/>
  <c r="L214" i="4"/>
  <c r="I214" i="4"/>
  <c r="S214" i="4"/>
  <c r="AR214" i="4"/>
  <c r="AS214" i="4"/>
  <c r="AT214" i="4"/>
  <c r="P214" i="4"/>
  <c r="H214" i="4"/>
  <c r="G214" i="4"/>
  <c r="BG213" i="4"/>
  <c r="BF213" i="4"/>
  <c r="AP213" i="4"/>
  <c r="AX213" i="4"/>
  <c r="AL213" i="4"/>
  <c r="AK213" i="4"/>
  <c r="AG213" i="4"/>
  <c r="AJ213" i="4"/>
  <c r="AH213" i="4"/>
  <c r="K214" i="4"/>
  <c r="AN213" i="4"/>
  <c r="AE213" i="4"/>
  <c r="AD213" i="4"/>
  <c r="AC213" i="4"/>
  <c r="Y213" i="4"/>
  <c r="Z213" i="4"/>
  <c r="AB213" i="4"/>
  <c r="AI213" i="4"/>
  <c r="AW213" i="4"/>
  <c r="AU213" i="4"/>
  <c r="AV213" i="4"/>
  <c r="AF213" i="4"/>
  <c r="W213" i="4"/>
  <c r="V213" i="4"/>
  <c r="U213" i="4"/>
  <c r="Q213" i="4"/>
  <c r="R213" i="4"/>
  <c r="T213" i="4"/>
  <c r="AA213" i="4"/>
  <c r="X213" i="4"/>
  <c r="O213" i="4"/>
  <c r="N213" i="4"/>
  <c r="M213" i="4"/>
  <c r="J213" i="4"/>
  <c r="L213" i="4"/>
  <c r="I213" i="4"/>
  <c r="S213" i="4"/>
  <c r="AR213" i="4"/>
  <c r="AS213" i="4"/>
  <c r="AT213" i="4"/>
  <c r="P213" i="4"/>
  <c r="H213" i="4"/>
  <c r="G213" i="4"/>
  <c r="BG212" i="4"/>
  <c r="BF212" i="4"/>
  <c r="AP212" i="4"/>
  <c r="AX212" i="4"/>
  <c r="AL212" i="4"/>
  <c r="AK212" i="4"/>
  <c r="AH212" i="4"/>
  <c r="K213" i="4"/>
  <c r="AG212" i="4"/>
  <c r="AJ212" i="4"/>
  <c r="AN212" i="4"/>
  <c r="AE212" i="4"/>
  <c r="AD212" i="4"/>
  <c r="AC212" i="4"/>
  <c r="Z212" i="4"/>
  <c r="AB212" i="4"/>
  <c r="Y212" i="4"/>
  <c r="AI212" i="4"/>
  <c r="AW212" i="4"/>
  <c r="AV212" i="4"/>
  <c r="AU212" i="4"/>
  <c r="AF212" i="4"/>
  <c r="W212" i="4"/>
  <c r="V212" i="4"/>
  <c r="U212" i="4"/>
  <c r="R212" i="4"/>
  <c r="AA212" i="4"/>
  <c r="T212" i="4"/>
  <c r="Q212" i="4"/>
  <c r="X212" i="4"/>
  <c r="O212" i="4"/>
  <c r="N212" i="4"/>
  <c r="M212" i="4"/>
  <c r="I212" i="4"/>
  <c r="J212" i="4"/>
  <c r="L212" i="4"/>
  <c r="S212" i="4"/>
  <c r="AR212" i="4"/>
  <c r="AS212" i="4"/>
  <c r="AT212" i="4"/>
  <c r="P212" i="4"/>
  <c r="H212" i="4"/>
  <c r="G212" i="4"/>
  <c r="BG211" i="4"/>
  <c r="BF211" i="4"/>
  <c r="AP211" i="4"/>
  <c r="AX211" i="4"/>
  <c r="AM211" i="4"/>
  <c r="AL211" i="4"/>
  <c r="AK211" i="4"/>
  <c r="K212" i="4"/>
  <c r="AH211" i="4"/>
  <c r="AJ211" i="4"/>
  <c r="AG211" i="4"/>
  <c r="AN211" i="4"/>
  <c r="AE211" i="4"/>
  <c r="AD211" i="4"/>
  <c r="AC211" i="4"/>
  <c r="Z211" i="4"/>
  <c r="AB211" i="4"/>
  <c r="Y211" i="4"/>
  <c r="AI211" i="4"/>
  <c r="AW211" i="4"/>
  <c r="AU211" i="4"/>
  <c r="AV211" i="4"/>
  <c r="AF211" i="4"/>
  <c r="W211" i="4"/>
  <c r="V211" i="4"/>
  <c r="U211" i="4"/>
  <c r="R211" i="4"/>
  <c r="AA211" i="4"/>
  <c r="Q211" i="4"/>
  <c r="T211" i="4"/>
  <c r="X211" i="4"/>
  <c r="O211" i="4"/>
  <c r="N211" i="4"/>
  <c r="M211" i="4"/>
  <c r="J211" i="4"/>
  <c r="L211" i="4"/>
  <c r="I211" i="4"/>
  <c r="S211" i="4"/>
  <c r="AR211" i="4"/>
  <c r="AS211" i="4"/>
  <c r="AT211" i="4"/>
  <c r="P211" i="4"/>
  <c r="H211" i="4"/>
  <c r="G211" i="4"/>
  <c r="BG210" i="4"/>
  <c r="BF210" i="4"/>
  <c r="AP210" i="4"/>
  <c r="AX210" i="4"/>
  <c r="AL210" i="4"/>
  <c r="AK210" i="4"/>
  <c r="AH210" i="4"/>
  <c r="K211" i="4"/>
  <c r="AG210" i="4"/>
  <c r="AJ210" i="4"/>
  <c r="AN210" i="4"/>
  <c r="AE210" i="4"/>
  <c r="AD210" i="4"/>
  <c r="AC210" i="4"/>
  <c r="AB210" i="4"/>
  <c r="Y210" i="4"/>
  <c r="Z210" i="4"/>
  <c r="AI210" i="4"/>
  <c r="AW210" i="4"/>
  <c r="AV210" i="4"/>
  <c r="AU210" i="4"/>
  <c r="AF210" i="4"/>
  <c r="W210" i="4"/>
  <c r="V210" i="4"/>
  <c r="U210" i="4"/>
  <c r="T210" i="4"/>
  <c r="R210" i="4"/>
  <c r="AA210" i="4"/>
  <c r="Q210" i="4"/>
  <c r="X210" i="4"/>
  <c r="O210" i="4"/>
  <c r="N210" i="4"/>
  <c r="M210" i="4"/>
  <c r="S210" i="4"/>
  <c r="J210" i="4"/>
  <c r="L210" i="4"/>
  <c r="I210" i="4"/>
  <c r="AR210" i="4"/>
  <c r="AS210" i="4"/>
  <c r="AT210" i="4"/>
  <c r="P210" i="4"/>
  <c r="H210" i="4"/>
  <c r="G210" i="4"/>
  <c r="BG209" i="4"/>
  <c r="BF209" i="4"/>
  <c r="AP209" i="4"/>
  <c r="AX209" i="4"/>
  <c r="AM209" i="4"/>
  <c r="AL209" i="4"/>
  <c r="AK209" i="4"/>
  <c r="AG209" i="4"/>
  <c r="K210" i="4"/>
  <c r="AH209" i="4"/>
  <c r="AJ209" i="4"/>
  <c r="AN209" i="4"/>
  <c r="AE209" i="4"/>
  <c r="AD209" i="4"/>
  <c r="AC209" i="4"/>
  <c r="Z209" i="4"/>
  <c r="AB209" i="4"/>
  <c r="Y209" i="4"/>
  <c r="AI209" i="4"/>
  <c r="AU209" i="4"/>
  <c r="AW209" i="4"/>
  <c r="AV209" i="4"/>
  <c r="AF209" i="4"/>
  <c r="W209" i="4"/>
  <c r="V209" i="4"/>
  <c r="U209" i="4"/>
  <c r="T209" i="4"/>
  <c r="AA209" i="4"/>
  <c r="Q209" i="4"/>
  <c r="R209" i="4"/>
  <c r="X209" i="4"/>
  <c r="N209" i="4"/>
  <c r="M209" i="4"/>
  <c r="L209" i="4"/>
  <c r="S209" i="4"/>
  <c r="I209" i="4"/>
  <c r="J209" i="4"/>
  <c r="AR209" i="4"/>
  <c r="AT209" i="4"/>
  <c r="AS209" i="4"/>
  <c r="P209" i="4"/>
  <c r="H209" i="4"/>
  <c r="G209" i="4"/>
  <c r="AP208" i="4"/>
  <c r="AX208" i="4"/>
  <c r="AL208" i="4"/>
  <c r="AK208" i="4"/>
  <c r="AH208" i="4"/>
  <c r="AG208" i="4"/>
  <c r="AJ208" i="4"/>
  <c r="K209" i="4"/>
  <c r="AN208" i="4"/>
  <c r="AE208" i="4"/>
  <c r="AD208" i="4"/>
  <c r="AC208" i="4"/>
  <c r="Y208" i="4"/>
  <c r="AI208" i="4"/>
  <c r="Z208" i="4"/>
  <c r="AB208" i="4"/>
  <c r="AV208" i="4"/>
  <c r="AW208" i="4"/>
  <c r="AU208" i="4"/>
  <c r="AF208" i="4"/>
  <c r="W208" i="4"/>
  <c r="V208" i="4"/>
  <c r="U208" i="4"/>
  <c r="T208" i="4"/>
  <c r="R208" i="4"/>
  <c r="AA208" i="4"/>
  <c r="Q208" i="4"/>
  <c r="X208" i="4"/>
  <c r="N208" i="4"/>
  <c r="M208" i="4"/>
  <c r="J208" i="4"/>
  <c r="I208" i="4"/>
  <c r="S208" i="4"/>
  <c r="L208" i="4"/>
  <c r="AS208" i="4"/>
  <c r="AT208" i="4"/>
  <c r="AR208" i="4"/>
  <c r="P208" i="4"/>
  <c r="H208" i="4"/>
  <c r="G208" i="4"/>
  <c r="AP207" i="4"/>
  <c r="AX207" i="4"/>
  <c r="AL207" i="4"/>
  <c r="AK207" i="4"/>
  <c r="AH207" i="4"/>
  <c r="AJ207" i="4"/>
  <c r="K208" i="4"/>
  <c r="AG207" i="4"/>
  <c r="AN207" i="4"/>
  <c r="AD207" i="4"/>
  <c r="AC207" i="4"/>
  <c r="AB207" i="4"/>
  <c r="Z207" i="4"/>
  <c r="Y207" i="4"/>
  <c r="AI207" i="4"/>
  <c r="AV207" i="4"/>
  <c r="AU207" i="4"/>
  <c r="AW207" i="4"/>
  <c r="AF207" i="4"/>
  <c r="V207" i="4"/>
  <c r="U207" i="4"/>
  <c r="T207" i="4"/>
  <c r="Q207" i="4"/>
  <c r="R207" i="4"/>
  <c r="AA207" i="4"/>
  <c r="X207" i="4"/>
  <c r="O207" i="4"/>
  <c r="N207" i="4"/>
  <c r="M207" i="4"/>
  <c r="S207" i="4"/>
  <c r="J207" i="4"/>
  <c r="L207" i="4"/>
  <c r="I207" i="4"/>
  <c r="AS207" i="4"/>
  <c r="AR207" i="4"/>
  <c r="AT207" i="4"/>
  <c r="P207" i="4"/>
  <c r="H207" i="4"/>
  <c r="G207" i="4"/>
  <c r="AP206" i="4"/>
  <c r="AX206" i="4"/>
  <c r="AL206" i="4"/>
  <c r="AK206" i="4"/>
  <c r="AJ206" i="4"/>
  <c r="K207" i="4"/>
  <c r="AH206" i="4"/>
  <c r="AG206" i="4"/>
  <c r="AN206" i="4"/>
  <c r="AE206" i="4"/>
  <c r="AD206" i="4"/>
  <c r="AC206" i="4"/>
  <c r="Z206" i="4"/>
  <c r="AB206" i="4"/>
  <c r="Y206" i="4"/>
  <c r="AI206" i="4"/>
  <c r="AV206" i="4"/>
  <c r="AU206" i="4"/>
  <c r="AW206" i="4"/>
  <c r="AF206" i="4"/>
  <c r="V206" i="4"/>
  <c r="U206" i="4"/>
  <c r="Q206" i="4"/>
  <c r="T206" i="4"/>
  <c r="R206" i="4"/>
  <c r="AA206" i="4"/>
  <c r="X206" i="4"/>
  <c r="N206" i="4"/>
  <c r="M206" i="4"/>
  <c r="S206" i="4"/>
  <c r="I206" i="4"/>
  <c r="L206" i="4"/>
  <c r="J206" i="4"/>
  <c r="AS206" i="4"/>
  <c r="AT206" i="4"/>
  <c r="AR206" i="4"/>
  <c r="P206" i="4"/>
  <c r="H206" i="4"/>
  <c r="H377" i="4"/>
  <c r="G206" i="4"/>
  <c r="G377" i="4"/>
  <c r="K206" i="4"/>
  <c r="G378" i="4"/>
  <c r="B381" i="4"/>
  <c r="V289" i="3"/>
  <c r="U289" i="3"/>
  <c r="T289" i="3"/>
  <c r="S289" i="3"/>
  <c r="R289" i="3"/>
  <c r="Q289" i="3"/>
  <c r="P289" i="3"/>
  <c r="V287" i="3"/>
  <c r="U287" i="3"/>
  <c r="T287" i="3"/>
  <c r="S287" i="3"/>
  <c r="R287" i="3"/>
  <c r="Q287" i="3"/>
  <c r="P287" i="3"/>
  <c r="V286" i="3"/>
  <c r="U286" i="3"/>
  <c r="T286" i="3"/>
  <c r="S286" i="3"/>
  <c r="R286" i="3"/>
  <c r="Q286" i="3"/>
  <c r="P286" i="3"/>
  <c r="J286" i="3"/>
  <c r="V285" i="3"/>
  <c r="U285" i="3"/>
  <c r="T285" i="3"/>
  <c r="S285" i="3"/>
  <c r="Q285" i="3"/>
  <c r="O285" i="3"/>
  <c r="N285" i="3"/>
  <c r="J285" i="3"/>
  <c r="R285" i="3"/>
  <c r="V284" i="3"/>
  <c r="U284" i="3"/>
  <c r="T284" i="3"/>
  <c r="R284" i="3"/>
  <c r="Q284" i="3"/>
  <c r="O284" i="3"/>
  <c r="N284" i="3"/>
  <c r="J284" i="3"/>
  <c r="S284" i="3"/>
  <c r="G284" i="3"/>
  <c r="V283" i="3"/>
  <c r="U283" i="3"/>
  <c r="T283" i="3"/>
  <c r="S283" i="3"/>
  <c r="R283" i="3"/>
  <c r="Q283" i="3"/>
  <c r="P283" i="3"/>
  <c r="V282" i="3"/>
  <c r="U282" i="3"/>
  <c r="T282" i="3"/>
  <c r="S282" i="3"/>
  <c r="R282" i="3"/>
  <c r="Q282" i="3"/>
  <c r="P282" i="3"/>
  <c r="J282" i="3"/>
  <c r="V281" i="3"/>
  <c r="U281" i="3"/>
  <c r="T281" i="3"/>
  <c r="S281" i="3"/>
  <c r="Q281" i="3"/>
  <c r="O281" i="3"/>
  <c r="N281" i="3"/>
  <c r="J281" i="3"/>
  <c r="R281" i="3"/>
  <c r="V280" i="3"/>
  <c r="U280" i="3"/>
  <c r="T280" i="3"/>
  <c r="R280" i="3"/>
  <c r="Q280" i="3"/>
  <c r="O280" i="3"/>
  <c r="N280" i="3"/>
  <c r="J280" i="3"/>
  <c r="S280" i="3"/>
  <c r="G280" i="3"/>
  <c r="V279" i="3"/>
  <c r="U279" i="3"/>
  <c r="T279" i="3"/>
  <c r="S279" i="3"/>
  <c r="R279" i="3"/>
  <c r="Q279" i="3"/>
  <c r="P279" i="3"/>
  <c r="V278" i="3"/>
  <c r="U278" i="3"/>
  <c r="T278" i="3"/>
  <c r="S278" i="3"/>
  <c r="R278" i="3"/>
  <c r="Q278" i="3"/>
  <c r="P278" i="3"/>
  <c r="J278" i="3"/>
  <c r="V277" i="3"/>
  <c r="U277" i="3"/>
  <c r="T277" i="3"/>
  <c r="S277" i="3"/>
  <c r="Q277" i="3"/>
  <c r="O277" i="3"/>
  <c r="N277" i="3"/>
  <c r="J277" i="3"/>
  <c r="R277" i="3"/>
  <c r="V276" i="3"/>
  <c r="U276" i="3"/>
  <c r="T276" i="3"/>
  <c r="R276" i="3"/>
  <c r="Q276" i="3"/>
  <c r="O276" i="3"/>
  <c r="N276" i="3"/>
  <c r="J276" i="3"/>
  <c r="S276" i="3"/>
  <c r="G276" i="3"/>
  <c r="V275" i="3"/>
  <c r="U275" i="3"/>
  <c r="T275" i="3"/>
  <c r="S275" i="3"/>
  <c r="R275" i="3"/>
  <c r="Q275" i="3"/>
  <c r="P275" i="3"/>
  <c r="V274" i="3"/>
  <c r="U274" i="3"/>
  <c r="T274" i="3"/>
  <c r="S274" i="3"/>
  <c r="Q274" i="3"/>
  <c r="P274" i="3"/>
  <c r="J274" i="3"/>
  <c r="R274" i="3"/>
  <c r="V273" i="3"/>
  <c r="U273" i="3"/>
  <c r="T273" i="3"/>
  <c r="R273" i="3"/>
  <c r="Q273" i="3"/>
  <c r="O273" i="3"/>
  <c r="N273" i="3"/>
  <c r="J273" i="3"/>
  <c r="S273" i="3"/>
  <c r="V272" i="3"/>
  <c r="U272" i="3"/>
  <c r="S272" i="3"/>
  <c r="R272" i="3"/>
  <c r="Q272" i="3"/>
  <c r="O272" i="3"/>
  <c r="N272" i="3"/>
  <c r="J272" i="3"/>
  <c r="T272" i="3"/>
  <c r="G272" i="3"/>
  <c r="V271" i="3"/>
  <c r="U271" i="3"/>
  <c r="T271" i="3"/>
  <c r="S271" i="3"/>
  <c r="R271" i="3"/>
  <c r="Q271" i="3"/>
  <c r="O271" i="3"/>
  <c r="P271" i="3"/>
  <c r="V270" i="3"/>
  <c r="U270" i="3"/>
  <c r="T270" i="3"/>
  <c r="S270" i="3"/>
  <c r="R270" i="3"/>
  <c r="Q270" i="3"/>
  <c r="P270" i="3"/>
  <c r="V269" i="3"/>
  <c r="U269" i="3"/>
  <c r="T269" i="3"/>
  <c r="S269" i="3"/>
  <c r="R269" i="3"/>
  <c r="Q269" i="3"/>
  <c r="P269" i="3"/>
  <c r="J269" i="3"/>
  <c r="V268" i="3"/>
  <c r="U268" i="3"/>
  <c r="T268" i="3"/>
  <c r="R268" i="3"/>
  <c r="Q268" i="3"/>
  <c r="O268" i="3"/>
  <c r="N268" i="3"/>
  <c r="J268" i="3"/>
  <c r="S268" i="3"/>
  <c r="V267" i="3"/>
  <c r="U267" i="3"/>
  <c r="S267" i="3"/>
  <c r="R267" i="3"/>
  <c r="Q267" i="3"/>
  <c r="O267" i="3"/>
  <c r="N267" i="3"/>
  <c r="J267" i="3"/>
  <c r="T267" i="3"/>
  <c r="G267" i="3"/>
  <c r="V266" i="3"/>
  <c r="U266" i="3"/>
  <c r="T266" i="3"/>
  <c r="S266" i="3"/>
  <c r="R266" i="3"/>
  <c r="Q266" i="3"/>
  <c r="O266" i="3"/>
  <c r="P266" i="3"/>
  <c r="V265" i="3"/>
  <c r="U265" i="3"/>
  <c r="T265" i="3"/>
  <c r="S265" i="3"/>
  <c r="R265" i="3"/>
  <c r="Q265" i="3"/>
  <c r="P265" i="3"/>
  <c r="V264" i="3"/>
  <c r="U264" i="3"/>
  <c r="T264" i="3"/>
  <c r="S264" i="3"/>
  <c r="R264" i="3"/>
  <c r="Q264" i="3"/>
  <c r="P264" i="3"/>
  <c r="J264" i="3"/>
  <c r="V263" i="3"/>
  <c r="U263" i="3"/>
  <c r="T263" i="3"/>
  <c r="R263" i="3"/>
  <c r="Q263" i="3"/>
  <c r="O263" i="3"/>
  <c r="N263" i="3"/>
  <c r="J263" i="3"/>
  <c r="S263" i="3"/>
  <c r="V262" i="3"/>
  <c r="U262" i="3"/>
  <c r="S262" i="3"/>
  <c r="R262" i="3"/>
  <c r="Q262" i="3"/>
  <c r="O262" i="3"/>
  <c r="N262" i="3"/>
  <c r="J262" i="3"/>
  <c r="T262" i="3"/>
  <c r="G262" i="3"/>
  <c r="V261" i="3"/>
  <c r="U261" i="3"/>
  <c r="T261" i="3"/>
  <c r="S261" i="3"/>
  <c r="R261" i="3"/>
  <c r="Q261" i="3"/>
  <c r="O261" i="3"/>
  <c r="P261" i="3"/>
  <c r="V260" i="3"/>
  <c r="U260" i="3"/>
  <c r="T260" i="3"/>
  <c r="S260" i="3"/>
  <c r="R260" i="3"/>
  <c r="Q260" i="3"/>
  <c r="P260" i="3"/>
  <c r="V259" i="3"/>
  <c r="U259" i="3"/>
  <c r="T259" i="3"/>
  <c r="S259" i="3"/>
  <c r="R259" i="3"/>
  <c r="Q259" i="3"/>
  <c r="P259" i="3"/>
  <c r="J259" i="3"/>
  <c r="V258" i="3"/>
  <c r="U258" i="3"/>
  <c r="T258" i="3"/>
  <c r="R258" i="3"/>
  <c r="Q258" i="3"/>
  <c r="O258" i="3"/>
  <c r="N258" i="3"/>
  <c r="J258" i="3"/>
  <c r="S258" i="3"/>
  <c r="V257" i="3"/>
  <c r="U257" i="3"/>
  <c r="S257" i="3"/>
  <c r="R257" i="3"/>
  <c r="Q257" i="3"/>
  <c r="O257" i="3"/>
  <c r="N257" i="3"/>
  <c r="J257" i="3"/>
  <c r="T257" i="3"/>
  <c r="G257" i="3"/>
  <c r="V256" i="3"/>
  <c r="U256" i="3"/>
  <c r="T256" i="3"/>
  <c r="S256" i="3"/>
  <c r="R256" i="3"/>
  <c r="Q256" i="3"/>
  <c r="O256" i="3"/>
  <c r="P256" i="3"/>
  <c r="V255" i="3"/>
  <c r="U255" i="3"/>
  <c r="T255" i="3"/>
  <c r="S255" i="3"/>
  <c r="R255" i="3"/>
  <c r="Q255" i="3"/>
  <c r="P255" i="3"/>
  <c r="V254" i="3"/>
  <c r="U254" i="3"/>
  <c r="T254" i="3"/>
  <c r="S254" i="3"/>
  <c r="R254" i="3"/>
  <c r="Q254" i="3"/>
  <c r="P254" i="3"/>
  <c r="J254" i="3"/>
  <c r="V253" i="3"/>
  <c r="U253" i="3"/>
  <c r="T253" i="3"/>
  <c r="R253" i="3"/>
  <c r="Q253" i="3"/>
  <c r="O253" i="3"/>
  <c r="N253" i="3"/>
  <c r="J253" i="3"/>
  <c r="S253" i="3"/>
  <c r="V252" i="3"/>
  <c r="U252" i="3"/>
  <c r="S252" i="3"/>
  <c r="R252" i="3"/>
  <c r="Q252" i="3"/>
  <c r="O252" i="3"/>
  <c r="N252" i="3"/>
  <c r="J252" i="3"/>
  <c r="T252" i="3"/>
  <c r="G252" i="3"/>
  <c r="V251" i="3"/>
  <c r="U251" i="3"/>
  <c r="T251" i="3"/>
  <c r="S251" i="3"/>
  <c r="R251" i="3"/>
  <c r="Q251" i="3"/>
  <c r="O251" i="3"/>
  <c r="P251" i="3"/>
  <c r="V250" i="3"/>
  <c r="U250" i="3"/>
  <c r="T250" i="3"/>
  <c r="S250" i="3"/>
  <c r="R250" i="3"/>
  <c r="Q250" i="3"/>
  <c r="P250" i="3"/>
  <c r="V249" i="3"/>
  <c r="U249" i="3"/>
  <c r="T249" i="3"/>
  <c r="S249" i="3"/>
  <c r="Q249" i="3"/>
  <c r="P249" i="3"/>
  <c r="J249" i="3"/>
  <c r="R249" i="3"/>
  <c r="V248" i="3"/>
  <c r="U248" i="3"/>
  <c r="T248" i="3"/>
  <c r="R248" i="3"/>
  <c r="Q248" i="3"/>
  <c r="O248" i="3"/>
  <c r="N248" i="3"/>
  <c r="J248" i="3"/>
  <c r="S248" i="3"/>
  <c r="V247" i="3"/>
  <c r="U247" i="3"/>
  <c r="S247" i="3"/>
  <c r="R247" i="3"/>
  <c r="Q247" i="3"/>
  <c r="O247" i="3"/>
  <c r="N247" i="3"/>
  <c r="J247" i="3"/>
  <c r="T247" i="3"/>
  <c r="G247" i="3"/>
  <c r="V246" i="3"/>
  <c r="U246" i="3"/>
  <c r="T246" i="3"/>
  <c r="S246" i="3"/>
  <c r="R246" i="3"/>
  <c r="Q246" i="3"/>
  <c r="O246" i="3"/>
  <c r="P246" i="3"/>
  <c r="V245" i="3"/>
  <c r="U245" i="3"/>
  <c r="T245" i="3"/>
  <c r="S245" i="3"/>
  <c r="R245" i="3"/>
  <c r="Q245" i="3"/>
  <c r="P245" i="3"/>
  <c r="V244" i="3"/>
  <c r="U244" i="3"/>
  <c r="T244" i="3"/>
  <c r="S244" i="3"/>
  <c r="Q244" i="3"/>
  <c r="P244" i="3"/>
  <c r="J244" i="3"/>
  <c r="R244" i="3"/>
  <c r="V243" i="3"/>
  <c r="U243" i="3"/>
  <c r="T243" i="3"/>
  <c r="R243" i="3"/>
  <c r="Q243" i="3"/>
  <c r="O243" i="3"/>
  <c r="N243" i="3"/>
  <c r="J243" i="3"/>
  <c r="S243" i="3"/>
  <c r="V242" i="3"/>
  <c r="U242" i="3"/>
  <c r="S242" i="3"/>
  <c r="R242" i="3"/>
  <c r="Q242" i="3"/>
  <c r="O242" i="3"/>
  <c r="N242" i="3"/>
  <c r="J242" i="3"/>
  <c r="T242" i="3"/>
  <c r="G242" i="3"/>
  <c r="V241" i="3"/>
  <c r="U241" i="3"/>
  <c r="T241" i="3"/>
  <c r="S241" i="3"/>
  <c r="R241" i="3"/>
  <c r="Q241" i="3"/>
  <c r="P241" i="3"/>
  <c r="V240" i="3"/>
  <c r="U240" i="3"/>
  <c r="T240" i="3"/>
  <c r="S240" i="3"/>
  <c r="R240" i="3"/>
  <c r="Q240" i="3"/>
  <c r="P240" i="3"/>
  <c r="V239" i="3"/>
  <c r="U239" i="3"/>
  <c r="T239" i="3"/>
  <c r="S239" i="3"/>
  <c r="R239" i="3"/>
  <c r="Q239" i="3"/>
  <c r="P239" i="3"/>
  <c r="J239" i="3"/>
  <c r="V238" i="3"/>
  <c r="U238" i="3"/>
  <c r="T238" i="3"/>
  <c r="S238" i="3"/>
  <c r="Q238" i="3"/>
  <c r="O238" i="3"/>
  <c r="N238" i="3"/>
  <c r="J238" i="3"/>
  <c r="R238" i="3"/>
  <c r="V237" i="3"/>
  <c r="U237" i="3"/>
  <c r="T237" i="3"/>
  <c r="R237" i="3"/>
  <c r="Q237" i="3"/>
  <c r="O237" i="3"/>
  <c r="N237" i="3"/>
  <c r="J237" i="3"/>
  <c r="S237" i="3"/>
  <c r="G237" i="3"/>
  <c r="V236" i="3"/>
  <c r="U236" i="3"/>
  <c r="T236" i="3"/>
  <c r="S236" i="3"/>
  <c r="R236" i="3"/>
  <c r="Q236" i="3"/>
  <c r="P236" i="3"/>
  <c r="V235" i="3"/>
  <c r="U235" i="3"/>
  <c r="T235" i="3"/>
  <c r="S235" i="3"/>
  <c r="R235" i="3"/>
  <c r="Q235" i="3"/>
  <c r="P235" i="3"/>
  <c r="V234" i="3"/>
  <c r="U234" i="3"/>
  <c r="T234" i="3"/>
  <c r="S234" i="3"/>
  <c r="R234" i="3"/>
  <c r="Q234" i="3"/>
  <c r="P234" i="3"/>
  <c r="J234" i="3"/>
  <c r="V233" i="3"/>
  <c r="U233" i="3"/>
  <c r="T233" i="3"/>
  <c r="R233" i="3"/>
  <c r="Q233" i="3"/>
  <c r="O233" i="3"/>
  <c r="N233" i="3"/>
  <c r="J233" i="3"/>
  <c r="S233" i="3"/>
  <c r="V232" i="3"/>
  <c r="U232" i="3"/>
  <c r="S232" i="3"/>
  <c r="R232" i="3"/>
  <c r="Q232" i="3"/>
  <c r="O232" i="3"/>
  <c r="N232" i="3"/>
  <c r="J232" i="3"/>
  <c r="T232" i="3"/>
  <c r="G232" i="3"/>
  <c r="V231" i="3"/>
  <c r="U231" i="3"/>
  <c r="T231" i="3"/>
  <c r="S231" i="3"/>
  <c r="R231" i="3"/>
  <c r="Q231" i="3"/>
  <c r="P231" i="3"/>
  <c r="V230" i="3"/>
  <c r="U230" i="3"/>
  <c r="T230" i="3"/>
  <c r="S230" i="3"/>
  <c r="R230" i="3"/>
  <c r="Q230" i="3"/>
  <c r="P230" i="3"/>
  <c r="V229" i="3"/>
  <c r="U229" i="3"/>
  <c r="T229" i="3"/>
  <c r="S229" i="3"/>
  <c r="R229" i="3"/>
  <c r="Q229" i="3"/>
  <c r="P229" i="3"/>
  <c r="J229" i="3"/>
  <c r="V228" i="3"/>
  <c r="U228" i="3"/>
  <c r="T228" i="3"/>
  <c r="S228" i="3"/>
  <c r="R228" i="3"/>
  <c r="Q228" i="3"/>
  <c r="O228" i="3"/>
  <c r="N228" i="3"/>
  <c r="J228" i="3"/>
  <c r="V227" i="3"/>
  <c r="U227" i="3"/>
  <c r="T227" i="3"/>
  <c r="R227" i="3"/>
  <c r="Q227" i="3"/>
  <c r="O227" i="3"/>
  <c r="N227" i="3"/>
  <c r="J227" i="3"/>
  <c r="S227" i="3"/>
  <c r="G227" i="3"/>
  <c r="V226" i="3"/>
  <c r="U226" i="3"/>
  <c r="T226" i="3"/>
  <c r="S226" i="3"/>
  <c r="R226" i="3"/>
  <c r="Q226" i="3"/>
  <c r="P226" i="3"/>
  <c r="V225" i="3"/>
  <c r="U225" i="3"/>
  <c r="T225" i="3"/>
  <c r="S225" i="3"/>
  <c r="R225" i="3"/>
  <c r="Q225" i="3"/>
  <c r="P225" i="3"/>
  <c r="J225" i="3"/>
  <c r="V224" i="3"/>
  <c r="U224" i="3"/>
  <c r="T224" i="3"/>
  <c r="S224" i="3"/>
  <c r="Q224" i="3"/>
  <c r="O224" i="3"/>
  <c r="N224" i="3"/>
  <c r="J224" i="3"/>
  <c r="R224" i="3"/>
  <c r="V223" i="3"/>
  <c r="U223" i="3"/>
  <c r="T223" i="3"/>
  <c r="R223" i="3"/>
  <c r="Q223" i="3"/>
  <c r="O223" i="3"/>
  <c r="N223" i="3"/>
  <c r="J223" i="3"/>
  <c r="S223" i="3"/>
  <c r="G223" i="3"/>
  <c r="V222" i="3"/>
  <c r="U222" i="3"/>
  <c r="T222" i="3"/>
  <c r="S222" i="3"/>
  <c r="R222" i="3"/>
  <c r="Q222" i="3"/>
  <c r="P222" i="3"/>
  <c r="V221" i="3"/>
  <c r="U221" i="3"/>
  <c r="T221" i="3"/>
  <c r="S221" i="3"/>
  <c r="R221" i="3"/>
  <c r="Q221" i="3"/>
  <c r="P221" i="3"/>
  <c r="V220" i="3"/>
  <c r="U220" i="3"/>
  <c r="T220" i="3"/>
  <c r="R220" i="3"/>
  <c r="Q220" i="3"/>
  <c r="O220" i="3"/>
  <c r="N220" i="3"/>
  <c r="J220" i="3"/>
  <c r="S220" i="3"/>
  <c r="V219" i="3"/>
  <c r="U219" i="3"/>
  <c r="S219" i="3"/>
  <c r="R219" i="3"/>
  <c r="Q219" i="3"/>
  <c r="O219" i="3"/>
  <c r="N219" i="3"/>
  <c r="J219" i="3"/>
  <c r="T219" i="3"/>
  <c r="G219" i="3"/>
  <c r="V218" i="3"/>
  <c r="U218" i="3"/>
  <c r="T218" i="3"/>
  <c r="S218" i="3"/>
  <c r="R218" i="3"/>
  <c r="Q218" i="3"/>
  <c r="P218" i="3"/>
  <c r="V217" i="3"/>
  <c r="U217" i="3"/>
  <c r="T217" i="3"/>
  <c r="S217" i="3"/>
  <c r="R217" i="3"/>
  <c r="Q217" i="3"/>
  <c r="P217" i="3"/>
  <c r="J217" i="3"/>
  <c r="V216" i="3"/>
  <c r="U216" i="3"/>
  <c r="T216" i="3"/>
  <c r="S216" i="3"/>
  <c r="R216" i="3"/>
  <c r="Q216" i="3"/>
  <c r="O216" i="3"/>
  <c r="N216" i="3"/>
  <c r="J216" i="3"/>
  <c r="V215" i="3"/>
  <c r="U215" i="3"/>
  <c r="T215" i="3"/>
  <c r="R215" i="3"/>
  <c r="Q215" i="3"/>
  <c r="O215" i="3"/>
  <c r="N215" i="3"/>
  <c r="J215" i="3"/>
  <c r="S215" i="3"/>
  <c r="G215" i="3"/>
  <c r="V214" i="3"/>
  <c r="U214" i="3"/>
  <c r="T214" i="3"/>
  <c r="S214" i="3"/>
  <c r="R214" i="3"/>
  <c r="Q214" i="3"/>
  <c r="P214" i="3"/>
  <c r="V213" i="3"/>
  <c r="U213" i="3"/>
  <c r="T213" i="3"/>
  <c r="S213" i="3"/>
  <c r="R213" i="3"/>
  <c r="Q213" i="3"/>
  <c r="P213" i="3"/>
  <c r="J213" i="3"/>
  <c r="V212" i="3"/>
  <c r="U212" i="3"/>
  <c r="T212" i="3"/>
  <c r="S212" i="3"/>
  <c r="R212" i="3"/>
  <c r="Q212" i="3"/>
  <c r="O212" i="3"/>
  <c r="N212" i="3"/>
  <c r="J212" i="3"/>
  <c r="V211" i="3"/>
  <c r="U211" i="3"/>
  <c r="T211" i="3"/>
  <c r="R211" i="3"/>
  <c r="Q211" i="3"/>
  <c r="O211" i="3"/>
  <c r="N211" i="3"/>
  <c r="J211" i="3"/>
  <c r="S211" i="3"/>
  <c r="G211" i="3"/>
  <c r="V210" i="3"/>
  <c r="U210" i="3"/>
  <c r="T210" i="3"/>
  <c r="S210" i="3"/>
  <c r="R210" i="3"/>
  <c r="Q210" i="3"/>
  <c r="P210" i="3"/>
  <c r="V209" i="3"/>
  <c r="U209" i="3"/>
  <c r="T209" i="3"/>
  <c r="S209" i="3"/>
  <c r="R209" i="3"/>
  <c r="Q209" i="3"/>
  <c r="P209" i="3"/>
  <c r="J209" i="3"/>
  <c r="V208" i="3"/>
  <c r="U208" i="3"/>
  <c r="T208" i="3"/>
  <c r="S208" i="3"/>
  <c r="Q208" i="3"/>
  <c r="O208" i="3"/>
  <c r="N208" i="3"/>
  <c r="J208" i="3"/>
  <c r="R208" i="3"/>
  <c r="V207" i="3"/>
  <c r="U207" i="3"/>
  <c r="T207" i="3"/>
  <c r="R207" i="3"/>
  <c r="Q207" i="3"/>
  <c r="O207" i="3"/>
  <c r="N207" i="3"/>
  <c r="J207" i="3"/>
  <c r="S207" i="3"/>
  <c r="G207" i="3"/>
  <c r="V206" i="3"/>
  <c r="U206" i="3"/>
  <c r="T206" i="3"/>
  <c r="S206" i="3"/>
  <c r="R206" i="3"/>
  <c r="Q206" i="3"/>
  <c r="P206" i="3"/>
  <c r="V205" i="3"/>
  <c r="U205" i="3"/>
  <c r="T205" i="3"/>
  <c r="S205" i="3"/>
  <c r="R205" i="3"/>
  <c r="Q205" i="3"/>
  <c r="P205" i="3"/>
  <c r="J205" i="3"/>
  <c r="V204" i="3"/>
  <c r="U204" i="3"/>
  <c r="T204" i="3"/>
  <c r="S204" i="3"/>
  <c r="Q204" i="3"/>
  <c r="O204" i="3"/>
  <c r="N204" i="3"/>
  <c r="J204" i="3"/>
  <c r="R204" i="3"/>
  <c r="V203" i="3"/>
  <c r="U203" i="3"/>
  <c r="T203" i="3"/>
  <c r="R203" i="3"/>
  <c r="Q203" i="3"/>
  <c r="O203" i="3"/>
  <c r="N203" i="3"/>
  <c r="J203" i="3"/>
  <c r="S203" i="3"/>
  <c r="G203" i="3"/>
  <c r="V202" i="3"/>
  <c r="U202" i="3"/>
  <c r="T202" i="3"/>
  <c r="S202" i="3"/>
  <c r="R202" i="3"/>
  <c r="Q202" i="3"/>
  <c r="P202" i="3"/>
  <c r="V201" i="3"/>
  <c r="U201" i="3"/>
  <c r="T201" i="3"/>
  <c r="S201" i="3"/>
  <c r="R201" i="3"/>
  <c r="Q201" i="3"/>
  <c r="P201" i="3"/>
  <c r="J201" i="3"/>
  <c r="V200" i="3"/>
  <c r="U200" i="3"/>
  <c r="T200" i="3"/>
  <c r="S200" i="3"/>
  <c r="Q200" i="3"/>
  <c r="O200" i="3"/>
  <c r="N200" i="3"/>
  <c r="J200" i="3"/>
  <c r="R200" i="3"/>
  <c r="V199" i="3"/>
  <c r="U199" i="3"/>
  <c r="T199" i="3"/>
  <c r="R199" i="3"/>
  <c r="Q199" i="3"/>
  <c r="O199" i="3"/>
  <c r="N199" i="3"/>
  <c r="J199" i="3"/>
  <c r="S199" i="3"/>
  <c r="G199" i="3"/>
  <c r="V198" i="3"/>
  <c r="U198" i="3"/>
  <c r="T198" i="3"/>
  <c r="S198" i="3"/>
  <c r="R198" i="3"/>
  <c r="Q198" i="3"/>
  <c r="P198" i="3"/>
  <c r="V197" i="3"/>
  <c r="U197" i="3"/>
  <c r="T197" i="3"/>
  <c r="S197" i="3"/>
  <c r="R197" i="3"/>
  <c r="Q197" i="3"/>
  <c r="P197" i="3"/>
  <c r="J197" i="3"/>
  <c r="V196" i="3"/>
  <c r="U196" i="3"/>
  <c r="T196" i="3"/>
  <c r="R196" i="3"/>
  <c r="Q196" i="3"/>
  <c r="O196" i="3"/>
  <c r="N196" i="3"/>
  <c r="J196" i="3"/>
  <c r="S196" i="3"/>
  <c r="V195" i="3"/>
  <c r="U195" i="3"/>
  <c r="S195" i="3"/>
  <c r="R195" i="3"/>
  <c r="Q195" i="3"/>
  <c r="O195" i="3"/>
  <c r="N195" i="3"/>
  <c r="J195" i="3"/>
  <c r="T195" i="3"/>
  <c r="G195" i="3"/>
  <c r="V194" i="3"/>
  <c r="U194" i="3"/>
  <c r="T194" i="3"/>
  <c r="S194" i="3"/>
  <c r="R194" i="3"/>
  <c r="Q194" i="3"/>
  <c r="P194" i="3"/>
  <c r="V193" i="3"/>
  <c r="U193" i="3"/>
  <c r="T193" i="3"/>
  <c r="S193" i="3"/>
  <c r="R193" i="3"/>
  <c r="Q193" i="3"/>
  <c r="P193" i="3"/>
  <c r="J193" i="3"/>
  <c r="V192" i="3"/>
  <c r="U192" i="3"/>
  <c r="T192" i="3"/>
  <c r="R192" i="3"/>
  <c r="Q192" i="3"/>
  <c r="O192" i="3"/>
  <c r="N192" i="3"/>
  <c r="J192" i="3"/>
  <c r="S192" i="3"/>
  <c r="V191" i="3"/>
  <c r="U191" i="3"/>
  <c r="S191" i="3"/>
  <c r="R191" i="3"/>
  <c r="Q191" i="3"/>
  <c r="O191" i="3"/>
  <c r="N191" i="3"/>
  <c r="J191" i="3"/>
  <c r="T191" i="3"/>
  <c r="G191" i="3"/>
  <c r="V190" i="3"/>
  <c r="U190" i="3"/>
  <c r="T190" i="3"/>
  <c r="S190" i="3"/>
  <c r="R190" i="3"/>
  <c r="Q190" i="3"/>
  <c r="P190" i="3"/>
  <c r="V189" i="3"/>
  <c r="U189" i="3"/>
  <c r="T189" i="3"/>
  <c r="S189" i="3"/>
  <c r="R189" i="3"/>
  <c r="Q189" i="3"/>
  <c r="P189" i="3"/>
  <c r="J189" i="3"/>
  <c r="V188" i="3"/>
  <c r="U188" i="3"/>
  <c r="T188" i="3"/>
  <c r="R188" i="3"/>
  <c r="Q188" i="3"/>
  <c r="O188" i="3"/>
  <c r="N188" i="3"/>
  <c r="J188" i="3"/>
  <c r="S188" i="3"/>
  <c r="V187" i="3"/>
  <c r="U187" i="3"/>
  <c r="S187" i="3"/>
  <c r="R187" i="3"/>
  <c r="Q187" i="3"/>
  <c r="O187" i="3"/>
  <c r="N187" i="3"/>
  <c r="J187" i="3"/>
  <c r="T187" i="3"/>
  <c r="G187" i="3"/>
  <c r="V186" i="3"/>
  <c r="U186" i="3"/>
  <c r="T186" i="3"/>
  <c r="S186" i="3"/>
  <c r="R186" i="3"/>
  <c r="Q186" i="3"/>
  <c r="P186" i="3"/>
  <c r="V185" i="3"/>
  <c r="U185" i="3"/>
  <c r="T185" i="3"/>
  <c r="S185" i="3"/>
  <c r="R185" i="3"/>
  <c r="Q185" i="3"/>
  <c r="P185" i="3"/>
  <c r="J185" i="3"/>
  <c r="V184" i="3"/>
  <c r="U184" i="3"/>
  <c r="T184" i="3"/>
  <c r="R184" i="3"/>
  <c r="Q184" i="3"/>
  <c r="O184" i="3"/>
  <c r="N184" i="3"/>
  <c r="J184" i="3"/>
  <c r="S184" i="3"/>
  <c r="V183" i="3"/>
  <c r="U183" i="3"/>
  <c r="S183" i="3"/>
  <c r="R183" i="3"/>
  <c r="Q183" i="3"/>
  <c r="O183" i="3"/>
  <c r="N183" i="3"/>
  <c r="J183" i="3"/>
  <c r="T183" i="3"/>
  <c r="G183" i="3"/>
  <c r="V182" i="3"/>
  <c r="U182" i="3"/>
  <c r="T182" i="3"/>
  <c r="S182" i="3"/>
  <c r="R182" i="3"/>
  <c r="Q182" i="3"/>
  <c r="P182" i="3"/>
  <c r="V181" i="3"/>
  <c r="U181" i="3"/>
  <c r="T181" i="3"/>
  <c r="S181" i="3"/>
  <c r="R181" i="3"/>
  <c r="Q181" i="3"/>
  <c r="P181" i="3"/>
  <c r="V180" i="3"/>
  <c r="U180" i="3"/>
  <c r="T180" i="3"/>
  <c r="S180" i="3"/>
  <c r="R180" i="3"/>
  <c r="Q180" i="3"/>
  <c r="P180" i="3"/>
  <c r="J180" i="3"/>
  <c r="V179" i="3"/>
  <c r="U179" i="3"/>
  <c r="T179" i="3"/>
  <c r="R179" i="3"/>
  <c r="Q179" i="3"/>
  <c r="O179" i="3"/>
  <c r="N179" i="3"/>
  <c r="J179" i="3"/>
  <c r="S179" i="3"/>
  <c r="V178" i="3"/>
  <c r="U178" i="3"/>
  <c r="S178" i="3"/>
  <c r="R178" i="3"/>
  <c r="Q178" i="3"/>
  <c r="O178" i="3"/>
  <c r="N178" i="3"/>
  <c r="J178" i="3"/>
  <c r="T178" i="3"/>
  <c r="G178" i="3"/>
  <c r="V177" i="3"/>
  <c r="U177" i="3"/>
  <c r="T177" i="3"/>
  <c r="S177" i="3"/>
  <c r="R177" i="3"/>
  <c r="Q177" i="3"/>
  <c r="P177" i="3"/>
  <c r="V176" i="3"/>
  <c r="U176" i="3"/>
  <c r="T176" i="3"/>
  <c r="S176" i="3"/>
  <c r="R176" i="3"/>
  <c r="Q176" i="3"/>
  <c r="P176" i="3"/>
  <c r="V175" i="3"/>
  <c r="U175" i="3"/>
  <c r="T175" i="3"/>
  <c r="S175" i="3"/>
  <c r="R175" i="3"/>
  <c r="Q175" i="3"/>
  <c r="P175" i="3"/>
  <c r="J175" i="3"/>
  <c r="V174" i="3"/>
  <c r="U174" i="3"/>
  <c r="T174" i="3"/>
  <c r="S174" i="3"/>
  <c r="R174" i="3"/>
  <c r="Q174" i="3"/>
  <c r="O174" i="3"/>
  <c r="N174" i="3"/>
  <c r="J174" i="3"/>
  <c r="V173" i="3"/>
  <c r="U173" i="3"/>
  <c r="T173" i="3"/>
  <c r="R173" i="3"/>
  <c r="Q173" i="3"/>
  <c r="O173" i="3"/>
  <c r="N173" i="3"/>
  <c r="J173" i="3"/>
  <c r="S173" i="3"/>
  <c r="G173" i="3"/>
  <c r="V172" i="3"/>
  <c r="U172" i="3"/>
  <c r="T172" i="3"/>
  <c r="S172" i="3"/>
  <c r="R172" i="3"/>
  <c r="Q172" i="3"/>
  <c r="P172" i="3"/>
  <c r="V171" i="3"/>
  <c r="U171" i="3"/>
  <c r="T171" i="3"/>
  <c r="S171" i="3"/>
  <c r="R171" i="3"/>
  <c r="Q171" i="3"/>
  <c r="P171" i="3"/>
  <c r="V170" i="3"/>
  <c r="U170" i="3"/>
  <c r="T170" i="3"/>
  <c r="S170" i="3"/>
  <c r="R170" i="3"/>
  <c r="Q170" i="3"/>
  <c r="P170" i="3"/>
  <c r="J170" i="3"/>
  <c r="V169" i="3"/>
  <c r="U169" i="3"/>
  <c r="T169" i="3"/>
  <c r="S169" i="3"/>
  <c r="R169" i="3"/>
  <c r="Q169" i="3"/>
  <c r="O169" i="3"/>
  <c r="N169" i="3"/>
  <c r="J169" i="3"/>
  <c r="V168" i="3"/>
  <c r="U168" i="3"/>
  <c r="T168" i="3"/>
  <c r="R168" i="3"/>
  <c r="Q168" i="3"/>
  <c r="O168" i="3"/>
  <c r="N168" i="3"/>
  <c r="J168" i="3"/>
  <c r="S168" i="3"/>
  <c r="G168" i="3"/>
  <c r="V167" i="3"/>
  <c r="U167" i="3"/>
  <c r="T167" i="3"/>
  <c r="S167" i="3"/>
  <c r="R167" i="3"/>
  <c r="Q167" i="3"/>
  <c r="P167" i="3"/>
  <c r="V166" i="3"/>
  <c r="U166" i="3"/>
  <c r="T166" i="3"/>
  <c r="S166" i="3"/>
  <c r="R166" i="3"/>
  <c r="Q166" i="3"/>
  <c r="P166" i="3"/>
  <c r="V165" i="3"/>
  <c r="U165" i="3"/>
  <c r="T165" i="3"/>
  <c r="S165" i="3"/>
  <c r="R165" i="3"/>
  <c r="Q165" i="3"/>
  <c r="P165" i="3"/>
  <c r="J165" i="3"/>
  <c r="V164" i="3"/>
  <c r="U164" i="3"/>
  <c r="T164" i="3"/>
  <c r="S164" i="3"/>
  <c r="R164" i="3"/>
  <c r="Q164" i="3"/>
  <c r="O164" i="3"/>
  <c r="N164" i="3"/>
  <c r="J164" i="3"/>
  <c r="V163" i="3"/>
  <c r="U163" i="3"/>
  <c r="T163" i="3"/>
  <c r="R163" i="3"/>
  <c r="Q163" i="3"/>
  <c r="O163" i="3"/>
  <c r="N163" i="3"/>
  <c r="J163" i="3"/>
  <c r="S163" i="3"/>
  <c r="G163" i="3"/>
  <c r="V162" i="3"/>
  <c r="U162" i="3"/>
  <c r="T162" i="3"/>
  <c r="S162" i="3"/>
  <c r="R162" i="3"/>
  <c r="Q162" i="3"/>
  <c r="P162" i="3"/>
  <c r="V161" i="3"/>
  <c r="U161" i="3"/>
  <c r="T161" i="3"/>
  <c r="S161" i="3"/>
  <c r="R161" i="3"/>
  <c r="Q161" i="3"/>
  <c r="P161" i="3"/>
  <c r="V160" i="3"/>
  <c r="U160" i="3"/>
  <c r="T160" i="3"/>
  <c r="S160" i="3"/>
  <c r="R160" i="3"/>
  <c r="Q160" i="3"/>
  <c r="P160" i="3"/>
  <c r="J160" i="3"/>
  <c r="V159" i="3"/>
  <c r="U159" i="3"/>
  <c r="T159" i="3"/>
  <c r="S159" i="3"/>
  <c r="Q159" i="3"/>
  <c r="O159" i="3"/>
  <c r="N159" i="3"/>
  <c r="J159" i="3"/>
  <c r="R159" i="3"/>
  <c r="V158" i="3"/>
  <c r="U158" i="3"/>
  <c r="T158" i="3"/>
  <c r="R158" i="3"/>
  <c r="Q158" i="3"/>
  <c r="O158" i="3"/>
  <c r="N158" i="3"/>
  <c r="J158" i="3"/>
  <c r="S158" i="3"/>
  <c r="G158" i="3"/>
  <c r="V157" i="3"/>
  <c r="U157" i="3"/>
  <c r="T157" i="3"/>
  <c r="S157" i="3"/>
  <c r="R157" i="3"/>
  <c r="Q157" i="3"/>
  <c r="P157" i="3"/>
  <c r="V156" i="3"/>
  <c r="U156" i="3"/>
  <c r="T156" i="3"/>
  <c r="S156" i="3"/>
  <c r="R156" i="3"/>
  <c r="Q156" i="3"/>
  <c r="P156" i="3"/>
  <c r="V155" i="3"/>
  <c r="U155" i="3"/>
  <c r="T155" i="3"/>
  <c r="S155" i="3"/>
  <c r="R155" i="3"/>
  <c r="Q155" i="3"/>
  <c r="P155" i="3"/>
  <c r="J155" i="3"/>
  <c r="V154" i="3"/>
  <c r="U154" i="3"/>
  <c r="T154" i="3"/>
  <c r="S154" i="3"/>
  <c r="Q154" i="3"/>
  <c r="O154" i="3"/>
  <c r="N154" i="3"/>
  <c r="J154" i="3"/>
  <c r="R154" i="3"/>
  <c r="V153" i="3"/>
  <c r="U153" i="3"/>
  <c r="T153" i="3"/>
  <c r="R153" i="3"/>
  <c r="Q153" i="3"/>
  <c r="O153" i="3"/>
  <c r="N153" i="3"/>
  <c r="J153" i="3"/>
  <c r="S153" i="3"/>
  <c r="G153" i="3"/>
  <c r="V152" i="3"/>
  <c r="U152" i="3"/>
  <c r="T152" i="3"/>
  <c r="S152" i="3"/>
  <c r="R152" i="3"/>
  <c r="Q152" i="3"/>
  <c r="P152" i="3"/>
  <c r="V151" i="3"/>
  <c r="U151" i="3"/>
  <c r="T151" i="3"/>
  <c r="S151" i="3"/>
  <c r="R151" i="3"/>
  <c r="Q151" i="3"/>
  <c r="P151" i="3"/>
  <c r="V150" i="3"/>
  <c r="U150" i="3"/>
  <c r="T150" i="3"/>
  <c r="S150" i="3"/>
  <c r="R150" i="3"/>
  <c r="Q150" i="3"/>
  <c r="P150" i="3"/>
  <c r="J150" i="3"/>
  <c r="V149" i="3"/>
  <c r="U149" i="3"/>
  <c r="T149" i="3"/>
  <c r="S149" i="3"/>
  <c r="Q149" i="3"/>
  <c r="O149" i="3"/>
  <c r="N149" i="3"/>
  <c r="J149" i="3"/>
  <c r="R149" i="3"/>
  <c r="V148" i="3"/>
  <c r="U148" i="3"/>
  <c r="T148" i="3"/>
  <c r="R148" i="3"/>
  <c r="Q148" i="3"/>
  <c r="O148" i="3"/>
  <c r="N148" i="3"/>
  <c r="J148" i="3"/>
  <c r="S148" i="3"/>
  <c r="G148" i="3"/>
  <c r="P284" i="3"/>
  <c r="P215" i="3"/>
  <c r="P233" i="3"/>
  <c r="P247" i="3"/>
  <c r="P184" i="3"/>
  <c r="P187" i="3"/>
  <c r="P188" i="3"/>
  <c r="P191" i="3"/>
  <c r="P199" i="3"/>
  <c r="P207" i="3"/>
  <c r="P163" i="3"/>
  <c r="P153" i="3"/>
  <c r="P154" i="3"/>
  <c r="P242" i="3"/>
  <c r="P252" i="3"/>
  <c r="P253" i="3"/>
  <c r="P267" i="3"/>
  <c r="P272" i="3"/>
  <c r="P158" i="3"/>
  <c r="P285" i="3"/>
  <c r="P149" i="3"/>
  <c r="P183" i="3"/>
  <c r="P258" i="3"/>
  <c r="P276" i="3"/>
  <c r="P280" i="3"/>
  <c r="P164" i="3"/>
  <c r="P168" i="3"/>
  <c r="P178" i="3"/>
  <c r="P208" i="3"/>
  <c r="P211" i="3"/>
  <c r="P223" i="3"/>
  <c r="P262" i="3"/>
  <c r="P174" i="3"/>
  <c r="P200" i="3"/>
  <c r="P203" i="3"/>
  <c r="P219" i="3"/>
  <c r="P220" i="3"/>
  <c r="P268" i="3"/>
  <c r="Q288" i="3"/>
  <c r="Q290" i="3"/>
  <c r="Q291" i="3"/>
  <c r="V288" i="3"/>
  <c r="V290" i="3"/>
  <c r="V291" i="3"/>
  <c r="P192" i="3"/>
  <c r="P195" i="3"/>
  <c r="P196" i="3"/>
  <c r="P216" i="3"/>
  <c r="P228" i="3"/>
  <c r="P232" i="3"/>
  <c r="P237" i="3"/>
  <c r="P243" i="3"/>
  <c r="P257" i="3"/>
  <c r="P281" i="3"/>
  <c r="G288" i="3"/>
  <c r="P148" i="3"/>
  <c r="P179" i="3"/>
  <c r="P238" i="3"/>
  <c r="P277" i="3"/>
  <c r="U288" i="3"/>
  <c r="U290" i="3"/>
  <c r="U291" i="3"/>
  <c r="P159" i="3"/>
  <c r="P263" i="3"/>
  <c r="T288" i="3"/>
  <c r="T290" i="3"/>
  <c r="T291" i="3"/>
  <c r="P169" i="3"/>
  <c r="P173" i="3"/>
  <c r="P204" i="3"/>
  <c r="P212" i="3"/>
  <c r="P224" i="3"/>
  <c r="P227" i="3"/>
  <c r="P248" i="3"/>
  <c r="P273" i="3"/>
  <c r="S288" i="3"/>
  <c r="S290" i="3"/>
  <c r="S291" i="3"/>
  <c r="R288" i="3"/>
  <c r="R290" i="3"/>
  <c r="R291" i="3"/>
  <c r="E15" i="16"/>
  <c r="P288" i="3"/>
  <c r="P290" i="3"/>
  <c r="P291" i="3"/>
  <c r="C22" i="6"/>
  <c r="G209" i="5"/>
  <c r="K494" i="5"/>
  <c r="K495" i="5"/>
  <c r="J494" i="5"/>
  <c r="J495" i="5"/>
  <c r="I494" i="5"/>
  <c r="I495" i="5"/>
  <c r="H494" i="5"/>
  <c r="H495" i="5"/>
  <c r="G494" i="5"/>
  <c r="F494" i="5"/>
  <c r="E494" i="5"/>
  <c r="AX479" i="5"/>
  <c r="AW479" i="5"/>
  <c r="AV479" i="5"/>
  <c r="AU479" i="5"/>
  <c r="AT479" i="5"/>
  <c r="AS479" i="5"/>
  <c r="AR479" i="5"/>
  <c r="AP477" i="5"/>
  <c r="AX477" i="5"/>
  <c r="AL477" i="5"/>
  <c r="AK477" i="5"/>
  <c r="AD477" i="5"/>
  <c r="AC477" i="5"/>
  <c r="W477" i="5"/>
  <c r="V477" i="5"/>
  <c r="U477" i="5"/>
  <c r="N477" i="5"/>
  <c r="M477" i="5"/>
  <c r="H477" i="5"/>
  <c r="G477" i="5"/>
  <c r="AP476" i="5"/>
  <c r="AX476" i="5"/>
  <c r="AL476" i="5"/>
  <c r="AK476" i="5"/>
  <c r="AD476" i="5"/>
  <c r="AC476" i="5"/>
  <c r="W476" i="5"/>
  <c r="V476" i="5"/>
  <c r="U476" i="5"/>
  <c r="N476" i="5"/>
  <c r="M476" i="5"/>
  <c r="H476" i="5"/>
  <c r="G476" i="5"/>
  <c r="AP475" i="5"/>
  <c r="AX475" i="5"/>
  <c r="AL475" i="5"/>
  <c r="AK475" i="5"/>
  <c r="AD475" i="5"/>
  <c r="AC475" i="5"/>
  <c r="W475" i="5"/>
  <c r="V475" i="5"/>
  <c r="U475" i="5"/>
  <c r="N475" i="5"/>
  <c r="M475" i="5"/>
  <c r="H475" i="5"/>
  <c r="G475" i="5"/>
  <c r="AP474" i="5"/>
  <c r="AX474" i="5"/>
  <c r="AL474" i="5"/>
  <c r="AK474" i="5"/>
  <c r="AD474" i="5"/>
  <c r="AC474" i="5"/>
  <c r="W474" i="5"/>
  <c r="V474" i="5"/>
  <c r="U474" i="5"/>
  <c r="N474" i="5"/>
  <c r="M474" i="5"/>
  <c r="H474" i="5"/>
  <c r="G474" i="5"/>
  <c r="AP473" i="5"/>
  <c r="AX473" i="5"/>
  <c r="AL473" i="5"/>
  <c r="AK473" i="5"/>
  <c r="AD473" i="5"/>
  <c r="AC473" i="5"/>
  <c r="W473" i="5"/>
  <c r="V473" i="5"/>
  <c r="U473" i="5"/>
  <c r="N473" i="5"/>
  <c r="M473" i="5"/>
  <c r="H473" i="5"/>
  <c r="G473" i="5"/>
  <c r="AP472" i="5"/>
  <c r="AX472" i="5"/>
  <c r="AL472" i="5"/>
  <c r="AK472" i="5"/>
  <c r="AD472" i="5"/>
  <c r="AC472" i="5"/>
  <c r="W472" i="5"/>
  <c r="V472" i="5"/>
  <c r="U472" i="5"/>
  <c r="N472" i="5"/>
  <c r="M472" i="5"/>
  <c r="H472" i="5"/>
  <c r="G472" i="5"/>
  <c r="AP471" i="5"/>
  <c r="AX471" i="5"/>
  <c r="AL471" i="5"/>
  <c r="AK471" i="5"/>
  <c r="AE471" i="5"/>
  <c r="AD471" i="5"/>
  <c r="AC471" i="5"/>
  <c r="W471" i="5"/>
  <c r="V471" i="5"/>
  <c r="U471" i="5"/>
  <c r="N471" i="5"/>
  <c r="M471" i="5"/>
  <c r="H471" i="5"/>
  <c r="G471" i="5"/>
  <c r="AP470" i="5"/>
  <c r="AX470" i="5"/>
  <c r="AM470" i="5"/>
  <c r="AL470" i="5"/>
  <c r="AK470" i="5"/>
  <c r="AE470" i="5"/>
  <c r="AD470" i="5"/>
  <c r="AC470" i="5"/>
  <c r="W470" i="5"/>
  <c r="V470" i="5"/>
  <c r="U470" i="5"/>
  <c r="O470" i="5"/>
  <c r="N470" i="5"/>
  <c r="M470" i="5"/>
  <c r="H470" i="5"/>
  <c r="G470" i="5"/>
  <c r="AP469" i="5"/>
  <c r="AX469" i="5"/>
  <c r="AM469" i="5"/>
  <c r="AL469" i="5"/>
  <c r="AK469" i="5"/>
  <c r="AE469" i="5"/>
  <c r="AD469" i="5"/>
  <c r="AC469" i="5"/>
  <c r="W469" i="5"/>
  <c r="V469" i="5"/>
  <c r="U469" i="5"/>
  <c r="O469" i="5"/>
  <c r="N469" i="5"/>
  <c r="M469" i="5"/>
  <c r="H469" i="5"/>
  <c r="G469" i="5"/>
  <c r="AP468" i="5"/>
  <c r="AX468" i="5"/>
  <c r="AM468" i="5"/>
  <c r="AL468" i="5"/>
  <c r="AK468" i="5"/>
  <c r="AE468" i="5"/>
  <c r="AD468" i="5"/>
  <c r="AC468" i="5"/>
  <c r="W468" i="5"/>
  <c r="V468" i="5"/>
  <c r="U468" i="5"/>
  <c r="O468" i="5"/>
  <c r="N468" i="5"/>
  <c r="M468" i="5"/>
  <c r="H468" i="5"/>
  <c r="G468" i="5"/>
  <c r="AP467" i="5"/>
  <c r="AX467" i="5"/>
  <c r="AM467" i="5"/>
  <c r="AL467" i="5"/>
  <c r="AK467" i="5"/>
  <c r="AE467" i="5"/>
  <c r="AD467" i="5"/>
  <c r="AC467" i="5"/>
  <c r="W467" i="5"/>
  <c r="V467" i="5"/>
  <c r="U467" i="5"/>
  <c r="O467" i="5"/>
  <c r="N467" i="5"/>
  <c r="M467" i="5"/>
  <c r="H467" i="5"/>
  <c r="G467" i="5"/>
  <c r="AP466" i="5"/>
  <c r="AX466" i="5"/>
  <c r="AM466" i="5"/>
  <c r="AL466" i="5"/>
  <c r="AK466" i="5"/>
  <c r="AE466" i="5"/>
  <c r="AD466" i="5"/>
  <c r="AC466" i="5"/>
  <c r="W466" i="5"/>
  <c r="V466" i="5"/>
  <c r="U466" i="5"/>
  <c r="O466" i="5"/>
  <c r="N466" i="5"/>
  <c r="M466" i="5"/>
  <c r="H466" i="5"/>
  <c r="G466" i="5"/>
  <c r="AP465" i="5"/>
  <c r="AX465" i="5"/>
  <c r="AM465" i="5"/>
  <c r="AL465" i="5"/>
  <c r="AK465" i="5"/>
  <c r="AE465" i="5"/>
  <c r="AD465" i="5"/>
  <c r="AC465" i="5"/>
  <c r="W465" i="5"/>
  <c r="V465" i="5"/>
  <c r="U465" i="5"/>
  <c r="O465" i="5"/>
  <c r="N465" i="5"/>
  <c r="M465" i="5"/>
  <c r="H465" i="5"/>
  <c r="G465" i="5"/>
  <c r="AP464" i="5"/>
  <c r="AX464" i="5"/>
  <c r="AM464" i="5"/>
  <c r="AL464" i="5"/>
  <c r="AK464" i="5"/>
  <c r="AE464" i="5"/>
  <c r="AD464" i="5"/>
  <c r="AC464" i="5"/>
  <c r="W464" i="5"/>
  <c r="V464" i="5"/>
  <c r="U464" i="5"/>
  <c r="O464" i="5"/>
  <c r="N464" i="5"/>
  <c r="M464" i="5"/>
  <c r="H464" i="5"/>
  <c r="G464" i="5"/>
  <c r="AP463" i="5"/>
  <c r="AX463" i="5"/>
  <c r="AM463" i="5"/>
  <c r="AL463" i="5"/>
  <c r="AK463" i="5"/>
  <c r="AE463" i="5"/>
  <c r="AD463" i="5"/>
  <c r="AC463" i="5"/>
  <c r="W463" i="5"/>
  <c r="V463" i="5"/>
  <c r="U463" i="5"/>
  <c r="O463" i="5"/>
  <c r="N463" i="5"/>
  <c r="M463" i="5"/>
  <c r="H463" i="5"/>
  <c r="G463" i="5"/>
  <c r="AP462" i="5"/>
  <c r="AX462" i="5"/>
  <c r="AM462" i="5"/>
  <c r="AL462" i="5"/>
  <c r="AK462" i="5"/>
  <c r="AE462" i="5"/>
  <c r="AD462" i="5"/>
  <c r="AC462" i="5"/>
  <c r="W462" i="5"/>
  <c r="V462" i="5"/>
  <c r="U462" i="5"/>
  <c r="O462" i="5"/>
  <c r="N462" i="5"/>
  <c r="M462" i="5"/>
  <c r="H462" i="5"/>
  <c r="G462" i="5"/>
  <c r="AP461" i="5"/>
  <c r="AX461" i="5"/>
  <c r="AM461" i="5"/>
  <c r="AL461" i="5"/>
  <c r="AK461" i="5"/>
  <c r="AE461" i="5"/>
  <c r="AD461" i="5"/>
  <c r="AC461" i="5"/>
  <c r="W461" i="5"/>
  <c r="V461" i="5"/>
  <c r="U461" i="5"/>
  <c r="O461" i="5"/>
  <c r="N461" i="5"/>
  <c r="M461" i="5"/>
  <c r="H461" i="5"/>
  <c r="G461" i="5"/>
  <c r="AP460" i="5"/>
  <c r="AX460" i="5"/>
  <c r="AM460" i="5"/>
  <c r="AL460" i="5"/>
  <c r="AK460" i="5"/>
  <c r="AE460" i="5"/>
  <c r="AD460" i="5"/>
  <c r="AC460" i="5"/>
  <c r="W460" i="5"/>
  <c r="V460" i="5"/>
  <c r="U460" i="5"/>
  <c r="O460" i="5"/>
  <c r="N460" i="5"/>
  <c r="M460" i="5"/>
  <c r="H460" i="5"/>
  <c r="G460" i="5"/>
  <c r="AP459" i="5"/>
  <c r="AX459" i="5"/>
  <c r="AM459" i="5"/>
  <c r="AL459" i="5"/>
  <c r="AK459" i="5"/>
  <c r="AE459" i="5"/>
  <c r="AD459" i="5"/>
  <c r="AC459" i="5"/>
  <c r="W459" i="5"/>
  <c r="V459" i="5"/>
  <c r="U459" i="5"/>
  <c r="O459" i="5"/>
  <c r="N459" i="5"/>
  <c r="M459" i="5"/>
  <c r="H459" i="5"/>
  <c r="G459" i="5"/>
  <c r="AP458" i="5"/>
  <c r="AX458" i="5"/>
  <c r="AM458" i="5"/>
  <c r="AL458" i="5"/>
  <c r="AK458" i="5"/>
  <c r="AE458" i="5"/>
  <c r="AD458" i="5"/>
  <c r="AC458" i="5"/>
  <c r="W458" i="5"/>
  <c r="V458" i="5"/>
  <c r="U458" i="5"/>
  <c r="O458" i="5"/>
  <c r="N458" i="5"/>
  <c r="M458" i="5"/>
  <c r="H458" i="5"/>
  <c r="G458" i="5"/>
  <c r="AP457" i="5"/>
  <c r="AX457" i="5"/>
  <c r="AM457" i="5"/>
  <c r="AL457" i="5"/>
  <c r="AK457" i="5"/>
  <c r="AE457" i="5"/>
  <c r="AD457" i="5"/>
  <c r="AC457" i="5"/>
  <c r="W457" i="5"/>
  <c r="V457" i="5"/>
  <c r="U457" i="5"/>
  <c r="O457" i="5"/>
  <c r="N457" i="5"/>
  <c r="M457" i="5"/>
  <c r="H457" i="5"/>
  <c r="G457" i="5"/>
  <c r="AP456" i="5"/>
  <c r="AX456" i="5"/>
  <c r="AM456" i="5"/>
  <c r="AL456" i="5"/>
  <c r="AK456" i="5"/>
  <c r="AE456" i="5"/>
  <c r="AD456" i="5"/>
  <c r="AC456" i="5"/>
  <c r="W456" i="5"/>
  <c r="V456" i="5"/>
  <c r="U456" i="5"/>
  <c r="O456" i="5"/>
  <c r="N456" i="5"/>
  <c r="M456" i="5"/>
  <c r="H456" i="5"/>
  <c r="G456" i="5"/>
  <c r="AP455" i="5"/>
  <c r="AX455" i="5"/>
  <c r="AM455" i="5"/>
  <c r="AL455" i="5"/>
  <c r="AK455" i="5"/>
  <c r="AE455" i="5"/>
  <c r="AD455" i="5"/>
  <c r="AC455" i="5"/>
  <c r="W455" i="5"/>
  <c r="V455" i="5"/>
  <c r="U455" i="5"/>
  <c r="O455" i="5"/>
  <c r="N455" i="5"/>
  <c r="M455" i="5"/>
  <c r="H455" i="5"/>
  <c r="G455" i="5"/>
  <c r="AP454" i="5"/>
  <c r="AX454" i="5"/>
  <c r="AM454" i="5"/>
  <c r="AL454" i="5"/>
  <c r="AK454" i="5"/>
  <c r="AE454" i="5"/>
  <c r="AD454" i="5"/>
  <c r="AC454" i="5"/>
  <c r="W454" i="5"/>
  <c r="V454" i="5"/>
  <c r="U454" i="5"/>
  <c r="N454" i="5"/>
  <c r="M454" i="5"/>
  <c r="H454" i="5"/>
  <c r="G454" i="5"/>
  <c r="AP453" i="5"/>
  <c r="AX453" i="5"/>
  <c r="AL453" i="5"/>
  <c r="AK453" i="5"/>
  <c r="AD453" i="5"/>
  <c r="AC453" i="5"/>
  <c r="W453" i="5"/>
  <c r="V453" i="5"/>
  <c r="U453" i="5"/>
  <c r="O453" i="5"/>
  <c r="N453" i="5"/>
  <c r="M453" i="5"/>
  <c r="H453" i="5"/>
  <c r="G453" i="5"/>
  <c r="AP452" i="5"/>
  <c r="AX452" i="5"/>
  <c r="AM452" i="5"/>
  <c r="AL452" i="5"/>
  <c r="AK452" i="5"/>
  <c r="AE452" i="5"/>
  <c r="AD452" i="5"/>
  <c r="AC452" i="5"/>
  <c r="W452" i="5"/>
  <c r="V452" i="5"/>
  <c r="U452" i="5"/>
  <c r="O452" i="5"/>
  <c r="N452" i="5"/>
  <c r="M452" i="5"/>
  <c r="H452" i="5"/>
  <c r="G452" i="5"/>
  <c r="AP451" i="5"/>
  <c r="AX451" i="5"/>
  <c r="AM451" i="5"/>
  <c r="AL451" i="5"/>
  <c r="AK451" i="5"/>
  <c r="AE451" i="5"/>
  <c r="AD451" i="5"/>
  <c r="AC451" i="5"/>
  <c r="W451" i="5"/>
  <c r="V451" i="5"/>
  <c r="U451" i="5"/>
  <c r="O451" i="5"/>
  <c r="N451" i="5"/>
  <c r="M451" i="5"/>
  <c r="H451" i="5"/>
  <c r="G451" i="5"/>
  <c r="AP450" i="5"/>
  <c r="AX450" i="5"/>
  <c r="AM450" i="5"/>
  <c r="AL450" i="5"/>
  <c r="AK450" i="5"/>
  <c r="AE450" i="5"/>
  <c r="AD450" i="5"/>
  <c r="AC450" i="5"/>
  <c r="W450" i="5"/>
  <c r="V450" i="5"/>
  <c r="U450" i="5"/>
  <c r="O450" i="5"/>
  <c r="N450" i="5"/>
  <c r="M450" i="5"/>
  <c r="H450" i="5"/>
  <c r="G450" i="5"/>
  <c r="AP449" i="5"/>
  <c r="AX449" i="5"/>
  <c r="AM449" i="5"/>
  <c r="AL449" i="5"/>
  <c r="AK449" i="5"/>
  <c r="AE449" i="5"/>
  <c r="AD449" i="5"/>
  <c r="AC449" i="5"/>
  <c r="W449" i="5"/>
  <c r="V449" i="5"/>
  <c r="U449" i="5"/>
  <c r="O449" i="5"/>
  <c r="N449" i="5"/>
  <c r="M449" i="5"/>
  <c r="H449" i="5"/>
  <c r="G449" i="5"/>
  <c r="AP448" i="5"/>
  <c r="AX448" i="5"/>
  <c r="AM448" i="5"/>
  <c r="AL448" i="5"/>
  <c r="AK448" i="5"/>
  <c r="AE448" i="5"/>
  <c r="AD448" i="5"/>
  <c r="AC448" i="5"/>
  <c r="W448" i="5"/>
  <c r="V448" i="5"/>
  <c r="U448" i="5"/>
  <c r="O448" i="5"/>
  <c r="N448" i="5"/>
  <c r="M448" i="5"/>
  <c r="H448" i="5"/>
  <c r="G448" i="5"/>
  <c r="AP447" i="5"/>
  <c r="AX447" i="5"/>
  <c r="AM447" i="5"/>
  <c r="AL447" i="5"/>
  <c r="AK447" i="5"/>
  <c r="AE447" i="5"/>
  <c r="AD447" i="5"/>
  <c r="AC447" i="5"/>
  <c r="W447" i="5"/>
  <c r="V447" i="5"/>
  <c r="U447" i="5"/>
  <c r="O447" i="5"/>
  <c r="N447" i="5"/>
  <c r="M447" i="5"/>
  <c r="H447" i="5"/>
  <c r="G447" i="5"/>
  <c r="AP446" i="5"/>
  <c r="AX446" i="5"/>
  <c r="AM446" i="5"/>
  <c r="AL446" i="5"/>
  <c r="AK446" i="5"/>
  <c r="AE446" i="5"/>
  <c r="AD446" i="5"/>
  <c r="AC446" i="5"/>
  <c r="W446" i="5"/>
  <c r="V446" i="5"/>
  <c r="U446" i="5"/>
  <c r="O446" i="5"/>
  <c r="N446" i="5"/>
  <c r="M446" i="5"/>
  <c r="H446" i="5"/>
  <c r="G446" i="5"/>
  <c r="AP445" i="5"/>
  <c r="AX445" i="5"/>
  <c r="AM445" i="5"/>
  <c r="AL445" i="5"/>
  <c r="AK445" i="5"/>
  <c r="AE445" i="5"/>
  <c r="AD445" i="5"/>
  <c r="AC445" i="5"/>
  <c r="W445" i="5"/>
  <c r="V445" i="5"/>
  <c r="U445" i="5"/>
  <c r="O445" i="5"/>
  <c r="N445" i="5"/>
  <c r="M445" i="5"/>
  <c r="H445" i="5"/>
  <c r="G445" i="5"/>
  <c r="AP444" i="5"/>
  <c r="AX444" i="5"/>
  <c r="AM444" i="5"/>
  <c r="AL444" i="5"/>
  <c r="AK444" i="5"/>
  <c r="AE444" i="5"/>
  <c r="AD444" i="5"/>
  <c r="AC444" i="5"/>
  <c r="W444" i="5"/>
  <c r="V444" i="5"/>
  <c r="U444" i="5"/>
  <c r="O444" i="5"/>
  <c r="N444" i="5"/>
  <c r="M444" i="5"/>
  <c r="H444" i="5"/>
  <c r="G444" i="5"/>
  <c r="AP443" i="5"/>
  <c r="AX443" i="5"/>
  <c r="AM443" i="5"/>
  <c r="AL443" i="5"/>
  <c r="AK443" i="5"/>
  <c r="AE443" i="5"/>
  <c r="AD443" i="5"/>
  <c r="AC443" i="5"/>
  <c r="W443" i="5"/>
  <c r="V443" i="5"/>
  <c r="U443" i="5"/>
  <c r="O443" i="5"/>
  <c r="N443" i="5"/>
  <c r="M443" i="5"/>
  <c r="H443" i="5"/>
  <c r="G443" i="5"/>
  <c r="AP442" i="5"/>
  <c r="AX442" i="5"/>
  <c r="AM442" i="5"/>
  <c r="AL442" i="5"/>
  <c r="AK442" i="5"/>
  <c r="AE442" i="5"/>
  <c r="AD442" i="5"/>
  <c r="AC442" i="5"/>
  <c r="W442" i="5"/>
  <c r="V442" i="5"/>
  <c r="U442" i="5"/>
  <c r="O442" i="5"/>
  <c r="N442" i="5"/>
  <c r="M442" i="5"/>
  <c r="H442" i="5"/>
  <c r="G442" i="5"/>
  <c r="AP441" i="5"/>
  <c r="AX441" i="5"/>
  <c r="AM441" i="5"/>
  <c r="AL441" i="5"/>
  <c r="AK441" i="5"/>
  <c r="AE441" i="5"/>
  <c r="AD441" i="5"/>
  <c r="AC441" i="5"/>
  <c r="W441" i="5"/>
  <c r="V441" i="5"/>
  <c r="U441" i="5"/>
  <c r="O441" i="5"/>
  <c r="N441" i="5"/>
  <c r="M441" i="5"/>
  <c r="H441" i="5"/>
  <c r="G441" i="5"/>
  <c r="AP440" i="5"/>
  <c r="AX440" i="5"/>
  <c r="AM440" i="5"/>
  <c r="AL440" i="5"/>
  <c r="AK440" i="5"/>
  <c r="AE440" i="5"/>
  <c r="AD440" i="5"/>
  <c r="AC440" i="5"/>
  <c r="W440" i="5"/>
  <c r="V440" i="5"/>
  <c r="U440" i="5"/>
  <c r="O440" i="5"/>
  <c r="N440" i="5"/>
  <c r="M440" i="5"/>
  <c r="H440" i="5"/>
  <c r="G440" i="5"/>
  <c r="AP439" i="5"/>
  <c r="AX439" i="5"/>
  <c r="AM439" i="5"/>
  <c r="AL439" i="5"/>
  <c r="AK439" i="5"/>
  <c r="AE439" i="5"/>
  <c r="AD439" i="5"/>
  <c r="AC439" i="5"/>
  <c r="W439" i="5"/>
  <c r="V439" i="5"/>
  <c r="U439" i="5"/>
  <c r="O439" i="5"/>
  <c r="N439" i="5"/>
  <c r="M439" i="5"/>
  <c r="H439" i="5"/>
  <c r="G439" i="5"/>
  <c r="AP438" i="5"/>
  <c r="AX438" i="5"/>
  <c r="AM438" i="5"/>
  <c r="AL438" i="5"/>
  <c r="AK438" i="5"/>
  <c r="AE438" i="5"/>
  <c r="AD438" i="5"/>
  <c r="AC438" i="5"/>
  <c r="W438" i="5"/>
  <c r="V438" i="5"/>
  <c r="U438" i="5"/>
  <c r="O438" i="5"/>
  <c r="N438" i="5"/>
  <c r="M438" i="5"/>
  <c r="H438" i="5"/>
  <c r="G438" i="5"/>
  <c r="AP437" i="5"/>
  <c r="AX437" i="5"/>
  <c r="AM437" i="5"/>
  <c r="AL437" i="5"/>
  <c r="AK437" i="5"/>
  <c r="AE437" i="5"/>
  <c r="AD437" i="5"/>
  <c r="AC437" i="5"/>
  <c r="W437" i="5"/>
  <c r="V437" i="5"/>
  <c r="U437" i="5"/>
  <c r="O437" i="5"/>
  <c r="N437" i="5"/>
  <c r="M437" i="5"/>
  <c r="H437" i="5"/>
  <c r="G437" i="5"/>
  <c r="AP436" i="5"/>
  <c r="AX436" i="5"/>
  <c r="AM436" i="5"/>
  <c r="AL436" i="5"/>
  <c r="AK436" i="5"/>
  <c r="AE436" i="5"/>
  <c r="AD436" i="5"/>
  <c r="AC436" i="5"/>
  <c r="W436" i="5"/>
  <c r="V436" i="5"/>
  <c r="U436" i="5"/>
  <c r="O436" i="5"/>
  <c r="N436" i="5"/>
  <c r="M436" i="5"/>
  <c r="H436" i="5"/>
  <c r="G436" i="5"/>
  <c r="AP435" i="5"/>
  <c r="AX435" i="5"/>
  <c r="AM435" i="5"/>
  <c r="AL435" i="5"/>
  <c r="AK435" i="5"/>
  <c r="AE435" i="5"/>
  <c r="AD435" i="5"/>
  <c r="AC435" i="5"/>
  <c r="W435" i="5"/>
  <c r="V435" i="5"/>
  <c r="U435" i="5"/>
  <c r="O435" i="5"/>
  <c r="N435" i="5"/>
  <c r="M435" i="5"/>
  <c r="H435" i="5"/>
  <c r="G435" i="5"/>
  <c r="AP434" i="5"/>
  <c r="AX434" i="5"/>
  <c r="AM434" i="5"/>
  <c r="AL434" i="5"/>
  <c r="AK434" i="5"/>
  <c r="AE434" i="5"/>
  <c r="AD434" i="5"/>
  <c r="AC434" i="5"/>
  <c r="W434" i="5"/>
  <c r="V434" i="5"/>
  <c r="U434" i="5"/>
  <c r="O434" i="5"/>
  <c r="N434" i="5"/>
  <c r="M434" i="5"/>
  <c r="H434" i="5"/>
  <c r="G434" i="5"/>
  <c r="AP433" i="5"/>
  <c r="AX433" i="5"/>
  <c r="AL433" i="5"/>
  <c r="AK433" i="5"/>
  <c r="AE433" i="5"/>
  <c r="AD433" i="5"/>
  <c r="AC433" i="5"/>
  <c r="W433" i="5"/>
  <c r="V433" i="5"/>
  <c r="U433" i="5"/>
  <c r="O433" i="5"/>
  <c r="N433" i="5"/>
  <c r="M433" i="5"/>
  <c r="H433" i="5"/>
  <c r="G433" i="5"/>
  <c r="AP432" i="5"/>
  <c r="AX432" i="5"/>
  <c r="AM432" i="5"/>
  <c r="AL432" i="5"/>
  <c r="AK432" i="5"/>
  <c r="AE432" i="5"/>
  <c r="AD432" i="5"/>
  <c r="AC432" i="5"/>
  <c r="W432" i="5"/>
  <c r="V432" i="5"/>
  <c r="U432" i="5"/>
  <c r="O432" i="5"/>
  <c r="N432" i="5"/>
  <c r="M432" i="5"/>
  <c r="H432" i="5"/>
  <c r="G432" i="5"/>
  <c r="AP431" i="5"/>
  <c r="AX431" i="5"/>
  <c r="AL431" i="5"/>
  <c r="AK431" i="5"/>
  <c r="AE431" i="5"/>
  <c r="AD431" i="5"/>
  <c r="AC431" i="5"/>
  <c r="W431" i="5"/>
  <c r="V431" i="5"/>
  <c r="U431" i="5"/>
  <c r="O431" i="5"/>
  <c r="N431" i="5"/>
  <c r="M431" i="5"/>
  <c r="H431" i="5"/>
  <c r="G431" i="5"/>
  <c r="AP430" i="5"/>
  <c r="AX430" i="5"/>
  <c r="AL430" i="5"/>
  <c r="AK430" i="5"/>
  <c r="AE430" i="5"/>
  <c r="AD430" i="5"/>
  <c r="AC430" i="5"/>
  <c r="W430" i="5"/>
  <c r="V430" i="5"/>
  <c r="U430" i="5"/>
  <c r="O430" i="5"/>
  <c r="N430" i="5"/>
  <c r="M430" i="5"/>
  <c r="H430" i="5"/>
  <c r="G430" i="5"/>
  <c r="AP429" i="5"/>
  <c r="AX429" i="5"/>
  <c r="AM429" i="5"/>
  <c r="AL429" i="5"/>
  <c r="AK429" i="5"/>
  <c r="AE429" i="5"/>
  <c r="AD429" i="5"/>
  <c r="AC429" i="5"/>
  <c r="W429" i="5"/>
  <c r="V429" i="5"/>
  <c r="U429" i="5"/>
  <c r="O429" i="5"/>
  <c r="N429" i="5"/>
  <c r="M429" i="5"/>
  <c r="H429" i="5"/>
  <c r="G429" i="5"/>
  <c r="AP428" i="5"/>
  <c r="AX428" i="5"/>
  <c r="AM428" i="5"/>
  <c r="AL428" i="5"/>
  <c r="AK428" i="5"/>
  <c r="AE428" i="5"/>
  <c r="AD428" i="5"/>
  <c r="AC428" i="5"/>
  <c r="W428" i="5"/>
  <c r="V428" i="5"/>
  <c r="U428" i="5"/>
  <c r="O428" i="5"/>
  <c r="N428" i="5"/>
  <c r="M428" i="5"/>
  <c r="H428" i="5"/>
  <c r="G428" i="5"/>
  <c r="AP427" i="5"/>
  <c r="AX427" i="5"/>
  <c r="AM427" i="5"/>
  <c r="AL427" i="5"/>
  <c r="AK427" i="5"/>
  <c r="AE427" i="5"/>
  <c r="AD427" i="5"/>
  <c r="AC427" i="5"/>
  <c r="W427" i="5"/>
  <c r="V427" i="5"/>
  <c r="U427" i="5"/>
  <c r="O427" i="5"/>
  <c r="N427" i="5"/>
  <c r="M427" i="5"/>
  <c r="H427" i="5"/>
  <c r="G427" i="5"/>
  <c r="AP426" i="5"/>
  <c r="AX426" i="5"/>
  <c r="AL426" i="5"/>
  <c r="AK426" i="5"/>
  <c r="AE426" i="5"/>
  <c r="AD426" i="5"/>
  <c r="AC426" i="5"/>
  <c r="W426" i="5"/>
  <c r="V426" i="5"/>
  <c r="U426" i="5"/>
  <c r="O426" i="5"/>
  <c r="N426" i="5"/>
  <c r="M426" i="5"/>
  <c r="H426" i="5"/>
  <c r="G426" i="5"/>
  <c r="AP425" i="5"/>
  <c r="AX425" i="5"/>
  <c r="AM425" i="5"/>
  <c r="AL425" i="5"/>
  <c r="AK425" i="5"/>
  <c r="AE425" i="5"/>
  <c r="AD425" i="5"/>
  <c r="AC425" i="5"/>
  <c r="W425" i="5"/>
  <c r="V425" i="5"/>
  <c r="U425" i="5"/>
  <c r="N425" i="5"/>
  <c r="M425" i="5"/>
  <c r="H425" i="5"/>
  <c r="G425" i="5"/>
  <c r="AP424" i="5"/>
  <c r="AX424" i="5"/>
  <c r="AM424" i="5"/>
  <c r="AL424" i="5"/>
  <c r="AK424" i="5"/>
  <c r="AE424" i="5"/>
  <c r="AD424" i="5"/>
  <c r="AC424" i="5"/>
  <c r="V424" i="5"/>
  <c r="U424" i="5"/>
  <c r="N424" i="5"/>
  <c r="M424" i="5"/>
  <c r="H424" i="5"/>
  <c r="G424" i="5"/>
  <c r="AP423" i="5"/>
  <c r="AX423" i="5"/>
  <c r="AM423" i="5"/>
  <c r="AL423" i="5"/>
  <c r="AK423" i="5"/>
  <c r="AE423" i="5"/>
  <c r="AD423" i="5"/>
  <c r="AC423" i="5"/>
  <c r="V423" i="5"/>
  <c r="U423" i="5"/>
  <c r="O423" i="5"/>
  <c r="N423" i="5"/>
  <c r="M423" i="5"/>
  <c r="H423" i="5"/>
  <c r="G423" i="5"/>
  <c r="AP422" i="5"/>
  <c r="AX422" i="5"/>
  <c r="AM422" i="5"/>
  <c r="AL422" i="5"/>
  <c r="AK422" i="5"/>
  <c r="AE422" i="5"/>
  <c r="AD422" i="5"/>
  <c r="AC422" i="5"/>
  <c r="W422" i="5"/>
  <c r="V422" i="5"/>
  <c r="U422" i="5"/>
  <c r="O422" i="5"/>
  <c r="N422" i="5"/>
  <c r="M422" i="5"/>
  <c r="H422" i="5"/>
  <c r="G422" i="5"/>
  <c r="AP421" i="5"/>
  <c r="AX421" i="5"/>
  <c r="AL421" i="5"/>
  <c r="AK421" i="5"/>
  <c r="AE421" i="5"/>
  <c r="AD421" i="5"/>
  <c r="AC421" i="5"/>
  <c r="W421" i="5"/>
  <c r="V421" i="5"/>
  <c r="U421" i="5"/>
  <c r="O421" i="5"/>
  <c r="N421" i="5"/>
  <c r="M421" i="5"/>
  <c r="H421" i="5"/>
  <c r="G421" i="5"/>
  <c r="AP420" i="5"/>
  <c r="AX420" i="5"/>
  <c r="AL420" i="5"/>
  <c r="AK420" i="5"/>
  <c r="AD420" i="5"/>
  <c r="AC420" i="5"/>
  <c r="W420" i="5"/>
  <c r="V420" i="5"/>
  <c r="U420" i="5"/>
  <c r="O420" i="5"/>
  <c r="N420" i="5"/>
  <c r="M420" i="5"/>
  <c r="H420" i="5"/>
  <c r="G420" i="5"/>
  <c r="AP419" i="5"/>
  <c r="AX419" i="5"/>
  <c r="AL419" i="5"/>
  <c r="AK419" i="5"/>
  <c r="AD419" i="5"/>
  <c r="AC419" i="5"/>
  <c r="V419" i="5"/>
  <c r="U419" i="5"/>
  <c r="O419" i="5"/>
  <c r="N419" i="5"/>
  <c r="M419" i="5"/>
  <c r="H419" i="5"/>
  <c r="G419" i="5"/>
  <c r="AP418" i="5"/>
  <c r="AX418" i="5"/>
  <c r="AL418" i="5"/>
  <c r="AK418" i="5"/>
  <c r="AD418" i="5"/>
  <c r="AC418" i="5"/>
  <c r="W418" i="5"/>
  <c r="V418" i="5"/>
  <c r="U418" i="5"/>
  <c r="O418" i="5"/>
  <c r="N418" i="5"/>
  <c r="M418" i="5"/>
  <c r="H418" i="5"/>
  <c r="G418" i="5"/>
  <c r="AP417" i="5"/>
  <c r="AX417" i="5"/>
  <c r="AM417" i="5"/>
  <c r="AL417" i="5"/>
  <c r="AK417" i="5"/>
  <c r="AE417" i="5"/>
  <c r="AD417" i="5"/>
  <c r="AC417" i="5"/>
  <c r="W417" i="5"/>
  <c r="V417" i="5"/>
  <c r="U417" i="5"/>
  <c r="O417" i="5"/>
  <c r="N417" i="5"/>
  <c r="M417" i="5"/>
  <c r="H417" i="5"/>
  <c r="G417" i="5"/>
  <c r="AP416" i="5"/>
  <c r="AX416" i="5"/>
  <c r="AL416" i="5"/>
  <c r="AK416" i="5"/>
  <c r="AE416" i="5"/>
  <c r="AD416" i="5"/>
  <c r="AC416" i="5"/>
  <c r="W416" i="5"/>
  <c r="V416" i="5"/>
  <c r="U416" i="5"/>
  <c r="O416" i="5"/>
  <c r="N416" i="5"/>
  <c r="M416" i="5"/>
  <c r="H416" i="5"/>
  <c r="G416" i="5"/>
  <c r="AP415" i="5"/>
  <c r="AX415" i="5"/>
  <c r="AL415" i="5"/>
  <c r="AK415" i="5"/>
  <c r="AD415" i="5"/>
  <c r="AC415" i="5"/>
  <c r="W415" i="5"/>
  <c r="V415" i="5"/>
  <c r="U415" i="5"/>
  <c r="O415" i="5"/>
  <c r="N415" i="5"/>
  <c r="M415" i="5"/>
  <c r="H415" i="5"/>
  <c r="G415" i="5"/>
  <c r="AP414" i="5"/>
  <c r="AX414" i="5"/>
  <c r="AM414" i="5"/>
  <c r="AL414" i="5"/>
  <c r="AK414" i="5"/>
  <c r="AE414" i="5"/>
  <c r="AD414" i="5"/>
  <c r="AC414" i="5"/>
  <c r="W414" i="5"/>
  <c r="V414" i="5"/>
  <c r="U414" i="5"/>
  <c r="O414" i="5"/>
  <c r="N414" i="5"/>
  <c r="M414" i="5"/>
  <c r="H414" i="5"/>
  <c r="G414" i="5"/>
  <c r="AP413" i="5"/>
  <c r="AX413" i="5"/>
  <c r="AL413" i="5"/>
  <c r="AK413" i="5"/>
  <c r="AD413" i="5"/>
  <c r="AC413" i="5"/>
  <c r="W413" i="5"/>
  <c r="V413" i="5"/>
  <c r="U413" i="5"/>
  <c r="O413" i="5"/>
  <c r="N413" i="5"/>
  <c r="M413" i="5"/>
  <c r="H413" i="5"/>
  <c r="G413" i="5"/>
  <c r="AP412" i="5"/>
  <c r="AX412" i="5"/>
  <c r="AM412" i="5"/>
  <c r="AL412" i="5"/>
  <c r="AK412" i="5"/>
  <c r="AD412" i="5"/>
  <c r="AC412" i="5"/>
  <c r="W412" i="5"/>
  <c r="V412" i="5"/>
  <c r="U412" i="5"/>
  <c r="O412" i="5"/>
  <c r="N412" i="5"/>
  <c r="M412" i="5"/>
  <c r="H412" i="5"/>
  <c r="G412" i="5"/>
  <c r="AP411" i="5"/>
  <c r="AX411" i="5"/>
  <c r="AM411" i="5"/>
  <c r="AL411" i="5"/>
  <c r="AK411" i="5"/>
  <c r="AE411" i="5"/>
  <c r="AD411" i="5"/>
  <c r="AC411" i="5"/>
  <c r="W411" i="5"/>
  <c r="V411" i="5"/>
  <c r="U411" i="5"/>
  <c r="O411" i="5"/>
  <c r="N411" i="5"/>
  <c r="M411" i="5"/>
  <c r="H411" i="5"/>
  <c r="G411" i="5"/>
  <c r="AP410" i="5"/>
  <c r="AX410" i="5"/>
  <c r="AM410" i="5"/>
  <c r="AL410" i="5"/>
  <c r="AK410" i="5"/>
  <c r="AE410" i="5"/>
  <c r="AD410" i="5"/>
  <c r="AC410" i="5"/>
  <c r="W410" i="5"/>
  <c r="V410" i="5"/>
  <c r="U410" i="5"/>
  <c r="O410" i="5"/>
  <c r="N410" i="5"/>
  <c r="M410" i="5"/>
  <c r="H410" i="5"/>
  <c r="G410" i="5"/>
  <c r="AP409" i="5"/>
  <c r="AX409" i="5"/>
  <c r="AL409" i="5"/>
  <c r="AK409" i="5"/>
  <c r="AD409" i="5"/>
  <c r="AC409" i="5"/>
  <c r="W409" i="5"/>
  <c r="V409" i="5"/>
  <c r="U409" i="5"/>
  <c r="N409" i="5"/>
  <c r="M409" i="5"/>
  <c r="H409" i="5"/>
  <c r="G409" i="5"/>
  <c r="AP408" i="5"/>
  <c r="AX408" i="5"/>
  <c r="AM408" i="5"/>
  <c r="AL408" i="5"/>
  <c r="AK408" i="5"/>
  <c r="AD408" i="5"/>
  <c r="AC408" i="5"/>
  <c r="W408" i="5"/>
  <c r="V408" i="5"/>
  <c r="U408" i="5"/>
  <c r="O408" i="5"/>
  <c r="N408" i="5"/>
  <c r="M408" i="5"/>
  <c r="H408" i="5"/>
  <c r="G408" i="5"/>
  <c r="AP407" i="5"/>
  <c r="AX407" i="5"/>
  <c r="AL407" i="5"/>
  <c r="AE407" i="5"/>
  <c r="AD407" i="5"/>
  <c r="W407" i="5"/>
  <c r="V407" i="5"/>
  <c r="U407" i="5"/>
  <c r="O407" i="5"/>
  <c r="N407" i="5"/>
  <c r="M407" i="5"/>
  <c r="H407" i="5"/>
  <c r="G407" i="5"/>
  <c r="AP406" i="5"/>
  <c r="AX406" i="5"/>
  <c r="AM406" i="5"/>
  <c r="AL406" i="5"/>
  <c r="AK406" i="5"/>
  <c r="AD406" i="5"/>
  <c r="AC406" i="5"/>
  <c r="W406" i="5"/>
  <c r="V406" i="5"/>
  <c r="U406" i="5"/>
  <c r="O406" i="5"/>
  <c r="N406" i="5"/>
  <c r="M406" i="5"/>
  <c r="H406" i="5"/>
  <c r="G406" i="5"/>
  <c r="AP405" i="5"/>
  <c r="AX405" i="5"/>
  <c r="AM405" i="5"/>
  <c r="AL405" i="5"/>
  <c r="AK405" i="5"/>
  <c r="AE405" i="5"/>
  <c r="AD405" i="5"/>
  <c r="AC405" i="5"/>
  <c r="W405" i="5"/>
  <c r="V405" i="5"/>
  <c r="U405" i="5"/>
  <c r="O405" i="5"/>
  <c r="N405" i="5"/>
  <c r="M405" i="5"/>
  <c r="H405" i="5"/>
  <c r="G405" i="5"/>
  <c r="AP404" i="5"/>
  <c r="AX404" i="5"/>
  <c r="AL404" i="5"/>
  <c r="AK404" i="5"/>
  <c r="AD404" i="5"/>
  <c r="AC404" i="5"/>
  <c r="W404" i="5"/>
  <c r="V404" i="5"/>
  <c r="U404" i="5"/>
  <c r="O404" i="5"/>
  <c r="N404" i="5"/>
  <c r="M404" i="5"/>
  <c r="H404" i="5"/>
  <c r="G404" i="5"/>
  <c r="AP403" i="5"/>
  <c r="AX403" i="5"/>
  <c r="AM403" i="5"/>
  <c r="AL403" i="5"/>
  <c r="AK403" i="5"/>
  <c r="AE403" i="5"/>
  <c r="AD403" i="5"/>
  <c r="AC403" i="5"/>
  <c r="W403" i="5"/>
  <c r="V403" i="5"/>
  <c r="U403" i="5"/>
  <c r="N403" i="5"/>
  <c r="M403" i="5"/>
  <c r="H403" i="5"/>
  <c r="G403" i="5"/>
  <c r="AP402" i="5"/>
  <c r="AX402" i="5"/>
  <c r="AM402" i="5"/>
  <c r="AL402" i="5"/>
  <c r="AK402" i="5"/>
  <c r="AE402" i="5"/>
  <c r="AD402" i="5"/>
  <c r="AC402" i="5"/>
  <c r="V402" i="5"/>
  <c r="U402" i="5"/>
  <c r="O402" i="5"/>
  <c r="N402" i="5"/>
  <c r="M402" i="5"/>
  <c r="H402" i="5"/>
  <c r="G402" i="5"/>
  <c r="AP401" i="5"/>
  <c r="AX401" i="5"/>
  <c r="AM401" i="5"/>
  <c r="AL401" i="5"/>
  <c r="AK401" i="5"/>
  <c r="AE401" i="5"/>
  <c r="AD401" i="5"/>
  <c r="AC401" i="5"/>
  <c r="W401" i="5"/>
  <c r="V401" i="5"/>
  <c r="U401" i="5"/>
  <c r="O401" i="5"/>
  <c r="N401" i="5"/>
  <c r="M401" i="5"/>
  <c r="H401" i="5"/>
  <c r="G401" i="5"/>
  <c r="AP400" i="5"/>
  <c r="AX400" i="5"/>
  <c r="AM400" i="5"/>
  <c r="AL400" i="5"/>
  <c r="AK400" i="5"/>
  <c r="AE400" i="5"/>
  <c r="AD400" i="5"/>
  <c r="AC400" i="5"/>
  <c r="W400" i="5"/>
  <c r="V400" i="5"/>
  <c r="U400" i="5"/>
  <c r="O400" i="5"/>
  <c r="N400" i="5"/>
  <c r="M400" i="5"/>
  <c r="H400" i="5"/>
  <c r="G400" i="5"/>
  <c r="AP399" i="5"/>
  <c r="AX399" i="5"/>
  <c r="AM399" i="5"/>
  <c r="AL399" i="5"/>
  <c r="AK399" i="5"/>
  <c r="AE399" i="5"/>
  <c r="AD399" i="5"/>
  <c r="AC399" i="5"/>
  <c r="W399" i="5"/>
  <c r="V399" i="5"/>
  <c r="U399" i="5"/>
  <c r="O399" i="5"/>
  <c r="N399" i="5"/>
  <c r="M399" i="5"/>
  <c r="H399" i="5"/>
  <c r="G399" i="5"/>
  <c r="AP398" i="5"/>
  <c r="AX398" i="5"/>
  <c r="AL398" i="5"/>
  <c r="AK398" i="5"/>
  <c r="AD398" i="5"/>
  <c r="AC398" i="5"/>
  <c r="W398" i="5"/>
  <c r="V398" i="5"/>
  <c r="U398" i="5"/>
  <c r="O398" i="5"/>
  <c r="N398" i="5"/>
  <c r="M398" i="5"/>
  <c r="H398" i="5"/>
  <c r="G398" i="5"/>
  <c r="AP397" i="5"/>
  <c r="AX397" i="5"/>
  <c r="AM397" i="5"/>
  <c r="AL397" i="5"/>
  <c r="AK397" i="5"/>
  <c r="AD397" i="5"/>
  <c r="AC397" i="5"/>
  <c r="V397" i="5"/>
  <c r="U397" i="5"/>
  <c r="O397" i="5"/>
  <c r="N397" i="5"/>
  <c r="M397" i="5"/>
  <c r="H397" i="5"/>
  <c r="G397" i="5"/>
  <c r="AP396" i="5"/>
  <c r="AX396" i="5"/>
  <c r="AM396" i="5"/>
  <c r="AL396" i="5"/>
  <c r="AK396" i="5"/>
  <c r="AD396" i="5"/>
  <c r="AC396" i="5"/>
  <c r="W396" i="5"/>
  <c r="V396" i="5"/>
  <c r="U396" i="5"/>
  <c r="O396" i="5"/>
  <c r="N396" i="5"/>
  <c r="M396" i="5"/>
  <c r="H396" i="5"/>
  <c r="G396" i="5"/>
  <c r="AP395" i="5"/>
  <c r="AX395" i="5"/>
  <c r="AM395" i="5"/>
  <c r="AL395" i="5"/>
  <c r="AK395" i="5"/>
  <c r="AE395" i="5"/>
  <c r="AD395" i="5"/>
  <c r="AC395" i="5"/>
  <c r="W395" i="5"/>
  <c r="V395" i="5"/>
  <c r="U395" i="5"/>
  <c r="O395" i="5"/>
  <c r="N395" i="5"/>
  <c r="M395" i="5"/>
  <c r="H395" i="5"/>
  <c r="G395" i="5"/>
  <c r="AP394" i="5"/>
  <c r="AX394" i="5"/>
  <c r="AM394" i="5"/>
  <c r="AL394" i="5"/>
  <c r="AK394" i="5"/>
  <c r="AD394" i="5"/>
  <c r="AC394" i="5"/>
  <c r="W394" i="5"/>
  <c r="V394" i="5"/>
  <c r="U394" i="5"/>
  <c r="O394" i="5"/>
  <c r="N394" i="5"/>
  <c r="M394" i="5"/>
  <c r="H394" i="5"/>
  <c r="G394" i="5"/>
  <c r="AP393" i="5"/>
  <c r="AX393" i="5"/>
  <c r="AM393" i="5"/>
  <c r="AL393" i="5"/>
  <c r="AK393" i="5"/>
  <c r="AE393" i="5"/>
  <c r="AD393" i="5"/>
  <c r="AC393" i="5"/>
  <c r="W393" i="5"/>
  <c r="V393" i="5"/>
  <c r="U393" i="5"/>
  <c r="O393" i="5"/>
  <c r="N393" i="5"/>
  <c r="M393" i="5"/>
  <c r="H393" i="5"/>
  <c r="G393" i="5"/>
  <c r="AP392" i="5"/>
  <c r="AX392" i="5"/>
  <c r="AM392" i="5"/>
  <c r="AL392" i="5"/>
  <c r="AK392" i="5"/>
  <c r="AE392" i="5"/>
  <c r="AD392" i="5"/>
  <c r="AC392" i="5"/>
  <c r="W392" i="5"/>
  <c r="V392" i="5"/>
  <c r="U392" i="5"/>
  <c r="O392" i="5"/>
  <c r="N392" i="5"/>
  <c r="M392" i="5"/>
  <c r="H392" i="5"/>
  <c r="G392" i="5"/>
  <c r="AP391" i="5"/>
  <c r="AX391" i="5"/>
  <c r="AM391" i="5"/>
  <c r="AL391" i="5"/>
  <c r="AK391" i="5"/>
  <c r="AE391" i="5"/>
  <c r="AD391" i="5"/>
  <c r="AC391" i="5"/>
  <c r="W391" i="5"/>
  <c r="V391" i="5"/>
  <c r="U391" i="5"/>
  <c r="O391" i="5"/>
  <c r="N391" i="5"/>
  <c r="M391" i="5"/>
  <c r="H391" i="5"/>
  <c r="G391" i="5"/>
  <c r="AP390" i="5"/>
  <c r="AX390" i="5"/>
  <c r="AL390" i="5"/>
  <c r="AK390" i="5"/>
  <c r="AE390" i="5"/>
  <c r="AD390" i="5"/>
  <c r="AC390" i="5"/>
  <c r="W390" i="5"/>
  <c r="V390" i="5"/>
  <c r="U390" i="5"/>
  <c r="O390" i="5"/>
  <c r="N390" i="5"/>
  <c r="M390" i="5"/>
  <c r="H390" i="5"/>
  <c r="G390" i="5"/>
  <c r="AP389" i="5"/>
  <c r="AX389" i="5"/>
  <c r="AL389" i="5"/>
  <c r="AE389" i="5"/>
  <c r="AD389" i="5"/>
  <c r="W389" i="5"/>
  <c r="V389" i="5"/>
  <c r="U389" i="5"/>
  <c r="O389" i="5"/>
  <c r="N389" i="5"/>
  <c r="M389" i="5"/>
  <c r="H389" i="5"/>
  <c r="G389" i="5"/>
  <c r="AP388" i="5"/>
  <c r="AX388" i="5"/>
  <c r="AM388" i="5"/>
  <c r="AL388" i="5"/>
  <c r="AK388" i="5"/>
  <c r="AE388" i="5"/>
  <c r="AD388" i="5"/>
  <c r="AC388" i="5"/>
  <c r="W388" i="5"/>
  <c r="V388" i="5"/>
  <c r="U388" i="5"/>
  <c r="O388" i="5"/>
  <c r="N388" i="5"/>
  <c r="M388" i="5"/>
  <c r="H388" i="5"/>
  <c r="G388" i="5"/>
  <c r="AP387" i="5"/>
  <c r="AX387" i="5"/>
  <c r="AM387" i="5"/>
  <c r="AL387" i="5"/>
  <c r="AK387" i="5"/>
  <c r="AE387" i="5"/>
  <c r="AD387" i="5"/>
  <c r="AC387" i="5"/>
  <c r="W387" i="5"/>
  <c r="V387" i="5"/>
  <c r="U387" i="5"/>
  <c r="O387" i="5"/>
  <c r="N387" i="5"/>
  <c r="M387" i="5"/>
  <c r="H387" i="5"/>
  <c r="G387" i="5"/>
  <c r="AP386" i="5"/>
  <c r="AX386" i="5"/>
  <c r="AM386" i="5"/>
  <c r="AL386" i="5"/>
  <c r="AE386" i="5"/>
  <c r="AD386" i="5"/>
  <c r="W386" i="5"/>
  <c r="V386" i="5"/>
  <c r="O386" i="5"/>
  <c r="N386" i="5"/>
  <c r="M386" i="5"/>
  <c r="H386" i="5"/>
  <c r="G386" i="5"/>
  <c r="AP385" i="5"/>
  <c r="AX385" i="5"/>
  <c r="AL385" i="5"/>
  <c r="AK385" i="5"/>
  <c r="AE385" i="5"/>
  <c r="AD385" i="5"/>
  <c r="AC385" i="5"/>
  <c r="W385" i="5"/>
  <c r="V385" i="5"/>
  <c r="U385" i="5"/>
  <c r="O385" i="5"/>
  <c r="N385" i="5"/>
  <c r="M385" i="5"/>
  <c r="H385" i="5"/>
  <c r="G385" i="5"/>
  <c r="AP384" i="5"/>
  <c r="AX384" i="5"/>
  <c r="AM384" i="5"/>
  <c r="AL384" i="5"/>
  <c r="AE384" i="5"/>
  <c r="AD384" i="5"/>
  <c r="W384" i="5"/>
  <c r="V384" i="5"/>
  <c r="O384" i="5"/>
  <c r="N384" i="5"/>
  <c r="H384" i="5"/>
  <c r="G384" i="5"/>
  <c r="AP383" i="5"/>
  <c r="AX383" i="5"/>
  <c r="AM383" i="5"/>
  <c r="AL383" i="5"/>
  <c r="AK383" i="5"/>
  <c r="AE383" i="5"/>
  <c r="AD383" i="5"/>
  <c r="AC383" i="5"/>
  <c r="W383" i="5"/>
  <c r="V383" i="5"/>
  <c r="U383" i="5"/>
  <c r="O383" i="5"/>
  <c r="N383" i="5"/>
  <c r="M383" i="5"/>
  <c r="H383" i="5"/>
  <c r="G383" i="5"/>
  <c r="AP382" i="5"/>
  <c r="AX382" i="5"/>
  <c r="AM382" i="5"/>
  <c r="AL382" i="5"/>
  <c r="AK382" i="5"/>
  <c r="AE382" i="5"/>
  <c r="AD382" i="5"/>
  <c r="AC382" i="5"/>
  <c r="W382" i="5"/>
  <c r="V382" i="5"/>
  <c r="O382" i="5"/>
  <c r="N382" i="5"/>
  <c r="M382" i="5"/>
  <c r="H382" i="5"/>
  <c r="G382" i="5"/>
  <c r="AP381" i="5"/>
  <c r="AX381" i="5"/>
  <c r="AM381" i="5"/>
  <c r="AL381" i="5"/>
  <c r="AK381" i="5"/>
  <c r="AE381" i="5"/>
  <c r="AD381" i="5"/>
  <c r="AC381" i="5"/>
  <c r="W381" i="5"/>
  <c r="V381" i="5"/>
  <c r="O381" i="5"/>
  <c r="N381" i="5"/>
  <c r="H381" i="5"/>
  <c r="G381" i="5"/>
  <c r="AP380" i="5"/>
  <c r="AX380" i="5"/>
  <c r="AM380" i="5"/>
  <c r="AL380" i="5"/>
  <c r="AE380" i="5"/>
  <c r="AD380" i="5"/>
  <c r="W380" i="5"/>
  <c r="V380" i="5"/>
  <c r="U380" i="5"/>
  <c r="O380" i="5"/>
  <c r="N380" i="5"/>
  <c r="M380" i="5"/>
  <c r="H380" i="5"/>
  <c r="G380" i="5"/>
  <c r="AP379" i="5"/>
  <c r="AX379" i="5"/>
  <c r="AM379" i="5"/>
  <c r="AL379" i="5"/>
  <c r="AK379" i="5"/>
  <c r="AE379" i="5"/>
  <c r="AD379" i="5"/>
  <c r="AC379" i="5"/>
  <c r="W379" i="5"/>
  <c r="V379" i="5"/>
  <c r="U379" i="5"/>
  <c r="O379" i="5"/>
  <c r="N379" i="5"/>
  <c r="M379" i="5"/>
  <c r="H379" i="5"/>
  <c r="G379" i="5"/>
  <c r="AP378" i="5"/>
  <c r="AX378" i="5"/>
  <c r="AM378" i="5"/>
  <c r="AL378" i="5"/>
  <c r="AK378" i="5"/>
  <c r="AE378" i="5"/>
  <c r="AD378" i="5"/>
  <c r="AC378" i="5"/>
  <c r="W378" i="5"/>
  <c r="V378" i="5"/>
  <c r="U378" i="5"/>
  <c r="O378" i="5"/>
  <c r="N378" i="5"/>
  <c r="M378" i="5"/>
  <c r="H378" i="5"/>
  <c r="G378" i="5"/>
  <c r="BF377" i="5"/>
  <c r="AP377" i="5"/>
  <c r="AX377" i="5"/>
  <c r="AM377" i="5"/>
  <c r="AL377" i="5"/>
  <c r="AK377" i="5"/>
  <c r="AE377" i="5"/>
  <c r="AD377" i="5"/>
  <c r="AC377" i="5"/>
  <c r="W377" i="5"/>
  <c r="V377" i="5"/>
  <c r="U377" i="5"/>
  <c r="O377" i="5"/>
  <c r="N377" i="5"/>
  <c r="M377" i="5"/>
  <c r="H377" i="5"/>
  <c r="G377" i="5"/>
  <c r="BG376" i="5"/>
  <c r="BF376" i="5"/>
  <c r="AP376" i="5"/>
  <c r="AX376" i="5"/>
  <c r="AL376" i="5"/>
  <c r="AK376" i="5"/>
  <c r="AD376" i="5"/>
  <c r="AC376" i="5"/>
  <c r="V376" i="5"/>
  <c r="U376" i="5"/>
  <c r="O376" i="5"/>
  <c r="N376" i="5"/>
  <c r="M376" i="5"/>
  <c r="H376" i="5"/>
  <c r="G376" i="5"/>
  <c r="BG375" i="5"/>
  <c r="BF375" i="5"/>
  <c r="AP375" i="5"/>
  <c r="AX375" i="5"/>
  <c r="AL375" i="5"/>
  <c r="AK375" i="5"/>
  <c r="AD375" i="5"/>
  <c r="AC375" i="5"/>
  <c r="V375" i="5"/>
  <c r="U375" i="5"/>
  <c r="O375" i="5"/>
  <c r="N375" i="5"/>
  <c r="M375" i="5"/>
  <c r="H375" i="5"/>
  <c r="G375" i="5"/>
  <c r="BG374" i="5"/>
  <c r="BF374" i="5"/>
  <c r="AP374" i="5"/>
  <c r="AX374" i="5"/>
  <c r="AM374" i="5"/>
  <c r="AL374" i="5"/>
  <c r="AK374" i="5"/>
  <c r="AE374" i="5"/>
  <c r="AD374" i="5"/>
  <c r="AC374" i="5"/>
  <c r="W374" i="5"/>
  <c r="V374" i="5"/>
  <c r="U374" i="5"/>
  <c r="O374" i="5"/>
  <c r="N374" i="5"/>
  <c r="M374" i="5"/>
  <c r="H374" i="5"/>
  <c r="G374" i="5"/>
  <c r="BG373" i="5"/>
  <c r="BF373" i="5"/>
  <c r="AP373" i="5"/>
  <c r="AX373" i="5"/>
  <c r="AM373" i="5"/>
  <c r="AL373" i="5"/>
  <c r="AK373" i="5"/>
  <c r="AE373" i="5"/>
  <c r="AD373" i="5"/>
  <c r="AC373" i="5"/>
  <c r="W373" i="5"/>
  <c r="V373" i="5"/>
  <c r="U373" i="5"/>
  <c r="O373" i="5"/>
  <c r="N373" i="5"/>
  <c r="M373" i="5"/>
  <c r="H373" i="5"/>
  <c r="G373" i="5"/>
  <c r="BG372" i="5"/>
  <c r="BF372" i="5"/>
  <c r="AP372" i="5"/>
  <c r="AX372" i="5"/>
  <c r="AM372" i="5"/>
  <c r="AL372" i="5"/>
  <c r="AK372" i="5"/>
  <c r="AE372" i="5"/>
  <c r="AD372" i="5"/>
  <c r="AC372" i="5"/>
  <c r="W372" i="5"/>
  <c r="V372" i="5"/>
  <c r="U372" i="5"/>
  <c r="O372" i="5"/>
  <c r="N372" i="5"/>
  <c r="M372" i="5"/>
  <c r="H372" i="5"/>
  <c r="G372" i="5"/>
  <c r="BF371" i="5"/>
  <c r="AP371" i="5"/>
  <c r="AX371" i="5"/>
  <c r="AM371" i="5"/>
  <c r="AL371" i="5"/>
  <c r="AK371" i="5"/>
  <c r="AE371" i="5"/>
  <c r="AD371" i="5"/>
  <c r="AC371" i="5"/>
  <c r="W371" i="5"/>
  <c r="V371" i="5"/>
  <c r="U371" i="5"/>
  <c r="O371" i="5"/>
  <c r="N371" i="5"/>
  <c r="M371" i="5"/>
  <c r="H371" i="5"/>
  <c r="G371" i="5"/>
  <c r="BG370" i="5"/>
  <c r="BF370" i="5"/>
  <c r="AP370" i="5"/>
  <c r="AX370" i="5"/>
  <c r="AM370" i="5"/>
  <c r="AL370" i="5"/>
  <c r="AK370" i="5"/>
  <c r="AE370" i="5"/>
  <c r="AD370" i="5"/>
  <c r="AC370" i="5"/>
  <c r="W370" i="5"/>
  <c r="V370" i="5"/>
  <c r="U370" i="5"/>
  <c r="O370" i="5"/>
  <c r="N370" i="5"/>
  <c r="M370" i="5"/>
  <c r="H370" i="5"/>
  <c r="G370" i="5"/>
  <c r="BG369" i="5"/>
  <c r="BF369" i="5"/>
  <c r="AP369" i="5"/>
  <c r="AX369" i="5"/>
  <c r="AM369" i="5"/>
  <c r="AL369" i="5"/>
  <c r="AK369" i="5"/>
  <c r="AE369" i="5"/>
  <c r="AD369" i="5"/>
  <c r="AC369" i="5"/>
  <c r="W369" i="5"/>
  <c r="V369" i="5"/>
  <c r="U369" i="5"/>
  <c r="O369" i="5"/>
  <c r="N369" i="5"/>
  <c r="M369" i="5"/>
  <c r="H369" i="5"/>
  <c r="G369" i="5"/>
  <c r="BG368" i="5"/>
  <c r="BF368" i="5"/>
  <c r="AP368" i="5"/>
  <c r="AX368" i="5"/>
  <c r="AM368" i="5"/>
  <c r="AL368" i="5"/>
  <c r="AK368" i="5"/>
  <c r="AE368" i="5"/>
  <c r="AD368" i="5"/>
  <c r="AC368" i="5"/>
  <c r="W368" i="5"/>
  <c r="V368" i="5"/>
  <c r="U368" i="5"/>
  <c r="O368" i="5"/>
  <c r="N368" i="5"/>
  <c r="M368" i="5"/>
  <c r="H368" i="5"/>
  <c r="G368" i="5"/>
  <c r="BF367" i="5"/>
  <c r="AP367" i="5"/>
  <c r="AX367" i="5"/>
  <c r="AL367" i="5"/>
  <c r="AK367" i="5"/>
  <c r="AD367" i="5"/>
  <c r="AC367" i="5"/>
  <c r="W367" i="5"/>
  <c r="V367" i="5"/>
  <c r="U367" i="5"/>
  <c r="O367" i="5"/>
  <c r="N367" i="5"/>
  <c r="M367" i="5"/>
  <c r="H367" i="5"/>
  <c r="G367" i="5"/>
  <c r="BG366" i="5"/>
  <c r="BF366" i="5"/>
  <c r="AP366" i="5"/>
  <c r="AX366" i="5"/>
  <c r="AL366" i="5"/>
  <c r="AD366" i="5"/>
  <c r="W366" i="5"/>
  <c r="V366" i="5"/>
  <c r="U366" i="5"/>
  <c r="O366" i="5"/>
  <c r="N366" i="5"/>
  <c r="M366" i="5"/>
  <c r="H366" i="5"/>
  <c r="G366" i="5"/>
  <c r="BG365" i="5"/>
  <c r="BF365" i="5"/>
  <c r="AP365" i="5"/>
  <c r="AX365" i="5"/>
  <c r="AL365" i="5"/>
  <c r="AK365" i="5"/>
  <c r="AD365" i="5"/>
  <c r="AC365" i="5"/>
  <c r="W365" i="5"/>
  <c r="V365" i="5"/>
  <c r="U365" i="5"/>
  <c r="O365" i="5"/>
  <c r="N365" i="5"/>
  <c r="M365" i="5"/>
  <c r="H365" i="5"/>
  <c r="G365" i="5"/>
  <c r="BG364" i="5"/>
  <c r="BF364" i="5"/>
  <c r="AP364" i="5"/>
  <c r="AX364" i="5"/>
  <c r="AM364" i="5"/>
  <c r="AL364" i="5"/>
  <c r="AK364" i="5"/>
  <c r="AE364" i="5"/>
  <c r="AD364" i="5"/>
  <c r="AC364" i="5"/>
  <c r="W364" i="5"/>
  <c r="V364" i="5"/>
  <c r="U364" i="5"/>
  <c r="O364" i="5"/>
  <c r="N364" i="5"/>
  <c r="M364" i="5"/>
  <c r="H364" i="5"/>
  <c r="G364" i="5"/>
  <c r="BG363" i="5"/>
  <c r="BF363" i="5"/>
  <c r="AP363" i="5"/>
  <c r="AX363" i="5"/>
  <c r="AM363" i="5"/>
  <c r="AL363" i="5"/>
  <c r="AK363" i="5"/>
  <c r="AE363" i="5"/>
  <c r="AD363" i="5"/>
  <c r="AC363" i="5"/>
  <c r="W363" i="5"/>
  <c r="V363" i="5"/>
  <c r="U363" i="5"/>
  <c r="O363" i="5"/>
  <c r="N363" i="5"/>
  <c r="M363" i="5"/>
  <c r="H363" i="5"/>
  <c r="G363" i="5"/>
  <c r="BG362" i="5"/>
  <c r="BF362" i="5"/>
  <c r="AP362" i="5"/>
  <c r="AX362" i="5"/>
  <c r="AM362" i="5"/>
  <c r="AL362" i="5"/>
  <c r="AK362" i="5"/>
  <c r="AE362" i="5"/>
  <c r="AD362" i="5"/>
  <c r="AC362" i="5"/>
  <c r="W362" i="5"/>
  <c r="V362" i="5"/>
  <c r="U362" i="5"/>
  <c r="O362" i="5"/>
  <c r="N362" i="5"/>
  <c r="M362" i="5"/>
  <c r="H362" i="5"/>
  <c r="G362" i="5"/>
  <c r="BG361" i="5"/>
  <c r="BF361" i="5"/>
  <c r="AP361" i="5"/>
  <c r="AX361" i="5"/>
  <c r="AM361" i="5"/>
  <c r="AL361" i="5"/>
  <c r="AK361" i="5"/>
  <c r="AE361" i="5"/>
  <c r="AD361" i="5"/>
  <c r="AC361" i="5"/>
  <c r="W361" i="5"/>
  <c r="V361" i="5"/>
  <c r="U361" i="5"/>
  <c r="O361" i="5"/>
  <c r="N361" i="5"/>
  <c r="M361" i="5"/>
  <c r="H361" i="5"/>
  <c r="G361" i="5"/>
  <c r="BG360" i="5"/>
  <c r="BF360" i="5"/>
  <c r="BG359" i="5"/>
  <c r="BF359" i="5"/>
  <c r="AP359" i="5"/>
  <c r="AX359" i="5"/>
  <c r="AM359" i="5"/>
  <c r="AL359" i="5"/>
  <c r="AK359" i="5"/>
  <c r="AE359" i="5"/>
  <c r="AD359" i="5"/>
  <c r="AC359" i="5"/>
  <c r="W359" i="5"/>
  <c r="V359" i="5"/>
  <c r="U359" i="5"/>
  <c r="O359" i="5"/>
  <c r="N359" i="5"/>
  <c r="M359" i="5"/>
  <c r="H359" i="5"/>
  <c r="G359" i="5"/>
  <c r="BG358" i="5"/>
  <c r="BF358" i="5"/>
  <c r="AP358" i="5"/>
  <c r="AX358" i="5"/>
  <c r="AM358" i="5"/>
  <c r="AL358" i="5"/>
  <c r="AK358" i="5"/>
  <c r="AE358" i="5"/>
  <c r="AD358" i="5"/>
  <c r="AC358" i="5"/>
  <c r="W358" i="5"/>
  <c r="V358" i="5"/>
  <c r="U358" i="5"/>
  <c r="O358" i="5"/>
  <c r="N358" i="5"/>
  <c r="M358" i="5"/>
  <c r="H358" i="5"/>
  <c r="G358" i="5"/>
  <c r="BG357" i="5"/>
  <c r="BF357" i="5"/>
  <c r="AP357" i="5"/>
  <c r="AX357" i="5"/>
  <c r="AM357" i="5"/>
  <c r="AL357" i="5"/>
  <c r="AK357" i="5"/>
  <c r="AE357" i="5"/>
  <c r="AD357" i="5"/>
  <c r="AC357" i="5"/>
  <c r="W357" i="5"/>
  <c r="V357" i="5"/>
  <c r="U357" i="5"/>
  <c r="O357" i="5"/>
  <c r="N357" i="5"/>
  <c r="M357" i="5"/>
  <c r="H357" i="5"/>
  <c r="G357" i="5"/>
  <c r="BG356" i="5"/>
  <c r="BF356" i="5"/>
  <c r="AP356" i="5"/>
  <c r="AX356" i="5"/>
  <c r="AM356" i="5"/>
  <c r="AL356" i="5"/>
  <c r="AK356" i="5"/>
  <c r="AE356" i="5"/>
  <c r="AD356" i="5"/>
  <c r="AC356" i="5"/>
  <c r="W356" i="5"/>
  <c r="V356" i="5"/>
  <c r="U356" i="5"/>
  <c r="O356" i="5"/>
  <c r="N356" i="5"/>
  <c r="M356" i="5"/>
  <c r="H356" i="5"/>
  <c r="G356" i="5"/>
  <c r="BG355" i="5"/>
  <c r="BF355" i="5"/>
  <c r="AP355" i="5"/>
  <c r="AX355" i="5"/>
  <c r="AM355" i="5"/>
  <c r="AL355" i="5"/>
  <c r="AK355" i="5"/>
  <c r="AE355" i="5"/>
  <c r="AD355" i="5"/>
  <c r="AC355" i="5"/>
  <c r="W355" i="5"/>
  <c r="V355" i="5"/>
  <c r="U355" i="5"/>
  <c r="O355" i="5"/>
  <c r="N355" i="5"/>
  <c r="M355" i="5"/>
  <c r="H355" i="5"/>
  <c r="G355" i="5"/>
  <c r="BG354" i="5"/>
  <c r="BF354" i="5"/>
  <c r="AP354" i="5"/>
  <c r="AX354" i="5"/>
  <c r="AM354" i="5"/>
  <c r="AL354" i="5"/>
  <c r="AK354" i="5"/>
  <c r="AD354" i="5"/>
  <c r="AC354" i="5"/>
  <c r="W354" i="5"/>
  <c r="V354" i="5"/>
  <c r="U354" i="5"/>
  <c r="O354" i="5"/>
  <c r="N354" i="5"/>
  <c r="M354" i="5"/>
  <c r="H354" i="5"/>
  <c r="G354" i="5"/>
  <c r="BG353" i="5"/>
  <c r="BF353" i="5"/>
  <c r="AP353" i="5"/>
  <c r="AX353" i="5"/>
  <c r="AM353" i="5"/>
  <c r="AL353" i="5"/>
  <c r="AK353" i="5"/>
  <c r="AE353" i="5"/>
  <c r="AD353" i="5"/>
  <c r="AC353" i="5"/>
  <c r="W353" i="5"/>
  <c r="V353" i="5"/>
  <c r="U353" i="5"/>
  <c r="O353" i="5"/>
  <c r="N353" i="5"/>
  <c r="M353" i="5"/>
  <c r="H353" i="5"/>
  <c r="G353" i="5"/>
  <c r="AP352" i="5"/>
  <c r="AX352" i="5"/>
  <c r="AM352" i="5"/>
  <c r="AL352" i="5"/>
  <c r="AK352" i="5"/>
  <c r="AE352" i="5"/>
  <c r="AD352" i="5"/>
  <c r="AC352" i="5"/>
  <c r="W352" i="5"/>
  <c r="V352" i="5"/>
  <c r="U352" i="5"/>
  <c r="O352" i="5"/>
  <c r="N352" i="5"/>
  <c r="M352" i="5"/>
  <c r="H352" i="5"/>
  <c r="G352" i="5"/>
  <c r="AP351" i="5"/>
  <c r="AX351" i="5"/>
  <c r="AM351" i="5"/>
  <c r="AL351" i="5"/>
  <c r="AK351" i="5"/>
  <c r="AE351" i="5"/>
  <c r="AD351" i="5"/>
  <c r="AC351" i="5"/>
  <c r="W351" i="5"/>
  <c r="V351" i="5"/>
  <c r="U351" i="5"/>
  <c r="O351" i="5"/>
  <c r="N351" i="5"/>
  <c r="M351" i="5"/>
  <c r="H351" i="5"/>
  <c r="G351" i="5"/>
  <c r="AP350" i="5"/>
  <c r="AX350" i="5"/>
  <c r="AM350" i="5"/>
  <c r="AL350" i="5"/>
  <c r="AK350" i="5"/>
  <c r="AE350" i="5"/>
  <c r="AD350" i="5"/>
  <c r="AC350" i="5"/>
  <c r="W350" i="5"/>
  <c r="V350" i="5"/>
  <c r="U350" i="5"/>
  <c r="O350" i="5"/>
  <c r="N350" i="5"/>
  <c r="M350" i="5"/>
  <c r="H350" i="5"/>
  <c r="G350" i="5"/>
  <c r="AX338" i="5"/>
  <c r="AW338" i="5"/>
  <c r="AV338" i="5"/>
  <c r="AU338" i="5"/>
  <c r="AT338" i="5"/>
  <c r="AS338" i="5"/>
  <c r="AX330" i="5"/>
  <c r="AP330" i="5"/>
  <c r="AM330" i="5"/>
  <c r="AL330" i="5"/>
  <c r="AK330" i="5"/>
  <c r="AE330" i="5"/>
  <c r="AD330" i="5"/>
  <c r="AC330" i="5"/>
  <c r="W330" i="5"/>
  <c r="V330" i="5"/>
  <c r="U330" i="5"/>
  <c r="O330" i="5"/>
  <c r="N330" i="5"/>
  <c r="M330" i="5"/>
  <c r="H330" i="5"/>
  <c r="G330" i="5"/>
  <c r="AX329" i="5"/>
  <c r="AP329" i="5"/>
  <c r="AM329" i="5"/>
  <c r="AL329" i="5"/>
  <c r="AK329" i="5"/>
  <c r="AE329" i="5"/>
  <c r="AD329" i="5"/>
  <c r="AC329" i="5"/>
  <c r="W329" i="5"/>
  <c r="V329" i="5"/>
  <c r="U329" i="5"/>
  <c r="O329" i="5"/>
  <c r="N329" i="5"/>
  <c r="M329" i="5"/>
  <c r="H329" i="5"/>
  <c r="G329" i="5"/>
  <c r="AP328" i="5"/>
  <c r="AX328" i="5"/>
  <c r="AM328" i="5"/>
  <c r="AL328" i="5"/>
  <c r="AK328" i="5"/>
  <c r="AE328" i="5"/>
  <c r="AD328" i="5"/>
  <c r="AC328" i="5"/>
  <c r="W328" i="5"/>
  <c r="V328" i="5"/>
  <c r="U328" i="5"/>
  <c r="O328" i="5"/>
  <c r="N328" i="5"/>
  <c r="M328" i="5"/>
  <c r="H328" i="5"/>
  <c r="G328" i="5"/>
  <c r="AX327" i="5"/>
  <c r="AP327" i="5"/>
  <c r="AM327" i="5"/>
  <c r="AL327" i="5"/>
  <c r="AK327" i="5"/>
  <c r="AE327" i="5"/>
  <c r="AD327" i="5"/>
  <c r="AC327" i="5"/>
  <c r="W327" i="5"/>
  <c r="V327" i="5"/>
  <c r="U327" i="5"/>
  <c r="O327" i="5"/>
  <c r="N327" i="5"/>
  <c r="M327" i="5"/>
  <c r="H327" i="5"/>
  <c r="G327" i="5"/>
  <c r="AX326" i="5"/>
  <c r="AP326" i="5"/>
  <c r="AM326" i="5"/>
  <c r="AL326" i="5"/>
  <c r="AK326" i="5"/>
  <c r="AE326" i="5"/>
  <c r="AD326" i="5"/>
  <c r="AC326" i="5"/>
  <c r="W326" i="5"/>
  <c r="V326" i="5"/>
  <c r="U326" i="5"/>
  <c r="O326" i="5"/>
  <c r="N326" i="5"/>
  <c r="M326" i="5"/>
  <c r="H326" i="5"/>
  <c r="G326" i="5"/>
  <c r="AP325" i="5"/>
  <c r="AX325" i="5"/>
  <c r="AM325" i="5"/>
  <c r="AL325" i="5"/>
  <c r="AK325" i="5"/>
  <c r="AE325" i="5"/>
  <c r="AD325" i="5"/>
  <c r="AC325" i="5"/>
  <c r="W325" i="5"/>
  <c r="V325" i="5"/>
  <c r="U325" i="5"/>
  <c r="O325" i="5"/>
  <c r="N325" i="5"/>
  <c r="M325" i="5"/>
  <c r="H325" i="5"/>
  <c r="G325" i="5"/>
  <c r="AX324" i="5"/>
  <c r="AP324" i="5"/>
  <c r="AM324" i="5"/>
  <c r="AL324" i="5"/>
  <c r="AK324" i="5"/>
  <c r="AE324" i="5"/>
  <c r="AD324" i="5"/>
  <c r="AC324" i="5"/>
  <c r="W324" i="5"/>
  <c r="V324" i="5"/>
  <c r="U324" i="5"/>
  <c r="O324" i="5"/>
  <c r="N324" i="5"/>
  <c r="M324" i="5"/>
  <c r="H324" i="5"/>
  <c r="G324" i="5"/>
  <c r="AX323" i="5"/>
  <c r="AP323" i="5"/>
  <c r="AM323" i="5"/>
  <c r="AL323" i="5"/>
  <c r="AK323" i="5"/>
  <c r="AE323" i="5"/>
  <c r="AD323" i="5"/>
  <c r="AC323" i="5"/>
  <c r="W323" i="5"/>
  <c r="V323" i="5"/>
  <c r="U323" i="5"/>
  <c r="O323" i="5"/>
  <c r="N323" i="5"/>
  <c r="M323" i="5"/>
  <c r="H323" i="5"/>
  <c r="G323" i="5"/>
  <c r="AM322" i="5"/>
  <c r="AL322" i="5"/>
  <c r="AK322" i="5"/>
  <c r="AE322" i="5"/>
  <c r="AD322" i="5"/>
  <c r="AC322" i="5"/>
  <c r="W322" i="5"/>
  <c r="V322" i="5"/>
  <c r="U322" i="5"/>
  <c r="O322" i="5"/>
  <c r="N322" i="5"/>
  <c r="M322" i="5"/>
  <c r="E322" i="5"/>
  <c r="D322" i="5"/>
  <c r="AM320" i="5"/>
  <c r="AL320" i="5"/>
  <c r="AK320" i="5"/>
  <c r="AE320" i="5"/>
  <c r="AD320" i="5"/>
  <c r="AC320" i="5"/>
  <c r="W320" i="5"/>
  <c r="V320" i="5"/>
  <c r="U320" i="5"/>
  <c r="O320" i="5"/>
  <c r="N320" i="5"/>
  <c r="M320" i="5"/>
  <c r="E320" i="5"/>
  <c r="D320" i="5"/>
  <c r="AP318" i="5"/>
  <c r="AX318" i="5"/>
  <c r="AM318" i="5"/>
  <c r="AL318" i="5"/>
  <c r="AK318" i="5"/>
  <c r="AE318" i="5"/>
  <c r="AD318" i="5"/>
  <c r="AC318" i="5"/>
  <c r="W318" i="5"/>
  <c r="V318" i="5"/>
  <c r="U318" i="5"/>
  <c r="O318" i="5"/>
  <c r="N318" i="5"/>
  <c r="M318" i="5"/>
  <c r="H318" i="5"/>
  <c r="G318" i="5"/>
  <c r="AP317" i="5"/>
  <c r="AX317" i="5"/>
  <c r="AM317" i="5"/>
  <c r="AL317" i="5"/>
  <c r="AK317" i="5"/>
  <c r="AE317" i="5"/>
  <c r="AD317" i="5"/>
  <c r="AC317" i="5"/>
  <c r="W317" i="5"/>
  <c r="V317" i="5"/>
  <c r="U317" i="5"/>
  <c r="O317" i="5"/>
  <c r="N317" i="5"/>
  <c r="M317" i="5"/>
  <c r="H317" i="5"/>
  <c r="G317" i="5"/>
  <c r="AP316" i="5"/>
  <c r="AX316" i="5"/>
  <c r="AM316" i="5"/>
  <c r="AL316" i="5"/>
  <c r="AK316" i="5"/>
  <c r="AE316" i="5"/>
  <c r="AD316" i="5"/>
  <c r="AC316" i="5"/>
  <c r="W316" i="5"/>
  <c r="V316" i="5"/>
  <c r="U316" i="5"/>
  <c r="O316" i="5"/>
  <c r="N316" i="5"/>
  <c r="M316" i="5"/>
  <c r="H316" i="5"/>
  <c r="G316" i="5"/>
  <c r="AP314" i="5"/>
  <c r="AX314" i="5"/>
  <c r="AM314" i="5"/>
  <c r="AL314" i="5"/>
  <c r="AK314" i="5"/>
  <c r="AE314" i="5"/>
  <c r="AD314" i="5"/>
  <c r="AC314" i="5"/>
  <c r="W314" i="5"/>
  <c r="V314" i="5"/>
  <c r="U314" i="5"/>
  <c r="O314" i="5"/>
  <c r="N314" i="5"/>
  <c r="M314" i="5"/>
  <c r="H314" i="5"/>
  <c r="G314" i="5"/>
  <c r="AP313" i="5"/>
  <c r="AX313" i="5"/>
  <c r="AM313" i="5"/>
  <c r="AL313" i="5"/>
  <c r="AK313" i="5"/>
  <c r="AE313" i="5"/>
  <c r="AD313" i="5"/>
  <c r="AC313" i="5"/>
  <c r="W313" i="5"/>
  <c r="V313" i="5"/>
  <c r="U313" i="5"/>
  <c r="O313" i="5"/>
  <c r="N313" i="5"/>
  <c r="M313" i="5"/>
  <c r="H313" i="5"/>
  <c r="G313" i="5"/>
  <c r="AP307" i="5"/>
  <c r="AX307" i="5"/>
  <c r="AM307" i="5"/>
  <c r="AL307" i="5"/>
  <c r="AK307" i="5"/>
  <c r="AE307" i="5"/>
  <c r="AD307" i="5"/>
  <c r="AC307" i="5"/>
  <c r="W307" i="5"/>
  <c r="V307" i="5"/>
  <c r="U307" i="5"/>
  <c r="O307" i="5"/>
  <c r="N307" i="5"/>
  <c r="M307" i="5"/>
  <c r="H307" i="5"/>
  <c r="G307" i="5"/>
  <c r="AP306" i="5"/>
  <c r="AX306" i="5"/>
  <c r="AM306" i="5"/>
  <c r="AL306" i="5"/>
  <c r="AK306" i="5"/>
  <c r="AE306" i="5"/>
  <c r="AD306" i="5"/>
  <c r="AC306" i="5"/>
  <c r="W306" i="5"/>
  <c r="V306" i="5"/>
  <c r="U306" i="5"/>
  <c r="O306" i="5"/>
  <c r="N306" i="5"/>
  <c r="M306" i="5"/>
  <c r="H306" i="5"/>
  <c r="G306" i="5"/>
  <c r="AP305" i="5"/>
  <c r="AX305" i="5"/>
  <c r="AM305" i="5"/>
  <c r="AL305" i="5"/>
  <c r="AK305" i="5"/>
  <c r="AE305" i="5"/>
  <c r="AD305" i="5"/>
  <c r="AC305" i="5"/>
  <c r="W305" i="5"/>
  <c r="V305" i="5"/>
  <c r="U305" i="5"/>
  <c r="O305" i="5"/>
  <c r="N305" i="5"/>
  <c r="M305" i="5"/>
  <c r="H305" i="5"/>
  <c r="G305" i="5"/>
  <c r="AP300" i="5"/>
  <c r="AX300" i="5"/>
  <c r="AM300" i="5"/>
  <c r="AL300" i="5"/>
  <c r="AK300" i="5"/>
  <c r="AE300" i="5"/>
  <c r="AD300" i="5"/>
  <c r="AC300" i="5"/>
  <c r="W300" i="5"/>
  <c r="V300" i="5"/>
  <c r="U300" i="5"/>
  <c r="O300" i="5"/>
  <c r="N300" i="5"/>
  <c r="M300" i="5"/>
  <c r="H300" i="5"/>
  <c r="G300" i="5"/>
  <c r="AP299" i="5"/>
  <c r="AX299" i="5"/>
  <c r="AM299" i="5"/>
  <c r="AL299" i="5"/>
  <c r="AK299" i="5"/>
  <c r="AE299" i="5"/>
  <c r="AD299" i="5"/>
  <c r="AC299" i="5"/>
  <c r="W299" i="5"/>
  <c r="V299" i="5"/>
  <c r="U299" i="5"/>
  <c r="O299" i="5"/>
  <c r="N299" i="5"/>
  <c r="M299" i="5"/>
  <c r="H299" i="5"/>
  <c r="G299" i="5"/>
  <c r="AP298" i="5"/>
  <c r="AX298" i="5"/>
  <c r="AM298" i="5"/>
  <c r="AL298" i="5"/>
  <c r="AK298" i="5"/>
  <c r="AE298" i="5"/>
  <c r="AD298" i="5"/>
  <c r="AC298" i="5"/>
  <c r="W298" i="5"/>
  <c r="V298" i="5"/>
  <c r="U298" i="5"/>
  <c r="O298" i="5"/>
  <c r="N298" i="5"/>
  <c r="M298" i="5"/>
  <c r="H298" i="5"/>
  <c r="G298" i="5"/>
  <c r="AP297" i="5"/>
  <c r="AX297" i="5"/>
  <c r="AM297" i="5"/>
  <c r="AL297" i="5"/>
  <c r="AK297" i="5"/>
  <c r="AE297" i="5"/>
  <c r="AD297" i="5"/>
  <c r="AC297" i="5"/>
  <c r="W297" i="5"/>
  <c r="V297" i="5"/>
  <c r="U297" i="5"/>
  <c r="O297" i="5"/>
  <c r="N297" i="5"/>
  <c r="M297" i="5"/>
  <c r="H297" i="5"/>
  <c r="G297" i="5"/>
  <c r="AP282" i="5"/>
  <c r="AX282" i="5"/>
  <c r="AM282" i="5"/>
  <c r="AL282" i="5"/>
  <c r="AK282" i="5"/>
  <c r="AE282" i="5"/>
  <c r="AD282" i="5"/>
  <c r="AC282" i="5"/>
  <c r="W282" i="5"/>
  <c r="V282" i="5"/>
  <c r="U282" i="5"/>
  <c r="O282" i="5"/>
  <c r="N282" i="5"/>
  <c r="M282" i="5"/>
  <c r="H282" i="5"/>
  <c r="G282" i="5"/>
  <c r="AP281" i="5"/>
  <c r="AX281" i="5"/>
  <c r="AM281" i="5"/>
  <c r="AL281" i="5"/>
  <c r="AK281" i="5"/>
  <c r="AE281" i="5"/>
  <c r="AD281" i="5"/>
  <c r="AC281" i="5"/>
  <c r="W281" i="5"/>
  <c r="V281" i="5"/>
  <c r="U281" i="5"/>
  <c r="O281" i="5"/>
  <c r="N281" i="5"/>
  <c r="M281" i="5"/>
  <c r="H281" i="5"/>
  <c r="G281" i="5"/>
  <c r="H280" i="5"/>
  <c r="AP262" i="5"/>
  <c r="AX262" i="5"/>
  <c r="AM262" i="5"/>
  <c r="AL262" i="5"/>
  <c r="AK262" i="5"/>
  <c r="AE262" i="5"/>
  <c r="AD262" i="5"/>
  <c r="AC262" i="5"/>
  <c r="W262" i="5"/>
  <c r="V262" i="5"/>
  <c r="U262" i="5"/>
  <c r="O262" i="5"/>
  <c r="N262" i="5"/>
  <c r="M262" i="5"/>
  <c r="H262" i="5"/>
  <c r="G262" i="5"/>
  <c r="AP255" i="5"/>
  <c r="AX255" i="5"/>
  <c r="AM255" i="5"/>
  <c r="AL255" i="5"/>
  <c r="AK255" i="5"/>
  <c r="AE255" i="5"/>
  <c r="AD255" i="5"/>
  <c r="AC255" i="5"/>
  <c r="W255" i="5"/>
  <c r="V255" i="5"/>
  <c r="U255" i="5"/>
  <c r="O255" i="5"/>
  <c r="N255" i="5"/>
  <c r="M255" i="5"/>
  <c r="H255" i="5"/>
  <c r="G255" i="5"/>
  <c r="AP240" i="5"/>
  <c r="AX240" i="5"/>
  <c r="AM240" i="5"/>
  <c r="AL240" i="5"/>
  <c r="AK240" i="5"/>
  <c r="AE240" i="5"/>
  <c r="AD240" i="5"/>
  <c r="AC240" i="5"/>
  <c r="W240" i="5"/>
  <c r="V240" i="5"/>
  <c r="U240" i="5"/>
  <c r="O240" i="5"/>
  <c r="N240" i="5"/>
  <c r="M240" i="5"/>
  <c r="H240" i="5"/>
  <c r="G240" i="5"/>
  <c r="AP239" i="5"/>
  <c r="AX239" i="5"/>
  <c r="AM239" i="5"/>
  <c r="AL239" i="5"/>
  <c r="AK239" i="5"/>
  <c r="AE239" i="5"/>
  <c r="AD239" i="5"/>
  <c r="AC239" i="5"/>
  <c r="W239" i="5"/>
  <c r="V239" i="5"/>
  <c r="U239" i="5"/>
  <c r="O239" i="5"/>
  <c r="N239" i="5"/>
  <c r="M239" i="5"/>
  <c r="H239" i="5"/>
  <c r="G239" i="5"/>
  <c r="AP228" i="5"/>
  <c r="AX228" i="5"/>
  <c r="AM228" i="5"/>
  <c r="AL228" i="5"/>
  <c r="AK228" i="5"/>
  <c r="AE228" i="5"/>
  <c r="AD228" i="5"/>
  <c r="AC228" i="5"/>
  <c r="W228" i="5"/>
  <c r="V228" i="5"/>
  <c r="U228" i="5"/>
  <c r="O228" i="5"/>
  <c r="N228" i="5"/>
  <c r="M228" i="5"/>
  <c r="H228" i="5"/>
  <c r="G228" i="5"/>
  <c r="BF222" i="5"/>
  <c r="BG221" i="5"/>
  <c r="BF221" i="5"/>
  <c r="BG220" i="5"/>
  <c r="BF220" i="5"/>
  <c r="BG219" i="5"/>
  <c r="BF219" i="5"/>
  <c r="BG218" i="5"/>
  <c r="BF218" i="5"/>
  <c r="BG217" i="5"/>
  <c r="BF217" i="5"/>
  <c r="BF216" i="5"/>
  <c r="BG215" i="5"/>
  <c r="BF215" i="5"/>
  <c r="BG214" i="5"/>
  <c r="BF214" i="5"/>
  <c r="BG213" i="5"/>
  <c r="BF213" i="5"/>
  <c r="BF212" i="5"/>
  <c r="BG211" i="5"/>
  <c r="BF211" i="5"/>
  <c r="BG210" i="5"/>
  <c r="BF210" i="5"/>
  <c r="BG209" i="5"/>
  <c r="BF209" i="5"/>
  <c r="AP209" i="5"/>
  <c r="AX209" i="5"/>
  <c r="AM209" i="5"/>
  <c r="AL209" i="5"/>
  <c r="AK209" i="5"/>
  <c r="AE209" i="5"/>
  <c r="AD209" i="5"/>
  <c r="AC209" i="5"/>
  <c r="W209" i="5"/>
  <c r="V209" i="5"/>
  <c r="U209" i="5"/>
  <c r="O209" i="5"/>
  <c r="N209" i="5"/>
  <c r="M209" i="5"/>
  <c r="H209" i="5"/>
  <c r="BG208" i="5"/>
  <c r="BF208" i="5"/>
  <c r="BG207" i="5"/>
  <c r="BF207" i="5"/>
  <c r="BG206" i="5"/>
  <c r="BF206" i="5"/>
  <c r="BG205" i="5"/>
  <c r="BF205" i="5"/>
  <c r="BG204" i="5"/>
  <c r="BF204" i="5"/>
  <c r="AP204" i="5"/>
  <c r="AX204" i="5"/>
  <c r="AM204" i="5"/>
  <c r="AL204" i="5"/>
  <c r="AK204" i="5"/>
  <c r="AE204" i="5"/>
  <c r="AD204" i="5"/>
  <c r="AC204" i="5"/>
  <c r="W204" i="5"/>
  <c r="V204" i="5"/>
  <c r="U204" i="5"/>
  <c r="O204" i="5"/>
  <c r="N204" i="5"/>
  <c r="M204" i="5"/>
  <c r="H204" i="5"/>
  <c r="G204" i="5"/>
  <c r="BG203" i="5"/>
  <c r="BF203" i="5"/>
  <c r="AP203" i="5"/>
  <c r="AX203" i="5"/>
  <c r="AM203" i="5"/>
  <c r="AL203" i="5"/>
  <c r="AK203" i="5"/>
  <c r="AE203" i="5"/>
  <c r="AD203" i="5"/>
  <c r="AC203" i="5"/>
  <c r="W203" i="5"/>
  <c r="V203" i="5"/>
  <c r="U203" i="5"/>
  <c r="O203" i="5"/>
  <c r="N203" i="5"/>
  <c r="M203" i="5"/>
  <c r="H203" i="5"/>
  <c r="G203" i="5"/>
  <c r="BG202" i="5"/>
  <c r="BF202" i="5"/>
  <c r="AP202" i="5"/>
  <c r="AX202" i="5"/>
  <c r="AM202" i="5"/>
  <c r="AL202" i="5"/>
  <c r="AK202" i="5"/>
  <c r="AE202" i="5"/>
  <c r="AD202" i="5"/>
  <c r="AC202" i="5"/>
  <c r="W202" i="5"/>
  <c r="V202" i="5"/>
  <c r="U202" i="5"/>
  <c r="O202" i="5"/>
  <c r="N202" i="5"/>
  <c r="M202" i="5"/>
  <c r="H202" i="5"/>
  <c r="BG201" i="5"/>
  <c r="BF201" i="5"/>
  <c r="AP201" i="5"/>
  <c r="AX201" i="5"/>
  <c r="AM201" i="5"/>
  <c r="AL201" i="5"/>
  <c r="AK201" i="5"/>
  <c r="AE201" i="5"/>
  <c r="AD201" i="5"/>
  <c r="AC201" i="5"/>
  <c r="W201" i="5"/>
  <c r="V201" i="5"/>
  <c r="U201" i="5"/>
  <c r="O201" i="5"/>
  <c r="N201" i="5"/>
  <c r="M201" i="5"/>
  <c r="H201" i="5"/>
  <c r="G201" i="5"/>
  <c r="BG200" i="5"/>
  <c r="BF200" i="5"/>
  <c r="AP200" i="5"/>
  <c r="AX200" i="5"/>
  <c r="AM200" i="5"/>
  <c r="AL200" i="5"/>
  <c r="AK200" i="5"/>
  <c r="AD200" i="5"/>
  <c r="AC200" i="5"/>
  <c r="W200" i="5"/>
  <c r="V200" i="5"/>
  <c r="U200" i="5"/>
  <c r="O200" i="5"/>
  <c r="N200" i="5"/>
  <c r="M200" i="5"/>
  <c r="H200" i="5"/>
  <c r="G200" i="5"/>
  <c r="BG199" i="5"/>
  <c r="BF199" i="5"/>
  <c r="AP199" i="5"/>
  <c r="AX199" i="5"/>
  <c r="AM199" i="5"/>
  <c r="AL199" i="5"/>
  <c r="AK199" i="5"/>
  <c r="AE199" i="5"/>
  <c r="AD199" i="5"/>
  <c r="AC199" i="5"/>
  <c r="W199" i="5"/>
  <c r="V199" i="5"/>
  <c r="U199" i="5"/>
  <c r="O199" i="5"/>
  <c r="N199" i="5"/>
  <c r="M199" i="5"/>
  <c r="H199" i="5"/>
  <c r="G199" i="5"/>
  <c r="BG198" i="5"/>
  <c r="BF198" i="5"/>
  <c r="AP198" i="5"/>
  <c r="AX198" i="5"/>
  <c r="AM198" i="5"/>
  <c r="AL198" i="5"/>
  <c r="AK198" i="5"/>
  <c r="AE198" i="5"/>
  <c r="AD198" i="5"/>
  <c r="AC198" i="5"/>
  <c r="W198" i="5"/>
  <c r="V198" i="5"/>
  <c r="U198" i="5"/>
  <c r="O198" i="5"/>
  <c r="N198" i="5"/>
  <c r="M198" i="5"/>
  <c r="H198" i="5"/>
  <c r="G198" i="5"/>
  <c r="AP197" i="5"/>
  <c r="AX197" i="5"/>
  <c r="AM197" i="5"/>
  <c r="AL197" i="5"/>
  <c r="AK197" i="5"/>
  <c r="AE197" i="5"/>
  <c r="AD197" i="5"/>
  <c r="AC197" i="5"/>
  <c r="W197" i="5"/>
  <c r="V197" i="5"/>
  <c r="U197" i="5"/>
  <c r="O197" i="5"/>
  <c r="N197" i="5"/>
  <c r="M197" i="5"/>
  <c r="H197" i="5"/>
  <c r="G197" i="5"/>
  <c r="AP196" i="5"/>
  <c r="AX196" i="5"/>
  <c r="AM196" i="5"/>
  <c r="AL196" i="5"/>
  <c r="AK196" i="5"/>
  <c r="AE196" i="5"/>
  <c r="AD196" i="5"/>
  <c r="AC196" i="5"/>
  <c r="W196" i="5"/>
  <c r="V196" i="5"/>
  <c r="U196" i="5"/>
  <c r="O196" i="5"/>
  <c r="N196" i="5"/>
  <c r="M196" i="5"/>
  <c r="H196" i="5"/>
  <c r="G196" i="5"/>
  <c r="AP195" i="5"/>
  <c r="AX195" i="5"/>
  <c r="AM195" i="5"/>
  <c r="AL195" i="5"/>
  <c r="AK195" i="5"/>
  <c r="AE195" i="5"/>
  <c r="AD195" i="5"/>
  <c r="AC195" i="5"/>
  <c r="W195" i="5"/>
  <c r="V195" i="5"/>
  <c r="U195" i="5"/>
  <c r="O195" i="5"/>
  <c r="N195" i="5"/>
  <c r="M195" i="5"/>
  <c r="H195" i="5"/>
  <c r="G195" i="5"/>
  <c r="AX183" i="5"/>
  <c r="AW183" i="5"/>
  <c r="AV183" i="5"/>
  <c r="AU183" i="5"/>
  <c r="AT183" i="5"/>
  <c r="AS183" i="5"/>
  <c r="AR183" i="5"/>
  <c r="AP181" i="5"/>
  <c r="AX181" i="5"/>
  <c r="AM181" i="5"/>
  <c r="AL181" i="5"/>
  <c r="AK181" i="5"/>
  <c r="AD181" i="5"/>
  <c r="AC181" i="5"/>
  <c r="W181" i="5"/>
  <c r="V181" i="5"/>
  <c r="U181" i="5"/>
  <c r="O181" i="5"/>
  <c r="N181" i="5"/>
  <c r="M181" i="5"/>
  <c r="H181" i="5"/>
  <c r="G181" i="5"/>
  <c r="AX180" i="5"/>
  <c r="AP180" i="5"/>
  <c r="AL180" i="5"/>
  <c r="AK180" i="5"/>
  <c r="AD180" i="5"/>
  <c r="AC180" i="5"/>
  <c r="W180" i="5"/>
  <c r="V180" i="5"/>
  <c r="U180" i="5"/>
  <c r="O180" i="5"/>
  <c r="N180" i="5"/>
  <c r="M180" i="5"/>
  <c r="H180" i="5"/>
  <c r="G180" i="5"/>
  <c r="AP179" i="5"/>
  <c r="AX179" i="5"/>
  <c r="AL179" i="5"/>
  <c r="AK179" i="5"/>
  <c r="AD179" i="5"/>
  <c r="AC179" i="5"/>
  <c r="W179" i="5"/>
  <c r="V179" i="5"/>
  <c r="U179" i="5"/>
  <c r="O179" i="5"/>
  <c r="N179" i="5"/>
  <c r="M179" i="5"/>
  <c r="H179" i="5"/>
  <c r="G179" i="5"/>
  <c r="AP178" i="5"/>
  <c r="AX178" i="5"/>
  <c r="AL178" i="5"/>
  <c r="AK178" i="5"/>
  <c r="AD178" i="5"/>
  <c r="AC178" i="5"/>
  <c r="W178" i="5"/>
  <c r="V178" i="5"/>
  <c r="U178" i="5"/>
  <c r="O178" i="5"/>
  <c r="N178" i="5"/>
  <c r="M178" i="5"/>
  <c r="H178" i="5"/>
  <c r="G178" i="5"/>
  <c r="AP177" i="5"/>
  <c r="AX177" i="5"/>
  <c r="AL177" i="5"/>
  <c r="AK177" i="5"/>
  <c r="AD177" i="5"/>
  <c r="AC177" i="5"/>
  <c r="W177" i="5"/>
  <c r="V177" i="5"/>
  <c r="U177" i="5"/>
  <c r="O177" i="5"/>
  <c r="N177" i="5"/>
  <c r="M177" i="5"/>
  <c r="H177" i="5"/>
  <c r="G177" i="5"/>
  <c r="AP176" i="5"/>
  <c r="AX176" i="5"/>
  <c r="AL176" i="5"/>
  <c r="AK176" i="5"/>
  <c r="AD176" i="5"/>
  <c r="AC176" i="5"/>
  <c r="W176" i="5"/>
  <c r="V176" i="5"/>
  <c r="U176" i="5"/>
  <c r="O176" i="5"/>
  <c r="N176" i="5"/>
  <c r="M176" i="5"/>
  <c r="H176" i="5"/>
  <c r="G176" i="5"/>
  <c r="AP175" i="5"/>
  <c r="AX175" i="5"/>
  <c r="AL175" i="5"/>
  <c r="AK175" i="5"/>
  <c r="AD175" i="5"/>
  <c r="AC175" i="5"/>
  <c r="W175" i="5"/>
  <c r="V175" i="5"/>
  <c r="U175" i="5"/>
  <c r="O175" i="5"/>
  <c r="N175" i="5"/>
  <c r="M175" i="5"/>
  <c r="H175" i="5"/>
  <c r="G175" i="5"/>
  <c r="AX174" i="5"/>
  <c r="AP174" i="5"/>
  <c r="AL174" i="5"/>
  <c r="AK174" i="5"/>
  <c r="AD174" i="5"/>
  <c r="AC174" i="5"/>
  <c r="W174" i="5"/>
  <c r="V174" i="5"/>
  <c r="U174" i="5"/>
  <c r="O174" i="5"/>
  <c r="N174" i="5"/>
  <c r="M174" i="5"/>
  <c r="H174" i="5"/>
  <c r="G174" i="5"/>
  <c r="AP173" i="5"/>
  <c r="AX173" i="5"/>
  <c r="AL173" i="5"/>
  <c r="AK173" i="5"/>
  <c r="AE173" i="5"/>
  <c r="AD173" i="5"/>
  <c r="AC173" i="5"/>
  <c r="W173" i="5"/>
  <c r="V173" i="5"/>
  <c r="U173" i="5"/>
  <c r="O173" i="5"/>
  <c r="N173" i="5"/>
  <c r="M173" i="5"/>
  <c r="H173" i="5"/>
  <c r="G173" i="5"/>
  <c r="AP172" i="5"/>
  <c r="AX172" i="5"/>
  <c r="AM172" i="5"/>
  <c r="AL172" i="5"/>
  <c r="AK172" i="5"/>
  <c r="AE172" i="5"/>
  <c r="AD172" i="5"/>
  <c r="AC172" i="5"/>
  <c r="W172" i="5"/>
  <c r="V172" i="5"/>
  <c r="U172" i="5"/>
  <c r="O172" i="5"/>
  <c r="N172" i="5"/>
  <c r="M172" i="5"/>
  <c r="H172" i="5"/>
  <c r="G172" i="5"/>
  <c r="AP171" i="5"/>
  <c r="AX171" i="5"/>
  <c r="AM171" i="5"/>
  <c r="AL171" i="5"/>
  <c r="AK171" i="5"/>
  <c r="AE171" i="5"/>
  <c r="AD171" i="5"/>
  <c r="AC171" i="5"/>
  <c r="W171" i="5"/>
  <c r="V171" i="5"/>
  <c r="U171" i="5"/>
  <c r="O171" i="5"/>
  <c r="N171" i="5"/>
  <c r="M171" i="5"/>
  <c r="H171" i="5"/>
  <c r="G171" i="5"/>
  <c r="AP170" i="5"/>
  <c r="AX170" i="5"/>
  <c r="AM170" i="5"/>
  <c r="AL170" i="5"/>
  <c r="AK170" i="5"/>
  <c r="AE170" i="5"/>
  <c r="AD170" i="5"/>
  <c r="AC170" i="5"/>
  <c r="W170" i="5"/>
  <c r="V170" i="5"/>
  <c r="U170" i="5"/>
  <c r="O170" i="5"/>
  <c r="N170" i="5"/>
  <c r="M170" i="5"/>
  <c r="H170" i="5"/>
  <c r="G170" i="5"/>
  <c r="AP169" i="5"/>
  <c r="AX169" i="5"/>
  <c r="AM169" i="5"/>
  <c r="AL169" i="5"/>
  <c r="AK169" i="5"/>
  <c r="AE169" i="5"/>
  <c r="AD169" i="5"/>
  <c r="AC169" i="5"/>
  <c r="W169" i="5"/>
  <c r="V169" i="5"/>
  <c r="U169" i="5"/>
  <c r="O169" i="5"/>
  <c r="N169" i="5"/>
  <c r="M169" i="5"/>
  <c r="H169" i="5"/>
  <c r="G169" i="5"/>
  <c r="AP168" i="5"/>
  <c r="AX168" i="5"/>
  <c r="AM168" i="5"/>
  <c r="AL168" i="5"/>
  <c r="AK168" i="5"/>
  <c r="AE168" i="5"/>
  <c r="AD168" i="5"/>
  <c r="AC168" i="5"/>
  <c r="W168" i="5"/>
  <c r="V168" i="5"/>
  <c r="U168" i="5"/>
  <c r="O168" i="5"/>
  <c r="N168" i="5"/>
  <c r="M168" i="5"/>
  <c r="H168" i="5"/>
  <c r="G168" i="5"/>
  <c r="AP167" i="5"/>
  <c r="AX167" i="5"/>
  <c r="AM167" i="5"/>
  <c r="AL167" i="5"/>
  <c r="AK167" i="5"/>
  <c r="AE167" i="5"/>
  <c r="AD167" i="5"/>
  <c r="AC167" i="5"/>
  <c r="W167" i="5"/>
  <c r="V167" i="5"/>
  <c r="U167" i="5"/>
  <c r="O167" i="5"/>
  <c r="N167" i="5"/>
  <c r="M167" i="5"/>
  <c r="H167" i="5"/>
  <c r="G167" i="5"/>
  <c r="AP166" i="5"/>
  <c r="AX166" i="5"/>
  <c r="AM166" i="5"/>
  <c r="AL166" i="5"/>
  <c r="AK166" i="5"/>
  <c r="AE166" i="5"/>
  <c r="AD166" i="5"/>
  <c r="AC166" i="5"/>
  <c r="W166" i="5"/>
  <c r="V166" i="5"/>
  <c r="U166" i="5"/>
  <c r="O166" i="5"/>
  <c r="N166" i="5"/>
  <c r="M166" i="5"/>
  <c r="H166" i="5"/>
  <c r="G166" i="5"/>
  <c r="AP165" i="5"/>
  <c r="AX165" i="5"/>
  <c r="AM165" i="5"/>
  <c r="AL165" i="5"/>
  <c r="AK165" i="5"/>
  <c r="AE165" i="5"/>
  <c r="AD165" i="5"/>
  <c r="AC165" i="5"/>
  <c r="W165" i="5"/>
  <c r="V165" i="5"/>
  <c r="U165" i="5"/>
  <c r="O165" i="5"/>
  <c r="N165" i="5"/>
  <c r="M165" i="5"/>
  <c r="H165" i="5"/>
  <c r="G165" i="5"/>
  <c r="AP164" i="5"/>
  <c r="AX164" i="5"/>
  <c r="AM164" i="5"/>
  <c r="AL164" i="5"/>
  <c r="AK164" i="5"/>
  <c r="AE164" i="5"/>
  <c r="AD164" i="5"/>
  <c r="AC164" i="5"/>
  <c r="W164" i="5"/>
  <c r="V164" i="5"/>
  <c r="U164" i="5"/>
  <c r="O164" i="5"/>
  <c r="N164" i="5"/>
  <c r="M164" i="5"/>
  <c r="H164" i="5"/>
  <c r="G164" i="5"/>
  <c r="AP163" i="5"/>
  <c r="AX163" i="5"/>
  <c r="AM163" i="5"/>
  <c r="AL163" i="5"/>
  <c r="AK163" i="5"/>
  <c r="AE163" i="5"/>
  <c r="AD163" i="5"/>
  <c r="AC163" i="5"/>
  <c r="W163" i="5"/>
  <c r="V163" i="5"/>
  <c r="U163" i="5"/>
  <c r="O163" i="5"/>
  <c r="N163" i="5"/>
  <c r="M163" i="5"/>
  <c r="H163" i="5"/>
  <c r="G163" i="5"/>
  <c r="AP162" i="5"/>
  <c r="AX162" i="5"/>
  <c r="AM162" i="5"/>
  <c r="AL162" i="5"/>
  <c r="AK162" i="5"/>
  <c r="AE162" i="5"/>
  <c r="AD162" i="5"/>
  <c r="AC162" i="5"/>
  <c r="W162" i="5"/>
  <c r="V162" i="5"/>
  <c r="U162" i="5"/>
  <c r="O162" i="5"/>
  <c r="N162" i="5"/>
  <c r="M162" i="5"/>
  <c r="H162" i="5"/>
  <c r="G162" i="5"/>
  <c r="AP161" i="5"/>
  <c r="AX161" i="5"/>
  <c r="AM161" i="5"/>
  <c r="AL161" i="5"/>
  <c r="AK161" i="5"/>
  <c r="AE161" i="5"/>
  <c r="AD161" i="5"/>
  <c r="AC161" i="5"/>
  <c r="W161" i="5"/>
  <c r="V161" i="5"/>
  <c r="U161" i="5"/>
  <c r="O161" i="5"/>
  <c r="N161" i="5"/>
  <c r="M161" i="5"/>
  <c r="H161" i="5"/>
  <c r="G161" i="5"/>
  <c r="AP160" i="5"/>
  <c r="AX160" i="5"/>
  <c r="AM160" i="5"/>
  <c r="AL160" i="5"/>
  <c r="AK160" i="5"/>
  <c r="AE160" i="5"/>
  <c r="AD160" i="5"/>
  <c r="AC160" i="5"/>
  <c r="W160" i="5"/>
  <c r="V160" i="5"/>
  <c r="U160" i="5"/>
  <c r="O160" i="5"/>
  <c r="N160" i="5"/>
  <c r="M160" i="5"/>
  <c r="H160" i="5"/>
  <c r="G160" i="5"/>
  <c r="AP159" i="5"/>
  <c r="AX159" i="5"/>
  <c r="AM159" i="5"/>
  <c r="AL159" i="5"/>
  <c r="AK159" i="5"/>
  <c r="AE159" i="5"/>
  <c r="AD159" i="5"/>
  <c r="AC159" i="5"/>
  <c r="W159" i="5"/>
  <c r="V159" i="5"/>
  <c r="U159" i="5"/>
  <c r="O159" i="5"/>
  <c r="N159" i="5"/>
  <c r="M159" i="5"/>
  <c r="H159" i="5"/>
  <c r="G159" i="5"/>
  <c r="AP158" i="5"/>
  <c r="AX158" i="5"/>
  <c r="AM158" i="5"/>
  <c r="AL158" i="5"/>
  <c r="AK158" i="5"/>
  <c r="AE158" i="5"/>
  <c r="AD158" i="5"/>
  <c r="AC158" i="5"/>
  <c r="W158" i="5"/>
  <c r="V158" i="5"/>
  <c r="U158" i="5"/>
  <c r="O158" i="5"/>
  <c r="N158" i="5"/>
  <c r="M158" i="5"/>
  <c r="H158" i="5"/>
  <c r="G158" i="5"/>
  <c r="AP157" i="5"/>
  <c r="AX157" i="5"/>
  <c r="AM157" i="5"/>
  <c r="AL157" i="5"/>
  <c r="AK157" i="5"/>
  <c r="AE157" i="5"/>
  <c r="AD157" i="5"/>
  <c r="AC157" i="5"/>
  <c r="W157" i="5"/>
  <c r="V157" i="5"/>
  <c r="U157" i="5"/>
  <c r="O157" i="5"/>
  <c r="N157" i="5"/>
  <c r="M157" i="5"/>
  <c r="H157" i="5"/>
  <c r="G157" i="5"/>
  <c r="AP156" i="5"/>
  <c r="AX156" i="5"/>
  <c r="AM156" i="5"/>
  <c r="AL156" i="5"/>
  <c r="AK156" i="5"/>
  <c r="AE156" i="5"/>
  <c r="AD156" i="5"/>
  <c r="AC156" i="5"/>
  <c r="W156" i="5"/>
  <c r="V156" i="5"/>
  <c r="U156" i="5"/>
  <c r="O156" i="5"/>
  <c r="N156" i="5"/>
  <c r="M156" i="5"/>
  <c r="H156" i="5"/>
  <c r="G156" i="5"/>
  <c r="AP155" i="5"/>
  <c r="AX155" i="5"/>
  <c r="AM155" i="5"/>
  <c r="AL155" i="5"/>
  <c r="AK155" i="5"/>
  <c r="AE155" i="5"/>
  <c r="AD155" i="5"/>
  <c r="AC155" i="5"/>
  <c r="W155" i="5"/>
  <c r="V155" i="5"/>
  <c r="U155" i="5"/>
  <c r="O155" i="5"/>
  <c r="N155" i="5"/>
  <c r="M155" i="5"/>
  <c r="H155" i="5"/>
  <c r="G155" i="5"/>
  <c r="AP154" i="5"/>
  <c r="AX154" i="5"/>
  <c r="AM154" i="5"/>
  <c r="AL154" i="5"/>
  <c r="AK154" i="5"/>
  <c r="AE154" i="5"/>
  <c r="AD154" i="5"/>
  <c r="AC154" i="5"/>
  <c r="W154" i="5"/>
  <c r="V154" i="5"/>
  <c r="U154" i="5"/>
  <c r="O154" i="5"/>
  <c r="N154" i="5"/>
  <c r="M154" i="5"/>
  <c r="H154" i="5"/>
  <c r="G154" i="5"/>
  <c r="AP153" i="5"/>
  <c r="AX153" i="5"/>
  <c r="AM153" i="5"/>
  <c r="AL153" i="5"/>
  <c r="AK153" i="5"/>
  <c r="AE153" i="5"/>
  <c r="AD153" i="5"/>
  <c r="AC153" i="5"/>
  <c r="W153" i="5"/>
  <c r="V153" i="5"/>
  <c r="U153" i="5"/>
  <c r="O153" i="5"/>
  <c r="N153" i="5"/>
  <c r="M153" i="5"/>
  <c r="H153" i="5"/>
  <c r="G153" i="5"/>
  <c r="AP152" i="5"/>
  <c r="AX152" i="5"/>
  <c r="AM152" i="5"/>
  <c r="AL152" i="5"/>
  <c r="AK152" i="5"/>
  <c r="AE152" i="5"/>
  <c r="AD152" i="5"/>
  <c r="AC152" i="5"/>
  <c r="W152" i="5"/>
  <c r="V152" i="5"/>
  <c r="U152" i="5"/>
  <c r="O152" i="5"/>
  <c r="N152" i="5"/>
  <c r="M152" i="5"/>
  <c r="H152" i="5"/>
  <c r="G152" i="5"/>
  <c r="AP151" i="5"/>
  <c r="AX151" i="5"/>
  <c r="AM151" i="5"/>
  <c r="AL151" i="5"/>
  <c r="AK151" i="5"/>
  <c r="AE151" i="5"/>
  <c r="AD151" i="5"/>
  <c r="AC151" i="5"/>
  <c r="W151" i="5"/>
  <c r="V151" i="5"/>
  <c r="U151" i="5"/>
  <c r="O151" i="5"/>
  <c r="N151" i="5"/>
  <c r="M151" i="5"/>
  <c r="H151" i="5"/>
  <c r="G151" i="5"/>
  <c r="AP150" i="5"/>
  <c r="AX150" i="5"/>
  <c r="AM150" i="5"/>
  <c r="AL150" i="5"/>
  <c r="AK150" i="5"/>
  <c r="AE150" i="5"/>
  <c r="AD150" i="5"/>
  <c r="AC150" i="5"/>
  <c r="W150" i="5"/>
  <c r="V150" i="5"/>
  <c r="U150" i="5"/>
  <c r="O150" i="5"/>
  <c r="N150" i="5"/>
  <c r="M150" i="5"/>
  <c r="H150" i="5"/>
  <c r="G150" i="5"/>
  <c r="AP149" i="5"/>
  <c r="AX149" i="5"/>
  <c r="AL149" i="5"/>
  <c r="AK149" i="5"/>
  <c r="AD149" i="5"/>
  <c r="AC149" i="5"/>
  <c r="W149" i="5"/>
  <c r="V149" i="5"/>
  <c r="U149" i="5"/>
  <c r="O149" i="5"/>
  <c r="N149" i="5"/>
  <c r="M149" i="5"/>
  <c r="H149" i="5"/>
  <c r="G149" i="5"/>
  <c r="AP148" i="5"/>
  <c r="AX148" i="5"/>
  <c r="AL148" i="5"/>
  <c r="AK148" i="5"/>
  <c r="AD148" i="5"/>
  <c r="AC148" i="5"/>
  <c r="V148" i="5"/>
  <c r="U148" i="5"/>
  <c r="O148" i="5"/>
  <c r="N148" i="5"/>
  <c r="M148" i="5"/>
  <c r="H148" i="5"/>
  <c r="G148" i="5"/>
  <c r="AX147" i="5"/>
  <c r="AP147" i="5"/>
  <c r="AM147" i="5"/>
  <c r="AL147" i="5"/>
  <c r="AK147" i="5"/>
  <c r="AE147" i="5"/>
  <c r="AD147" i="5"/>
  <c r="AC147" i="5"/>
  <c r="W147" i="5"/>
  <c r="V147" i="5"/>
  <c r="U147" i="5"/>
  <c r="O147" i="5"/>
  <c r="N147" i="5"/>
  <c r="M147" i="5"/>
  <c r="H147" i="5"/>
  <c r="G147" i="5"/>
  <c r="AP146" i="5"/>
  <c r="AX146" i="5"/>
  <c r="AM146" i="5"/>
  <c r="AL146" i="5"/>
  <c r="AK146" i="5"/>
  <c r="AE146" i="5"/>
  <c r="AD146" i="5"/>
  <c r="AC146" i="5"/>
  <c r="W146" i="5"/>
  <c r="V146" i="5"/>
  <c r="U146" i="5"/>
  <c r="O146" i="5"/>
  <c r="N146" i="5"/>
  <c r="M146" i="5"/>
  <c r="H146" i="5"/>
  <c r="G146" i="5"/>
  <c r="AP145" i="5"/>
  <c r="AX145" i="5"/>
  <c r="AM145" i="5"/>
  <c r="AL145" i="5"/>
  <c r="AK145" i="5"/>
  <c r="AE145" i="5"/>
  <c r="AD145" i="5"/>
  <c r="AC145" i="5"/>
  <c r="W145" i="5"/>
  <c r="V145" i="5"/>
  <c r="U145" i="5"/>
  <c r="O145" i="5"/>
  <c r="N145" i="5"/>
  <c r="M145" i="5"/>
  <c r="H145" i="5"/>
  <c r="G145" i="5"/>
  <c r="AP144" i="5"/>
  <c r="AX144" i="5"/>
  <c r="AM144" i="5"/>
  <c r="AL144" i="5"/>
  <c r="AK144" i="5"/>
  <c r="AE144" i="5"/>
  <c r="AD144" i="5"/>
  <c r="AC144" i="5"/>
  <c r="W144" i="5"/>
  <c r="V144" i="5"/>
  <c r="U144" i="5"/>
  <c r="O144" i="5"/>
  <c r="N144" i="5"/>
  <c r="M144" i="5"/>
  <c r="H144" i="5"/>
  <c r="G144" i="5"/>
  <c r="AP143" i="5"/>
  <c r="AX143" i="5"/>
  <c r="AM143" i="5"/>
  <c r="AL143" i="5"/>
  <c r="AK143" i="5"/>
  <c r="AE143" i="5"/>
  <c r="AD143" i="5"/>
  <c r="AC143" i="5"/>
  <c r="W143" i="5"/>
  <c r="V143" i="5"/>
  <c r="U143" i="5"/>
  <c r="O143" i="5"/>
  <c r="N143" i="5"/>
  <c r="M143" i="5"/>
  <c r="H143" i="5"/>
  <c r="G143" i="5"/>
  <c r="AP142" i="5"/>
  <c r="AX142" i="5"/>
  <c r="AM142" i="5"/>
  <c r="AL142" i="5"/>
  <c r="AK142" i="5"/>
  <c r="AE142" i="5"/>
  <c r="AD142" i="5"/>
  <c r="AC142" i="5"/>
  <c r="W142" i="5"/>
  <c r="V142" i="5"/>
  <c r="U142" i="5"/>
  <c r="O142" i="5"/>
  <c r="N142" i="5"/>
  <c r="M142" i="5"/>
  <c r="H142" i="5"/>
  <c r="G142" i="5"/>
  <c r="AP141" i="5"/>
  <c r="AX141" i="5"/>
  <c r="AM141" i="5"/>
  <c r="AL141" i="5"/>
  <c r="AK141" i="5"/>
  <c r="AE141" i="5"/>
  <c r="AD141" i="5"/>
  <c r="AC141" i="5"/>
  <c r="W141" i="5"/>
  <c r="V141" i="5"/>
  <c r="U141" i="5"/>
  <c r="O141" i="5"/>
  <c r="N141" i="5"/>
  <c r="M141" i="5"/>
  <c r="H141" i="5"/>
  <c r="G141" i="5"/>
  <c r="AP140" i="5"/>
  <c r="AX140" i="5"/>
  <c r="AM140" i="5"/>
  <c r="AL140" i="5"/>
  <c r="AK140" i="5"/>
  <c r="AE140" i="5"/>
  <c r="AD140" i="5"/>
  <c r="AC140" i="5"/>
  <c r="W140" i="5"/>
  <c r="V140" i="5"/>
  <c r="U140" i="5"/>
  <c r="O140" i="5"/>
  <c r="N140" i="5"/>
  <c r="M140" i="5"/>
  <c r="H140" i="5"/>
  <c r="G140" i="5"/>
  <c r="AP139" i="5"/>
  <c r="AX139" i="5"/>
  <c r="AM139" i="5"/>
  <c r="AL139" i="5"/>
  <c r="AK139" i="5"/>
  <c r="AE139" i="5"/>
  <c r="AD139" i="5"/>
  <c r="AC139" i="5"/>
  <c r="W139" i="5"/>
  <c r="V139" i="5"/>
  <c r="U139" i="5"/>
  <c r="O139" i="5"/>
  <c r="N139" i="5"/>
  <c r="M139" i="5"/>
  <c r="H139" i="5"/>
  <c r="G139" i="5"/>
  <c r="AP138" i="5"/>
  <c r="AX138" i="5"/>
  <c r="AM138" i="5"/>
  <c r="AL138" i="5"/>
  <c r="AK138" i="5"/>
  <c r="AE138" i="5"/>
  <c r="AD138" i="5"/>
  <c r="AC138" i="5"/>
  <c r="W138" i="5"/>
  <c r="V138" i="5"/>
  <c r="U138" i="5"/>
  <c r="O138" i="5"/>
  <c r="N138" i="5"/>
  <c r="M138" i="5"/>
  <c r="H138" i="5"/>
  <c r="G138" i="5"/>
  <c r="AP137" i="5"/>
  <c r="AX137" i="5"/>
  <c r="AM137" i="5"/>
  <c r="AL137" i="5"/>
  <c r="AK137" i="5"/>
  <c r="AE137" i="5"/>
  <c r="AD137" i="5"/>
  <c r="AC137" i="5"/>
  <c r="W137" i="5"/>
  <c r="V137" i="5"/>
  <c r="U137" i="5"/>
  <c r="O137" i="5"/>
  <c r="N137" i="5"/>
  <c r="M137" i="5"/>
  <c r="H137" i="5"/>
  <c r="G137" i="5"/>
  <c r="AP136" i="5"/>
  <c r="AX136" i="5"/>
  <c r="AL136" i="5"/>
  <c r="AK136" i="5"/>
  <c r="AD136" i="5"/>
  <c r="AC136" i="5"/>
  <c r="W136" i="5"/>
  <c r="V136" i="5"/>
  <c r="U136" i="5"/>
  <c r="O136" i="5"/>
  <c r="N136" i="5"/>
  <c r="M136" i="5"/>
  <c r="H136" i="5"/>
  <c r="G136" i="5"/>
  <c r="AP135" i="5"/>
  <c r="AX135" i="5"/>
  <c r="AM135" i="5"/>
  <c r="AL135" i="5"/>
  <c r="AK135" i="5"/>
  <c r="AE135" i="5"/>
  <c r="AD135" i="5"/>
  <c r="AC135" i="5"/>
  <c r="W135" i="5"/>
  <c r="V135" i="5"/>
  <c r="U135" i="5"/>
  <c r="O135" i="5"/>
  <c r="N135" i="5"/>
  <c r="M135" i="5"/>
  <c r="H135" i="5"/>
  <c r="G135" i="5"/>
  <c r="AP134" i="5"/>
  <c r="AX134" i="5"/>
  <c r="AM134" i="5"/>
  <c r="AL134" i="5"/>
  <c r="AK134" i="5"/>
  <c r="AE134" i="5"/>
  <c r="AD134" i="5"/>
  <c r="AC134" i="5"/>
  <c r="W134" i="5"/>
  <c r="V134" i="5"/>
  <c r="U134" i="5"/>
  <c r="O134" i="5"/>
  <c r="N134" i="5"/>
  <c r="M134" i="5"/>
  <c r="H134" i="5"/>
  <c r="G134" i="5"/>
  <c r="AP133" i="5"/>
  <c r="AX133" i="5"/>
  <c r="AM133" i="5"/>
  <c r="AL133" i="5"/>
  <c r="AK133" i="5"/>
  <c r="AE133" i="5"/>
  <c r="AD133" i="5"/>
  <c r="AC133" i="5"/>
  <c r="W133" i="5"/>
  <c r="V133" i="5"/>
  <c r="U133" i="5"/>
  <c r="O133" i="5"/>
  <c r="N133" i="5"/>
  <c r="M133" i="5"/>
  <c r="H133" i="5"/>
  <c r="G133" i="5"/>
  <c r="AP132" i="5"/>
  <c r="AX132" i="5"/>
  <c r="AM132" i="5"/>
  <c r="AL132" i="5"/>
  <c r="AK132" i="5"/>
  <c r="AE132" i="5"/>
  <c r="AD132" i="5"/>
  <c r="AC132" i="5"/>
  <c r="W132" i="5"/>
  <c r="V132" i="5"/>
  <c r="U132" i="5"/>
  <c r="O132" i="5"/>
  <c r="N132" i="5"/>
  <c r="M132" i="5"/>
  <c r="H132" i="5"/>
  <c r="G132" i="5"/>
  <c r="AP131" i="5"/>
  <c r="AX131" i="5"/>
  <c r="AM131" i="5"/>
  <c r="AL131" i="5"/>
  <c r="AK131" i="5"/>
  <c r="AE131" i="5"/>
  <c r="AD131" i="5"/>
  <c r="AC131" i="5"/>
  <c r="W131" i="5"/>
  <c r="V131" i="5"/>
  <c r="U131" i="5"/>
  <c r="O131" i="5"/>
  <c r="N131" i="5"/>
  <c r="M131" i="5"/>
  <c r="H131" i="5"/>
  <c r="G131" i="5"/>
  <c r="AP130" i="5"/>
  <c r="AX130" i="5"/>
  <c r="AM130" i="5"/>
  <c r="AL130" i="5"/>
  <c r="AK130" i="5"/>
  <c r="AE130" i="5"/>
  <c r="AD130" i="5"/>
  <c r="AC130" i="5"/>
  <c r="W130" i="5"/>
  <c r="V130" i="5"/>
  <c r="U130" i="5"/>
  <c r="O130" i="5"/>
  <c r="N130" i="5"/>
  <c r="M130" i="5"/>
  <c r="H130" i="5"/>
  <c r="G130" i="5"/>
  <c r="AP129" i="5"/>
  <c r="AX129" i="5"/>
  <c r="AM129" i="5"/>
  <c r="AL129" i="5"/>
  <c r="AK129" i="5"/>
  <c r="AE129" i="5"/>
  <c r="AD129" i="5"/>
  <c r="AC129" i="5"/>
  <c r="W129" i="5"/>
  <c r="V129" i="5"/>
  <c r="U129" i="5"/>
  <c r="O129" i="5"/>
  <c r="N129" i="5"/>
  <c r="M129" i="5"/>
  <c r="H129" i="5"/>
  <c r="G129" i="5"/>
  <c r="AX128" i="5"/>
  <c r="AP128" i="5"/>
  <c r="AM128" i="5"/>
  <c r="AL128" i="5"/>
  <c r="AK128" i="5"/>
  <c r="AE128" i="5"/>
  <c r="AD128" i="5"/>
  <c r="AC128" i="5"/>
  <c r="W128" i="5"/>
  <c r="V128" i="5"/>
  <c r="U128" i="5"/>
  <c r="O128" i="5"/>
  <c r="N128" i="5"/>
  <c r="M128" i="5"/>
  <c r="H128" i="5"/>
  <c r="G128" i="5"/>
  <c r="AP127" i="5"/>
  <c r="AX127" i="5"/>
  <c r="AM127" i="5"/>
  <c r="AL127" i="5"/>
  <c r="AK127" i="5"/>
  <c r="AE127" i="5"/>
  <c r="AD127" i="5"/>
  <c r="AC127" i="5"/>
  <c r="W127" i="5"/>
  <c r="V127" i="5"/>
  <c r="U127" i="5"/>
  <c r="O127" i="5"/>
  <c r="N127" i="5"/>
  <c r="M127" i="5"/>
  <c r="H127" i="5"/>
  <c r="G127" i="5"/>
  <c r="AP126" i="5"/>
  <c r="AX126" i="5"/>
  <c r="AL126" i="5"/>
  <c r="AK126" i="5"/>
  <c r="AE126" i="5"/>
  <c r="AD126" i="5"/>
  <c r="AC126" i="5"/>
  <c r="W126" i="5"/>
  <c r="V126" i="5"/>
  <c r="U126" i="5"/>
  <c r="O126" i="5"/>
  <c r="N126" i="5"/>
  <c r="M126" i="5"/>
  <c r="H126" i="5"/>
  <c r="G126" i="5"/>
  <c r="AP125" i="5"/>
  <c r="AX125" i="5"/>
  <c r="AM125" i="5"/>
  <c r="AL125" i="5"/>
  <c r="AK125" i="5"/>
  <c r="AE125" i="5"/>
  <c r="AD125" i="5"/>
  <c r="AC125" i="5"/>
  <c r="W125" i="5"/>
  <c r="V125" i="5"/>
  <c r="U125" i="5"/>
  <c r="O125" i="5"/>
  <c r="N125" i="5"/>
  <c r="M125" i="5"/>
  <c r="H125" i="5"/>
  <c r="G125" i="5"/>
  <c r="AX124" i="5"/>
  <c r="AP124" i="5"/>
  <c r="AL124" i="5"/>
  <c r="AK124" i="5"/>
  <c r="AE124" i="5"/>
  <c r="AD124" i="5"/>
  <c r="AC124" i="5"/>
  <c r="W124" i="5"/>
  <c r="V124" i="5"/>
  <c r="U124" i="5"/>
  <c r="O124" i="5"/>
  <c r="N124" i="5"/>
  <c r="M124" i="5"/>
  <c r="H124" i="5"/>
  <c r="G124" i="5"/>
  <c r="AP123" i="5"/>
  <c r="AX123" i="5"/>
  <c r="AM123" i="5"/>
  <c r="AL123" i="5"/>
  <c r="AK123" i="5"/>
  <c r="AE123" i="5"/>
  <c r="AD123" i="5"/>
  <c r="AC123" i="5"/>
  <c r="W123" i="5"/>
  <c r="V123" i="5"/>
  <c r="U123" i="5"/>
  <c r="O123" i="5"/>
  <c r="N123" i="5"/>
  <c r="M123" i="5"/>
  <c r="H123" i="5"/>
  <c r="G123" i="5"/>
  <c r="AP122" i="5"/>
  <c r="AX122" i="5"/>
  <c r="AL122" i="5"/>
  <c r="AK122" i="5"/>
  <c r="AD122" i="5"/>
  <c r="AC122" i="5"/>
  <c r="W122" i="5"/>
  <c r="V122" i="5"/>
  <c r="U122" i="5"/>
  <c r="O122" i="5"/>
  <c r="N122" i="5"/>
  <c r="M122" i="5"/>
  <c r="H122" i="5"/>
  <c r="G122" i="5"/>
  <c r="AP121" i="5"/>
  <c r="AX121" i="5"/>
  <c r="AM121" i="5"/>
  <c r="AL121" i="5"/>
  <c r="AK121" i="5"/>
  <c r="AE121" i="5"/>
  <c r="AD121" i="5"/>
  <c r="AC121" i="5"/>
  <c r="W121" i="5"/>
  <c r="V121" i="5"/>
  <c r="U121" i="5"/>
  <c r="O121" i="5"/>
  <c r="N121" i="5"/>
  <c r="M121" i="5"/>
  <c r="H121" i="5"/>
  <c r="G121" i="5"/>
  <c r="AP120" i="5"/>
  <c r="AX120" i="5"/>
  <c r="AM120" i="5"/>
  <c r="AL120" i="5"/>
  <c r="AK120" i="5"/>
  <c r="AE120" i="5"/>
  <c r="AD120" i="5"/>
  <c r="AC120" i="5"/>
  <c r="W120" i="5"/>
  <c r="V120" i="5"/>
  <c r="U120" i="5"/>
  <c r="O120" i="5"/>
  <c r="N120" i="5"/>
  <c r="M120" i="5"/>
  <c r="H120" i="5"/>
  <c r="G120" i="5"/>
  <c r="AP119" i="5"/>
  <c r="AX119" i="5"/>
  <c r="AM119" i="5"/>
  <c r="AL119" i="5"/>
  <c r="AK119" i="5"/>
  <c r="AE119" i="5"/>
  <c r="AD119" i="5"/>
  <c r="AC119" i="5"/>
  <c r="W119" i="5"/>
  <c r="V119" i="5"/>
  <c r="U119" i="5"/>
  <c r="O119" i="5"/>
  <c r="N119" i="5"/>
  <c r="M119" i="5"/>
  <c r="H119" i="5"/>
  <c r="G119" i="5"/>
  <c r="AP118" i="5"/>
  <c r="AX118" i="5"/>
  <c r="AM118" i="5"/>
  <c r="AL118" i="5"/>
  <c r="AK118" i="5"/>
  <c r="AE118" i="5"/>
  <c r="AD118" i="5"/>
  <c r="AC118" i="5"/>
  <c r="W118" i="5"/>
  <c r="V118" i="5"/>
  <c r="U118" i="5"/>
  <c r="O118" i="5"/>
  <c r="N118" i="5"/>
  <c r="M118" i="5"/>
  <c r="H118" i="5"/>
  <c r="G118" i="5"/>
  <c r="AP117" i="5"/>
  <c r="AX117" i="5"/>
  <c r="AM117" i="5"/>
  <c r="AL117" i="5"/>
  <c r="AK117" i="5"/>
  <c r="AE117" i="5"/>
  <c r="AD117" i="5"/>
  <c r="AC117" i="5"/>
  <c r="W117" i="5"/>
  <c r="V117" i="5"/>
  <c r="U117" i="5"/>
  <c r="N117" i="5"/>
  <c r="M117" i="5"/>
  <c r="H117" i="5"/>
  <c r="G117" i="5"/>
  <c r="AP116" i="5"/>
  <c r="AX116" i="5"/>
  <c r="AM116" i="5"/>
  <c r="AL116" i="5"/>
  <c r="AK116" i="5"/>
  <c r="AE116" i="5"/>
  <c r="AD116" i="5"/>
  <c r="AC116" i="5"/>
  <c r="V116" i="5"/>
  <c r="U116" i="5"/>
  <c r="N116" i="5"/>
  <c r="M116" i="5"/>
  <c r="H116" i="5"/>
  <c r="G116" i="5"/>
  <c r="AP115" i="5"/>
  <c r="AX115" i="5"/>
  <c r="AL115" i="5"/>
  <c r="AK115" i="5"/>
  <c r="AD115" i="5"/>
  <c r="AC115" i="5"/>
  <c r="W115" i="5"/>
  <c r="V115" i="5"/>
  <c r="U115" i="5"/>
  <c r="O115" i="5"/>
  <c r="N115" i="5"/>
  <c r="M115" i="5"/>
  <c r="H115" i="5"/>
  <c r="G115" i="5"/>
  <c r="AP114" i="5"/>
  <c r="AX114" i="5"/>
  <c r="AM114" i="5"/>
  <c r="AL114" i="5"/>
  <c r="AK114" i="5"/>
  <c r="AE114" i="5"/>
  <c r="AD114" i="5"/>
  <c r="AC114" i="5"/>
  <c r="V114" i="5"/>
  <c r="U114" i="5"/>
  <c r="O114" i="5"/>
  <c r="N114" i="5"/>
  <c r="M114" i="5"/>
  <c r="H114" i="5"/>
  <c r="G114" i="5"/>
  <c r="AP113" i="5"/>
  <c r="AX113" i="5"/>
  <c r="AM113" i="5"/>
  <c r="AL113" i="5"/>
  <c r="AK113" i="5"/>
  <c r="AE113" i="5"/>
  <c r="AD113" i="5"/>
  <c r="AC113" i="5"/>
  <c r="W113" i="5"/>
  <c r="V113" i="5"/>
  <c r="U113" i="5"/>
  <c r="O113" i="5"/>
  <c r="N113" i="5"/>
  <c r="M113" i="5"/>
  <c r="H113" i="5"/>
  <c r="G113" i="5"/>
  <c r="AP112" i="5"/>
  <c r="AX112" i="5"/>
  <c r="AM112" i="5"/>
  <c r="AL112" i="5"/>
  <c r="AK112" i="5"/>
  <c r="AE112" i="5"/>
  <c r="AD112" i="5"/>
  <c r="AC112" i="5"/>
  <c r="W112" i="5"/>
  <c r="V112" i="5"/>
  <c r="U112" i="5"/>
  <c r="O112" i="5"/>
  <c r="N112" i="5"/>
  <c r="M112" i="5"/>
  <c r="H112" i="5"/>
  <c r="G112" i="5"/>
  <c r="AP111" i="5"/>
  <c r="AX111" i="5"/>
  <c r="AM111" i="5"/>
  <c r="AL111" i="5"/>
  <c r="AK111" i="5"/>
  <c r="AE111" i="5"/>
  <c r="AD111" i="5"/>
  <c r="AC111" i="5"/>
  <c r="W111" i="5"/>
  <c r="V111" i="5"/>
  <c r="U111" i="5"/>
  <c r="O111" i="5"/>
  <c r="N111" i="5"/>
  <c r="M111" i="5"/>
  <c r="H111" i="5"/>
  <c r="G111" i="5"/>
  <c r="AP110" i="5"/>
  <c r="AX110" i="5"/>
  <c r="AM110" i="5"/>
  <c r="AL110" i="5"/>
  <c r="AK110" i="5"/>
  <c r="AE110" i="5"/>
  <c r="AD110" i="5"/>
  <c r="AC110" i="5"/>
  <c r="W110" i="5"/>
  <c r="V110" i="5"/>
  <c r="U110" i="5"/>
  <c r="O110" i="5"/>
  <c r="N110" i="5"/>
  <c r="M110" i="5"/>
  <c r="H110" i="5"/>
  <c r="G110" i="5"/>
  <c r="AP109" i="5"/>
  <c r="AX109" i="5"/>
  <c r="AM109" i="5"/>
  <c r="AL109" i="5"/>
  <c r="AK109" i="5"/>
  <c r="AE109" i="5"/>
  <c r="AD109" i="5"/>
  <c r="AC109" i="5"/>
  <c r="W109" i="5"/>
  <c r="V109" i="5"/>
  <c r="U109" i="5"/>
  <c r="O109" i="5"/>
  <c r="N109" i="5"/>
  <c r="M109" i="5"/>
  <c r="H109" i="5"/>
  <c r="G109" i="5"/>
  <c r="AP108" i="5"/>
  <c r="AX108" i="5"/>
  <c r="AM108" i="5"/>
  <c r="AL108" i="5"/>
  <c r="AK108" i="5"/>
  <c r="AE108" i="5"/>
  <c r="AD108" i="5"/>
  <c r="AC108" i="5"/>
  <c r="W108" i="5"/>
  <c r="V108" i="5"/>
  <c r="U108" i="5"/>
  <c r="O108" i="5"/>
  <c r="N108" i="5"/>
  <c r="M108" i="5"/>
  <c r="H108" i="5"/>
  <c r="G108" i="5"/>
  <c r="AP107" i="5"/>
  <c r="AX107" i="5"/>
  <c r="AM107" i="5"/>
  <c r="AL107" i="5"/>
  <c r="AK107" i="5"/>
  <c r="AE107" i="5"/>
  <c r="AD107" i="5"/>
  <c r="AC107" i="5"/>
  <c r="W107" i="5"/>
  <c r="V107" i="5"/>
  <c r="U107" i="5"/>
  <c r="O107" i="5"/>
  <c r="N107" i="5"/>
  <c r="M107" i="5"/>
  <c r="H107" i="5"/>
  <c r="G107" i="5"/>
  <c r="AP106" i="5"/>
  <c r="AX106" i="5"/>
  <c r="AM106" i="5"/>
  <c r="AL106" i="5"/>
  <c r="AK106" i="5"/>
  <c r="AD106" i="5"/>
  <c r="AC106" i="5"/>
  <c r="W106" i="5"/>
  <c r="V106" i="5"/>
  <c r="U106" i="5"/>
  <c r="O106" i="5"/>
  <c r="N106" i="5"/>
  <c r="M106" i="5"/>
  <c r="H106" i="5"/>
  <c r="G106" i="5"/>
  <c r="AP105" i="5"/>
  <c r="AX105" i="5"/>
  <c r="AM105" i="5"/>
  <c r="AL105" i="5"/>
  <c r="AK105" i="5"/>
  <c r="AE105" i="5"/>
  <c r="AD105" i="5"/>
  <c r="AC105" i="5"/>
  <c r="W105" i="5"/>
  <c r="V105" i="5"/>
  <c r="U105" i="5"/>
  <c r="O105" i="5"/>
  <c r="N105" i="5"/>
  <c r="M105" i="5"/>
  <c r="H105" i="5"/>
  <c r="G105" i="5"/>
  <c r="AP104" i="5"/>
  <c r="AX104" i="5"/>
  <c r="AL104" i="5"/>
  <c r="AK104" i="5"/>
  <c r="AD104" i="5"/>
  <c r="AC104" i="5"/>
  <c r="W104" i="5"/>
  <c r="V104" i="5"/>
  <c r="U104" i="5"/>
  <c r="O104" i="5"/>
  <c r="N104" i="5"/>
  <c r="M104" i="5"/>
  <c r="H104" i="5"/>
  <c r="G104" i="5"/>
  <c r="AP103" i="5"/>
  <c r="AX103" i="5"/>
  <c r="AL103" i="5"/>
  <c r="AK103" i="5"/>
  <c r="AE103" i="5"/>
  <c r="AD103" i="5"/>
  <c r="AC103" i="5"/>
  <c r="W103" i="5"/>
  <c r="V103" i="5"/>
  <c r="U103" i="5"/>
  <c r="O103" i="5"/>
  <c r="N103" i="5"/>
  <c r="M103" i="5"/>
  <c r="H103" i="5"/>
  <c r="G103" i="5"/>
  <c r="AP102" i="5"/>
  <c r="AX102" i="5"/>
  <c r="AM102" i="5"/>
  <c r="AL102" i="5"/>
  <c r="AK102" i="5"/>
  <c r="AE102" i="5"/>
  <c r="AD102" i="5"/>
  <c r="AC102" i="5"/>
  <c r="W102" i="5"/>
  <c r="V102" i="5"/>
  <c r="U102" i="5"/>
  <c r="O102" i="5"/>
  <c r="N102" i="5"/>
  <c r="M102" i="5"/>
  <c r="H102" i="5"/>
  <c r="G102" i="5"/>
  <c r="AP101" i="5"/>
  <c r="AX101" i="5"/>
  <c r="AM101" i="5"/>
  <c r="AL101" i="5"/>
  <c r="AK101" i="5"/>
  <c r="AE101" i="5"/>
  <c r="AD101" i="5"/>
  <c r="AC101" i="5"/>
  <c r="W101" i="5"/>
  <c r="V101" i="5"/>
  <c r="U101" i="5"/>
  <c r="O101" i="5"/>
  <c r="N101" i="5"/>
  <c r="M101" i="5"/>
  <c r="H101" i="5"/>
  <c r="G101" i="5"/>
  <c r="AP100" i="5"/>
  <c r="AX100" i="5"/>
  <c r="AL100" i="5"/>
  <c r="AK100" i="5"/>
  <c r="AD100" i="5"/>
  <c r="AC100" i="5"/>
  <c r="W100" i="5"/>
  <c r="V100" i="5"/>
  <c r="U100" i="5"/>
  <c r="O100" i="5"/>
  <c r="N100" i="5"/>
  <c r="M100" i="5"/>
  <c r="H100" i="5"/>
  <c r="G100" i="5"/>
  <c r="AP99" i="5"/>
  <c r="AX99" i="5"/>
  <c r="AL99" i="5"/>
  <c r="AK99" i="5"/>
  <c r="AD99" i="5"/>
  <c r="AC99" i="5"/>
  <c r="W99" i="5"/>
  <c r="V99" i="5"/>
  <c r="U99" i="5"/>
  <c r="N99" i="5"/>
  <c r="M99" i="5"/>
  <c r="H99" i="5"/>
  <c r="G99" i="5"/>
  <c r="AP98" i="5"/>
  <c r="AX98" i="5"/>
  <c r="AM98" i="5"/>
  <c r="AL98" i="5"/>
  <c r="AK98" i="5"/>
  <c r="AE98" i="5"/>
  <c r="AD98" i="5"/>
  <c r="AC98" i="5"/>
  <c r="W98" i="5"/>
  <c r="V98" i="5"/>
  <c r="U98" i="5"/>
  <c r="O98" i="5"/>
  <c r="N98" i="5"/>
  <c r="M98" i="5"/>
  <c r="H98" i="5"/>
  <c r="G98" i="5"/>
  <c r="AP97" i="5"/>
  <c r="AX97" i="5"/>
  <c r="AM97" i="5"/>
  <c r="AL97" i="5"/>
  <c r="AK97" i="5"/>
  <c r="AE97" i="5"/>
  <c r="AD97" i="5"/>
  <c r="AC97" i="5"/>
  <c r="W97" i="5"/>
  <c r="V97" i="5"/>
  <c r="U97" i="5"/>
  <c r="O97" i="5"/>
  <c r="N97" i="5"/>
  <c r="M97" i="5"/>
  <c r="H97" i="5"/>
  <c r="G97" i="5"/>
  <c r="AP96" i="5"/>
  <c r="AX96" i="5"/>
  <c r="AM96" i="5"/>
  <c r="AL96" i="5"/>
  <c r="AK96" i="5"/>
  <c r="AE96" i="5"/>
  <c r="AD96" i="5"/>
  <c r="AC96" i="5"/>
  <c r="W96" i="5"/>
  <c r="V96" i="5"/>
  <c r="U96" i="5"/>
  <c r="O96" i="5"/>
  <c r="N96" i="5"/>
  <c r="M96" i="5"/>
  <c r="H96" i="5"/>
  <c r="G96" i="5"/>
  <c r="AP95" i="5"/>
  <c r="AX95" i="5"/>
  <c r="AM95" i="5"/>
  <c r="AL95" i="5"/>
  <c r="AK95" i="5"/>
  <c r="AE95" i="5"/>
  <c r="AD95" i="5"/>
  <c r="AC95" i="5"/>
  <c r="W95" i="5"/>
  <c r="V95" i="5"/>
  <c r="U95" i="5"/>
  <c r="O95" i="5"/>
  <c r="N95" i="5"/>
  <c r="M95" i="5"/>
  <c r="H95" i="5"/>
  <c r="G95" i="5"/>
  <c r="AP94" i="5"/>
  <c r="AX94" i="5"/>
  <c r="AM94" i="5"/>
  <c r="AL94" i="5"/>
  <c r="AK94" i="5"/>
  <c r="AE94" i="5"/>
  <c r="AD94" i="5"/>
  <c r="AC94" i="5"/>
  <c r="W94" i="5"/>
  <c r="V94" i="5"/>
  <c r="U94" i="5"/>
  <c r="O94" i="5"/>
  <c r="N94" i="5"/>
  <c r="M94" i="5"/>
  <c r="H94" i="5"/>
  <c r="G94" i="5"/>
  <c r="AP93" i="5"/>
  <c r="AX93" i="5"/>
  <c r="AL93" i="5"/>
  <c r="AK93" i="5"/>
  <c r="AD93" i="5"/>
  <c r="AC93" i="5"/>
  <c r="W93" i="5"/>
  <c r="V93" i="5"/>
  <c r="U93" i="5"/>
  <c r="O93" i="5"/>
  <c r="N93" i="5"/>
  <c r="M93" i="5"/>
  <c r="H93" i="5"/>
  <c r="G93" i="5"/>
  <c r="AP92" i="5"/>
  <c r="AX92" i="5"/>
  <c r="AM92" i="5"/>
  <c r="AL92" i="5"/>
  <c r="AK92" i="5"/>
  <c r="AE92" i="5"/>
  <c r="AD92" i="5"/>
  <c r="AC92" i="5"/>
  <c r="V92" i="5"/>
  <c r="U92" i="5"/>
  <c r="O92" i="5"/>
  <c r="N92" i="5"/>
  <c r="M92" i="5"/>
  <c r="H92" i="5"/>
  <c r="G92" i="5"/>
  <c r="AP91" i="5"/>
  <c r="AX91" i="5"/>
  <c r="AL91" i="5"/>
  <c r="AK91" i="5"/>
  <c r="AD91" i="5"/>
  <c r="AC91" i="5"/>
  <c r="W91" i="5"/>
  <c r="V91" i="5"/>
  <c r="U91" i="5"/>
  <c r="O91" i="5"/>
  <c r="N91" i="5"/>
  <c r="M91" i="5"/>
  <c r="H91" i="5"/>
  <c r="G91" i="5"/>
  <c r="AP90" i="5"/>
  <c r="AX90" i="5"/>
  <c r="AM90" i="5"/>
  <c r="AL90" i="5"/>
  <c r="AK90" i="5"/>
  <c r="AE90" i="5"/>
  <c r="AD90" i="5"/>
  <c r="AC90" i="5"/>
  <c r="W90" i="5"/>
  <c r="V90" i="5"/>
  <c r="U90" i="5"/>
  <c r="O90" i="5"/>
  <c r="N90" i="5"/>
  <c r="M90" i="5"/>
  <c r="H90" i="5"/>
  <c r="G90" i="5"/>
  <c r="AX89" i="5"/>
  <c r="AP89" i="5"/>
  <c r="AM89" i="5"/>
  <c r="AL89" i="5"/>
  <c r="AK89" i="5"/>
  <c r="AE89" i="5"/>
  <c r="AD89" i="5"/>
  <c r="AC89" i="5"/>
  <c r="W89" i="5"/>
  <c r="V89" i="5"/>
  <c r="U89" i="5"/>
  <c r="O89" i="5"/>
  <c r="N89" i="5"/>
  <c r="M89" i="5"/>
  <c r="H89" i="5"/>
  <c r="G89" i="5"/>
  <c r="AX88" i="5"/>
  <c r="AP88" i="5"/>
  <c r="AM88" i="5"/>
  <c r="AL88" i="5"/>
  <c r="AK88" i="5"/>
  <c r="AE88" i="5"/>
  <c r="AD88" i="5"/>
  <c r="AC88" i="5"/>
  <c r="W88" i="5"/>
  <c r="V88" i="5"/>
  <c r="U88" i="5"/>
  <c r="O88" i="5"/>
  <c r="N88" i="5"/>
  <c r="M88" i="5"/>
  <c r="H88" i="5"/>
  <c r="G88" i="5"/>
  <c r="AP87" i="5"/>
  <c r="AX87" i="5"/>
  <c r="AL87" i="5"/>
  <c r="AK87" i="5"/>
  <c r="AE87" i="5"/>
  <c r="AD87" i="5"/>
  <c r="AC87" i="5"/>
  <c r="W87" i="5"/>
  <c r="V87" i="5"/>
  <c r="U87" i="5"/>
  <c r="O87" i="5"/>
  <c r="N87" i="5"/>
  <c r="M87" i="5"/>
  <c r="H87" i="5"/>
  <c r="G87" i="5"/>
  <c r="AP86" i="5"/>
  <c r="AX86" i="5"/>
  <c r="AM86" i="5"/>
  <c r="AL86" i="5"/>
  <c r="AK86" i="5"/>
  <c r="AE86" i="5"/>
  <c r="AD86" i="5"/>
  <c r="AC86" i="5"/>
  <c r="W86" i="5"/>
  <c r="V86" i="5"/>
  <c r="U86" i="5"/>
  <c r="O86" i="5"/>
  <c r="N86" i="5"/>
  <c r="M86" i="5"/>
  <c r="H86" i="5"/>
  <c r="G86" i="5"/>
  <c r="AP85" i="5"/>
  <c r="AX85" i="5"/>
  <c r="AM85" i="5"/>
  <c r="AL85" i="5"/>
  <c r="AK85" i="5"/>
  <c r="AE85" i="5"/>
  <c r="AD85" i="5"/>
  <c r="AC85" i="5"/>
  <c r="W85" i="5"/>
  <c r="V85" i="5"/>
  <c r="U85" i="5"/>
  <c r="O85" i="5"/>
  <c r="N85" i="5"/>
  <c r="M85" i="5"/>
  <c r="H85" i="5"/>
  <c r="G85" i="5"/>
  <c r="AP84" i="5"/>
  <c r="AX84" i="5"/>
  <c r="AM84" i="5"/>
  <c r="AL84" i="5"/>
  <c r="AK84" i="5"/>
  <c r="AE84" i="5"/>
  <c r="AD84" i="5"/>
  <c r="AC84" i="5"/>
  <c r="W84" i="5"/>
  <c r="V84" i="5"/>
  <c r="U84" i="5"/>
  <c r="O84" i="5"/>
  <c r="N84" i="5"/>
  <c r="M84" i="5"/>
  <c r="H84" i="5"/>
  <c r="G84" i="5"/>
  <c r="AP83" i="5"/>
  <c r="AX83" i="5"/>
  <c r="AM83" i="5"/>
  <c r="AL83" i="5"/>
  <c r="AK83" i="5"/>
  <c r="AE83" i="5"/>
  <c r="AD83" i="5"/>
  <c r="AC83" i="5"/>
  <c r="W83" i="5"/>
  <c r="V83" i="5"/>
  <c r="U83" i="5"/>
  <c r="O83" i="5"/>
  <c r="N83" i="5"/>
  <c r="M83" i="5"/>
  <c r="H83" i="5"/>
  <c r="G83" i="5"/>
  <c r="AP82" i="5"/>
  <c r="AX82" i="5"/>
  <c r="AM82" i="5"/>
  <c r="AL82" i="5"/>
  <c r="AK82" i="5"/>
  <c r="AE82" i="5"/>
  <c r="AD82" i="5"/>
  <c r="AC82" i="5"/>
  <c r="W82" i="5"/>
  <c r="V82" i="5"/>
  <c r="U82" i="5"/>
  <c r="O82" i="5"/>
  <c r="N82" i="5"/>
  <c r="M82" i="5"/>
  <c r="H82" i="5"/>
  <c r="G82" i="5"/>
  <c r="AP81" i="5"/>
  <c r="AX81" i="5"/>
  <c r="AM81" i="5"/>
  <c r="AL81" i="5"/>
  <c r="AK81" i="5"/>
  <c r="AE81" i="5"/>
  <c r="AD81" i="5"/>
  <c r="AC81" i="5"/>
  <c r="W81" i="5"/>
  <c r="V81" i="5"/>
  <c r="U81" i="5"/>
  <c r="O81" i="5"/>
  <c r="N81" i="5"/>
  <c r="M81" i="5"/>
  <c r="H81" i="5"/>
  <c r="G81" i="5"/>
  <c r="AP80" i="5"/>
  <c r="AX80" i="5"/>
  <c r="AM80" i="5"/>
  <c r="AL80" i="5"/>
  <c r="AK80" i="5"/>
  <c r="AE80" i="5"/>
  <c r="AD80" i="5"/>
  <c r="AC80" i="5"/>
  <c r="W80" i="5"/>
  <c r="V80" i="5"/>
  <c r="U80" i="5"/>
  <c r="O80" i="5"/>
  <c r="N80" i="5"/>
  <c r="M80" i="5"/>
  <c r="H80" i="5"/>
  <c r="G80" i="5"/>
  <c r="AP79" i="5"/>
  <c r="AX79" i="5"/>
  <c r="AM79" i="5"/>
  <c r="AL79" i="5"/>
  <c r="AK79" i="5"/>
  <c r="AE79" i="5"/>
  <c r="AD79" i="5"/>
  <c r="AC79" i="5"/>
  <c r="W79" i="5"/>
  <c r="V79" i="5"/>
  <c r="U79" i="5"/>
  <c r="O79" i="5"/>
  <c r="N79" i="5"/>
  <c r="M79" i="5"/>
  <c r="H79" i="5"/>
  <c r="G79" i="5"/>
  <c r="AP78" i="5"/>
  <c r="AX78" i="5"/>
  <c r="AM78" i="5"/>
  <c r="AL78" i="5"/>
  <c r="AK78" i="5"/>
  <c r="AE78" i="5"/>
  <c r="AD78" i="5"/>
  <c r="AC78" i="5"/>
  <c r="W78" i="5"/>
  <c r="V78" i="5"/>
  <c r="U78" i="5"/>
  <c r="O78" i="5"/>
  <c r="N78" i="5"/>
  <c r="M78" i="5"/>
  <c r="H78" i="5"/>
  <c r="G78" i="5"/>
  <c r="AP77" i="5"/>
  <c r="AX77" i="5"/>
  <c r="AM77" i="5"/>
  <c r="AL77" i="5"/>
  <c r="AK77" i="5"/>
  <c r="AD77" i="5"/>
  <c r="AC77" i="5"/>
  <c r="W77" i="5"/>
  <c r="V77" i="5"/>
  <c r="U77" i="5"/>
  <c r="O77" i="5"/>
  <c r="N77" i="5"/>
  <c r="M77" i="5"/>
  <c r="H77" i="5"/>
  <c r="G77" i="5"/>
  <c r="AX76" i="5"/>
  <c r="AP76" i="5"/>
  <c r="AM76" i="5"/>
  <c r="AL76" i="5"/>
  <c r="AK76" i="5"/>
  <c r="AE76" i="5"/>
  <c r="AD76" i="5"/>
  <c r="AC76" i="5"/>
  <c r="W76" i="5"/>
  <c r="V76" i="5"/>
  <c r="U76" i="5"/>
  <c r="O76" i="5"/>
  <c r="N76" i="5"/>
  <c r="M76" i="5"/>
  <c r="H76" i="5"/>
  <c r="G76" i="5"/>
  <c r="AP75" i="5"/>
  <c r="AX75" i="5"/>
  <c r="AM75" i="5"/>
  <c r="AL75" i="5"/>
  <c r="AK75" i="5"/>
  <c r="AD75" i="5"/>
  <c r="AC75" i="5"/>
  <c r="W75" i="5"/>
  <c r="V75" i="5"/>
  <c r="U75" i="5"/>
  <c r="O75" i="5"/>
  <c r="N75" i="5"/>
  <c r="M75" i="5"/>
  <c r="H75" i="5"/>
  <c r="G75" i="5"/>
  <c r="AP74" i="5"/>
  <c r="AX74" i="5"/>
  <c r="AM74" i="5"/>
  <c r="AL74" i="5"/>
  <c r="AK74" i="5"/>
  <c r="AE74" i="5"/>
  <c r="AD74" i="5"/>
  <c r="AC74" i="5"/>
  <c r="W74" i="5"/>
  <c r="V74" i="5"/>
  <c r="U74" i="5"/>
  <c r="O74" i="5"/>
  <c r="N74" i="5"/>
  <c r="M74" i="5"/>
  <c r="H74" i="5"/>
  <c r="G74" i="5"/>
  <c r="AP73" i="5"/>
  <c r="AX73" i="5"/>
  <c r="AM73" i="5"/>
  <c r="AL73" i="5"/>
  <c r="AK73" i="5"/>
  <c r="AE73" i="5"/>
  <c r="AD73" i="5"/>
  <c r="AC73" i="5"/>
  <c r="W73" i="5"/>
  <c r="V73" i="5"/>
  <c r="U73" i="5"/>
  <c r="O73" i="5"/>
  <c r="N73" i="5"/>
  <c r="M73" i="5"/>
  <c r="H73" i="5"/>
  <c r="G73" i="5"/>
  <c r="AP72" i="5"/>
  <c r="AX72" i="5"/>
  <c r="AM72" i="5"/>
  <c r="AL72" i="5"/>
  <c r="AK72" i="5"/>
  <c r="AE72" i="5"/>
  <c r="AD72" i="5"/>
  <c r="AC72" i="5"/>
  <c r="W72" i="5"/>
  <c r="V72" i="5"/>
  <c r="U72" i="5"/>
  <c r="O72" i="5"/>
  <c r="N72" i="5"/>
  <c r="M72" i="5"/>
  <c r="H72" i="5"/>
  <c r="G72" i="5"/>
  <c r="AP71" i="5"/>
  <c r="AX71" i="5"/>
  <c r="AM71" i="5"/>
  <c r="AL71" i="5"/>
  <c r="AK71" i="5"/>
  <c r="AE71" i="5"/>
  <c r="AD71" i="5"/>
  <c r="AC71" i="5"/>
  <c r="W71" i="5"/>
  <c r="V71" i="5"/>
  <c r="U71" i="5"/>
  <c r="O71" i="5"/>
  <c r="N71" i="5"/>
  <c r="M71" i="5"/>
  <c r="H71" i="5"/>
  <c r="G71" i="5"/>
  <c r="AP70" i="5"/>
  <c r="AX70" i="5"/>
  <c r="AM70" i="5"/>
  <c r="AL70" i="5"/>
  <c r="AK70" i="5"/>
  <c r="AE70" i="5"/>
  <c r="AD70" i="5"/>
  <c r="AC70" i="5"/>
  <c r="W70" i="5"/>
  <c r="V70" i="5"/>
  <c r="U70" i="5"/>
  <c r="O70" i="5"/>
  <c r="N70" i="5"/>
  <c r="M70" i="5"/>
  <c r="H70" i="5"/>
  <c r="G70" i="5"/>
  <c r="AP69" i="5"/>
  <c r="AX69" i="5"/>
  <c r="AM69" i="5"/>
  <c r="AL69" i="5"/>
  <c r="AK69" i="5"/>
  <c r="AE69" i="5"/>
  <c r="AD69" i="5"/>
  <c r="AC69" i="5"/>
  <c r="W69" i="5"/>
  <c r="V69" i="5"/>
  <c r="U69" i="5"/>
  <c r="O69" i="5"/>
  <c r="N69" i="5"/>
  <c r="M69" i="5"/>
  <c r="H69" i="5"/>
  <c r="G69" i="5"/>
  <c r="AP68" i="5"/>
  <c r="AX68" i="5"/>
  <c r="AL68" i="5"/>
  <c r="AE68" i="5"/>
  <c r="AD68" i="5"/>
  <c r="W68" i="5"/>
  <c r="V68" i="5"/>
  <c r="U68" i="5"/>
  <c r="O68" i="5"/>
  <c r="N68" i="5"/>
  <c r="M68" i="5"/>
  <c r="H68" i="5"/>
  <c r="G68" i="5"/>
  <c r="AP67" i="5"/>
  <c r="AX67" i="5"/>
  <c r="AM67" i="5"/>
  <c r="AL67" i="5"/>
  <c r="AD67" i="5"/>
  <c r="W67" i="5"/>
  <c r="V67" i="5"/>
  <c r="U67" i="5"/>
  <c r="O67" i="5"/>
  <c r="N67" i="5"/>
  <c r="M67" i="5"/>
  <c r="H67" i="5"/>
  <c r="G67" i="5"/>
  <c r="AP66" i="5"/>
  <c r="AX66" i="5"/>
  <c r="AM66" i="5"/>
  <c r="AL66" i="5"/>
  <c r="AK66" i="5"/>
  <c r="AE66" i="5"/>
  <c r="AD66" i="5"/>
  <c r="AC66" i="5"/>
  <c r="W66" i="5"/>
  <c r="V66" i="5"/>
  <c r="U66" i="5"/>
  <c r="O66" i="5"/>
  <c r="N66" i="5"/>
  <c r="M66" i="5"/>
  <c r="H66" i="5"/>
  <c r="G66" i="5"/>
  <c r="AP65" i="5"/>
  <c r="AX65" i="5"/>
  <c r="AL65" i="5"/>
  <c r="AE65" i="5"/>
  <c r="AD65" i="5"/>
  <c r="W65" i="5"/>
  <c r="V65" i="5"/>
  <c r="U65" i="5"/>
  <c r="O65" i="5"/>
  <c r="N65" i="5"/>
  <c r="M65" i="5"/>
  <c r="H65" i="5"/>
  <c r="G65" i="5"/>
  <c r="AP64" i="5"/>
  <c r="AX64" i="5"/>
  <c r="AL64" i="5"/>
  <c r="AE64" i="5"/>
  <c r="AD64" i="5"/>
  <c r="W64" i="5"/>
  <c r="V64" i="5"/>
  <c r="U64" i="5"/>
  <c r="O64" i="5"/>
  <c r="N64" i="5"/>
  <c r="M64" i="5"/>
  <c r="H64" i="5"/>
  <c r="G64" i="5"/>
  <c r="AP63" i="5"/>
  <c r="AX63" i="5"/>
  <c r="AM63" i="5"/>
  <c r="AL63" i="5"/>
  <c r="AK63" i="5"/>
  <c r="AE63" i="5"/>
  <c r="AD63" i="5"/>
  <c r="AC63" i="5"/>
  <c r="W63" i="5"/>
  <c r="V63" i="5"/>
  <c r="U63" i="5"/>
  <c r="O63" i="5"/>
  <c r="N63" i="5"/>
  <c r="M63" i="5"/>
  <c r="H63" i="5"/>
  <c r="G63" i="5"/>
  <c r="AP62" i="5"/>
  <c r="AX62" i="5"/>
  <c r="AM62" i="5"/>
  <c r="AL62" i="5"/>
  <c r="AK62" i="5"/>
  <c r="AE62" i="5"/>
  <c r="AD62" i="5"/>
  <c r="AC62" i="5"/>
  <c r="W62" i="5"/>
  <c r="V62" i="5"/>
  <c r="U62" i="5"/>
  <c r="O62" i="5"/>
  <c r="N62" i="5"/>
  <c r="M62" i="5"/>
  <c r="H62" i="5"/>
  <c r="G62" i="5"/>
  <c r="AP61" i="5"/>
  <c r="AX61" i="5"/>
  <c r="AM61" i="5"/>
  <c r="AL61" i="5"/>
  <c r="AK61" i="5"/>
  <c r="AE61" i="5"/>
  <c r="AD61" i="5"/>
  <c r="AC61" i="5"/>
  <c r="W61" i="5"/>
  <c r="V61" i="5"/>
  <c r="U61" i="5"/>
  <c r="O61" i="5"/>
  <c r="N61" i="5"/>
  <c r="M61" i="5"/>
  <c r="H61" i="5"/>
  <c r="G61" i="5"/>
  <c r="AP60" i="5"/>
  <c r="AX60" i="5"/>
  <c r="AM60" i="5"/>
  <c r="AL60" i="5"/>
  <c r="AK60" i="5"/>
  <c r="AE60" i="5"/>
  <c r="AD60" i="5"/>
  <c r="AC60" i="5"/>
  <c r="W60" i="5"/>
  <c r="V60" i="5"/>
  <c r="U60" i="5"/>
  <c r="O60" i="5"/>
  <c r="N60" i="5"/>
  <c r="M60" i="5"/>
  <c r="H60" i="5"/>
  <c r="G60" i="5"/>
  <c r="AP59" i="5"/>
  <c r="AX59" i="5"/>
  <c r="AM59" i="5"/>
  <c r="AL59" i="5"/>
  <c r="AK59" i="5"/>
  <c r="AE59" i="5"/>
  <c r="AD59" i="5"/>
  <c r="AC59" i="5"/>
  <c r="W59" i="5"/>
  <c r="V59" i="5"/>
  <c r="U59" i="5"/>
  <c r="O59" i="5"/>
  <c r="N59" i="5"/>
  <c r="M59" i="5"/>
  <c r="H59" i="5"/>
  <c r="G59" i="5"/>
  <c r="AP58" i="5"/>
  <c r="AX58" i="5"/>
  <c r="AL58" i="5"/>
  <c r="AK58" i="5"/>
  <c r="AD58" i="5"/>
  <c r="AC58" i="5"/>
  <c r="V58" i="5"/>
  <c r="U58" i="5"/>
  <c r="O58" i="5"/>
  <c r="N58" i="5"/>
  <c r="M58" i="5"/>
  <c r="H58" i="5"/>
  <c r="G58" i="5"/>
  <c r="AP57" i="5"/>
  <c r="AX57" i="5"/>
  <c r="AL57" i="5"/>
  <c r="AK57" i="5"/>
  <c r="AD57" i="5"/>
  <c r="AC57" i="5"/>
  <c r="V57" i="5"/>
  <c r="U57" i="5"/>
  <c r="O57" i="5"/>
  <c r="N57" i="5"/>
  <c r="M57" i="5"/>
  <c r="H57" i="5"/>
  <c r="G57" i="5"/>
  <c r="AP56" i="5"/>
  <c r="AX56" i="5"/>
  <c r="AM56" i="5"/>
  <c r="AL56" i="5"/>
  <c r="AK56" i="5"/>
  <c r="AE56" i="5"/>
  <c r="AD56" i="5"/>
  <c r="AC56" i="5"/>
  <c r="W56" i="5"/>
  <c r="V56" i="5"/>
  <c r="U56" i="5"/>
  <c r="O56" i="5"/>
  <c r="N56" i="5"/>
  <c r="M56" i="5"/>
  <c r="H56" i="5"/>
  <c r="G56" i="5"/>
  <c r="AP55" i="5"/>
  <c r="AX55" i="5"/>
  <c r="AM55" i="5"/>
  <c r="AL55" i="5"/>
  <c r="AK55" i="5"/>
  <c r="AE55" i="5"/>
  <c r="AD55" i="5"/>
  <c r="AC55" i="5"/>
  <c r="W55" i="5"/>
  <c r="V55" i="5"/>
  <c r="U55" i="5"/>
  <c r="O55" i="5"/>
  <c r="N55" i="5"/>
  <c r="M55" i="5"/>
  <c r="H55" i="5"/>
  <c r="G55" i="5"/>
  <c r="AP54" i="5"/>
  <c r="AX54" i="5"/>
  <c r="AM54" i="5"/>
  <c r="AL54" i="5"/>
  <c r="AK54" i="5"/>
  <c r="AE54" i="5"/>
  <c r="AD54" i="5"/>
  <c r="AC54" i="5"/>
  <c r="W54" i="5"/>
  <c r="V54" i="5"/>
  <c r="U54" i="5"/>
  <c r="O54" i="5"/>
  <c r="N54" i="5"/>
  <c r="M54" i="5"/>
  <c r="H54" i="5"/>
  <c r="G54" i="5"/>
  <c r="AP53" i="5"/>
  <c r="AX53" i="5"/>
  <c r="AM53" i="5"/>
  <c r="AL53" i="5"/>
  <c r="AK53" i="5"/>
  <c r="AE53" i="5"/>
  <c r="AD53" i="5"/>
  <c r="AC53" i="5"/>
  <c r="W53" i="5"/>
  <c r="V53" i="5"/>
  <c r="U53" i="5"/>
  <c r="O53" i="5"/>
  <c r="N53" i="5"/>
  <c r="M53" i="5"/>
  <c r="H53" i="5"/>
  <c r="G53" i="5"/>
  <c r="AP52" i="5"/>
  <c r="AX52" i="5"/>
  <c r="AM52" i="5"/>
  <c r="AL52" i="5"/>
  <c r="AK52" i="5"/>
  <c r="AE52" i="5"/>
  <c r="AD52" i="5"/>
  <c r="AC52" i="5"/>
  <c r="W52" i="5"/>
  <c r="V52" i="5"/>
  <c r="U52" i="5"/>
  <c r="O52" i="5"/>
  <c r="N52" i="5"/>
  <c r="M52" i="5"/>
  <c r="H52" i="5"/>
  <c r="G52" i="5"/>
  <c r="AP51" i="5"/>
  <c r="AX51" i="5"/>
  <c r="AM51" i="5"/>
  <c r="AL51" i="5"/>
  <c r="AK51" i="5"/>
  <c r="AE51" i="5"/>
  <c r="AD51" i="5"/>
  <c r="AC51" i="5"/>
  <c r="W51" i="5"/>
  <c r="V51" i="5"/>
  <c r="U51" i="5"/>
  <c r="O51" i="5"/>
  <c r="N51" i="5"/>
  <c r="M51" i="5"/>
  <c r="H51" i="5"/>
  <c r="G51" i="5"/>
  <c r="AP50" i="5"/>
  <c r="AX50" i="5"/>
  <c r="AM50" i="5"/>
  <c r="AL50" i="5"/>
  <c r="AK50" i="5"/>
  <c r="AE50" i="5"/>
  <c r="AD50" i="5"/>
  <c r="AC50" i="5"/>
  <c r="W50" i="5"/>
  <c r="V50" i="5"/>
  <c r="U50" i="5"/>
  <c r="O50" i="5"/>
  <c r="N50" i="5"/>
  <c r="M50" i="5"/>
  <c r="H50" i="5"/>
  <c r="G50" i="5"/>
  <c r="AP49" i="5"/>
  <c r="AX49" i="5"/>
  <c r="AL49" i="5"/>
  <c r="AK49" i="5"/>
  <c r="AD49" i="5"/>
  <c r="AC49" i="5"/>
  <c r="W49" i="5"/>
  <c r="V49" i="5"/>
  <c r="U49" i="5"/>
  <c r="O49" i="5"/>
  <c r="N49" i="5"/>
  <c r="M49" i="5"/>
  <c r="H49" i="5"/>
  <c r="G49" i="5"/>
  <c r="AP48" i="5"/>
  <c r="AX48" i="5"/>
  <c r="AL48" i="5"/>
  <c r="AK48" i="5"/>
  <c r="AD48" i="5"/>
  <c r="AC48" i="5"/>
  <c r="W48" i="5"/>
  <c r="V48" i="5"/>
  <c r="U48" i="5"/>
  <c r="O48" i="5"/>
  <c r="N48" i="5"/>
  <c r="M48" i="5"/>
  <c r="H48" i="5"/>
  <c r="G48" i="5"/>
  <c r="AP47" i="5"/>
  <c r="AX47" i="5"/>
  <c r="AM47" i="5"/>
  <c r="AL47" i="5"/>
  <c r="AK47" i="5"/>
  <c r="AD47" i="5"/>
  <c r="AC47" i="5"/>
  <c r="V47" i="5"/>
  <c r="U47" i="5"/>
  <c r="N47" i="5"/>
  <c r="M47" i="5"/>
  <c r="H47" i="5"/>
  <c r="G47" i="5"/>
  <c r="AX46" i="5"/>
  <c r="AP46" i="5"/>
  <c r="AM46" i="5"/>
  <c r="AL46" i="5"/>
  <c r="AK46" i="5"/>
  <c r="AE46" i="5"/>
  <c r="AD46" i="5"/>
  <c r="AC46" i="5"/>
  <c r="W46" i="5"/>
  <c r="V46" i="5"/>
  <c r="U46" i="5"/>
  <c r="O46" i="5"/>
  <c r="N46" i="5"/>
  <c r="M46" i="5"/>
  <c r="H46" i="5"/>
  <c r="G46" i="5"/>
  <c r="AP45" i="5"/>
  <c r="AX45" i="5"/>
  <c r="AM45" i="5"/>
  <c r="AL45" i="5"/>
  <c r="AK45" i="5"/>
  <c r="AE45" i="5"/>
  <c r="AD45" i="5"/>
  <c r="AC45" i="5"/>
  <c r="W45" i="5"/>
  <c r="V45" i="5"/>
  <c r="U45" i="5"/>
  <c r="O45" i="5"/>
  <c r="N45" i="5"/>
  <c r="M45" i="5"/>
  <c r="H45" i="5"/>
  <c r="G45" i="5"/>
  <c r="AP44" i="5"/>
  <c r="AX44" i="5"/>
  <c r="AM44" i="5"/>
  <c r="AL44" i="5"/>
  <c r="AK44" i="5"/>
  <c r="AE44" i="5"/>
  <c r="AD44" i="5"/>
  <c r="AC44" i="5"/>
  <c r="W44" i="5"/>
  <c r="V44" i="5"/>
  <c r="U44" i="5"/>
  <c r="O44" i="5"/>
  <c r="N44" i="5"/>
  <c r="M44" i="5"/>
  <c r="H44" i="5"/>
  <c r="G44" i="5"/>
  <c r="AP43" i="5"/>
  <c r="AX43" i="5"/>
  <c r="AM43" i="5"/>
  <c r="AL43" i="5"/>
  <c r="AK43" i="5"/>
  <c r="AE43" i="5"/>
  <c r="AD43" i="5"/>
  <c r="AC43" i="5"/>
  <c r="W43" i="5"/>
  <c r="V43" i="5"/>
  <c r="U43" i="5"/>
  <c r="N43" i="5"/>
  <c r="M43" i="5"/>
  <c r="H43" i="5"/>
  <c r="G43" i="5"/>
  <c r="AX42" i="5"/>
  <c r="AW42" i="5"/>
  <c r="AP41" i="5"/>
  <c r="AX41" i="5"/>
  <c r="AM41" i="5"/>
  <c r="AL41" i="5"/>
  <c r="AK41" i="5"/>
  <c r="AE41" i="5"/>
  <c r="AD41" i="5"/>
  <c r="AC41" i="5"/>
  <c r="V41" i="5"/>
  <c r="U41" i="5"/>
  <c r="O41" i="5"/>
  <c r="N41" i="5"/>
  <c r="M41" i="5"/>
  <c r="H41" i="5"/>
  <c r="G41" i="5"/>
  <c r="AP40" i="5"/>
  <c r="AX40" i="5"/>
  <c r="AM40" i="5"/>
  <c r="AL40" i="5"/>
  <c r="AK40" i="5"/>
  <c r="AE40" i="5"/>
  <c r="AD40" i="5"/>
  <c r="AC40" i="5"/>
  <c r="V40" i="5"/>
  <c r="U40" i="5"/>
  <c r="O40" i="5"/>
  <c r="N40" i="5"/>
  <c r="M40" i="5"/>
  <c r="H40" i="5"/>
  <c r="G40" i="5"/>
  <c r="AP39" i="5"/>
  <c r="AX39" i="5"/>
  <c r="AM39" i="5"/>
  <c r="AL39" i="5"/>
  <c r="AK39" i="5"/>
  <c r="AE39" i="5"/>
  <c r="AD39" i="5"/>
  <c r="AC39" i="5"/>
  <c r="V39" i="5"/>
  <c r="U39" i="5"/>
  <c r="O39" i="5"/>
  <c r="N39" i="5"/>
  <c r="M39" i="5"/>
  <c r="H39" i="5"/>
  <c r="G39" i="5"/>
  <c r="BF38" i="5"/>
  <c r="AP38" i="5"/>
  <c r="AX38" i="5"/>
  <c r="AM38" i="5"/>
  <c r="AL38" i="5"/>
  <c r="AK38" i="5"/>
  <c r="AE38" i="5"/>
  <c r="AD38" i="5"/>
  <c r="AC38" i="5"/>
  <c r="V38" i="5"/>
  <c r="U38" i="5"/>
  <c r="O38" i="5"/>
  <c r="N38" i="5"/>
  <c r="M38" i="5"/>
  <c r="H38" i="5"/>
  <c r="G38" i="5"/>
  <c r="BG37" i="5"/>
  <c r="BF37" i="5"/>
  <c r="AP37" i="5"/>
  <c r="AX37" i="5"/>
  <c r="AM37" i="5"/>
  <c r="AL37" i="5"/>
  <c r="AK37" i="5"/>
  <c r="AE37" i="5"/>
  <c r="AD37" i="5"/>
  <c r="AC37" i="5"/>
  <c r="V37" i="5"/>
  <c r="U37" i="5"/>
  <c r="O37" i="5"/>
  <c r="N37" i="5"/>
  <c r="M37" i="5"/>
  <c r="H37" i="5"/>
  <c r="G37" i="5"/>
  <c r="BG36" i="5"/>
  <c r="BF36" i="5"/>
  <c r="AP36" i="5"/>
  <c r="AX36" i="5"/>
  <c r="AM36" i="5"/>
  <c r="AL36" i="5"/>
  <c r="AK36" i="5"/>
  <c r="AE36" i="5"/>
  <c r="AD36" i="5"/>
  <c r="AC36" i="5"/>
  <c r="V36" i="5"/>
  <c r="U36" i="5"/>
  <c r="O36" i="5"/>
  <c r="N36" i="5"/>
  <c r="M36" i="5"/>
  <c r="H36" i="5"/>
  <c r="G36" i="5"/>
  <c r="BG35" i="5"/>
  <c r="BF35" i="5"/>
  <c r="AP35" i="5"/>
  <c r="AX35" i="5"/>
  <c r="AM35" i="5"/>
  <c r="AL35" i="5"/>
  <c r="AK35" i="5"/>
  <c r="AE35" i="5"/>
  <c r="AD35" i="5"/>
  <c r="AC35" i="5"/>
  <c r="V35" i="5"/>
  <c r="U35" i="5"/>
  <c r="O35" i="5"/>
  <c r="N35" i="5"/>
  <c r="M35" i="5"/>
  <c r="H35" i="5"/>
  <c r="G35" i="5"/>
  <c r="BG34" i="5"/>
  <c r="BF34" i="5"/>
  <c r="AP34" i="5"/>
  <c r="AX34" i="5"/>
  <c r="AM34" i="5"/>
  <c r="AL34" i="5"/>
  <c r="AK34" i="5"/>
  <c r="AE34" i="5"/>
  <c r="AD34" i="5"/>
  <c r="AC34" i="5"/>
  <c r="V34" i="5"/>
  <c r="U34" i="5"/>
  <c r="O34" i="5"/>
  <c r="N34" i="5"/>
  <c r="M34" i="5"/>
  <c r="H34" i="5"/>
  <c r="G34" i="5"/>
  <c r="BG33" i="5"/>
  <c r="BF33" i="5"/>
  <c r="AP33" i="5"/>
  <c r="AX33" i="5"/>
  <c r="AM33" i="5"/>
  <c r="AL33" i="5"/>
  <c r="AK33" i="5"/>
  <c r="AE33" i="5"/>
  <c r="AD33" i="5"/>
  <c r="AC33" i="5"/>
  <c r="V33" i="5"/>
  <c r="U33" i="5"/>
  <c r="O33" i="5"/>
  <c r="N33" i="5"/>
  <c r="M33" i="5"/>
  <c r="H33" i="5"/>
  <c r="G33" i="5"/>
  <c r="BF32" i="5"/>
  <c r="AP32" i="5"/>
  <c r="AX32" i="5"/>
  <c r="AM32" i="5"/>
  <c r="AL32" i="5"/>
  <c r="AK32" i="5"/>
  <c r="AE32" i="5"/>
  <c r="AD32" i="5"/>
  <c r="AC32" i="5"/>
  <c r="V32" i="5"/>
  <c r="U32" i="5"/>
  <c r="O32" i="5"/>
  <c r="N32" i="5"/>
  <c r="M32" i="5"/>
  <c r="H32" i="5"/>
  <c r="G32" i="5"/>
  <c r="BG31" i="5"/>
  <c r="BF31" i="5"/>
  <c r="AP31" i="5"/>
  <c r="AX31" i="5"/>
  <c r="AM31" i="5"/>
  <c r="AL31" i="5"/>
  <c r="AK31" i="5"/>
  <c r="AE31" i="5"/>
  <c r="AD31" i="5"/>
  <c r="AC31" i="5"/>
  <c r="V31" i="5"/>
  <c r="U31" i="5"/>
  <c r="O31" i="5"/>
  <c r="N31" i="5"/>
  <c r="M31" i="5"/>
  <c r="H31" i="5"/>
  <c r="G31" i="5"/>
  <c r="BG30" i="5"/>
  <c r="BF30" i="5"/>
  <c r="AP30" i="5"/>
  <c r="AX30" i="5"/>
  <c r="AM30" i="5"/>
  <c r="AL30" i="5"/>
  <c r="AK30" i="5"/>
  <c r="AE30" i="5"/>
  <c r="AD30" i="5"/>
  <c r="AC30" i="5"/>
  <c r="V30" i="5"/>
  <c r="U30" i="5"/>
  <c r="O30" i="5"/>
  <c r="N30" i="5"/>
  <c r="M30" i="5"/>
  <c r="H30" i="5"/>
  <c r="G30" i="5"/>
  <c r="BG29" i="5"/>
  <c r="BF29" i="5"/>
  <c r="AP29" i="5"/>
  <c r="AX29" i="5"/>
  <c r="AM29" i="5"/>
  <c r="AL29" i="5"/>
  <c r="AK29" i="5"/>
  <c r="AE29" i="5"/>
  <c r="AD29" i="5"/>
  <c r="AC29" i="5"/>
  <c r="W29" i="5"/>
  <c r="V29" i="5"/>
  <c r="U29" i="5"/>
  <c r="O29" i="5"/>
  <c r="N29" i="5"/>
  <c r="M29" i="5"/>
  <c r="H29" i="5"/>
  <c r="G29" i="5"/>
  <c r="BF28" i="5"/>
  <c r="AP28" i="5"/>
  <c r="AX28" i="5"/>
  <c r="AM28" i="5"/>
  <c r="AL28" i="5"/>
  <c r="AK28" i="5"/>
  <c r="AE28" i="5"/>
  <c r="AD28" i="5"/>
  <c r="AC28" i="5"/>
  <c r="W28" i="5"/>
  <c r="V28" i="5"/>
  <c r="U28" i="5"/>
  <c r="O28" i="5"/>
  <c r="N28" i="5"/>
  <c r="M28" i="5"/>
  <c r="H28" i="5"/>
  <c r="G28" i="5"/>
  <c r="BG27" i="5"/>
  <c r="BF27" i="5"/>
  <c r="AP27" i="5"/>
  <c r="AX27" i="5"/>
  <c r="AM27" i="5"/>
  <c r="AL27" i="5"/>
  <c r="AK27" i="5"/>
  <c r="AE27" i="5"/>
  <c r="AD27" i="5"/>
  <c r="AC27" i="5"/>
  <c r="W27" i="5"/>
  <c r="V27" i="5"/>
  <c r="U27" i="5"/>
  <c r="O27" i="5"/>
  <c r="N27" i="5"/>
  <c r="M27" i="5"/>
  <c r="H27" i="5"/>
  <c r="G27" i="5"/>
  <c r="BG26" i="5"/>
  <c r="BF26" i="5"/>
  <c r="AL26" i="5"/>
  <c r="AK26" i="5"/>
  <c r="AE26" i="5"/>
  <c r="AD26" i="5"/>
  <c r="AC26" i="5"/>
  <c r="W26" i="5"/>
  <c r="V26" i="5"/>
  <c r="U26" i="5"/>
  <c r="O26" i="5"/>
  <c r="N26" i="5"/>
  <c r="M26" i="5"/>
  <c r="E26" i="5"/>
  <c r="D26" i="5"/>
  <c r="BG25" i="5"/>
  <c r="BF25" i="5"/>
  <c r="AP25" i="5"/>
  <c r="AX25" i="5"/>
  <c r="AL25" i="5"/>
  <c r="AK25" i="5"/>
  <c r="AE25" i="5"/>
  <c r="AD25" i="5"/>
  <c r="AC25" i="5"/>
  <c r="W25" i="5"/>
  <c r="V25" i="5"/>
  <c r="U25" i="5"/>
  <c r="O25" i="5"/>
  <c r="N25" i="5"/>
  <c r="M25" i="5"/>
  <c r="H25" i="5"/>
  <c r="G25" i="5"/>
  <c r="BG24" i="5"/>
  <c r="BF24" i="5"/>
  <c r="AP24" i="5"/>
  <c r="AX24" i="5"/>
  <c r="AM24" i="5"/>
  <c r="AL24" i="5"/>
  <c r="AK24" i="5"/>
  <c r="AE24" i="5"/>
  <c r="AD24" i="5"/>
  <c r="AC24" i="5"/>
  <c r="W24" i="5"/>
  <c r="V24" i="5"/>
  <c r="U24" i="5"/>
  <c r="O24" i="5"/>
  <c r="N24" i="5"/>
  <c r="M24" i="5"/>
  <c r="H24" i="5"/>
  <c r="G24" i="5"/>
  <c r="BG23" i="5"/>
  <c r="BF23" i="5"/>
  <c r="AP23" i="5"/>
  <c r="AX23" i="5"/>
  <c r="AL23" i="5"/>
  <c r="AK23" i="5"/>
  <c r="AD23" i="5"/>
  <c r="AC23" i="5"/>
  <c r="W23" i="5"/>
  <c r="V23" i="5"/>
  <c r="U23" i="5"/>
  <c r="O23" i="5"/>
  <c r="N23" i="5"/>
  <c r="M23" i="5"/>
  <c r="H23" i="5"/>
  <c r="G23" i="5"/>
  <c r="BG22" i="5"/>
  <c r="BF22" i="5"/>
  <c r="AP22" i="5"/>
  <c r="AX22" i="5"/>
  <c r="AM22" i="5"/>
  <c r="AL22" i="5"/>
  <c r="AK22" i="5"/>
  <c r="AE22" i="5"/>
  <c r="AD22" i="5"/>
  <c r="AC22" i="5"/>
  <c r="W22" i="5"/>
  <c r="V22" i="5"/>
  <c r="U22" i="5"/>
  <c r="O22" i="5"/>
  <c r="N22" i="5"/>
  <c r="M22" i="5"/>
  <c r="H22" i="5"/>
  <c r="G22" i="5"/>
  <c r="BG21" i="5"/>
  <c r="BF21" i="5"/>
  <c r="AP21" i="5"/>
  <c r="AX21" i="5"/>
  <c r="AL21" i="5"/>
  <c r="AK21" i="5"/>
  <c r="AE21" i="5"/>
  <c r="AD21" i="5"/>
  <c r="AC21" i="5"/>
  <c r="W21" i="5"/>
  <c r="V21" i="5"/>
  <c r="U21" i="5"/>
  <c r="O21" i="5"/>
  <c r="N21" i="5"/>
  <c r="M21" i="5"/>
  <c r="H21" i="5"/>
  <c r="G21" i="5"/>
  <c r="BG20" i="5"/>
  <c r="BF20" i="5"/>
  <c r="AP20" i="5"/>
  <c r="AX20" i="5"/>
  <c r="AM20" i="5"/>
  <c r="AL20" i="5"/>
  <c r="AK20" i="5"/>
  <c r="AE20" i="5"/>
  <c r="AD20" i="5"/>
  <c r="AC20" i="5"/>
  <c r="W20" i="5"/>
  <c r="V20" i="5"/>
  <c r="U20" i="5"/>
  <c r="O20" i="5"/>
  <c r="N20" i="5"/>
  <c r="M20" i="5"/>
  <c r="H20" i="5"/>
  <c r="G20" i="5"/>
  <c r="BG19" i="5"/>
  <c r="BF19" i="5"/>
  <c r="AP19" i="5"/>
  <c r="AX19" i="5"/>
  <c r="AL19" i="5"/>
  <c r="AK19" i="5"/>
  <c r="AE19" i="5"/>
  <c r="AD19" i="5"/>
  <c r="AC19" i="5"/>
  <c r="W19" i="5"/>
  <c r="V19" i="5"/>
  <c r="U19" i="5"/>
  <c r="O19" i="5"/>
  <c r="N19" i="5"/>
  <c r="M19" i="5"/>
  <c r="H19" i="5"/>
  <c r="G19" i="5"/>
  <c r="BG18" i="5"/>
  <c r="BF18" i="5"/>
  <c r="AP18" i="5"/>
  <c r="AX18" i="5"/>
  <c r="AL18" i="5"/>
  <c r="AK18" i="5"/>
  <c r="AE18" i="5"/>
  <c r="AD18" i="5"/>
  <c r="AC18" i="5"/>
  <c r="W18" i="5"/>
  <c r="V18" i="5"/>
  <c r="U18" i="5"/>
  <c r="O18" i="5"/>
  <c r="N18" i="5"/>
  <c r="M18" i="5"/>
  <c r="H18" i="5"/>
  <c r="G18" i="5"/>
  <c r="BG17" i="5"/>
  <c r="BF17" i="5"/>
  <c r="AP17" i="5"/>
  <c r="AX17" i="5"/>
  <c r="AL17" i="5"/>
  <c r="AK17" i="5"/>
  <c r="AE17" i="5"/>
  <c r="AD17" i="5"/>
  <c r="AC17" i="5"/>
  <c r="W17" i="5"/>
  <c r="V17" i="5"/>
  <c r="U17" i="5"/>
  <c r="O17" i="5"/>
  <c r="N17" i="5"/>
  <c r="M17" i="5"/>
  <c r="H17" i="5"/>
  <c r="G17" i="5"/>
  <c r="BG16" i="5"/>
  <c r="BF16" i="5"/>
  <c r="AP16" i="5"/>
  <c r="AX16" i="5"/>
  <c r="AM16" i="5"/>
  <c r="AL16" i="5"/>
  <c r="AK16" i="5"/>
  <c r="AE16" i="5"/>
  <c r="AD16" i="5"/>
  <c r="AC16" i="5"/>
  <c r="W16" i="5"/>
  <c r="V16" i="5"/>
  <c r="U16" i="5"/>
  <c r="O16" i="5"/>
  <c r="N16" i="5"/>
  <c r="M16" i="5"/>
  <c r="H16" i="5"/>
  <c r="G16" i="5"/>
  <c r="BG15" i="5"/>
  <c r="BF15" i="5"/>
  <c r="AP15" i="5"/>
  <c r="AX15" i="5"/>
  <c r="AL15" i="5"/>
  <c r="AK15" i="5"/>
  <c r="AE15" i="5"/>
  <c r="AD15" i="5"/>
  <c r="AC15" i="5"/>
  <c r="W15" i="5"/>
  <c r="V15" i="5"/>
  <c r="U15" i="5"/>
  <c r="O15" i="5"/>
  <c r="N15" i="5"/>
  <c r="M15" i="5"/>
  <c r="H15" i="5"/>
  <c r="G15" i="5"/>
  <c r="BG14" i="5"/>
  <c r="BF14" i="5"/>
  <c r="AP14" i="5"/>
  <c r="AX14" i="5"/>
  <c r="AM14" i="5"/>
  <c r="AL14" i="5"/>
  <c r="AK14" i="5"/>
  <c r="AE14" i="5"/>
  <c r="AD14" i="5"/>
  <c r="AC14" i="5"/>
  <c r="W14" i="5"/>
  <c r="V14" i="5"/>
  <c r="U14" i="5"/>
  <c r="N14" i="5"/>
  <c r="M14" i="5"/>
  <c r="H14" i="5"/>
  <c r="G14" i="5"/>
  <c r="AP13" i="5"/>
  <c r="AX13" i="5"/>
  <c r="AL13" i="5"/>
  <c r="AK13" i="5"/>
  <c r="AE13" i="5"/>
  <c r="AD13" i="5"/>
  <c r="AC13" i="5"/>
  <c r="W13" i="5"/>
  <c r="V13" i="5"/>
  <c r="U13" i="5"/>
  <c r="N13" i="5"/>
  <c r="M13" i="5"/>
  <c r="H13" i="5"/>
  <c r="G13" i="5"/>
  <c r="AP12" i="5"/>
  <c r="AX12" i="5"/>
  <c r="AL12" i="5"/>
  <c r="AK12" i="5"/>
  <c r="AD12" i="5"/>
  <c r="AC12" i="5"/>
  <c r="V12" i="5"/>
  <c r="U12" i="5"/>
  <c r="O12" i="5"/>
  <c r="N12" i="5"/>
  <c r="M12" i="5"/>
  <c r="H12" i="5"/>
  <c r="G12" i="5"/>
  <c r="AP11" i="5"/>
  <c r="AX11" i="5"/>
  <c r="AL11" i="5"/>
  <c r="AK11" i="5"/>
  <c r="AE11" i="5"/>
  <c r="AD11" i="5"/>
  <c r="AC11" i="5"/>
  <c r="V11" i="5"/>
  <c r="U11" i="5"/>
  <c r="N11" i="5"/>
  <c r="M11" i="5"/>
  <c r="H11" i="5"/>
  <c r="G11" i="5"/>
  <c r="A192" i="4"/>
  <c r="AI176" i="4"/>
  <c r="AH176" i="4"/>
  <c r="AF176" i="4"/>
  <c r="AE176" i="4"/>
  <c r="AD176" i="4"/>
  <c r="AC176" i="4"/>
  <c r="N176" i="4"/>
  <c r="L176" i="4"/>
  <c r="M176" i="4"/>
  <c r="AI175" i="4"/>
  <c r="AH175" i="4"/>
  <c r="AG175" i="4"/>
  <c r="AF175" i="4"/>
  <c r="AD175" i="4"/>
  <c r="AA175" i="4"/>
  <c r="Z175" i="4"/>
  <c r="Y175" i="4"/>
  <c r="X175" i="4"/>
  <c r="V175" i="4"/>
  <c r="U175" i="4"/>
  <c r="R175" i="4"/>
  <c r="Q175" i="4"/>
  <c r="W175" i="4"/>
  <c r="N175" i="4"/>
  <c r="L175" i="4"/>
  <c r="M175" i="4"/>
  <c r="AI174" i="4"/>
  <c r="AH174" i="4"/>
  <c r="AF174" i="4"/>
  <c r="AE174" i="4"/>
  <c r="AD174" i="4"/>
  <c r="AA174" i="4"/>
  <c r="Z174" i="4"/>
  <c r="Y174" i="4"/>
  <c r="X174" i="4"/>
  <c r="W174" i="4"/>
  <c r="V174" i="4"/>
  <c r="R174" i="4"/>
  <c r="Q174" i="4"/>
  <c r="U174" i="4"/>
  <c r="N174" i="4"/>
  <c r="L174" i="4"/>
  <c r="M174" i="4"/>
  <c r="H174" i="4"/>
  <c r="AI172" i="4"/>
  <c r="AH172" i="4"/>
  <c r="AF172" i="4"/>
  <c r="AE172" i="4"/>
  <c r="AD172" i="4"/>
  <c r="AC172" i="4"/>
  <c r="N172" i="4"/>
  <c r="L172" i="4"/>
  <c r="M172" i="4"/>
  <c r="AI171" i="4"/>
  <c r="AH171" i="4"/>
  <c r="AG171" i="4"/>
  <c r="AF171" i="4"/>
  <c r="AD171" i="4"/>
  <c r="AA171" i="4"/>
  <c r="Z171" i="4"/>
  <c r="Y171" i="4"/>
  <c r="X171" i="4"/>
  <c r="V171" i="4"/>
  <c r="U171" i="4"/>
  <c r="R171" i="4"/>
  <c r="Q171" i="4"/>
  <c r="W171" i="4"/>
  <c r="N171" i="4"/>
  <c r="L171" i="4"/>
  <c r="M171" i="4"/>
  <c r="AI170" i="4"/>
  <c r="AH170" i="4"/>
  <c r="AF170" i="4"/>
  <c r="AE170" i="4"/>
  <c r="AD170" i="4"/>
  <c r="AA170" i="4"/>
  <c r="Z170" i="4"/>
  <c r="Y170" i="4"/>
  <c r="X170" i="4"/>
  <c r="W170" i="4"/>
  <c r="V170" i="4"/>
  <c r="R170" i="4"/>
  <c r="Q170" i="4"/>
  <c r="U170" i="4"/>
  <c r="N170" i="4"/>
  <c r="L170" i="4"/>
  <c r="M170" i="4"/>
  <c r="H170" i="4"/>
  <c r="AI168" i="4"/>
  <c r="AH168" i="4"/>
  <c r="AF168" i="4"/>
  <c r="AE168" i="4"/>
  <c r="AD168" i="4"/>
  <c r="AC168" i="4"/>
  <c r="N168" i="4"/>
  <c r="L168" i="4"/>
  <c r="M168" i="4"/>
  <c r="AI167" i="4"/>
  <c r="AH167" i="4"/>
  <c r="AG167" i="4"/>
  <c r="AF167" i="4"/>
  <c r="AD167" i="4"/>
  <c r="AA167" i="4"/>
  <c r="Z167" i="4"/>
  <c r="Y167" i="4"/>
  <c r="X167" i="4"/>
  <c r="V167" i="4"/>
  <c r="U167" i="4"/>
  <c r="R167" i="4"/>
  <c r="Q167" i="4"/>
  <c r="W167" i="4"/>
  <c r="N167" i="4"/>
  <c r="L167" i="4"/>
  <c r="M167" i="4"/>
  <c r="AI166" i="4"/>
  <c r="AH166" i="4"/>
  <c r="AF166" i="4"/>
  <c r="AE166" i="4"/>
  <c r="AD166" i="4"/>
  <c r="AA166" i="4"/>
  <c r="Z166" i="4"/>
  <c r="Y166" i="4"/>
  <c r="X166" i="4"/>
  <c r="W166" i="4"/>
  <c r="V166" i="4"/>
  <c r="R166" i="4"/>
  <c r="Q166" i="4"/>
  <c r="U166" i="4"/>
  <c r="N166" i="4"/>
  <c r="L166" i="4"/>
  <c r="M166" i="4"/>
  <c r="H166" i="4"/>
  <c r="AI163" i="4"/>
  <c r="AG163" i="4"/>
  <c r="AF163" i="4"/>
  <c r="AE163" i="4"/>
  <c r="AD163" i="4"/>
  <c r="AC163" i="4"/>
  <c r="N163" i="4"/>
  <c r="L163" i="4"/>
  <c r="M163" i="4"/>
  <c r="AI162" i="4"/>
  <c r="AH162" i="4"/>
  <c r="AG162" i="4"/>
  <c r="AE162" i="4"/>
  <c r="AD162" i="4"/>
  <c r="AA162" i="4"/>
  <c r="Z162" i="4"/>
  <c r="Y162" i="4"/>
  <c r="X162" i="4"/>
  <c r="W162" i="4"/>
  <c r="V162" i="4"/>
  <c r="R162" i="4"/>
  <c r="Q162" i="4"/>
  <c r="U162" i="4"/>
  <c r="N162" i="4"/>
  <c r="L162" i="4"/>
  <c r="M162" i="4"/>
  <c r="AI161" i="4"/>
  <c r="AG161" i="4"/>
  <c r="AF161" i="4"/>
  <c r="AE161" i="4"/>
  <c r="AC161" i="4"/>
  <c r="AA161" i="4"/>
  <c r="Z161" i="4"/>
  <c r="Y161" i="4"/>
  <c r="X161" i="4"/>
  <c r="W161" i="4"/>
  <c r="V161" i="4"/>
  <c r="R161" i="4"/>
  <c r="Q161" i="4"/>
  <c r="U161" i="4"/>
  <c r="N161" i="4"/>
  <c r="L161" i="4"/>
  <c r="M161" i="4"/>
  <c r="H161" i="4"/>
  <c r="AI159" i="4"/>
  <c r="AG159" i="4"/>
  <c r="AF159" i="4"/>
  <c r="AE159" i="4"/>
  <c r="AD159" i="4"/>
  <c r="AC159" i="4"/>
  <c r="N159" i="4"/>
  <c r="L159" i="4"/>
  <c r="M159" i="4"/>
  <c r="AI158" i="4"/>
  <c r="AH158" i="4"/>
  <c r="AG158" i="4"/>
  <c r="AE158" i="4"/>
  <c r="AD158" i="4"/>
  <c r="AA158" i="4"/>
  <c r="Z158" i="4"/>
  <c r="Y158" i="4"/>
  <c r="X158" i="4"/>
  <c r="V158" i="4"/>
  <c r="U158" i="4"/>
  <c r="R158" i="4"/>
  <c r="Q158" i="4"/>
  <c r="W158" i="4"/>
  <c r="N158" i="4"/>
  <c r="L158" i="4"/>
  <c r="M158" i="4"/>
  <c r="AI157" i="4"/>
  <c r="AG157" i="4"/>
  <c r="AF157" i="4"/>
  <c r="AE157" i="4"/>
  <c r="AD157" i="4"/>
  <c r="AA157" i="4"/>
  <c r="Z157" i="4"/>
  <c r="Y157" i="4"/>
  <c r="X157" i="4"/>
  <c r="W157" i="4"/>
  <c r="V157" i="4"/>
  <c r="R157" i="4"/>
  <c r="Q157" i="4"/>
  <c r="U157" i="4"/>
  <c r="N157" i="4"/>
  <c r="L157" i="4"/>
  <c r="M157" i="4"/>
  <c r="H157" i="4"/>
  <c r="AI155" i="4"/>
  <c r="AG155" i="4"/>
  <c r="AF155" i="4"/>
  <c r="AE155" i="4"/>
  <c r="AD155" i="4"/>
  <c r="AC155" i="4"/>
  <c r="N155" i="4"/>
  <c r="L155" i="4"/>
  <c r="M155" i="4"/>
  <c r="AI154" i="4"/>
  <c r="AH154" i="4"/>
  <c r="AG154" i="4"/>
  <c r="AE154" i="4"/>
  <c r="AD154" i="4"/>
  <c r="AA154" i="4"/>
  <c r="Z154" i="4"/>
  <c r="Y154" i="4"/>
  <c r="X154" i="4"/>
  <c r="V154" i="4"/>
  <c r="U154" i="4"/>
  <c r="R154" i="4"/>
  <c r="Q154" i="4"/>
  <c r="W154" i="4"/>
  <c r="N154" i="4"/>
  <c r="L154" i="4"/>
  <c r="M154" i="4"/>
  <c r="AI153" i="4"/>
  <c r="AG153" i="4"/>
  <c r="AF153" i="4"/>
  <c r="AE153" i="4"/>
  <c r="AC153" i="4"/>
  <c r="AA153" i="4"/>
  <c r="Z153" i="4"/>
  <c r="Y153" i="4"/>
  <c r="X153" i="4"/>
  <c r="W153" i="4"/>
  <c r="U153" i="4"/>
  <c r="R153" i="4"/>
  <c r="Q153" i="4"/>
  <c r="V153" i="4"/>
  <c r="N153" i="4"/>
  <c r="L153" i="4"/>
  <c r="M153" i="4"/>
  <c r="H153" i="4"/>
  <c r="AI151" i="4"/>
  <c r="AG151" i="4"/>
  <c r="AF151" i="4"/>
  <c r="AE151" i="4"/>
  <c r="AD151" i="4"/>
  <c r="AC151" i="4"/>
  <c r="N151" i="4"/>
  <c r="L151" i="4"/>
  <c r="M151" i="4"/>
  <c r="AI150" i="4"/>
  <c r="AH150" i="4"/>
  <c r="AF150" i="4"/>
  <c r="AE150" i="4"/>
  <c r="AD150" i="4"/>
  <c r="AA150" i="4"/>
  <c r="Z150" i="4"/>
  <c r="Y150" i="4"/>
  <c r="X150" i="4"/>
  <c r="W150" i="4"/>
  <c r="V150" i="4"/>
  <c r="R150" i="4"/>
  <c r="Q150" i="4"/>
  <c r="U150" i="4"/>
  <c r="N150" i="4"/>
  <c r="L150" i="4"/>
  <c r="M150" i="4"/>
  <c r="AI149" i="4"/>
  <c r="AG149" i="4"/>
  <c r="AF149" i="4"/>
  <c r="AE149" i="4"/>
  <c r="AC149" i="4"/>
  <c r="AA149" i="4"/>
  <c r="Z149" i="4"/>
  <c r="Y149" i="4"/>
  <c r="X149" i="4"/>
  <c r="W149" i="4"/>
  <c r="V149" i="4"/>
  <c r="R149" i="4"/>
  <c r="Q149" i="4"/>
  <c r="U149" i="4"/>
  <c r="N149" i="4"/>
  <c r="L149" i="4"/>
  <c r="M149" i="4"/>
  <c r="H149" i="4"/>
  <c r="AI147" i="4"/>
  <c r="AG147" i="4"/>
  <c r="AF147" i="4"/>
  <c r="AE147" i="4"/>
  <c r="AD147" i="4"/>
  <c r="AC147" i="4"/>
  <c r="N147" i="4"/>
  <c r="L147" i="4"/>
  <c r="M147" i="4"/>
  <c r="AI146" i="4"/>
  <c r="AH146" i="4"/>
  <c r="AG146" i="4"/>
  <c r="AE146" i="4"/>
  <c r="AD146" i="4"/>
  <c r="AA146" i="4"/>
  <c r="Z146" i="4"/>
  <c r="Y146" i="4"/>
  <c r="X146" i="4"/>
  <c r="V146" i="4"/>
  <c r="U146" i="4"/>
  <c r="R146" i="4"/>
  <c r="Q146" i="4"/>
  <c r="W146" i="4"/>
  <c r="N146" i="4"/>
  <c r="L146" i="4"/>
  <c r="M146" i="4"/>
  <c r="AI145" i="4"/>
  <c r="AG145" i="4"/>
  <c r="AF145" i="4"/>
  <c r="AE145" i="4"/>
  <c r="AD145" i="4"/>
  <c r="AA145" i="4"/>
  <c r="Z145" i="4"/>
  <c r="Y145" i="4"/>
  <c r="X145" i="4"/>
  <c r="W145" i="4"/>
  <c r="V145" i="4"/>
  <c r="R145" i="4"/>
  <c r="Q145" i="4"/>
  <c r="U145" i="4"/>
  <c r="N145" i="4"/>
  <c r="L145" i="4"/>
  <c r="M145" i="4"/>
  <c r="H145" i="4"/>
  <c r="AI143" i="4"/>
  <c r="AG143" i="4"/>
  <c r="AF143" i="4"/>
  <c r="AE143" i="4"/>
  <c r="AD143" i="4"/>
  <c r="AC143" i="4"/>
  <c r="N143" i="4"/>
  <c r="L143" i="4"/>
  <c r="M143" i="4"/>
  <c r="AI142" i="4"/>
  <c r="AH142" i="4"/>
  <c r="AG142" i="4"/>
  <c r="AE142" i="4"/>
  <c r="AD142" i="4"/>
  <c r="AA142" i="4"/>
  <c r="Z142" i="4"/>
  <c r="Y142" i="4"/>
  <c r="X142" i="4"/>
  <c r="V142" i="4"/>
  <c r="U142" i="4"/>
  <c r="R142" i="4"/>
  <c r="Q142" i="4"/>
  <c r="W142" i="4"/>
  <c r="N142" i="4"/>
  <c r="L142" i="4"/>
  <c r="M142" i="4"/>
  <c r="AI141" i="4"/>
  <c r="AG141" i="4"/>
  <c r="AF141" i="4"/>
  <c r="AE141" i="4"/>
  <c r="AD141" i="4"/>
  <c r="AA141" i="4"/>
  <c r="Z141" i="4"/>
  <c r="Y141" i="4"/>
  <c r="X141" i="4"/>
  <c r="W141" i="4"/>
  <c r="V141" i="4"/>
  <c r="R141" i="4"/>
  <c r="Q141" i="4"/>
  <c r="U141" i="4"/>
  <c r="N141" i="4"/>
  <c r="L141" i="4"/>
  <c r="M141" i="4"/>
  <c r="H141" i="4"/>
  <c r="AI138" i="4"/>
  <c r="AG138" i="4"/>
  <c r="AF138" i="4"/>
  <c r="AE138" i="4"/>
  <c r="AD138" i="4"/>
  <c r="AC138" i="4"/>
  <c r="N138" i="4"/>
  <c r="L138" i="4"/>
  <c r="M138" i="4"/>
  <c r="AI137" i="4"/>
  <c r="AG137" i="4"/>
  <c r="AF137" i="4"/>
  <c r="AE137" i="4"/>
  <c r="AD137" i="4"/>
  <c r="AA137" i="4"/>
  <c r="Z137" i="4"/>
  <c r="Y137" i="4"/>
  <c r="X137" i="4"/>
  <c r="V137" i="4"/>
  <c r="U137" i="4"/>
  <c r="R137" i="4"/>
  <c r="Q137" i="4"/>
  <c r="W137" i="4"/>
  <c r="N137" i="4"/>
  <c r="L137" i="4"/>
  <c r="M137" i="4"/>
  <c r="AI136" i="4"/>
  <c r="AG136" i="4"/>
  <c r="AF136" i="4"/>
  <c r="AE136" i="4"/>
  <c r="AD136" i="4"/>
  <c r="AA136" i="4"/>
  <c r="Z136" i="4"/>
  <c r="Y136" i="4"/>
  <c r="X136" i="4"/>
  <c r="W136" i="4"/>
  <c r="V136" i="4"/>
  <c r="R136" i="4"/>
  <c r="Q136" i="4"/>
  <c r="U136" i="4"/>
  <c r="N136" i="4"/>
  <c r="L136" i="4"/>
  <c r="M136" i="4"/>
  <c r="H136" i="4"/>
  <c r="AI134" i="4"/>
  <c r="AG134" i="4"/>
  <c r="AF134" i="4"/>
  <c r="AE134" i="4"/>
  <c r="AD134" i="4"/>
  <c r="AC134" i="4"/>
  <c r="N134" i="4"/>
  <c r="L134" i="4"/>
  <c r="M134" i="4"/>
  <c r="AI133" i="4"/>
  <c r="AH133" i="4"/>
  <c r="AG133" i="4"/>
  <c r="AE133" i="4"/>
  <c r="AD133" i="4"/>
  <c r="AA133" i="4"/>
  <c r="Z133" i="4"/>
  <c r="Y133" i="4"/>
  <c r="X133" i="4"/>
  <c r="V133" i="4"/>
  <c r="U133" i="4"/>
  <c r="R133" i="4"/>
  <c r="Q133" i="4"/>
  <c r="W133" i="4"/>
  <c r="N133" i="4"/>
  <c r="L133" i="4"/>
  <c r="M133" i="4"/>
  <c r="AI132" i="4"/>
  <c r="AG132" i="4"/>
  <c r="AF132" i="4"/>
  <c r="AE132" i="4"/>
  <c r="AD132" i="4"/>
  <c r="AA132" i="4"/>
  <c r="Z132" i="4"/>
  <c r="Y132" i="4"/>
  <c r="X132" i="4"/>
  <c r="W132" i="4"/>
  <c r="V132" i="4"/>
  <c r="R132" i="4"/>
  <c r="Q132" i="4"/>
  <c r="U132" i="4"/>
  <c r="N132" i="4"/>
  <c r="L132" i="4"/>
  <c r="M132" i="4"/>
  <c r="H132" i="4"/>
  <c r="AI130" i="4"/>
  <c r="AG130" i="4"/>
  <c r="AF130" i="4"/>
  <c r="AE130" i="4"/>
  <c r="AD130" i="4"/>
  <c r="AC130" i="4"/>
  <c r="N130" i="4"/>
  <c r="L130" i="4"/>
  <c r="M130" i="4"/>
  <c r="AI129" i="4"/>
  <c r="AH129" i="4"/>
  <c r="AG129" i="4"/>
  <c r="AE129" i="4"/>
  <c r="AD129" i="4"/>
  <c r="AA129" i="4"/>
  <c r="Z129" i="4"/>
  <c r="Y129" i="4"/>
  <c r="X129" i="4"/>
  <c r="V129" i="4"/>
  <c r="U129" i="4"/>
  <c r="R129" i="4"/>
  <c r="Q129" i="4"/>
  <c r="W129" i="4"/>
  <c r="N129" i="4"/>
  <c r="L129" i="4"/>
  <c r="M129" i="4"/>
  <c r="AI128" i="4"/>
  <c r="AG128" i="4"/>
  <c r="AF128" i="4"/>
  <c r="AE128" i="4"/>
  <c r="AC128" i="4"/>
  <c r="AA128" i="4"/>
  <c r="Z128" i="4"/>
  <c r="Y128" i="4"/>
  <c r="X128" i="4"/>
  <c r="W128" i="4"/>
  <c r="U128" i="4"/>
  <c r="R128" i="4"/>
  <c r="Q128" i="4"/>
  <c r="V128" i="4"/>
  <c r="N128" i="4"/>
  <c r="L128" i="4"/>
  <c r="M128" i="4"/>
  <c r="H128" i="4"/>
  <c r="AI125" i="4"/>
  <c r="AG125" i="4"/>
  <c r="AF125" i="4"/>
  <c r="AE125" i="4"/>
  <c r="AD125" i="4"/>
  <c r="AC125" i="4"/>
  <c r="N125" i="4"/>
  <c r="L125" i="4"/>
  <c r="M125" i="4"/>
  <c r="AI124" i="4"/>
  <c r="AH124" i="4"/>
  <c r="AG124" i="4"/>
  <c r="AE124" i="4"/>
  <c r="AD124" i="4"/>
  <c r="AA124" i="4"/>
  <c r="Z124" i="4"/>
  <c r="Y124" i="4"/>
  <c r="X124" i="4"/>
  <c r="V124" i="4"/>
  <c r="U124" i="4"/>
  <c r="R124" i="4"/>
  <c r="Q124" i="4"/>
  <c r="W124" i="4"/>
  <c r="N124" i="4"/>
  <c r="L124" i="4"/>
  <c r="M124" i="4"/>
  <c r="AI123" i="4"/>
  <c r="AG123" i="4"/>
  <c r="AF123" i="4"/>
  <c r="AE123" i="4"/>
  <c r="AD123" i="4"/>
  <c r="AA123" i="4"/>
  <c r="Z123" i="4"/>
  <c r="Y123" i="4"/>
  <c r="X123" i="4"/>
  <c r="W123" i="4"/>
  <c r="V123" i="4"/>
  <c r="R123" i="4"/>
  <c r="Q123" i="4"/>
  <c r="U123" i="4"/>
  <c r="N123" i="4"/>
  <c r="L123" i="4"/>
  <c r="M123" i="4"/>
  <c r="H123" i="4"/>
  <c r="AI120" i="4"/>
  <c r="AG120" i="4"/>
  <c r="AF120" i="4"/>
  <c r="AE120" i="4"/>
  <c r="AD120" i="4"/>
  <c r="AC120" i="4"/>
  <c r="N120" i="4"/>
  <c r="L120" i="4"/>
  <c r="M120" i="4"/>
  <c r="AI119" i="4"/>
  <c r="AH119" i="4"/>
  <c r="AG119" i="4"/>
  <c r="AE119" i="4"/>
  <c r="AD119" i="4"/>
  <c r="AA119" i="4"/>
  <c r="Z119" i="4"/>
  <c r="Y119" i="4"/>
  <c r="X119" i="4"/>
  <c r="V119" i="4"/>
  <c r="U119" i="4"/>
  <c r="R119" i="4"/>
  <c r="Q119" i="4"/>
  <c r="W119" i="4"/>
  <c r="N119" i="4"/>
  <c r="L119" i="4"/>
  <c r="M119" i="4"/>
  <c r="AI118" i="4"/>
  <c r="AG118" i="4"/>
  <c r="AF118" i="4"/>
  <c r="AE118" i="4"/>
  <c r="AD118" i="4"/>
  <c r="AA118" i="4"/>
  <c r="Z118" i="4"/>
  <c r="Y118" i="4"/>
  <c r="X118" i="4"/>
  <c r="W118" i="4"/>
  <c r="V118" i="4"/>
  <c r="R118" i="4"/>
  <c r="Q118" i="4"/>
  <c r="U118" i="4"/>
  <c r="N118" i="4"/>
  <c r="L118" i="4"/>
  <c r="M118" i="4"/>
  <c r="H118" i="4"/>
  <c r="AI115" i="4"/>
  <c r="AG115" i="4"/>
  <c r="AF115" i="4"/>
  <c r="AE115" i="4"/>
  <c r="AD115" i="4"/>
  <c r="AC115" i="4"/>
  <c r="N115" i="4"/>
  <c r="L115" i="4"/>
  <c r="M115" i="4"/>
  <c r="AI114" i="4"/>
  <c r="AH114" i="4"/>
  <c r="AG114" i="4"/>
  <c r="AE114" i="4"/>
  <c r="AD114" i="4"/>
  <c r="AA114" i="4"/>
  <c r="Z114" i="4"/>
  <c r="Y114" i="4"/>
  <c r="X114" i="4"/>
  <c r="V114" i="4"/>
  <c r="U114" i="4"/>
  <c r="R114" i="4"/>
  <c r="Q114" i="4"/>
  <c r="W114" i="4"/>
  <c r="N114" i="4"/>
  <c r="L114" i="4"/>
  <c r="M114" i="4"/>
  <c r="AI113" i="4"/>
  <c r="AG113" i="4"/>
  <c r="AF113" i="4"/>
  <c r="AE113" i="4"/>
  <c r="AD113" i="4"/>
  <c r="AA113" i="4"/>
  <c r="Z113" i="4"/>
  <c r="Y113" i="4"/>
  <c r="X113" i="4"/>
  <c r="W113" i="4"/>
  <c r="V113" i="4"/>
  <c r="R113" i="4"/>
  <c r="Q113" i="4"/>
  <c r="U113" i="4"/>
  <c r="N113" i="4"/>
  <c r="L113" i="4"/>
  <c r="M113" i="4"/>
  <c r="H113" i="4"/>
  <c r="AI110" i="4"/>
  <c r="AG110" i="4"/>
  <c r="AF110" i="4"/>
  <c r="AE110" i="4"/>
  <c r="AD110" i="4"/>
  <c r="AC110" i="4"/>
  <c r="N110" i="4"/>
  <c r="L110" i="4"/>
  <c r="M110" i="4"/>
  <c r="AI109" i="4"/>
  <c r="AH109" i="4"/>
  <c r="AG109" i="4"/>
  <c r="AE109" i="4"/>
  <c r="AD109" i="4"/>
  <c r="AC109" i="4"/>
  <c r="N109" i="4"/>
  <c r="L109" i="4"/>
  <c r="M109" i="4"/>
  <c r="AI108" i="4"/>
  <c r="AH108" i="4"/>
  <c r="AG108" i="4"/>
  <c r="AE108" i="4"/>
  <c r="AC108" i="4"/>
  <c r="AA108" i="4"/>
  <c r="Z108" i="4"/>
  <c r="Y108" i="4"/>
  <c r="X108" i="4"/>
  <c r="W108" i="4"/>
  <c r="V108" i="4"/>
  <c r="R108" i="4"/>
  <c r="Q108" i="4"/>
  <c r="U108" i="4"/>
  <c r="N108" i="4"/>
  <c r="L108" i="4"/>
  <c r="M108" i="4"/>
  <c r="AI107" i="4"/>
  <c r="AG107" i="4"/>
  <c r="AF107" i="4"/>
  <c r="AE107" i="4"/>
  <c r="AD107" i="4"/>
  <c r="AA107" i="4"/>
  <c r="Z107" i="4"/>
  <c r="Y107" i="4"/>
  <c r="X107" i="4"/>
  <c r="W107" i="4"/>
  <c r="V107" i="4"/>
  <c r="R107" i="4"/>
  <c r="Q107" i="4"/>
  <c r="U107" i="4"/>
  <c r="N107" i="4"/>
  <c r="L107" i="4"/>
  <c r="M107" i="4"/>
  <c r="H107" i="4"/>
  <c r="N104" i="4"/>
  <c r="L104" i="4"/>
  <c r="M104" i="4"/>
  <c r="AI103" i="4"/>
  <c r="AH103" i="4"/>
  <c r="AG103" i="4"/>
  <c r="AE103" i="4"/>
  <c r="AD103" i="4"/>
  <c r="AC103" i="4"/>
  <c r="N103" i="4"/>
  <c r="L103" i="4"/>
  <c r="M103" i="4"/>
  <c r="AI102" i="4"/>
  <c r="AG102" i="4"/>
  <c r="AF102" i="4"/>
  <c r="AE102" i="4"/>
  <c r="AD102" i="4"/>
  <c r="AC102" i="4"/>
  <c r="N102" i="4"/>
  <c r="L102" i="4"/>
  <c r="M102" i="4"/>
  <c r="AI101" i="4"/>
  <c r="AH101" i="4"/>
  <c r="AG101" i="4"/>
  <c r="AE101" i="4"/>
  <c r="AD101" i="4"/>
  <c r="AA101" i="4"/>
  <c r="Z101" i="4"/>
  <c r="Y101" i="4"/>
  <c r="X101" i="4"/>
  <c r="W101" i="4"/>
  <c r="V101" i="4"/>
  <c r="R101" i="4"/>
  <c r="Q101" i="4"/>
  <c r="U101" i="4"/>
  <c r="N101" i="4"/>
  <c r="L101" i="4"/>
  <c r="M101" i="4"/>
  <c r="AI100" i="4"/>
  <c r="AG100" i="4"/>
  <c r="AF100" i="4"/>
  <c r="AE100" i="4"/>
  <c r="AC100" i="4"/>
  <c r="AA100" i="4"/>
  <c r="Z100" i="4"/>
  <c r="Y100" i="4"/>
  <c r="X100" i="4"/>
  <c r="W100" i="4"/>
  <c r="U100" i="4"/>
  <c r="R100" i="4"/>
  <c r="Q100" i="4"/>
  <c r="V100" i="4"/>
  <c r="N100" i="4"/>
  <c r="L100" i="4"/>
  <c r="M100" i="4"/>
  <c r="H100" i="4"/>
  <c r="N95" i="4"/>
  <c r="L95" i="4"/>
  <c r="M95" i="4"/>
  <c r="AI94" i="4"/>
  <c r="AH94" i="4"/>
  <c r="AG94" i="4"/>
  <c r="AE94" i="4"/>
  <c r="AD94" i="4"/>
  <c r="AC94" i="4"/>
  <c r="N94" i="4"/>
  <c r="L94" i="4"/>
  <c r="M94" i="4"/>
  <c r="AI93" i="4"/>
  <c r="AG93" i="4"/>
  <c r="AF93" i="4"/>
  <c r="AE93" i="4"/>
  <c r="AD93" i="4"/>
  <c r="AC93" i="4"/>
  <c r="N93" i="4"/>
  <c r="L93" i="4"/>
  <c r="M93" i="4"/>
  <c r="AI92" i="4"/>
  <c r="AH92" i="4"/>
  <c r="AG92" i="4"/>
  <c r="AE92" i="4"/>
  <c r="AD92" i="4"/>
  <c r="AA92" i="4"/>
  <c r="Z92" i="4"/>
  <c r="Y92" i="4"/>
  <c r="X92" i="4"/>
  <c r="V92" i="4"/>
  <c r="U92" i="4"/>
  <c r="R92" i="4"/>
  <c r="Q92" i="4"/>
  <c r="W92" i="4"/>
  <c r="N92" i="4"/>
  <c r="L92" i="4"/>
  <c r="M92" i="4"/>
  <c r="AI91" i="4"/>
  <c r="AG91" i="4"/>
  <c r="AF91" i="4"/>
  <c r="AE91" i="4"/>
  <c r="AC91" i="4"/>
  <c r="AA91" i="4"/>
  <c r="Z91" i="4"/>
  <c r="Y91" i="4"/>
  <c r="X91" i="4"/>
  <c r="W91" i="4"/>
  <c r="V91" i="4"/>
  <c r="R91" i="4"/>
  <c r="Q91" i="4"/>
  <c r="U91" i="4"/>
  <c r="N91" i="4"/>
  <c r="L91" i="4"/>
  <c r="M91" i="4"/>
  <c r="H91" i="4"/>
  <c r="N89" i="4"/>
  <c r="L89" i="4"/>
  <c r="M89" i="4"/>
  <c r="AI88" i="4"/>
  <c r="AH88" i="4"/>
  <c r="AG88" i="4"/>
  <c r="AE88" i="4"/>
  <c r="AD88" i="4"/>
  <c r="AC88" i="4"/>
  <c r="N88" i="4"/>
  <c r="L88" i="4"/>
  <c r="M88" i="4"/>
  <c r="AI87" i="4"/>
  <c r="AG87" i="4"/>
  <c r="AF87" i="4"/>
  <c r="AE87" i="4"/>
  <c r="AD87" i="4"/>
  <c r="AC87" i="4"/>
  <c r="N87" i="4"/>
  <c r="L87" i="4"/>
  <c r="M87" i="4"/>
  <c r="AI86" i="4"/>
  <c r="AH86" i="4"/>
  <c r="AG86" i="4"/>
  <c r="AE86" i="4"/>
  <c r="AD86" i="4"/>
  <c r="AA86" i="4"/>
  <c r="Z86" i="4"/>
  <c r="Y86" i="4"/>
  <c r="X86" i="4"/>
  <c r="V86" i="4"/>
  <c r="U86" i="4"/>
  <c r="R86" i="4"/>
  <c r="Q86" i="4"/>
  <c r="W86" i="4"/>
  <c r="N86" i="4"/>
  <c r="L86" i="4"/>
  <c r="M86" i="4"/>
  <c r="AI85" i="4"/>
  <c r="AG85" i="4"/>
  <c r="AF85" i="4"/>
  <c r="AE85" i="4"/>
  <c r="AC85" i="4"/>
  <c r="AA85" i="4"/>
  <c r="Z85" i="4"/>
  <c r="Y85" i="4"/>
  <c r="X85" i="4"/>
  <c r="W85" i="4"/>
  <c r="V85" i="4"/>
  <c r="R85" i="4"/>
  <c r="Q85" i="4"/>
  <c r="U85" i="4"/>
  <c r="N85" i="4"/>
  <c r="L85" i="4"/>
  <c r="M85" i="4"/>
  <c r="H85" i="4"/>
  <c r="AI83" i="4"/>
  <c r="AH83" i="4"/>
  <c r="AG83" i="4"/>
  <c r="AE83" i="4"/>
  <c r="AD83" i="4"/>
  <c r="AC83" i="4"/>
  <c r="N83" i="4"/>
  <c r="L83" i="4"/>
  <c r="M83" i="4"/>
  <c r="AI82" i="4"/>
  <c r="AG82" i="4"/>
  <c r="AF82" i="4"/>
  <c r="AE82" i="4"/>
  <c r="AD82" i="4"/>
  <c r="AC82" i="4"/>
  <c r="N82" i="4"/>
  <c r="L82" i="4"/>
  <c r="M82" i="4"/>
  <c r="AI81" i="4"/>
  <c r="AH81" i="4"/>
  <c r="AG81" i="4"/>
  <c r="AE81" i="4"/>
  <c r="AD81" i="4"/>
  <c r="AA81" i="4"/>
  <c r="Z81" i="4"/>
  <c r="Y81" i="4"/>
  <c r="X81" i="4"/>
  <c r="W81" i="4"/>
  <c r="V81" i="4"/>
  <c r="R81" i="4"/>
  <c r="Q81" i="4"/>
  <c r="U81" i="4"/>
  <c r="N81" i="4"/>
  <c r="L81" i="4"/>
  <c r="M81" i="4"/>
  <c r="AI80" i="4"/>
  <c r="AH80" i="4"/>
  <c r="AG80" i="4"/>
  <c r="AE80" i="4"/>
  <c r="AC80" i="4"/>
  <c r="AA80" i="4"/>
  <c r="Z80" i="4"/>
  <c r="Y80" i="4"/>
  <c r="X80" i="4"/>
  <c r="W80" i="4"/>
  <c r="V80" i="4"/>
  <c r="R80" i="4"/>
  <c r="Q80" i="4"/>
  <c r="U80" i="4"/>
  <c r="N80" i="4"/>
  <c r="L80" i="4"/>
  <c r="M80" i="4"/>
  <c r="H80" i="4"/>
  <c r="AI78" i="4"/>
  <c r="AH78" i="4"/>
  <c r="AG78" i="4"/>
  <c r="AE78" i="4"/>
  <c r="AD78" i="4"/>
  <c r="AC78" i="4"/>
  <c r="N78" i="4"/>
  <c r="L78" i="4"/>
  <c r="M78" i="4"/>
  <c r="AI77" i="4"/>
  <c r="AG77" i="4"/>
  <c r="AF77" i="4"/>
  <c r="AE77" i="4"/>
  <c r="AD77" i="4"/>
  <c r="AC77" i="4"/>
  <c r="N77" i="4"/>
  <c r="L77" i="4"/>
  <c r="M77" i="4"/>
  <c r="AI76" i="4"/>
  <c r="AH76" i="4"/>
  <c r="AG76" i="4"/>
  <c r="AE76" i="4"/>
  <c r="AD76" i="4"/>
  <c r="AA76" i="4"/>
  <c r="Z76" i="4"/>
  <c r="Y76" i="4"/>
  <c r="X76" i="4"/>
  <c r="W76" i="4"/>
  <c r="V76" i="4"/>
  <c r="R76" i="4"/>
  <c r="Q76" i="4"/>
  <c r="U76" i="4"/>
  <c r="N76" i="4"/>
  <c r="L76" i="4"/>
  <c r="M76" i="4"/>
  <c r="AI75" i="4"/>
  <c r="AH75" i="4"/>
  <c r="AG75" i="4"/>
  <c r="AE75" i="4"/>
  <c r="AC75" i="4"/>
  <c r="AA75" i="4"/>
  <c r="Z75" i="4"/>
  <c r="Y75" i="4"/>
  <c r="X75" i="4"/>
  <c r="W75" i="4"/>
  <c r="V75" i="4"/>
  <c r="R75" i="4"/>
  <c r="Q75" i="4"/>
  <c r="U75" i="4"/>
  <c r="N75" i="4"/>
  <c r="L75" i="4"/>
  <c r="M75" i="4"/>
  <c r="H75" i="4"/>
  <c r="AI73" i="4"/>
  <c r="AH73" i="4"/>
  <c r="AG73" i="4"/>
  <c r="AE73" i="4"/>
  <c r="AD73" i="4"/>
  <c r="AC73" i="4"/>
  <c r="N73" i="4"/>
  <c r="L73" i="4"/>
  <c r="M73" i="4"/>
  <c r="AI72" i="4"/>
  <c r="AG72" i="4"/>
  <c r="AF72" i="4"/>
  <c r="AE72" i="4"/>
  <c r="AD72" i="4"/>
  <c r="AC72" i="4"/>
  <c r="N72" i="4"/>
  <c r="L72" i="4"/>
  <c r="M72" i="4"/>
  <c r="AI71" i="4"/>
  <c r="AH71" i="4"/>
  <c r="AG71" i="4"/>
  <c r="AE71" i="4"/>
  <c r="AD71" i="4"/>
  <c r="AA71" i="4"/>
  <c r="Z71" i="4"/>
  <c r="Y71" i="4"/>
  <c r="X71" i="4"/>
  <c r="W71" i="4"/>
  <c r="V71" i="4"/>
  <c r="R71" i="4"/>
  <c r="Q71" i="4"/>
  <c r="U71" i="4"/>
  <c r="N71" i="4"/>
  <c r="L71" i="4"/>
  <c r="M71" i="4"/>
  <c r="AI70" i="4"/>
  <c r="AH70" i="4"/>
  <c r="AG70" i="4"/>
  <c r="AE70" i="4"/>
  <c r="AC70" i="4"/>
  <c r="AA70" i="4"/>
  <c r="Z70" i="4"/>
  <c r="Y70" i="4"/>
  <c r="X70" i="4"/>
  <c r="W70" i="4"/>
  <c r="V70" i="4"/>
  <c r="R70" i="4"/>
  <c r="Q70" i="4"/>
  <c r="U70" i="4"/>
  <c r="N70" i="4"/>
  <c r="L70" i="4"/>
  <c r="M70" i="4"/>
  <c r="H70" i="4"/>
  <c r="AI68" i="4"/>
  <c r="AG68" i="4"/>
  <c r="AF68" i="4"/>
  <c r="AE68" i="4"/>
  <c r="AD68" i="4"/>
  <c r="AC68" i="4"/>
  <c r="N68" i="4"/>
  <c r="L68" i="4"/>
  <c r="M68" i="4"/>
  <c r="AI67" i="4"/>
  <c r="AH67" i="4"/>
  <c r="AG67" i="4"/>
  <c r="AE67" i="4"/>
  <c r="AD67" i="4"/>
  <c r="AA67" i="4"/>
  <c r="Z67" i="4"/>
  <c r="Y67" i="4"/>
  <c r="W67" i="4"/>
  <c r="V67" i="4"/>
  <c r="U67" i="4"/>
  <c r="R67" i="4"/>
  <c r="Q67" i="4"/>
  <c r="X67" i="4"/>
  <c r="N67" i="4"/>
  <c r="L67" i="4"/>
  <c r="M67" i="4"/>
  <c r="AI66" i="4"/>
  <c r="AG66" i="4"/>
  <c r="AF66" i="4"/>
  <c r="AE66" i="4"/>
  <c r="AD66" i="4"/>
  <c r="AA66" i="4"/>
  <c r="Z66" i="4"/>
  <c r="Y66" i="4"/>
  <c r="X66" i="4"/>
  <c r="W66" i="4"/>
  <c r="U66" i="4"/>
  <c r="R66" i="4"/>
  <c r="Q66" i="4"/>
  <c r="V66" i="4"/>
  <c r="N66" i="4"/>
  <c r="L66" i="4"/>
  <c r="M66" i="4"/>
  <c r="H66" i="4"/>
  <c r="AI64" i="4"/>
  <c r="AG64" i="4"/>
  <c r="AF64" i="4"/>
  <c r="AE64" i="4"/>
  <c r="AD64" i="4"/>
  <c r="AC64" i="4"/>
  <c r="N64" i="4"/>
  <c r="L64" i="4"/>
  <c r="M64" i="4"/>
  <c r="AI63" i="4"/>
  <c r="AG63" i="4"/>
  <c r="AF63" i="4"/>
  <c r="AE63" i="4"/>
  <c r="AC63" i="4"/>
  <c r="AA63" i="4"/>
  <c r="Z63" i="4"/>
  <c r="Y63" i="4"/>
  <c r="X63" i="4"/>
  <c r="W63" i="4"/>
  <c r="V63" i="4"/>
  <c r="R63" i="4"/>
  <c r="Q63" i="4"/>
  <c r="U63" i="4"/>
  <c r="N63" i="4"/>
  <c r="L63" i="4"/>
  <c r="M63" i="4"/>
  <c r="AI62" i="4"/>
  <c r="AG62" i="4"/>
  <c r="AF62" i="4"/>
  <c r="AE62" i="4"/>
  <c r="AD62" i="4"/>
  <c r="AA62" i="4"/>
  <c r="Z62" i="4"/>
  <c r="Y62" i="4"/>
  <c r="X62" i="4"/>
  <c r="W62" i="4"/>
  <c r="V62" i="4"/>
  <c r="R62" i="4"/>
  <c r="Q62" i="4"/>
  <c r="U62" i="4"/>
  <c r="N62" i="4"/>
  <c r="L62" i="4"/>
  <c r="M62" i="4"/>
  <c r="H62" i="4"/>
  <c r="AI60" i="4"/>
  <c r="AG60" i="4"/>
  <c r="AF60" i="4"/>
  <c r="AE60" i="4"/>
  <c r="AD60" i="4"/>
  <c r="AC60" i="4"/>
  <c r="N60" i="4"/>
  <c r="L60" i="4"/>
  <c r="M60" i="4"/>
  <c r="AI59" i="4"/>
  <c r="AG59" i="4"/>
  <c r="AF59" i="4"/>
  <c r="AE59" i="4"/>
  <c r="AC59" i="4"/>
  <c r="AA59" i="4"/>
  <c r="Z59" i="4"/>
  <c r="Y59" i="4"/>
  <c r="X59" i="4"/>
  <c r="W59" i="4"/>
  <c r="V59" i="4"/>
  <c r="R59" i="4"/>
  <c r="Q59" i="4"/>
  <c r="U59" i="4"/>
  <c r="N59" i="4"/>
  <c r="L59" i="4"/>
  <c r="M59" i="4"/>
  <c r="AI58" i="4"/>
  <c r="AG58" i="4"/>
  <c r="AF58" i="4"/>
  <c r="AE58" i="4"/>
  <c r="AD58" i="4"/>
  <c r="AA58" i="4"/>
  <c r="Z58" i="4"/>
  <c r="Y58" i="4"/>
  <c r="X58" i="4"/>
  <c r="W58" i="4"/>
  <c r="V58" i="4"/>
  <c r="R58" i="4"/>
  <c r="Q58" i="4"/>
  <c r="U58" i="4"/>
  <c r="N58" i="4"/>
  <c r="L58" i="4"/>
  <c r="M58" i="4"/>
  <c r="H58" i="4"/>
  <c r="N56" i="4"/>
  <c r="L56" i="4"/>
  <c r="M56" i="4"/>
  <c r="AI55" i="4"/>
  <c r="AH55" i="4"/>
  <c r="AG55" i="4"/>
  <c r="AE55" i="4"/>
  <c r="AD55" i="4"/>
  <c r="AC55" i="4"/>
  <c r="N55" i="4"/>
  <c r="L55" i="4"/>
  <c r="M55" i="4"/>
  <c r="AI54" i="4"/>
  <c r="AG54" i="4"/>
  <c r="AF54" i="4"/>
  <c r="AE54" i="4"/>
  <c r="AD54" i="4"/>
  <c r="AC54" i="4"/>
  <c r="N54" i="4"/>
  <c r="L54" i="4"/>
  <c r="M54" i="4"/>
  <c r="AI53" i="4"/>
  <c r="AH53" i="4"/>
  <c r="AG53" i="4"/>
  <c r="AE53" i="4"/>
  <c r="AD53" i="4"/>
  <c r="AA53" i="4"/>
  <c r="Z53" i="4"/>
  <c r="Y53" i="4"/>
  <c r="W53" i="4"/>
  <c r="V53" i="4"/>
  <c r="U53" i="4"/>
  <c r="R53" i="4"/>
  <c r="Q53" i="4"/>
  <c r="X53" i="4"/>
  <c r="N53" i="4"/>
  <c r="L53" i="4"/>
  <c r="M53" i="4"/>
  <c r="AI52" i="4"/>
  <c r="AG52" i="4"/>
  <c r="AF52" i="4"/>
  <c r="AE52" i="4"/>
  <c r="AD52" i="4"/>
  <c r="AA52" i="4"/>
  <c r="Z52" i="4"/>
  <c r="Y52" i="4"/>
  <c r="X52" i="4"/>
  <c r="W52" i="4"/>
  <c r="U52" i="4"/>
  <c r="R52" i="4"/>
  <c r="Q52" i="4"/>
  <c r="V52" i="4"/>
  <c r="N52" i="4"/>
  <c r="L52" i="4"/>
  <c r="M52" i="4"/>
  <c r="H52" i="4"/>
  <c r="AI49" i="4"/>
  <c r="AH49" i="4"/>
  <c r="AG49" i="4"/>
  <c r="AE49" i="4"/>
  <c r="AD49" i="4"/>
  <c r="AC49" i="4"/>
  <c r="N49" i="4"/>
  <c r="L49" i="4"/>
  <c r="M49" i="4"/>
  <c r="AI48" i="4"/>
  <c r="AH48" i="4"/>
  <c r="AG48" i="4"/>
  <c r="AE48" i="4"/>
  <c r="AD48" i="4"/>
  <c r="AA48" i="4"/>
  <c r="Z48" i="4"/>
  <c r="Y48" i="4"/>
  <c r="X48" i="4"/>
  <c r="V48" i="4"/>
  <c r="U48" i="4"/>
  <c r="R48" i="4"/>
  <c r="Q48" i="4"/>
  <c r="W48" i="4"/>
  <c r="N48" i="4"/>
  <c r="L48" i="4"/>
  <c r="M48" i="4"/>
  <c r="AI47" i="4"/>
  <c r="AH47" i="4"/>
  <c r="AG47" i="4"/>
  <c r="AE47" i="4"/>
  <c r="AD47" i="4"/>
  <c r="AA47" i="4"/>
  <c r="Z47" i="4"/>
  <c r="Y47" i="4"/>
  <c r="X47" i="4"/>
  <c r="W47" i="4"/>
  <c r="U47" i="4"/>
  <c r="R47" i="4"/>
  <c r="Q47" i="4"/>
  <c r="V47" i="4"/>
  <c r="N47" i="4"/>
  <c r="L47" i="4"/>
  <c r="M47" i="4"/>
  <c r="H47" i="4"/>
  <c r="AI45" i="4"/>
  <c r="AH45" i="4"/>
  <c r="AG45" i="4"/>
  <c r="AE45" i="4"/>
  <c r="AD45" i="4"/>
  <c r="AC45" i="4"/>
  <c r="N45" i="4"/>
  <c r="L45" i="4"/>
  <c r="M45" i="4"/>
  <c r="AI44" i="4"/>
  <c r="AH44" i="4"/>
  <c r="AG44" i="4"/>
  <c r="AE44" i="4"/>
  <c r="AD44" i="4"/>
  <c r="AA44" i="4"/>
  <c r="Z44" i="4"/>
  <c r="Y44" i="4"/>
  <c r="X44" i="4"/>
  <c r="V44" i="4"/>
  <c r="U44" i="4"/>
  <c r="R44" i="4"/>
  <c r="Q44" i="4"/>
  <c r="W44" i="4"/>
  <c r="N44" i="4"/>
  <c r="L44" i="4"/>
  <c r="M44" i="4"/>
  <c r="AI43" i="4"/>
  <c r="AH43" i="4"/>
  <c r="AG43" i="4"/>
  <c r="AE43" i="4"/>
  <c r="AD43" i="4"/>
  <c r="AA43" i="4"/>
  <c r="Z43" i="4"/>
  <c r="Y43" i="4"/>
  <c r="X43" i="4"/>
  <c r="W43" i="4"/>
  <c r="U43" i="4"/>
  <c r="R43" i="4"/>
  <c r="Q43" i="4"/>
  <c r="V43" i="4"/>
  <c r="N43" i="4"/>
  <c r="L43" i="4"/>
  <c r="M43" i="4"/>
  <c r="H43" i="4"/>
  <c r="AI41" i="4"/>
  <c r="AH41" i="4"/>
  <c r="AG41" i="4"/>
  <c r="AE41" i="4"/>
  <c r="AD41" i="4"/>
  <c r="AC41" i="4"/>
  <c r="N41" i="4"/>
  <c r="L41" i="4"/>
  <c r="M41" i="4"/>
  <c r="AI40" i="4"/>
  <c r="AH40" i="4"/>
  <c r="AG40" i="4"/>
  <c r="AE40" i="4"/>
  <c r="AD40" i="4"/>
  <c r="AA40" i="4"/>
  <c r="Z40" i="4"/>
  <c r="Y40" i="4"/>
  <c r="X40" i="4"/>
  <c r="V40" i="4"/>
  <c r="U40" i="4"/>
  <c r="R40" i="4"/>
  <c r="Q40" i="4"/>
  <c r="W40" i="4"/>
  <c r="N40" i="4"/>
  <c r="L40" i="4"/>
  <c r="M40" i="4"/>
  <c r="AI39" i="4"/>
  <c r="AH39" i="4"/>
  <c r="AG39" i="4"/>
  <c r="AE39" i="4"/>
  <c r="AD39" i="4"/>
  <c r="AA39" i="4"/>
  <c r="Z39" i="4"/>
  <c r="Y39" i="4"/>
  <c r="X39" i="4"/>
  <c r="W39" i="4"/>
  <c r="U39" i="4"/>
  <c r="R39" i="4"/>
  <c r="Q39" i="4"/>
  <c r="V39" i="4"/>
  <c r="N39" i="4"/>
  <c r="L39" i="4"/>
  <c r="M39" i="4"/>
  <c r="H39" i="4"/>
  <c r="AI37" i="4"/>
  <c r="AH37" i="4"/>
  <c r="AG37" i="4"/>
  <c r="AE37" i="4"/>
  <c r="AD37" i="4"/>
  <c r="AC37" i="4"/>
  <c r="N37" i="4"/>
  <c r="L37" i="4"/>
  <c r="M37" i="4"/>
  <c r="AI36" i="4"/>
  <c r="AH36" i="4"/>
  <c r="AG36" i="4"/>
  <c r="AE36" i="4"/>
  <c r="AD36" i="4"/>
  <c r="AA36" i="4"/>
  <c r="Z36" i="4"/>
  <c r="Y36" i="4"/>
  <c r="X36" i="4"/>
  <c r="V36" i="4"/>
  <c r="U36" i="4"/>
  <c r="R36" i="4"/>
  <c r="Q36" i="4"/>
  <c r="W36" i="4"/>
  <c r="N36" i="4"/>
  <c r="L36" i="4"/>
  <c r="M36" i="4"/>
  <c r="AI35" i="4"/>
  <c r="AH35" i="4"/>
  <c r="AG35" i="4"/>
  <c r="AE35" i="4"/>
  <c r="AD35" i="4"/>
  <c r="AA35" i="4"/>
  <c r="Z35" i="4"/>
  <c r="Y35" i="4"/>
  <c r="X35" i="4"/>
  <c r="W35" i="4"/>
  <c r="U35" i="4"/>
  <c r="R35" i="4"/>
  <c r="Q35" i="4"/>
  <c r="V35" i="4"/>
  <c r="N35" i="4"/>
  <c r="L35" i="4"/>
  <c r="M35" i="4"/>
  <c r="H35" i="4"/>
  <c r="AI32" i="4"/>
  <c r="AH32" i="4"/>
  <c r="AG32" i="4"/>
  <c r="AE32" i="4"/>
  <c r="AD32" i="4"/>
  <c r="AC32" i="4"/>
  <c r="N32" i="4"/>
  <c r="L32" i="4"/>
  <c r="M32" i="4"/>
  <c r="AI31" i="4"/>
  <c r="AH31" i="4"/>
  <c r="AG31" i="4"/>
  <c r="AE31" i="4"/>
  <c r="AD31" i="4"/>
  <c r="AA31" i="4"/>
  <c r="Z31" i="4"/>
  <c r="Y31" i="4"/>
  <c r="X31" i="4"/>
  <c r="V31" i="4"/>
  <c r="U31" i="4"/>
  <c r="R31" i="4"/>
  <c r="Q31" i="4"/>
  <c r="W31" i="4"/>
  <c r="N31" i="4"/>
  <c r="L31" i="4"/>
  <c r="M31" i="4"/>
  <c r="AI30" i="4"/>
  <c r="AH30" i="4"/>
  <c r="AG30" i="4"/>
  <c r="AE30" i="4"/>
  <c r="AD30" i="4"/>
  <c r="AA30" i="4"/>
  <c r="Z30" i="4"/>
  <c r="Y30" i="4"/>
  <c r="X30" i="4"/>
  <c r="W30" i="4"/>
  <c r="V30" i="4"/>
  <c r="R30" i="4"/>
  <c r="Q30" i="4"/>
  <c r="U30" i="4"/>
  <c r="N30" i="4"/>
  <c r="L30" i="4"/>
  <c r="M30" i="4"/>
  <c r="H30" i="4"/>
  <c r="AI28" i="4"/>
  <c r="AH28" i="4"/>
  <c r="AG28" i="4"/>
  <c r="AE28" i="4"/>
  <c r="AD28" i="4"/>
  <c r="AC28" i="4"/>
  <c r="N28" i="4"/>
  <c r="L28" i="4"/>
  <c r="M28" i="4"/>
  <c r="AI27" i="4"/>
  <c r="AG27" i="4"/>
  <c r="AF27" i="4"/>
  <c r="AE27" i="4"/>
  <c r="AD27" i="4"/>
  <c r="AC27" i="4"/>
  <c r="N27" i="4"/>
  <c r="L27" i="4"/>
  <c r="M27" i="4"/>
  <c r="AI26" i="4"/>
  <c r="AH26" i="4"/>
  <c r="AG26" i="4"/>
  <c r="AE26" i="4"/>
  <c r="AD26" i="4"/>
  <c r="AA26" i="4"/>
  <c r="Z26" i="4"/>
  <c r="Y26" i="4"/>
  <c r="X26" i="4"/>
  <c r="W26" i="4"/>
  <c r="U26" i="4"/>
  <c r="R26" i="4"/>
  <c r="Q26" i="4"/>
  <c r="V26" i="4"/>
  <c r="N26" i="4"/>
  <c r="L26" i="4"/>
  <c r="M26" i="4"/>
  <c r="AI25" i="4"/>
  <c r="AG25" i="4"/>
  <c r="AF25" i="4"/>
  <c r="AE25" i="4"/>
  <c r="AC25" i="4"/>
  <c r="AA25" i="4"/>
  <c r="Z25" i="4"/>
  <c r="Y25" i="4"/>
  <c r="X25" i="4"/>
  <c r="W25" i="4"/>
  <c r="U25" i="4"/>
  <c r="R25" i="4"/>
  <c r="Q25" i="4"/>
  <c r="V25" i="4"/>
  <c r="N25" i="4"/>
  <c r="L25" i="4"/>
  <c r="M25" i="4"/>
  <c r="H25" i="4"/>
  <c r="AI23" i="4"/>
  <c r="AG23" i="4"/>
  <c r="AF23" i="4"/>
  <c r="AE23" i="4"/>
  <c r="AD23" i="4"/>
  <c r="AC23" i="4"/>
  <c r="N23" i="4"/>
  <c r="L23" i="4"/>
  <c r="M23" i="4"/>
  <c r="AI22" i="4"/>
  <c r="AG22" i="4"/>
  <c r="AF22" i="4"/>
  <c r="AE22" i="4"/>
  <c r="AD22" i="4"/>
  <c r="AC22" i="4"/>
  <c r="N22" i="4"/>
  <c r="L22" i="4"/>
  <c r="M22" i="4"/>
  <c r="AI21" i="4"/>
  <c r="AH21" i="4"/>
  <c r="AG21" i="4"/>
  <c r="AE21" i="4"/>
  <c r="AD21" i="4"/>
  <c r="AA21" i="4"/>
  <c r="Z21" i="4"/>
  <c r="Y21" i="4"/>
  <c r="X21" i="4"/>
  <c r="W21" i="4"/>
  <c r="V21" i="4"/>
  <c r="R21" i="4"/>
  <c r="Q21" i="4"/>
  <c r="U21" i="4"/>
  <c r="N21" i="4"/>
  <c r="L21" i="4"/>
  <c r="M21" i="4"/>
  <c r="AI20" i="4"/>
  <c r="AG20" i="4"/>
  <c r="AF20" i="4"/>
  <c r="AE20" i="4"/>
  <c r="AC20" i="4"/>
  <c r="AA20" i="4"/>
  <c r="Z20" i="4"/>
  <c r="Y20" i="4"/>
  <c r="X20" i="4"/>
  <c r="W20" i="4"/>
  <c r="V20" i="4"/>
  <c r="R20" i="4"/>
  <c r="Q20" i="4"/>
  <c r="U20" i="4"/>
  <c r="N20" i="4"/>
  <c r="L20" i="4"/>
  <c r="M20" i="4"/>
  <c r="H20" i="4"/>
  <c r="AI17" i="4"/>
  <c r="AH17" i="4"/>
  <c r="AG17" i="4"/>
  <c r="AE17" i="4"/>
  <c r="AD17" i="4"/>
  <c r="AC17" i="4"/>
  <c r="N17" i="4"/>
  <c r="L17" i="4"/>
  <c r="M17" i="4"/>
  <c r="AI16" i="4"/>
  <c r="AH16" i="4"/>
  <c r="AG16" i="4"/>
  <c r="AE16" i="4"/>
  <c r="AD16" i="4"/>
  <c r="AA16" i="4"/>
  <c r="Z16" i="4"/>
  <c r="Y16" i="4"/>
  <c r="X16" i="4"/>
  <c r="V16" i="4"/>
  <c r="U16" i="4"/>
  <c r="R16" i="4"/>
  <c r="Q16" i="4"/>
  <c r="W16" i="4"/>
  <c r="N16" i="4"/>
  <c r="L16" i="4"/>
  <c r="M16" i="4"/>
  <c r="AI15" i="4"/>
  <c r="AH15" i="4"/>
  <c r="AG15" i="4"/>
  <c r="AE15" i="4"/>
  <c r="AD15" i="4"/>
  <c r="AA15" i="4"/>
  <c r="Z15" i="4"/>
  <c r="Y15" i="4"/>
  <c r="X15" i="4"/>
  <c r="W15" i="4"/>
  <c r="U15" i="4"/>
  <c r="R15" i="4"/>
  <c r="Q15" i="4"/>
  <c r="V15" i="4"/>
  <c r="N15" i="4"/>
  <c r="L15" i="4"/>
  <c r="M15" i="4"/>
  <c r="H15" i="4"/>
  <c r="AI13" i="4"/>
  <c r="AH13" i="4"/>
  <c r="AG13" i="4"/>
  <c r="AE13" i="4"/>
  <c r="AD13" i="4"/>
  <c r="AC13" i="4"/>
  <c r="N13" i="4"/>
  <c r="L13" i="4"/>
  <c r="M13" i="4"/>
  <c r="AI12" i="4"/>
  <c r="AH12" i="4"/>
  <c r="AG12" i="4"/>
  <c r="AE12" i="4"/>
  <c r="AD12" i="4"/>
  <c r="AA12" i="4"/>
  <c r="Z12" i="4"/>
  <c r="Y12" i="4"/>
  <c r="X12" i="4"/>
  <c r="V12" i="4"/>
  <c r="U12" i="4"/>
  <c r="R12" i="4"/>
  <c r="Q12" i="4"/>
  <c r="W12" i="4"/>
  <c r="N12" i="4"/>
  <c r="L12" i="4"/>
  <c r="M12" i="4"/>
  <c r="AI11" i="4"/>
  <c r="AH11" i="4"/>
  <c r="AG11" i="4"/>
  <c r="AE11" i="4"/>
  <c r="AD11" i="4"/>
  <c r="AA11" i="4"/>
  <c r="Z11" i="4"/>
  <c r="Y11" i="4"/>
  <c r="X11" i="4"/>
  <c r="W11" i="4"/>
  <c r="V11" i="4"/>
  <c r="R11" i="4"/>
  <c r="Q11" i="4"/>
  <c r="U11" i="4"/>
  <c r="N11" i="4"/>
  <c r="L11" i="4"/>
  <c r="M11" i="4"/>
  <c r="H11" i="4"/>
  <c r="H191" i="4"/>
  <c r="K15" i="16"/>
  <c r="G15" i="16"/>
  <c r="I15" i="16"/>
  <c r="J15" i="16"/>
  <c r="O15" i="4"/>
  <c r="P15" i="4"/>
  <c r="AF15" i="4"/>
  <c r="O176" i="4"/>
  <c r="P176" i="4"/>
  <c r="AG176" i="4"/>
  <c r="O109" i="4"/>
  <c r="P109" i="4"/>
  <c r="AF109" i="4"/>
  <c r="O16" i="4"/>
  <c r="P16" i="4"/>
  <c r="AF16" i="4"/>
  <c r="O17" i="4"/>
  <c r="P17" i="4"/>
  <c r="AF17" i="4"/>
  <c r="O45" i="4"/>
  <c r="P45" i="4"/>
  <c r="AF45" i="4"/>
  <c r="O52" i="4"/>
  <c r="P52" i="4"/>
  <c r="AH52" i="4"/>
  <c r="O151" i="4"/>
  <c r="P151" i="4"/>
  <c r="AH151" i="4"/>
  <c r="O174" i="4"/>
  <c r="P174" i="4"/>
  <c r="AG174" i="4"/>
  <c r="O76" i="4"/>
  <c r="P76" i="4"/>
  <c r="AF76" i="4"/>
  <c r="O123" i="4"/>
  <c r="P123" i="4"/>
  <c r="AH123" i="4"/>
  <c r="O134" i="4"/>
  <c r="P134" i="4"/>
  <c r="AH134" i="4"/>
  <c r="O142" i="4"/>
  <c r="P142" i="4"/>
  <c r="AF142" i="4"/>
  <c r="O149" i="4"/>
  <c r="P149" i="4"/>
  <c r="AH149" i="4"/>
  <c r="O166" i="4"/>
  <c r="P166" i="4"/>
  <c r="AG166" i="4"/>
  <c r="O13" i="4"/>
  <c r="P13" i="4"/>
  <c r="AF13" i="4"/>
  <c r="O25" i="4"/>
  <c r="P25" i="4"/>
  <c r="AH25" i="4"/>
  <c r="O107" i="4"/>
  <c r="P107" i="4"/>
  <c r="AH107" i="4"/>
  <c r="O125" i="4"/>
  <c r="P125" i="4"/>
  <c r="AH125" i="4"/>
  <c r="O167" i="4"/>
  <c r="P167" i="4"/>
  <c r="AE167" i="4"/>
  <c r="O157" i="4"/>
  <c r="P157" i="4"/>
  <c r="AH157" i="4"/>
  <c r="O60" i="4"/>
  <c r="P60" i="4"/>
  <c r="AH60" i="4"/>
  <c r="O66" i="4"/>
  <c r="P66" i="4"/>
  <c r="AH66" i="4"/>
  <c r="O92" i="4"/>
  <c r="P92" i="4"/>
  <c r="AF92" i="4"/>
  <c r="O133" i="4"/>
  <c r="P133" i="4"/>
  <c r="AF133" i="4"/>
  <c r="O141" i="4"/>
  <c r="P141" i="4"/>
  <c r="AH141" i="4"/>
  <c r="O58" i="4"/>
  <c r="P58" i="4"/>
  <c r="AH58" i="4"/>
  <c r="O68" i="4"/>
  <c r="P68" i="4"/>
  <c r="AH68" i="4"/>
  <c r="O87" i="4"/>
  <c r="P87" i="4"/>
  <c r="AH87" i="4"/>
  <c r="O88" i="4"/>
  <c r="P88" i="4"/>
  <c r="AF88" i="4"/>
  <c r="O89" i="4"/>
  <c r="P89" i="4"/>
  <c r="O124" i="4"/>
  <c r="P124" i="4"/>
  <c r="AF124" i="4"/>
  <c r="O128" i="4"/>
  <c r="P128" i="4"/>
  <c r="AH128" i="4"/>
  <c r="O22" i="4"/>
  <c r="P22" i="4"/>
  <c r="AH22" i="4"/>
  <c r="O27" i="4"/>
  <c r="P27" i="4"/>
  <c r="AH27" i="4"/>
  <c r="O28" i="4"/>
  <c r="P28" i="4"/>
  <c r="AF28" i="4"/>
  <c r="O35" i="4"/>
  <c r="P35" i="4"/>
  <c r="AF35" i="4"/>
  <c r="O54" i="4"/>
  <c r="P54" i="4"/>
  <c r="AH54" i="4"/>
  <c r="O55" i="4"/>
  <c r="P55" i="4"/>
  <c r="AF55" i="4"/>
  <c r="O56" i="4"/>
  <c r="P56" i="4"/>
  <c r="AB62" i="4"/>
  <c r="AC62" i="4"/>
  <c r="O71" i="4"/>
  <c r="P71" i="4"/>
  <c r="AF71" i="4"/>
  <c r="O75" i="4"/>
  <c r="P75" i="4"/>
  <c r="AF75" i="4"/>
  <c r="O77" i="4"/>
  <c r="P77" i="4"/>
  <c r="AH77" i="4"/>
  <c r="O78" i="4"/>
  <c r="P78" i="4"/>
  <c r="AF78" i="4"/>
  <c r="O93" i="4"/>
  <c r="P93" i="4"/>
  <c r="AH93" i="4"/>
  <c r="O94" i="4"/>
  <c r="P94" i="4"/>
  <c r="AF94" i="4"/>
  <c r="O95" i="4"/>
  <c r="P95" i="4"/>
  <c r="O113" i="4"/>
  <c r="P113" i="4"/>
  <c r="AH113" i="4"/>
  <c r="O114" i="4"/>
  <c r="P114" i="4"/>
  <c r="AF114" i="4"/>
  <c r="O159" i="4"/>
  <c r="P159" i="4"/>
  <c r="AH159" i="4"/>
  <c r="O37" i="4"/>
  <c r="P37" i="4"/>
  <c r="AF37" i="4"/>
  <c r="AB39" i="4"/>
  <c r="AC39" i="4"/>
  <c r="O41" i="4"/>
  <c r="P41" i="4"/>
  <c r="AF41" i="4"/>
  <c r="O44" i="4"/>
  <c r="P44" i="4"/>
  <c r="AF44" i="4"/>
  <c r="O47" i="4"/>
  <c r="P47" i="4"/>
  <c r="AF47" i="4"/>
  <c r="O91" i="4"/>
  <c r="P91" i="4"/>
  <c r="AH91" i="4"/>
  <c r="O120" i="4"/>
  <c r="P120" i="4"/>
  <c r="AH120" i="4"/>
  <c r="AI194" i="4"/>
  <c r="AI195" i="4"/>
  <c r="O11" i="4"/>
  <c r="P11" i="4"/>
  <c r="AF11" i="4"/>
  <c r="O26" i="4"/>
  <c r="P26" i="4"/>
  <c r="AF26" i="4"/>
  <c r="O30" i="4"/>
  <c r="P30" i="4"/>
  <c r="AF30" i="4"/>
  <c r="O36" i="4"/>
  <c r="P36" i="4"/>
  <c r="AF36" i="4"/>
  <c r="O43" i="4"/>
  <c r="P43" i="4"/>
  <c r="AF43" i="4"/>
  <c r="O53" i="4"/>
  <c r="P53" i="4"/>
  <c r="AF53" i="4"/>
  <c r="O85" i="4"/>
  <c r="P85" i="4"/>
  <c r="AH85" i="4"/>
  <c r="O86" i="4"/>
  <c r="P86" i="4"/>
  <c r="AF86" i="4"/>
  <c r="O102" i="4"/>
  <c r="P102" i="4"/>
  <c r="AH102" i="4"/>
  <c r="O115" i="4"/>
  <c r="P115" i="4"/>
  <c r="AH115" i="4"/>
  <c r="O59" i="4"/>
  <c r="P59" i="4"/>
  <c r="AH59" i="4"/>
  <c r="O67" i="4"/>
  <c r="P67" i="4"/>
  <c r="AF67" i="4"/>
  <c r="O73" i="4"/>
  <c r="P73" i="4"/>
  <c r="AF73" i="4"/>
  <c r="O108" i="4"/>
  <c r="P108" i="4"/>
  <c r="AF108" i="4"/>
  <c r="O110" i="4"/>
  <c r="P110" i="4"/>
  <c r="AH110" i="4"/>
  <c r="O129" i="4"/>
  <c r="P129" i="4"/>
  <c r="AF129" i="4"/>
  <c r="O132" i="4"/>
  <c r="P132" i="4"/>
  <c r="AH132" i="4"/>
  <c r="O143" i="4"/>
  <c r="P143" i="4"/>
  <c r="AH143" i="4"/>
  <c r="AB145" i="4"/>
  <c r="AC145" i="4"/>
  <c r="O146" i="4"/>
  <c r="P146" i="4"/>
  <c r="AF146" i="4"/>
  <c r="O150" i="4"/>
  <c r="P150" i="4"/>
  <c r="AG150" i="4"/>
  <c r="O158" i="4"/>
  <c r="P158" i="4"/>
  <c r="AF158" i="4"/>
  <c r="O161" i="4"/>
  <c r="P161" i="4"/>
  <c r="AH161" i="4"/>
  <c r="O162" i="4"/>
  <c r="P162" i="4"/>
  <c r="AF162" i="4"/>
  <c r="O168" i="4"/>
  <c r="P168" i="4"/>
  <c r="AG168" i="4"/>
  <c r="O171" i="4"/>
  <c r="P171" i="4"/>
  <c r="AE171" i="4"/>
  <c r="O175" i="4"/>
  <c r="P175" i="4"/>
  <c r="AE175" i="4"/>
  <c r="AB63" i="4"/>
  <c r="AD63" i="4"/>
  <c r="AB80" i="4"/>
  <c r="AD80" i="4"/>
  <c r="AB118" i="4"/>
  <c r="AC118" i="4"/>
  <c r="AB137" i="4"/>
  <c r="AC137" i="4"/>
  <c r="AB30" i="4"/>
  <c r="AC30" i="4"/>
  <c r="O32" i="4"/>
  <c r="P32" i="4"/>
  <c r="AF32" i="4"/>
  <c r="O82" i="4"/>
  <c r="P82" i="4"/>
  <c r="AH82" i="4"/>
  <c r="O104" i="4"/>
  <c r="P104" i="4"/>
  <c r="AB128" i="4"/>
  <c r="AD128" i="4"/>
  <c r="AB129" i="4"/>
  <c r="AC129" i="4"/>
  <c r="AB153" i="4"/>
  <c r="AD153" i="4"/>
  <c r="O155" i="4"/>
  <c r="P155" i="4"/>
  <c r="AH155" i="4"/>
  <c r="AB161" i="4"/>
  <c r="AD161" i="4"/>
  <c r="AB162" i="4"/>
  <c r="AC162" i="4"/>
  <c r="AB170" i="4"/>
  <c r="AC170" i="4"/>
  <c r="AB171" i="4"/>
  <c r="AC171" i="4"/>
  <c r="O172" i="4"/>
  <c r="P172" i="4"/>
  <c r="AG172" i="4"/>
  <c r="AB11" i="4"/>
  <c r="AC11" i="4"/>
  <c r="AB119" i="4"/>
  <c r="AC119" i="4"/>
  <c r="AB20" i="4"/>
  <c r="AD20" i="4"/>
  <c r="AB21" i="4"/>
  <c r="AC21" i="4"/>
  <c r="O39" i="4"/>
  <c r="P39" i="4"/>
  <c r="AF39" i="4"/>
  <c r="AB47" i="4"/>
  <c r="AC47" i="4"/>
  <c r="AB48" i="4"/>
  <c r="AC48" i="4"/>
  <c r="O49" i="4"/>
  <c r="P49" i="4"/>
  <c r="AF49" i="4"/>
  <c r="O62" i="4"/>
  <c r="P62" i="4"/>
  <c r="AH62" i="4"/>
  <c r="O70" i="4"/>
  <c r="P70" i="4"/>
  <c r="AF70" i="4"/>
  <c r="AB70" i="4"/>
  <c r="AD70" i="4"/>
  <c r="AB71" i="4"/>
  <c r="AC71" i="4"/>
  <c r="O81" i="4"/>
  <c r="P81" i="4"/>
  <c r="AF81" i="4"/>
  <c r="AB81" i="4"/>
  <c r="AC81" i="4"/>
  <c r="AB101" i="4"/>
  <c r="AC101" i="4"/>
  <c r="O137" i="4"/>
  <c r="P137" i="4"/>
  <c r="AH137" i="4"/>
  <c r="AB146" i="4"/>
  <c r="AC146" i="4"/>
  <c r="AP26" i="5"/>
  <c r="AX26" i="5"/>
  <c r="H26" i="5"/>
  <c r="H182" i="5"/>
  <c r="G26" i="5"/>
  <c r="G182" i="5"/>
  <c r="G183" i="5"/>
  <c r="H320" i="5"/>
  <c r="AX182" i="5"/>
  <c r="AX478" i="5"/>
  <c r="G478" i="5"/>
  <c r="G479" i="5"/>
  <c r="AP320" i="5"/>
  <c r="AX320" i="5"/>
  <c r="G320" i="5"/>
  <c r="G322" i="5"/>
  <c r="H478" i="5"/>
  <c r="L494" i="5"/>
  <c r="AB31" i="4"/>
  <c r="AC31" i="4"/>
  <c r="AB75" i="4"/>
  <c r="AD75" i="4"/>
  <c r="AB108" i="4"/>
  <c r="AD108" i="4"/>
  <c r="AB150" i="4"/>
  <c r="AC150" i="4"/>
  <c r="AB154" i="4"/>
  <c r="AC154" i="4"/>
  <c r="AB40" i="4"/>
  <c r="AC40" i="4"/>
  <c r="AB59" i="4"/>
  <c r="AD59" i="4"/>
  <c r="AB133" i="4"/>
  <c r="AC133" i="4"/>
  <c r="AB136" i="4"/>
  <c r="AC136" i="4"/>
  <c r="AB157" i="4"/>
  <c r="AC157" i="4"/>
  <c r="AB12" i="4"/>
  <c r="AC12" i="4"/>
  <c r="AB15" i="4"/>
  <c r="AC15" i="4"/>
  <c r="AB25" i="4"/>
  <c r="AD25" i="4"/>
  <c r="AB100" i="4"/>
  <c r="AD100" i="4"/>
  <c r="AB16" i="4"/>
  <c r="AC16" i="4"/>
  <c r="O31" i="4"/>
  <c r="P31" i="4"/>
  <c r="AF31" i="4"/>
  <c r="AB35" i="4"/>
  <c r="AC35" i="4"/>
  <c r="O40" i="4"/>
  <c r="P40" i="4"/>
  <c r="AF40" i="4"/>
  <c r="O63" i="4"/>
  <c r="P63" i="4"/>
  <c r="AH63" i="4"/>
  <c r="AB67" i="4"/>
  <c r="AC67" i="4"/>
  <c r="AB86" i="4"/>
  <c r="AC86" i="4"/>
  <c r="AB91" i="4"/>
  <c r="AD91" i="4"/>
  <c r="O103" i="4"/>
  <c r="P103" i="4"/>
  <c r="AF103" i="4"/>
  <c r="O138" i="4"/>
  <c r="P138" i="4"/>
  <c r="AH138" i="4"/>
  <c r="O145" i="4"/>
  <c r="P145" i="4"/>
  <c r="AH145" i="4"/>
  <c r="O147" i="4"/>
  <c r="P147" i="4"/>
  <c r="AH147" i="4"/>
  <c r="O153" i="4"/>
  <c r="P153" i="4"/>
  <c r="AH153" i="4"/>
  <c r="O163" i="4"/>
  <c r="P163" i="4"/>
  <c r="AH163" i="4"/>
  <c r="AB174" i="4"/>
  <c r="AC174" i="4"/>
  <c r="AB175" i="4"/>
  <c r="AC175" i="4"/>
  <c r="O20" i="4"/>
  <c r="P20" i="4"/>
  <c r="AH20" i="4"/>
  <c r="O21" i="4"/>
  <c r="P21" i="4"/>
  <c r="AF21" i="4"/>
  <c r="O23" i="4"/>
  <c r="P23" i="4"/>
  <c r="AH23" i="4"/>
  <c r="AB36" i="4"/>
  <c r="AC36" i="4"/>
  <c r="AB44" i="4"/>
  <c r="AC44" i="4"/>
  <c r="AB76" i="4"/>
  <c r="AC76" i="4"/>
  <c r="O80" i="4"/>
  <c r="P80" i="4"/>
  <c r="AF80" i="4"/>
  <c r="O83" i="4"/>
  <c r="P83" i="4"/>
  <c r="AF83" i="4"/>
  <c r="O100" i="4"/>
  <c r="P100" i="4"/>
  <c r="AH100" i="4"/>
  <c r="O101" i="4"/>
  <c r="P101" i="4"/>
  <c r="AF101" i="4"/>
  <c r="AB113" i="4"/>
  <c r="AC113" i="4"/>
  <c r="O119" i="4"/>
  <c r="P119" i="4"/>
  <c r="AF119" i="4"/>
  <c r="AB124" i="4"/>
  <c r="AC124" i="4"/>
  <c r="O130" i="4"/>
  <c r="P130" i="4"/>
  <c r="AH130" i="4"/>
  <c r="O136" i="4"/>
  <c r="P136" i="4"/>
  <c r="AH136" i="4"/>
  <c r="AB141" i="4"/>
  <c r="AC141" i="4"/>
  <c r="AB149" i="4"/>
  <c r="AD149" i="4"/>
  <c r="AB166" i="4"/>
  <c r="AC166" i="4"/>
  <c r="AB167" i="4"/>
  <c r="AC167" i="4"/>
  <c r="O170" i="4"/>
  <c r="P170" i="4"/>
  <c r="AG170" i="4"/>
  <c r="O12" i="4"/>
  <c r="P12" i="4"/>
  <c r="AF12" i="4"/>
  <c r="AB43" i="4"/>
  <c r="AC43" i="4"/>
  <c r="O48" i="4"/>
  <c r="P48" i="4"/>
  <c r="AF48" i="4"/>
  <c r="AB52" i="4"/>
  <c r="AC52" i="4"/>
  <c r="O64" i="4"/>
  <c r="P64" i="4"/>
  <c r="AH64" i="4"/>
  <c r="O72" i="4"/>
  <c r="P72" i="4"/>
  <c r="AH72" i="4"/>
  <c r="O118" i="4"/>
  <c r="P118" i="4"/>
  <c r="AH118" i="4"/>
  <c r="AB123" i="4"/>
  <c r="AC123" i="4"/>
  <c r="O154" i="4"/>
  <c r="P154" i="4"/>
  <c r="AF154" i="4"/>
  <c r="AB158" i="4"/>
  <c r="AC158" i="4"/>
  <c r="AB26" i="4"/>
  <c r="AC26" i="4"/>
  <c r="AB53" i="4"/>
  <c r="AC53" i="4"/>
  <c r="AB58" i="4"/>
  <c r="AC58" i="4"/>
  <c r="AB66" i="4"/>
  <c r="AC66" i="4"/>
  <c r="AB85" i="4"/>
  <c r="AD85" i="4"/>
  <c r="AB92" i="4"/>
  <c r="AC92" i="4"/>
  <c r="AB107" i="4"/>
  <c r="AC107" i="4"/>
  <c r="AB114" i="4"/>
  <c r="AC114" i="4"/>
  <c r="AB132" i="4"/>
  <c r="AC132" i="4"/>
  <c r="AB142" i="4"/>
  <c r="AC142" i="4"/>
  <c r="H195" i="4"/>
  <c r="H337" i="5"/>
  <c r="G337" i="5"/>
  <c r="C17" i="6"/>
  <c r="AP322" i="5"/>
  <c r="AX322" i="5"/>
  <c r="AX337" i="5"/>
  <c r="H322" i="5"/>
  <c r="AF194" i="4"/>
  <c r="AF195" i="4"/>
  <c r="AE194" i="4"/>
  <c r="AE195" i="4"/>
  <c r="AH194" i="4"/>
  <c r="AH195" i="4"/>
  <c r="AD194" i="4"/>
  <c r="AD195" i="4"/>
  <c r="AB194" i="4"/>
  <c r="AC194" i="4"/>
  <c r="AC195" i="4"/>
  <c r="AG194" i="4"/>
  <c r="AG195" i="4"/>
  <c r="P194" i="4"/>
  <c r="J476" i="5"/>
  <c r="J472" i="5"/>
  <c r="T468" i="5"/>
  <c r="R465" i="5"/>
  <c r="T462" i="5"/>
  <c r="R459" i="5"/>
  <c r="T456" i="5"/>
  <c r="Q452" i="5"/>
  <c r="Q446" i="5"/>
  <c r="Q440" i="5"/>
  <c r="Q434" i="5"/>
  <c r="Q431" i="5"/>
  <c r="R428" i="5"/>
  <c r="AB424" i="5"/>
  <c r="Z420" i="5"/>
  <c r="T416" i="5"/>
  <c r="Q477" i="5"/>
  <c r="Q473" i="5"/>
  <c r="AG468" i="5"/>
  <c r="AG462" i="5"/>
  <c r="AG456" i="5"/>
  <c r="AH452" i="5"/>
  <c r="AJ449" i="5"/>
  <c r="AH446" i="5"/>
  <c r="AJ443" i="5"/>
  <c r="AH440" i="5"/>
  <c r="AJ437" i="5"/>
  <c r="AH434" i="5"/>
  <c r="AG429" i="5"/>
  <c r="AJ425" i="5"/>
  <c r="R422" i="5"/>
  <c r="L417" i="5"/>
  <c r="I473" i="5"/>
  <c r="I467" i="5"/>
  <c r="I459" i="5"/>
  <c r="AB452" i="5"/>
  <c r="AB444" i="5"/>
  <c r="AB436" i="5"/>
  <c r="Z427" i="5"/>
  <c r="L420" i="5"/>
  <c r="AG412" i="5"/>
  <c r="AG409" i="5"/>
  <c r="AH405" i="5"/>
  <c r="T402" i="5"/>
  <c r="R399" i="5"/>
  <c r="I395" i="5"/>
  <c r="AJ391" i="5"/>
  <c r="AH388" i="5"/>
  <c r="T385" i="5"/>
  <c r="I382" i="5"/>
  <c r="L476" i="5"/>
  <c r="R466" i="5"/>
  <c r="R458" i="5"/>
  <c r="Y449" i="5"/>
  <c r="Y441" i="5"/>
  <c r="Y433" i="5"/>
  <c r="Z425" i="5"/>
  <c r="L414" i="5"/>
  <c r="AH410" i="5"/>
  <c r="Q407" i="5"/>
  <c r="L404" i="5"/>
  <c r="Z400" i="5"/>
  <c r="Y397" i="5"/>
  <c r="Z393" i="5"/>
  <c r="R389" i="5"/>
  <c r="I386" i="5"/>
  <c r="AJ382" i="5"/>
  <c r="R377" i="5"/>
  <c r="AJ373" i="5"/>
  <c r="AH366" i="5"/>
  <c r="Y461" i="5"/>
  <c r="Z449" i="5"/>
  <c r="J441" i="5"/>
  <c r="AB419" i="5"/>
  <c r="AG410" i="5"/>
  <c r="AJ402" i="5"/>
  <c r="T395" i="5"/>
  <c r="AG385" i="5"/>
  <c r="AJ377" i="5"/>
  <c r="AH371" i="5"/>
  <c r="Z367" i="5"/>
  <c r="AG357" i="5"/>
  <c r="AG354" i="5"/>
  <c r="AJ351" i="5"/>
  <c r="T474" i="5"/>
  <c r="AJ476" i="5"/>
  <c r="AJ472" i="5"/>
  <c r="AB468" i="5"/>
  <c r="Z465" i="5"/>
  <c r="AB462" i="5"/>
  <c r="Z459" i="5"/>
  <c r="AB456" i="5"/>
  <c r="Y452" i="5"/>
  <c r="Y446" i="5"/>
  <c r="Y440" i="5"/>
  <c r="Y434" i="5"/>
  <c r="Y431" i="5"/>
  <c r="Z428" i="5"/>
  <c r="AJ424" i="5"/>
  <c r="J421" i="5"/>
  <c r="AB416" i="5"/>
  <c r="Y477" i="5"/>
  <c r="Y473" i="5"/>
  <c r="I470" i="5"/>
  <c r="I464" i="5"/>
  <c r="I458" i="5"/>
  <c r="L453" i="5"/>
  <c r="J450" i="5"/>
  <c r="L447" i="5"/>
  <c r="J444" i="5"/>
  <c r="L441" i="5"/>
  <c r="J438" i="5"/>
  <c r="L435" i="5"/>
  <c r="J431" i="5"/>
  <c r="J426" i="5"/>
  <c r="Z422" i="5"/>
  <c r="T417" i="5"/>
  <c r="R473" i="5"/>
  <c r="Y467" i="5"/>
  <c r="Y459" i="5"/>
  <c r="R453" i="5"/>
  <c r="R445" i="5"/>
  <c r="R437" i="5"/>
  <c r="T428" i="5"/>
  <c r="AB420" i="5"/>
  <c r="AJ413" i="5"/>
  <c r="L410" i="5"/>
  <c r="AH474" i="5"/>
  <c r="T470" i="5"/>
  <c r="R467" i="5"/>
  <c r="T464" i="5"/>
  <c r="R461" i="5"/>
  <c r="T458" i="5"/>
  <c r="R455" i="5"/>
  <c r="Q450" i="5"/>
  <c r="Q444" i="5"/>
  <c r="Q438" i="5"/>
  <c r="R433" i="5"/>
  <c r="R430" i="5"/>
  <c r="T427" i="5"/>
  <c r="AG422" i="5"/>
  <c r="AG477" i="5"/>
  <c r="T466" i="5"/>
  <c r="R457" i="5"/>
  <c r="Q442" i="5"/>
  <c r="T429" i="5"/>
  <c r="Q419" i="5"/>
  <c r="R414" i="5"/>
  <c r="T472" i="5"/>
  <c r="AG464" i="5"/>
  <c r="AG454" i="5"/>
  <c r="AH450" i="5"/>
  <c r="AJ445" i="5"/>
  <c r="AJ441" i="5"/>
  <c r="AH436" i="5"/>
  <c r="AH431" i="5"/>
  <c r="R469" i="5"/>
  <c r="T460" i="5"/>
  <c r="Q448" i="5"/>
  <c r="T432" i="5"/>
  <c r="AH421" i="5"/>
  <c r="T415" i="5"/>
  <c r="R474" i="5"/>
  <c r="AG466" i="5"/>
  <c r="AG458" i="5"/>
  <c r="AJ451" i="5"/>
  <c r="AJ447" i="5"/>
  <c r="AH442" i="5"/>
  <c r="AH438" i="5"/>
  <c r="AG432" i="5"/>
  <c r="AH426" i="5"/>
  <c r="R419" i="5"/>
  <c r="I415" i="5"/>
  <c r="J464" i="5"/>
  <c r="I454" i="5"/>
  <c r="AH441" i="5"/>
  <c r="Q430" i="5"/>
  <c r="AJ418" i="5"/>
  <c r="AJ410" i="5"/>
  <c r="Z404" i="5"/>
  <c r="T400" i="5"/>
  <c r="AJ393" i="5"/>
  <c r="AG389" i="5"/>
  <c r="J384" i="5"/>
  <c r="I477" i="5"/>
  <c r="Y463" i="5"/>
  <c r="AJ452" i="5"/>
  <c r="AG439" i="5"/>
  <c r="J427" i="5"/>
  <c r="I413" i="5"/>
  <c r="R408" i="5"/>
  <c r="I403" i="5"/>
  <c r="AB398" i="5"/>
  <c r="AB392" i="5"/>
  <c r="R387" i="5"/>
  <c r="T381" i="5"/>
  <c r="AJ374" i="5"/>
  <c r="Z476" i="5"/>
  <c r="Q453" i="5"/>
  <c r="Q437" i="5"/>
  <c r="I414" i="5"/>
  <c r="AG399" i="5"/>
  <c r="Q388" i="5"/>
  <c r="J376" i="5"/>
  <c r="L369" i="5"/>
  <c r="AG356" i="5"/>
  <c r="AH352" i="5"/>
  <c r="Y471" i="5"/>
  <c r="L474" i="5"/>
  <c r="Z467" i="5"/>
  <c r="Z463" i="5"/>
  <c r="AB458" i="5"/>
  <c r="AB454" i="5"/>
  <c r="Y444" i="5"/>
  <c r="Y436" i="5"/>
  <c r="Z430" i="5"/>
  <c r="Y426" i="5"/>
  <c r="Z419" i="5"/>
  <c r="Z414" i="5"/>
  <c r="AB472" i="5"/>
  <c r="I466" i="5"/>
  <c r="I456" i="5"/>
  <c r="L451" i="5"/>
  <c r="J446" i="5"/>
  <c r="J442" i="5"/>
  <c r="L437" i="5"/>
  <c r="I432" i="5"/>
  <c r="AG424" i="5"/>
  <c r="R418" i="5"/>
  <c r="R472" i="5"/>
  <c r="R462" i="5"/>
  <c r="Z451" i="5"/>
  <c r="T440" i="5"/>
  <c r="Q425" i="5"/>
  <c r="AH416" i="5"/>
  <c r="AG408" i="5"/>
  <c r="J405" i="5"/>
  <c r="Z401" i="5"/>
  <c r="R398" i="5"/>
  <c r="J394" i="5"/>
  <c r="L391" i="5"/>
  <c r="J388" i="5"/>
  <c r="AB384" i="5"/>
  <c r="AH380" i="5"/>
  <c r="AJ474" i="5"/>
  <c r="Z464" i="5"/>
  <c r="Z456" i="5"/>
  <c r="L448" i="5"/>
  <c r="L440" i="5"/>
  <c r="Y430" i="5"/>
  <c r="J423" i="5"/>
  <c r="Q413" i="5"/>
  <c r="J410" i="5"/>
  <c r="R406" i="5"/>
  <c r="R403" i="5"/>
  <c r="AJ399" i="5"/>
  <c r="AH396" i="5"/>
  <c r="AJ392" i="5"/>
  <c r="AB388" i="5"/>
  <c r="R385" i="5"/>
  <c r="Y381" i="5"/>
  <c r="AB376" i="5"/>
  <c r="L373" i="5"/>
  <c r="L366" i="5"/>
  <c r="AB459" i="5"/>
  <c r="AJ446" i="5"/>
  <c r="Z437" i="5"/>
  <c r="Z415" i="5"/>
  <c r="AG407" i="5"/>
  <c r="Q400" i="5"/>
  <c r="AG392" i="5"/>
  <c r="AG382" i="5"/>
  <c r="T376" i="5"/>
  <c r="AB370" i="5"/>
  <c r="I366" i="5"/>
  <c r="I357" i="5"/>
  <c r="L354" i="5"/>
  <c r="L351" i="5"/>
  <c r="AH471" i="5"/>
  <c r="R475" i="5"/>
  <c r="AH467" i="5"/>
  <c r="AH461" i="5"/>
  <c r="AH455" i="5"/>
  <c r="R463" i="5"/>
  <c r="Q426" i="5"/>
  <c r="AG470" i="5"/>
  <c r="AH448" i="5"/>
  <c r="AJ435" i="5"/>
  <c r="T423" i="5"/>
  <c r="L472" i="5"/>
  <c r="J456" i="5"/>
  <c r="Q439" i="5"/>
  <c r="AG421" i="5"/>
  <c r="AB408" i="5"/>
  <c r="R401" i="5"/>
  <c r="AH392" i="5"/>
  <c r="AG386" i="5"/>
  <c r="Q471" i="5"/>
  <c r="Y455" i="5"/>
  <c r="AJ436" i="5"/>
  <c r="Y417" i="5"/>
  <c r="J406" i="5"/>
  <c r="AB399" i="5"/>
  <c r="Z391" i="5"/>
  <c r="AH383" i="5"/>
  <c r="AJ372" i="5"/>
  <c r="AH456" i="5"/>
  <c r="T431" i="5"/>
  <c r="Y405" i="5"/>
  <c r="T382" i="5"/>
  <c r="R370" i="5"/>
  <c r="AG355" i="5"/>
  <c r="AJ477" i="5"/>
  <c r="AB470" i="5"/>
  <c r="AB464" i="5"/>
  <c r="Z457" i="5"/>
  <c r="Y448" i="5"/>
  <c r="Z433" i="5"/>
  <c r="AB427" i="5"/>
  <c r="Y418" i="5"/>
  <c r="Z474" i="5"/>
  <c r="I462" i="5"/>
  <c r="J452" i="5"/>
  <c r="L445" i="5"/>
  <c r="L439" i="5"/>
  <c r="I429" i="5"/>
  <c r="AJ419" i="5"/>
  <c r="R470" i="5"/>
  <c r="R454" i="5"/>
  <c r="Z435" i="5"/>
  <c r="T419" i="5"/>
  <c r="AJ407" i="5"/>
  <c r="Y402" i="5"/>
  <c r="J397" i="5"/>
  <c r="J392" i="5"/>
  <c r="L387" i="5"/>
  <c r="Q382" i="5"/>
  <c r="AB469" i="5"/>
  <c r="Q459" i="5"/>
  <c r="I445" i="5"/>
  <c r="J435" i="5"/>
  <c r="L419" i="5"/>
  <c r="L411" i="5"/>
  <c r="T405" i="5"/>
  <c r="AH400" i="5"/>
  <c r="AG394" i="5"/>
  <c r="Z389" i="5"/>
  <c r="L384" i="5"/>
  <c r="Z377" i="5"/>
  <c r="L372" i="5"/>
  <c r="AG461" i="5"/>
  <c r="J445" i="5"/>
  <c r="AB421" i="5"/>
  <c r="I406" i="5"/>
  <c r="AJ395" i="5"/>
  <c r="AH379" i="5"/>
  <c r="J372" i="5"/>
  <c r="I359" i="5"/>
  <c r="I355" i="5"/>
  <c r="J350" i="5"/>
  <c r="I469" i="5"/>
  <c r="AH465" i="5"/>
  <c r="AH457" i="5"/>
  <c r="AG444" i="5"/>
  <c r="AH433" i="5"/>
  <c r="AJ427" i="5"/>
  <c r="J420" i="5"/>
  <c r="AG476" i="5"/>
  <c r="Q468" i="5"/>
  <c r="Q456" i="5"/>
  <c r="T449" i="5"/>
  <c r="T443" i="5"/>
  <c r="T437" i="5"/>
  <c r="Q429" i="5"/>
  <c r="AJ420" i="5"/>
  <c r="Y472" i="5"/>
  <c r="AB457" i="5"/>
  <c r="AG443" i="5"/>
  <c r="T426" i="5"/>
  <c r="T412" i="5"/>
  <c r="R405" i="5"/>
  <c r="Z398" i="5"/>
  <c r="T391" i="5"/>
  <c r="AG384" i="5"/>
  <c r="Y475" i="5"/>
  <c r="T457" i="5"/>
  <c r="AB440" i="5"/>
  <c r="Q423" i="5"/>
  <c r="R410" i="5"/>
  <c r="Z403" i="5"/>
  <c r="L397" i="5"/>
  <c r="AJ388" i="5"/>
  <c r="AG381" i="5"/>
  <c r="T373" i="5"/>
  <c r="I461" i="5"/>
  <c r="AG437" i="5"/>
  <c r="AH408" i="5"/>
  <c r="Q393" i="5"/>
  <c r="Z376" i="5"/>
  <c r="Y366" i="5"/>
  <c r="T354" i="5"/>
  <c r="I472" i="5"/>
  <c r="T450" i="5"/>
  <c r="AH423" i="5"/>
  <c r="Q408" i="5"/>
  <c r="R396" i="5"/>
  <c r="Y386" i="5"/>
  <c r="J379" i="5"/>
  <c r="AH372" i="5"/>
  <c r="Y368" i="5"/>
  <c r="AG473" i="5"/>
  <c r="Q436" i="5"/>
  <c r="T476" i="5"/>
  <c r="AG453" i="5"/>
  <c r="AJ439" i="5"/>
  <c r="Y424" i="5"/>
  <c r="I416" i="5"/>
  <c r="AJ461" i="5"/>
  <c r="Q447" i="5"/>
  <c r="I425" i="5"/>
  <c r="AH411" i="5"/>
  <c r="AB403" i="5"/>
  <c r="AJ396" i="5"/>
  <c r="AJ387" i="5"/>
  <c r="Y380" i="5"/>
  <c r="L461" i="5"/>
  <c r="AJ444" i="5"/>
  <c r="Y421" i="5"/>
  <c r="Z409" i="5"/>
  <c r="AB401" i="5"/>
  <c r="AB394" i="5"/>
  <c r="J385" i="5"/>
  <c r="AH375" i="5"/>
  <c r="AJ463" i="5"/>
  <c r="AJ442" i="5"/>
  <c r="Z407" i="5"/>
  <c r="Q391" i="5"/>
  <c r="AH373" i="5"/>
  <c r="AG358" i="5"/>
  <c r="AH350" i="5"/>
  <c r="I475" i="5"/>
  <c r="AB466" i="5"/>
  <c r="AB460" i="5"/>
  <c r="Y450" i="5"/>
  <c r="Y438" i="5"/>
  <c r="AB429" i="5"/>
  <c r="I422" i="5"/>
  <c r="AB476" i="5"/>
  <c r="I468" i="5"/>
  <c r="L454" i="5"/>
  <c r="J448" i="5"/>
  <c r="J440" i="5"/>
  <c r="J434" i="5"/>
  <c r="Y423" i="5"/>
  <c r="Q415" i="5"/>
  <c r="L457" i="5"/>
  <c r="Z443" i="5"/>
  <c r="L424" i="5"/>
  <c r="J411" i="5"/>
  <c r="AJ403" i="5"/>
  <c r="Z399" i="5"/>
  <c r="L393" i="5"/>
  <c r="L389" i="5"/>
  <c r="T383" i="5"/>
  <c r="R476" i="5"/>
  <c r="AB461" i="5"/>
  <c r="J451" i="5"/>
  <c r="I437" i="5"/>
  <c r="AG425" i="5"/>
  <c r="J412" i="5"/>
  <c r="Y407" i="5"/>
  <c r="AJ401" i="5"/>
  <c r="AH397" i="5"/>
  <c r="AH391" i="5"/>
  <c r="Q386" i="5"/>
  <c r="Y379" i="5"/>
  <c r="L374" i="5"/>
  <c r="L467" i="5"/>
  <c r="AG449" i="5"/>
  <c r="AB433" i="5"/>
  <c r="Q411" i="5"/>
  <c r="Q397" i="5"/>
  <c r="J386" i="5"/>
  <c r="J374" i="5"/>
  <c r="I368" i="5"/>
  <c r="I356" i="5"/>
  <c r="J352" i="5"/>
  <c r="J470" i="5"/>
  <c r="AH469" i="5"/>
  <c r="AH459" i="5"/>
  <c r="AG448" i="5"/>
  <c r="AG436" i="5"/>
  <c r="AJ429" i="5"/>
  <c r="Q422" i="5"/>
  <c r="AH414" i="5"/>
  <c r="AB471" i="5"/>
  <c r="Q460" i="5"/>
  <c r="T451" i="5"/>
  <c r="T445" i="5"/>
  <c r="T439" i="5"/>
  <c r="Q432" i="5"/>
  <c r="AG423" i="5"/>
  <c r="Y415" i="5"/>
  <c r="Q463" i="5"/>
  <c r="AJ448" i="5"/>
  <c r="R432" i="5"/>
  <c r="I417" i="5"/>
  <c r="L408" i="5"/>
  <c r="AJ400" i="5"/>
  <c r="T393" i="5"/>
  <c r="T387" i="5"/>
  <c r="I380" i="5"/>
  <c r="AH462" i="5"/>
  <c r="AH445" i="5"/>
  <c r="AB428" i="5"/>
  <c r="R412" i="5"/>
  <c r="AB405" i="5"/>
  <c r="L399" i="5"/>
  <c r="L392" i="5"/>
  <c r="Q384" i="5"/>
  <c r="T375" i="5"/>
  <c r="J473" i="5"/>
  <c r="Q445" i="5"/>
  <c r="Y414" i="5"/>
  <c r="I398" i="5"/>
  <c r="T380" i="5"/>
  <c r="AH369" i="5"/>
  <c r="Q356" i="5"/>
  <c r="R350" i="5"/>
  <c r="T463" i="5"/>
  <c r="AH427" i="5"/>
  <c r="AG411" i="5"/>
  <c r="AG400" i="5"/>
  <c r="T390" i="5"/>
  <c r="L381" i="5"/>
  <c r="AH374" i="5"/>
  <c r="AB369" i="5"/>
  <c r="AG364" i="5"/>
  <c r="AG361" i="5"/>
  <c r="AB352" i="5"/>
  <c r="Y204" i="5"/>
  <c r="Y201" i="5"/>
  <c r="Q472" i="5"/>
  <c r="I443" i="5"/>
  <c r="T430" i="5"/>
  <c r="Z417" i="5"/>
  <c r="Y400" i="5"/>
  <c r="Z380" i="5"/>
  <c r="I373" i="5"/>
  <c r="AG366" i="5"/>
  <c r="AH358" i="5"/>
  <c r="Q350" i="5"/>
  <c r="T199" i="5"/>
  <c r="T196" i="5"/>
  <c r="Z179" i="5"/>
  <c r="Z175" i="5"/>
  <c r="Q170" i="5"/>
  <c r="J432" i="5"/>
  <c r="R395" i="5"/>
  <c r="AJ371" i="5"/>
  <c r="R362" i="5"/>
  <c r="R355" i="5"/>
  <c r="R202" i="5"/>
  <c r="AG196" i="5"/>
  <c r="AJ173" i="5"/>
  <c r="AH170" i="5"/>
  <c r="AJ167" i="5"/>
  <c r="AB442" i="5"/>
  <c r="AH402" i="5"/>
  <c r="AJ378" i="5"/>
  <c r="T363" i="5"/>
  <c r="J202" i="5"/>
  <c r="Q179" i="5"/>
  <c r="AG169" i="5"/>
  <c r="AG162" i="5"/>
  <c r="AG156" i="5"/>
  <c r="AG150" i="5"/>
  <c r="AH147" i="5"/>
  <c r="AJ144" i="5"/>
  <c r="AH141" i="5"/>
  <c r="AJ138" i="5"/>
  <c r="AB135" i="5"/>
  <c r="Z132" i="5"/>
  <c r="AB129" i="5"/>
  <c r="Y126" i="5"/>
  <c r="AG457" i="5"/>
  <c r="Q474" i="5"/>
  <c r="AJ466" i="5"/>
  <c r="AJ460" i="5"/>
  <c r="AJ454" i="5"/>
  <c r="AG442" i="5"/>
  <c r="AJ432" i="5"/>
  <c r="AG426" i="5"/>
  <c r="AH418" i="5"/>
  <c r="J475" i="5"/>
  <c r="Q466" i="5"/>
  <c r="Q454" i="5"/>
  <c r="AG460" i="5"/>
  <c r="J418" i="5"/>
  <c r="AG433" i="5"/>
  <c r="J398" i="5"/>
  <c r="L469" i="5"/>
  <c r="AJ411" i="5"/>
  <c r="T388" i="5"/>
  <c r="AG445" i="5"/>
  <c r="R379" i="5"/>
  <c r="AG469" i="5"/>
  <c r="Z455" i="5"/>
  <c r="AB423" i="5"/>
  <c r="I460" i="5"/>
  <c r="J436" i="5"/>
  <c r="L465" i="5"/>
  <c r="L412" i="5"/>
  <c r="Q395" i="5"/>
  <c r="R477" i="5"/>
  <c r="J443" i="5"/>
  <c r="Z408" i="5"/>
  <c r="AH393" i="5"/>
  <c r="L375" i="5"/>
  <c r="Q441" i="5"/>
  <c r="AH389" i="5"/>
  <c r="I358" i="5"/>
  <c r="T473" i="5"/>
  <c r="AG440" i="5"/>
  <c r="AJ416" i="5"/>
  <c r="T453" i="5"/>
  <c r="T435" i="5"/>
  <c r="Z468" i="5"/>
  <c r="AH420" i="5"/>
  <c r="Y395" i="5"/>
  <c r="AG467" i="5"/>
  <c r="R416" i="5"/>
  <c r="L394" i="5"/>
  <c r="T367" i="5"/>
  <c r="Q403" i="5"/>
  <c r="Q358" i="5"/>
  <c r="T434" i="5"/>
  <c r="AG393" i="5"/>
  <c r="I371" i="5"/>
  <c r="AG362" i="5"/>
  <c r="Z351" i="5"/>
  <c r="Y202" i="5"/>
  <c r="I451" i="5"/>
  <c r="I435" i="5"/>
  <c r="J416" i="5"/>
  <c r="R382" i="5"/>
  <c r="AG370" i="5"/>
  <c r="AH361" i="5"/>
  <c r="R203" i="5"/>
  <c r="R197" i="5"/>
  <c r="R178" i="5"/>
  <c r="Q172" i="5"/>
  <c r="AH419" i="5"/>
  <c r="AB377" i="5"/>
  <c r="R359" i="5"/>
  <c r="T204" i="5"/>
  <c r="AJ181" i="5"/>
  <c r="AJ171" i="5"/>
  <c r="AB474" i="5"/>
  <c r="Y408" i="5"/>
  <c r="Q372" i="5"/>
  <c r="Y353" i="5"/>
  <c r="Q175" i="5"/>
  <c r="AG164" i="5"/>
  <c r="AG154" i="5"/>
  <c r="AH148" i="5"/>
  <c r="AH143" i="5"/>
  <c r="AH139" i="5"/>
  <c r="Z134" i="5"/>
  <c r="Z130" i="5"/>
  <c r="AH468" i="5"/>
  <c r="T477" i="5"/>
  <c r="AJ464" i="5"/>
  <c r="AJ456" i="5"/>
  <c r="AG438" i="5"/>
  <c r="AH428" i="5"/>
  <c r="AG415" i="5"/>
  <c r="Q470" i="5"/>
  <c r="R452" i="5"/>
  <c r="R446" i="5"/>
  <c r="R440" i="5"/>
  <c r="R434" i="5"/>
  <c r="T425" i="5"/>
  <c r="Y416" i="5"/>
  <c r="AB465" i="5"/>
  <c r="AG451" i="5"/>
  <c r="AG435" i="5"/>
  <c r="Y419" i="5"/>
  <c r="T409" i="5"/>
  <c r="AH401" i="5"/>
  <c r="R394" i="5"/>
  <c r="R388" i="5"/>
  <c r="I381" i="5"/>
  <c r="T465" i="5"/>
  <c r="AB448" i="5"/>
  <c r="AH432" i="5"/>
  <c r="Y413" i="5"/>
  <c r="Z406" i="5"/>
  <c r="J400" i="5"/>
  <c r="J393" i="5"/>
  <c r="Z385" i="5"/>
  <c r="AG376" i="5"/>
  <c r="T366" i="5"/>
  <c r="J449" i="5"/>
  <c r="AJ415" i="5"/>
  <c r="AG401" i="5"/>
  <c r="Q383" i="5"/>
  <c r="L371" i="5"/>
  <c r="Q357" i="5"/>
  <c r="T351" i="5"/>
  <c r="AH464" i="5"/>
  <c r="AJ431" i="5"/>
  <c r="L413" i="5"/>
  <c r="AB402" i="5"/>
  <c r="AG391" i="5"/>
  <c r="L382" i="5"/>
  <c r="Q376" i="5"/>
  <c r="Y370" i="5"/>
  <c r="Q365" i="5"/>
  <c r="Q362" i="5"/>
  <c r="J353" i="5"/>
  <c r="L350" i="5"/>
  <c r="I202" i="5"/>
  <c r="I476" i="5"/>
  <c r="Y443" i="5"/>
  <c r="T433" i="5"/>
  <c r="I420" i="5"/>
  <c r="Y401" i="5"/>
  <c r="AB381" i="5"/>
  <c r="AB375" i="5"/>
  <c r="AH367" i="5"/>
  <c r="AB359" i="5"/>
  <c r="Q352" i="5"/>
  <c r="J200" i="5"/>
  <c r="AJ196" i="5"/>
  <c r="R180" i="5"/>
  <c r="R176" i="5"/>
  <c r="AG170" i="5"/>
  <c r="T459" i="5"/>
  <c r="AH395" i="5"/>
  <c r="Q373" i="5"/>
  <c r="L363" i="5"/>
  <c r="L356" i="5"/>
  <c r="J203" i="5"/>
  <c r="Q198" i="5"/>
  <c r="AJ175" i="5"/>
  <c r="T171" i="5"/>
  <c r="R168" i="5"/>
  <c r="AB450" i="5"/>
  <c r="AG405" i="5"/>
  <c r="I391" i="5"/>
  <c r="AH364" i="5"/>
  <c r="Z203" i="5"/>
  <c r="J469" i="5"/>
  <c r="J457" i="5"/>
  <c r="I436" i="5"/>
  <c r="Z421" i="5"/>
  <c r="Y470" i="5"/>
  <c r="Z450" i="5"/>
  <c r="Z438" i="5"/>
  <c r="L423" i="5"/>
  <c r="T461" i="5"/>
  <c r="R429" i="5"/>
  <c r="AB406" i="5"/>
  <c r="Z392" i="5"/>
  <c r="AH476" i="5"/>
  <c r="T444" i="5"/>
  <c r="Q418" i="5"/>
  <c r="AG427" i="5"/>
  <c r="AH449" i="5"/>
  <c r="AG406" i="5"/>
  <c r="L383" i="5"/>
  <c r="I430" i="5"/>
  <c r="Y396" i="5"/>
  <c r="AG367" i="5"/>
  <c r="AG396" i="5"/>
  <c r="AJ353" i="5"/>
  <c r="Z461" i="5"/>
  <c r="AB432" i="5"/>
  <c r="T471" i="5"/>
  <c r="L443" i="5"/>
  <c r="Q416" i="5"/>
  <c r="AG430" i="5"/>
  <c r="AB400" i="5"/>
  <c r="AB385" i="5"/>
  <c r="I453" i="5"/>
  <c r="AB414" i="5"/>
  <c r="AG398" i="5"/>
  <c r="J383" i="5"/>
  <c r="Z453" i="5"/>
  <c r="J403" i="5"/>
  <c r="Y369" i="5"/>
  <c r="AG474" i="5"/>
  <c r="AG452" i="5"/>
  <c r="J425" i="5"/>
  <c r="Q464" i="5"/>
  <c r="T441" i="5"/>
  <c r="AB417" i="5"/>
  <c r="Y437" i="5"/>
  <c r="AG402" i="5"/>
  <c r="Z382" i="5"/>
  <c r="Q435" i="5"/>
  <c r="L401" i="5"/>
  <c r="AH377" i="5"/>
  <c r="AJ422" i="5"/>
  <c r="Z372" i="5"/>
  <c r="Q469" i="5"/>
  <c r="Q404" i="5"/>
  <c r="AG377" i="5"/>
  <c r="AG363" i="5"/>
  <c r="Z353" i="5"/>
  <c r="Y203" i="5"/>
  <c r="AB199" i="5"/>
  <c r="I439" i="5"/>
  <c r="Y420" i="5"/>
  <c r="AB396" i="5"/>
  <c r="R376" i="5"/>
  <c r="Z363" i="5"/>
  <c r="AH354" i="5"/>
  <c r="T198" i="5"/>
  <c r="J181" i="5"/>
  <c r="R174" i="5"/>
  <c r="T467" i="5"/>
  <c r="AJ381" i="5"/>
  <c r="J364" i="5"/>
  <c r="Y352" i="5"/>
  <c r="AG198" i="5"/>
  <c r="AH172" i="5"/>
  <c r="AH168" i="5"/>
  <c r="AB431" i="5"/>
  <c r="I392" i="5"/>
  <c r="AJ359" i="5"/>
  <c r="AJ195" i="5"/>
  <c r="AG166" i="5"/>
  <c r="AG158" i="5"/>
  <c r="AH149" i="5"/>
  <c r="AH145" i="5"/>
  <c r="AJ140" i="5"/>
  <c r="Z136" i="5"/>
  <c r="AB131" i="5"/>
  <c r="AB127" i="5"/>
  <c r="AJ412" i="5"/>
  <c r="AJ468" i="5"/>
  <c r="AJ458" i="5"/>
  <c r="AG446" i="5"/>
  <c r="AH430" i="5"/>
  <c r="R421" i="5"/>
  <c r="AG472" i="5"/>
  <c r="Q458" i="5"/>
  <c r="R448" i="5"/>
  <c r="R442" i="5"/>
  <c r="R436" i="5"/>
  <c r="Q427" i="5"/>
  <c r="Z418" i="5"/>
  <c r="Z471" i="5"/>
  <c r="Q455" i="5"/>
  <c r="AJ440" i="5"/>
  <c r="R424" i="5"/>
  <c r="R411" i="5"/>
  <c r="J404" i="5"/>
  <c r="R397" i="5"/>
  <c r="Q390" i="5"/>
  <c r="AB383" i="5"/>
  <c r="AH470" i="5"/>
  <c r="AH454" i="5"/>
  <c r="AH437" i="5"/>
  <c r="T420" i="5"/>
  <c r="I409" i="5"/>
  <c r="J402" i="5"/>
  <c r="I396" i="5"/>
  <c r="AH387" i="5"/>
  <c r="AG379" i="5"/>
  <c r="T372" i="5"/>
  <c r="T455" i="5"/>
  <c r="AJ434" i="5"/>
  <c r="AJ406" i="5"/>
  <c r="L390" i="5"/>
  <c r="Z374" i="5"/>
  <c r="Q359" i="5"/>
  <c r="T353" i="5"/>
  <c r="Z470" i="5"/>
  <c r="T442" i="5"/>
  <c r="L421" i="5"/>
  <c r="Y406" i="5"/>
  <c r="L395" i="5"/>
  <c r="Q385" i="5"/>
  <c r="R378" i="5"/>
  <c r="AB371" i="5"/>
  <c r="R367" i="5"/>
  <c r="Q363" i="5"/>
  <c r="J354" i="5"/>
  <c r="J351" i="5"/>
  <c r="I203" i="5"/>
  <c r="L200" i="5"/>
  <c r="Y447" i="5"/>
  <c r="Y435" i="5"/>
  <c r="AJ421" i="5"/>
  <c r="L407" i="5"/>
  <c r="Y385" i="5"/>
  <c r="Y377" i="5"/>
  <c r="AG369" i="5"/>
  <c r="AB362" i="5"/>
  <c r="AB355" i="5"/>
  <c r="L202" i="5"/>
  <c r="AH197" i="5"/>
  <c r="Z181" i="5"/>
  <c r="Z177" i="5"/>
  <c r="AG172" i="5"/>
  <c r="AH475" i="5"/>
  <c r="Q409" i="5"/>
  <c r="AJ379" i="5"/>
  <c r="T365" i="5"/>
  <c r="T358" i="5"/>
  <c r="Y350" i="5"/>
  <c r="Q199" i="5"/>
  <c r="AJ179" i="5"/>
  <c r="R172" i="5"/>
  <c r="T169" i="5"/>
  <c r="Z466" i="5"/>
  <c r="T418" i="5"/>
  <c r="I393" i="5"/>
  <c r="Q369" i="5"/>
  <c r="AB358" i="5"/>
  <c r="Y474" i="5"/>
  <c r="J461" i="5"/>
  <c r="I444" i="5"/>
  <c r="L427" i="5"/>
  <c r="AJ475" i="5"/>
  <c r="Y454" i="5"/>
  <c r="Z442" i="5"/>
  <c r="Y427" i="5"/>
  <c r="AG471" i="5"/>
  <c r="I441" i="5"/>
  <c r="Z411" i="5"/>
  <c r="AJ397" i="5"/>
  <c r="AJ383" i="5"/>
  <c r="I455" i="5"/>
  <c r="I421" i="5"/>
  <c r="R402" i="5"/>
  <c r="L388" i="5"/>
  <c r="AB372" i="5"/>
  <c r="J437" i="5"/>
  <c r="AB390" i="5"/>
  <c r="Y359" i="5"/>
  <c r="R471" i="5"/>
  <c r="T422" i="5"/>
  <c r="AB395" i="5"/>
  <c r="AB378" i="5"/>
  <c r="L368" i="5"/>
  <c r="R354" i="5"/>
  <c r="Q203" i="5"/>
  <c r="AH447" i="5"/>
  <c r="I423" i="5"/>
  <c r="L386" i="5"/>
  <c r="Z370" i="5"/>
  <c r="J356" i="5"/>
  <c r="L198" i="5"/>
  <c r="J178" i="5"/>
  <c r="I168" i="5"/>
  <c r="J381" i="5"/>
  <c r="AJ358" i="5"/>
  <c r="Y199" i="5"/>
  <c r="Z172" i="5"/>
  <c r="Z473" i="5"/>
  <c r="Y393" i="5"/>
  <c r="Z359" i="5"/>
  <c r="Q178" i="5"/>
  <c r="Y166" i="5"/>
  <c r="Y158" i="5"/>
  <c r="Y150" i="5"/>
  <c r="AB146" i="5"/>
  <c r="AB142" i="5"/>
  <c r="AB138" i="5"/>
  <c r="R134" i="5"/>
  <c r="R130" i="5"/>
  <c r="Q126" i="5"/>
  <c r="Y412" i="5"/>
  <c r="L377" i="5"/>
  <c r="AJ363" i="5"/>
  <c r="Z196" i="5"/>
  <c r="R173" i="5"/>
  <c r="Z166" i="5"/>
  <c r="AB163" i="5"/>
  <c r="Z160" i="5"/>
  <c r="AB157" i="5"/>
  <c r="Z154" i="5"/>
  <c r="AB151" i="5"/>
  <c r="I148" i="5"/>
  <c r="I142" i="5"/>
  <c r="Q135" i="5"/>
  <c r="Q129" i="5"/>
  <c r="T125" i="5"/>
  <c r="Y389" i="5"/>
  <c r="AH357" i="5"/>
  <c r="I197" i="5"/>
  <c r="AG174" i="5"/>
  <c r="I161" i="5"/>
  <c r="I153" i="5"/>
  <c r="T145" i="5"/>
  <c r="T137" i="5"/>
  <c r="AG128" i="5"/>
  <c r="Y122" i="5"/>
  <c r="AJ116" i="5"/>
  <c r="AG111" i="5"/>
  <c r="Z106" i="5"/>
  <c r="Y103" i="5"/>
  <c r="Y99" i="5"/>
  <c r="Z96" i="5"/>
  <c r="R93" i="5"/>
  <c r="I88" i="5"/>
  <c r="J85" i="5"/>
  <c r="L82" i="5"/>
  <c r="J79" i="5"/>
  <c r="L75" i="5"/>
  <c r="J72" i="5"/>
  <c r="L69" i="5"/>
  <c r="R64" i="5"/>
  <c r="T61" i="5"/>
  <c r="AJ57" i="5"/>
  <c r="AB54" i="5"/>
  <c r="Z51" i="5"/>
  <c r="AB48" i="5"/>
  <c r="T454" i="5"/>
  <c r="R415" i="5"/>
  <c r="L405" i="5"/>
  <c r="AG359" i="5"/>
  <c r="AB415" i="5"/>
  <c r="T448" i="5"/>
  <c r="Q467" i="5"/>
  <c r="Z387" i="5"/>
  <c r="L378" i="5"/>
  <c r="AG431" i="5"/>
  <c r="R426" i="5"/>
  <c r="T389" i="5"/>
  <c r="Z386" i="5"/>
  <c r="R352" i="5"/>
  <c r="AH365" i="5"/>
  <c r="AB200" i="5"/>
  <c r="L403" i="5"/>
  <c r="Z356" i="5"/>
  <c r="J177" i="5"/>
  <c r="AJ367" i="5"/>
  <c r="AJ177" i="5"/>
  <c r="I394" i="5"/>
  <c r="Y171" i="5"/>
  <c r="AJ146" i="5"/>
  <c r="AB133" i="5"/>
  <c r="AJ470" i="5"/>
  <c r="AG434" i="5"/>
  <c r="Q462" i="5"/>
  <c r="R438" i="5"/>
  <c r="L475" i="5"/>
  <c r="AJ428" i="5"/>
  <c r="AH399" i="5"/>
  <c r="Y476" i="5"/>
  <c r="L426" i="5"/>
  <c r="L398" i="5"/>
  <c r="T374" i="5"/>
  <c r="AH412" i="5"/>
  <c r="R368" i="5"/>
  <c r="AJ455" i="5"/>
  <c r="Y398" i="5"/>
  <c r="Z373" i="5"/>
  <c r="Q361" i="5"/>
  <c r="I201" i="5"/>
  <c r="Y425" i="5"/>
  <c r="J380" i="5"/>
  <c r="AJ357" i="5"/>
  <c r="AH195" i="5"/>
  <c r="AG168" i="5"/>
  <c r="AJ369" i="5"/>
  <c r="L201" i="5"/>
  <c r="R170" i="5"/>
  <c r="I397" i="5"/>
  <c r="J201" i="5"/>
  <c r="I431" i="5"/>
  <c r="Z446" i="5"/>
  <c r="L452" i="5"/>
  <c r="Z388" i="5"/>
  <c r="AB411" i="5"/>
  <c r="R393" i="5"/>
  <c r="Z462" i="5"/>
  <c r="Q402" i="5"/>
  <c r="Y355" i="5"/>
  <c r="L433" i="5"/>
  <c r="Q389" i="5"/>
  <c r="AH370" i="5"/>
  <c r="T352" i="5"/>
  <c r="J477" i="5"/>
  <c r="Q417" i="5"/>
  <c r="AJ375" i="5"/>
  <c r="AB204" i="5"/>
  <c r="Z180" i="5"/>
  <c r="Z429" i="5"/>
  <c r="AB363" i="5"/>
  <c r="Y196" i="5"/>
  <c r="Z168" i="5"/>
  <c r="I377" i="5"/>
  <c r="R196" i="5"/>
  <c r="Q164" i="5"/>
  <c r="I154" i="5"/>
  <c r="R145" i="5"/>
  <c r="L140" i="5"/>
  <c r="L133" i="5"/>
  <c r="AJ127" i="5"/>
  <c r="Y404" i="5"/>
  <c r="J368" i="5"/>
  <c r="T180" i="5"/>
  <c r="T168" i="5"/>
  <c r="Z162" i="5"/>
  <c r="Z158" i="5"/>
  <c r="AB153" i="5"/>
  <c r="R149" i="5"/>
  <c r="I140" i="5"/>
  <c r="Q131" i="5"/>
  <c r="Q124" i="5"/>
  <c r="Y373" i="5"/>
  <c r="AH179" i="5"/>
  <c r="L164" i="5"/>
  <c r="J151" i="5"/>
  <c r="AG139" i="5"/>
  <c r="I125" i="5"/>
  <c r="Y118" i="5"/>
  <c r="AG109" i="5"/>
  <c r="AB104" i="5"/>
  <c r="Z98" i="5"/>
  <c r="Z94" i="5"/>
  <c r="J87" i="5"/>
  <c r="J83" i="5"/>
  <c r="L78" i="5"/>
  <c r="L73" i="5"/>
  <c r="R67" i="5"/>
  <c r="R62" i="5"/>
  <c r="AB56" i="5"/>
  <c r="AB52" i="5"/>
  <c r="Y47" i="5"/>
  <c r="Z41" i="5"/>
  <c r="Y37" i="5"/>
  <c r="Y411" i="5"/>
  <c r="T356" i="5"/>
  <c r="I179" i="5"/>
  <c r="Q169" i="5"/>
  <c r="AB160" i="5"/>
  <c r="AB152" i="5"/>
  <c r="J144" i="5"/>
  <c r="AG136" i="5"/>
  <c r="Z129" i="5"/>
  <c r="I121" i="5"/>
  <c r="L116" i="5"/>
  <c r="I112" i="5"/>
  <c r="L106" i="5"/>
  <c r="AJ100" i="5"/>
  <c r="AB96" i="5"/>
  <c r="AB93" i="5"/>
  <c r="Y89" i="5"/>
  <c r="AB85" i="5"/>
  <c r="Z82" i="5"/>
  <c r="AB79" i="5"/>
  <c r="Z75" i="5"/>
  <c r="AB72" i="5"/>
  <c r="Z69" i="5"/>
  <c r="Z66" i="5"/>
  <c r="Z63" i="5"/>
  <c r="AB60" i="5"/>
  <c r="T57" i="5"/>
  <c r="R54" i="5"/>
  <c r="T51" i="5"/>
  <c r="AJ47" i="5"/>
  <c r="AB41" i="5"/>
  <c r="J37" i="5"/>
  <c r="J33" i="5"/>
  <c r="J29" i="5"/>
  <c r="L26" i="5"/>
  <c r="AB438" i="5"/>
  <c r="J362" i="5"/>
  <c r="Z173" i="5"/>
  <c r="Q161" i="5"/>
  <c r="AJ150" i="5"/>
  <c r="AG125" i="5"/>
  <c r="Z119" i="5"/>
  <c r="AJ112" i="5"/>
  <c r="Y106" i="5"/>
  <c r="Y97" i="5"/>
  <c r="Z88" i="5"/>
  <c r="AG77" i="5"/>
  <c r="AG68" i="5"/>
  <c r="I61" i="5"/>
  <c r="Y49" i="5"/>
  <c r="AB40" i="5"/>
  <c r="AB32" i="5"/>
  <c r="AB27" i="5"/>
  <c r="T22" i="5"/>
  <c r="T17" i="5"/>
  <c r="Z11" i="5"/>
  <c r="J361" i="5"/>
  <c r="L181" i="5"/>
  <c r="L150" i="5"/>
  <c r="T139" i="5"/>
  <c r="L124" i="5"/>
  <c r="Z118" i="5"/>
  <c r="AJ111" i="5"/>
  <c r="Y104" i="5"/>
  <c r="Q98" i="5"/>
  <c r="AH89" i="5"/>
  <c r="I79" i="5"/>
  <c r="Y70" i="5"/>
  <c r="AG60" i="5"/>
  <c r="AH49" i="5"/>
  <c r="L466" i="5"/>
  <c r="AJ453" i="5"/>
  <c r="L432" i="5"/>
  <c r="I418" i="5"/>
  <c r="Y464" i="5"/>
  <c r="AB447" i="5"/>
  <c r="AB435" i="5"/>
  <c r="AJ417" i="5"/>
  <c r="AH453" i="5"/>
  <c r="Q421" i="5"/>
  <c r="T403" i="5"/>
  <c r="AB389" i="5"/>
  <c r="J468" i="5"/>
  <c r="T436" i="5"/>
  <c r="J408" i="5"/>
  <c r="T394" i="5"/>
  <c r="I379" i="5"/>
  <c r="J453" i="5"/>
  <c r="AH404" i="5"/>
  <c r="R373" i="5"/>
  <c r="Z352" i="5"/>
  <c r="T438" i="5"/>
  <c r="I405" i="5"/>
  <c r="Y384" i="5"/>
  <c r="R371" i="5"/>
  <c r="I363" i="5"/>
  <c r="AJ350" i="5"/>
  <c r="AJ199" i="5"/>
  <c r="R435" i="5"/>
  <c r="Q406" i="5"/>
  <c r="AJ376" i="5"/>
  <c r="L362" i="5"/>
  <c r="AH201" i="5"/>
  <c r="R181" i="5"/>
  <c r="Y172" i="5"/>
  <c r="T407" i="5"/>
  <c r="Z364" i="5"/>
  <c r="AH204" i="5"/>
  <c r="AJ178" i="5"/>
  <c r="L169" i="5"/>
  <c r="AJ408" i="5"/>
  <c r="J369" i="5"/>
  <c r="L197" i="5"/>
  <c r="AB170" i="5"/>
  <c r="Q162" i="5"/>
  <c r="Q154" i="5"/>
  <c r="T148" i="5"/>
  <c r="T144" i="5"/>
  <c r="T140" i="5"/>
  <c r="J136" i="5"/>
  <c r="J132" i="5"/>
  <c r="J128" i="5"/>
  <c r="AH460" i="5"/>
  <c r="AH390" i="5"/>
  <c r="Q368" i="5"/>
  <c r="AJ204" i="5"/>
  <c r="T177" i="5"/>
  <c r="AJ168" i="5"/>
  <c r="AH164" i="5"/>
  <c r="AJ161" i="5"/>
  <c r="AH158" i="5"/>
  <c r="AJ155" i="5"/>
  <c r="AH152" i="5"/>
  <c r="Z149" i="5"/>
  <c r="Q144" i="5"/>
  <c r="Q138" i="5"/>
  <c r="Y131" i="5"/>
  <c r="Z126" i="5"/>
  <c r="Y428" i="5"/>
  <c r="AH444" i="5"/>
  <c r="AG390" i="5"/>
  <c r="Q379" i="5"/>
  <c r="Z469" i="5"/>
  <c r="L449" i="5"/>
  <c r="L406" i="5"/>
  <c r="L428" i="5"/>
  <c r="L367" i="5"/>
  <c r="L353" i="5"/>
  <c r="AH473" i="5"/>
  <c r="Y453" i="5"/>
  <c r="Q451" i="5"/>
  <c r="AJ450" i="5"/>
  <c r="AB418" i="5"/>
  <c r="Z354" i="5"/>
  <c r="I447" i="5"/>
  <c r="Q378" i="5"/>
  <c r="T201" i="5"/>
  <c r="Q168" i="5"/>
  <c r="J357" i="5"/>
  <c r="AJ169" i="5"/>
  <c r="Q367" i="5"/>
  <c r="AG160" i="5"/>
  <c r="AJ142" i="5"/>
  <c r="Z128" i="5"/>
  <c r="AJ462" i="5"/>
  <c r="AJ423" i="5"/>
  <c r="R450" i="5"/>
  <c r="R431" i="5"/>
  <c r="Z460" i="5"/>
  <c r="T414" i="5"/>
  <c r="R392" i="5"/>
  <c r="AG459" i="5"/>
  <c r="T411" i="5"/>
  <c r="J391" i="5"/>
  <c r="J462" i="5"/>
  <c r="J396" i="5"/>
  <c r="Q355" i="5"/>
  <c r="L425" i="5"/>
  <c r="AG388" i="5"/>
  <c r="I369" i="5"/>
  <c r="L352" i="5"/>
  <c r="Y451" i="5"/>
  <c r="J417" i="5"/>
  <c r="AG371" i="5"/>
  <c r="J204" i="5"/>
  <c r="J179" i="5"/>
  <c r="J429" i="5"/>
  <c r="T361" i="5"/>
  <c r="Q196" i="5"/>
  <c r="T167" i="5"/>
  <c r="AH376" i="5"/>
  <c r="J465" i="5"/>
  <c r="L416" i="5"/>
  <c r="Z434" i="5"/>
  <c r="AG419" i="5"/>
  <c r="AJ465" i="5"/>
  <c r="I407" i="5"/>
  <c r="Z383" i="5"/>
  <c r="Q449" i="5"/>
  <c r="AH378" i="5"/>
  <c r="AB351" i="5"/>
  <c r="Q410" i="5"/>
  <c r="AG383" i="5"/>
  <c r="Y364" i="5"/>
  <c r="T350" i="5"/>
  <c r="AH439" i="5"/>
  <c r="I402" i="5"/>
  <c r="R365" i="5"/>
  <c r="Z200" i="5"/>
  <c r="R175" i="5"/>
  <c r="AG397" i="5"/>
  <c r="AJ354" i="5"/>
  <c r="AJ176" i="5"/>
  <c r="L442" i="5"/>
  <c r="J365" i="5"/>
  <c r="Q173" i="5"/>
  <c r="I162" i="5"/>
  <c r="Q149" i="5"/>
  <c r="L144" i="5"/>
  <c r="R137" i="5"/>
  <c r="AJ131" i="5"/>
  <c r="AG465" i="5"/>
  <c r="Z390" i="5"/>
  <c r="T355" i="5"/>
  <c r="T176" i="5"/>
  <c r="AB165" i="5"/>
  <c r="AB161" i="5"/>
  <c r="Z156" i="5"/>
  <c r="Z152" i="5"/>
  <c r="I146" i="5"/>
  <c r="I138" i="5"/>
  <c r="Q127" i="5"/>
  <c r="Q428" i="5"/>
  <c r="Q353" i="5"/>
  <c r="L178" i="5"/>
  <c r="J159" i="5"/>
  <c r="AG147" i="5"/>
  <c r="T134" i="5"/>
  <c r="Y123" i="5"/>
  <c r="R115" i="5"/>
  <c r="AG107" i="5"/>
  <c r="Y101" i="5"/>
  <c r="AB97" i="5"/>
  <c r="AJ91" i="5"/>
  <c r="L86" i="5"/>
  <c r="J81" i="5"/>
  <c r="I77" i="5"/>
  <c r="L71" i="5"/>
  <c r="T66" i="5"/>
  <c r="R60" i="5"/>
  <c r="Z55" i="5"/>
  <c r="AB50" i="5"/>
  <c r="Q46" i="5"/>
  <c r="J40" i="5"/>
  <c r="AB36" i="5"/>
  <c r="I384" i="5"/>
  <c r="J199" i="5"/>
  <c r="Y176" i="5"/>
  <c r="AH165" i="5"/>
  <c r="AH157" i="5"/>
  <c r="AG149" i="5"/>
  <c r="AJ141" i="5"/>
  <c r="AB134" i="5"/>
  <c r="Y125" i="5"/>
  <c r="I119" i="5"/>
  <c r="L115" i="5"/>
  <c r="I110" i="5"/>
  <c r="J105" i="5"/>
  <c r="AB98" i="5"/>
  <c r="Z95" i="5"/>
  <c r="Z92" i="5"/>
  <c r="AB87" i="5"/>
  <c r="Z84" i="5"/>
  <c r="AB81" i="5"/>
  <c r="Z78" i="5"/>
  <c r="AB74" i="5"/>
  <c r="Z71" i="5"/>
  <c r="Y68" i="5"/>
  <c r="Y65" i="5"/>
  <c r="AB62" i="5"/>
  <c r="Z59" i="5"/>
  <c r="R56" i="5"/>
  <c r="T53" i="5"/>
  <c r="R50" i="5"/>
  <c r="Y45" i="5"/>
  <c r="L40" i="5"/>
  <c r="I36" i="5"/>
  <c r="AJ469" i="5"/>
  <c r="AG447" i="5"/>
  <c r="J415" i="5"/>
  <c r="Y442" i="5"/>
  <c r="I427" i="5"/>
  <c r="I390" i="5"/>
  <c r="T404" i="5"/>
  <c r="Q414" i="5"/>
  <c r="AH463" i="5"/>
  <c r="T447" i="5"/>
  <c r="T410" i="5"/>
  <c r="AH407" i="5"/>
  <c r="AJ386" i="5"/>
  <c r="R384" i="5"/>
  <c r="AB350" i="5"/>
  <c r="R423" i="5"/>
  <c r="AG368" i="5"/>
  <c r="R195" i="5"/>
  <c r="AH398" i="5"/>
  <c r="Q200" i="5"/>
  <c r="Z458" i="5"/>
  <c r="AH198" i="5"/>
  <c r="AG152" i="5"/>
  <c r="AH137" i="5"/>
  <c r="Q465" i="5"/>
  <c r="AG450" i="5"/>
  <c r="AH477" i="5"/>
  <c r="R444" i="5"/>
  <c r="AH422" i="5"/>
  <c r="Y445" i="5"/>
  <c r="T406" i="5"/>
  <c r="AJ385" i="5"/>
  <c r="Q443" i="5"/>
  <c r="AB404" i="5"/>
  <c r="R383" i="5"/>
  <c r="Z441" i="5"/>
  <c r="Y378" i="5"/>
  <c r="AB475" i="5"/>
  <c r="Y409" i="5"/>
  <c r="L380" i="5"/>
  <c r="Q364" i="5"/>
  <c r="I204" i="5"/>
  <c r="Y439" i="5"/>
  <c r="Y399" i="5"/>
  <c r="AJ364" i="5"/>
  <c r="AJ198" i="5"/>
  <c r="J175" i="5"/>
  <c r="T386" i="5"/>
  <c r="I354" i="5"/>
  <c r="T173" i="5"/>
  <c r="AB434" i="5"/>
  <c r="Z362" i="5"/>
  <c r="I452" i="5"/>
  <c r="Y462" i="5"/>
  <c r="AG416" i="5"/>
  <c r="L402" i="5"/>
  <c r="I433" i="5"/>
  <c r="T398" i="5"/>
  <c r="J377" i="5"/>
  <c r="T413" i="5"/>
  <c r="Y371" i="5"/>
  <c r="L459" i="5"/>
  <c r="AG403" i="5"/>
  <c r="R374" i="5"/>
  <c r="Y362" i="5"/>
  <c r="Q201" i="5"/>
  <c r="AJ433" i="5"/>
  <c r="R380" i="5"/>
  <c r="R361" i="5"/>
  <c r="L196" i="5"/>
  <c r="I172" i="5"/>
  <c r="AJ370" i="5"/>
  <c r="AB203" i="5"/>
  <c r="Z170" i="5"/>
  <c r="I408" i="5"/>
  <c r="R201" i="5"/>
  <c r="L170" i="5"/>
  <c r="Q156" i="5"/>
  <c r="L148" i="5"/>
  <c r="R141" i="5"/>
  <c r="AJ135" i="5"/>
  <c r="L129" i="5"/>
  <c r="R460" i="5"/>
  <c r="I374" i="5"/>
  <c r="Z199" i="5"/>
  <c r="Z171" i="5"/>
  <c r="Z164" i="5"/>
  <c r="AB159" i="5"/>
  <c r="AB155" i="5"/>
  <c r="Z150" i="5"/>
  <c r="I144" i="5"/>
  <c r="Q133" i="5"/>
  <c r="R126" i="5"/>
  <c r="Y387" i="5"/>
  <c r="T203" i="5"/>
  <c r="L168" i="5"/>
  <c r="L156" i="5"/>
  <c r="AH142" i="5"/>
  <c r="AH131" i="5"/>
  <c r="Y120" i="5"/>
  <c r="AG113" i="5"/>
  <c r="AB105" i="5"/>
  <c r="Y100" i="5"/>
  <c r="AB95" i="5"/>
  <c r="I90" i="5"/>
  <c r="L84" i="5"/>
  <c r="L80" i="5"/>
  <c r="J74" i="5"/>
  <c r="J70" i="5"/>
  <c r="T63" i="5"/>
  <c r="T59" i="5"/>
  <c r="Z53" i="5"/>
  <c r="AB49" i="5"/>
  <c r="Q44" i="5"/>
  <c r="Z38" i="5"/>
  <c r="Z34" i="5"/>
  <c r="R364" i="5"/>
  <c r="AB181" i="5"/>
  <c r="I173" i="5"/>
  <c r="Q163" i="5"/>
  <c r="Q155" i="5"/>
  <c r="I147" i="5"/>
  <c r="I139" i="5"/>
  <c r="Q132" i="5"/>
  <c r="AJ122" i="5"/>
  <c r="L117" i="5"/>
  <c r="I114" i="5"/>
  <c r="I108" i="5"/>
  <c r="AG102" i="5"/>
  <c r="Z97" i="5"/>
  <c r="AB94" i="5"/>
  <c r="Y91" i="5"/>
  <c r="Z86" i="5"/>
  <c r="AB83" i="5"/>
  <c r="Z80" i="5"/>
  <c r="AG76" i="5"/>
  <c r="Z73" i="5"/>
  <c r="AB70" i="5"/>
  <c r="AB67" i="5"/>
  <c r="AB64" i="5"/>
  <c r="Z61" i="5"/>
  <c r="Q58" i="5"/>
  <c r="T55" i="5"/>
  <c r="R52" i="5"/>
  <c r="J49" i="5"/>
  <c r="Y43" i="5"/>
  <c r="I39" i="5"/>
  <c r="L35" i="5"/>
  <c r="J30" i="5"/>
  <c r="I27" i="5"/>
  <c r="I24" i="5"/>
  <c r="J370" i="5"/>
  <c r="AH178" i="5"/>
  <c r="J165" i="5"/>
  <c r="AG153" i="5"/>
  <c r="R133" i="5"/>
  <c r="AH121" i="5"/>
  <c r="AH115" i="5"/>
  <c r="AJ108" i="5"/>
  <c r="T101" i="5"/>
  <c r="AH90" i="5"/>
  <c r="AG81" i="5"/>
  <c r="Q72" i="5"/>
  <c r="J65" i="5"/>
  <c r="AG53" i="5"/>
  <c r="AJ43" i="5"/>
  <c r="R34" i="5"/>
  <c r="AJ29" i="5"/>
  <c r="AG23" i="5"/>
  <c r="Q18" i="5"/>
  <c r="Z12" i="5"/>
  <c r="AH406" i="5"/>
  <c r="AJ197" i="5"/>
  <c r="L166" i="5"/>
  <c r="I145" i="5"/>
  <c r="AH129" i="5"/>
  <c r="AH120" i="5"/>
  <c r="AB113" i="5"/>
  <c r="AJ107" i="5"/>
  <c r="Z100" i="5"/>
  <c r="Z91" i="5"/>
  <c r="I83" i="5"/>
  <c r="Y74" i="5"/>
  <c r="AH64" i="5"/>
  <c r="I53" i="5"/>
  <c r="L470" i="5"/>
  <c r="L458" i="5"/>
  <c r="I438" i="5"/>
  <c r="Y422" i="5"/>
  <c r="AJ471" i="5"/>
  <c r="AB451" i="5"/>
  <c r="AB439" i="5"/>
  <c r="T424" i="5"/>
  <c r="AG463" i="5"/>
  <c r="Q433" i="5"/>
  <c r="T408" i="5"/>
  <c r="AB393" i="5"/>
  <c r="Q380" i="5"/>
  <c r="Z447" i="5"/>
  <c r="Z412" i="5"/>
  <c r="T399" i="5"/>
  <c r="Z384" i="5"/>
  <c r="Q476" i="5"/>
  <c r="AG414" i="5"/>
  <c r="AH381" i="5"/>
  <c r="Y356" i="5"/>
  <c r="R464" i="5"/>
  <c r="Q412" i="5"/>
  <c r="AJ390" i="5"/>
  <c r="J375" i="5"/>
  <c r="I365" i="5"/>
  <c r="AJ352" i="5"/>
  <c r="AG201" i="5"/>
  <c r="R443" i="5"/>
  <c r="AG417" i="5"/>
  <c r="Q381" i="5"/>
  <c r="Y367" i="5"/>
  <c r="AG351" i="5"/>
  <c r="AB196" i="5"/>
  <c r="J176" i="5"/>
  <c r="Z432" i="5"/>
  <c r="I372" i="5"/>
  <c r="AH355" i="5"/>
  <c r="I198" i="5"/>
  <c r="L171" i="5"/>
  <c r="L450" i="5"/>
  <c r="Y382" i="5"/>
  <c r="AH202" i="5"/>
  <c r="Q174" i="5"/>
  <c r="Y164" i="5"/>
  <c r="Y156" i="5"/>
  <c r="Y149" i="5"/>
  <c r="Z145" i="5"/>
  <c r="Z141" i="5"/>
  <c r="Z137" i="5"/>
  <c r="T133" i="5"/>
  <c r="T129" i="5"/>
  <c r="R468" i="5"/>
  <c r="AJ404" i="5"/>
  <c r="AG375" i="5"/>
  <c r="R356" i="5"/>
  <c r="T181" i="5"/>
  <c r="AG171" i="5"/>
  <c r="AJ165" i="5"/>
  <c r="AH162" i="5"/>
  <c r="AJ159" i="5"/>
  <c r="AH156" i="5"/>
  <c r="AJ153" i="5"/>
  <c r="AH150" i="5"/>
  <c r="Q146" i="5"/>
  <c r="Q140" i="5"/>
  <c r="Y133" i="5"/>
  <c r="Y127" i="5"/>
  <c r="Y124" i="5"/>
  <c r="I388" i="5"/>
  <c r="Y354" i="5"/>
  <c r="I181" i="5"/>
  <c r="AJ170" i="5"/>
  <c r="Q159" i="5"/>
  <c r="Q151" i="5"/>
  <c r="I143" i="5"/>
  <c r="AJ134" i="5"/>
  <c r="AH125" i="5"/>
  <c r="AG120" i="5"/>
  <c r="Z115" i="5"/>
  <c r="I111" i="5"/>
  <c r="AJ105" i="5"/>
  <c r="AG101" i="5"/>
  <c r="AH98" i="5"/>
  <c r="AJ95" i="5"/>
  <c r="AB92" i="5"/>
  <c r="R87" i="5"/>
  <c r="T84" i="5"/>
  <c r="R81" i="5"/>
  <c r="T78" i="5"/>
  <c r="R74" i="5"/>
  <c r="T71" i="5"/>
  <c r="Z67" i="5"/>
  <c r="AB63" i="5"/>
  <c r="Z60" i="5"/>
  <c r="AJ56" i="5"/>
  <c r="L32" i="5"/>
  <c r="I375" i="5"/>
  <c r="Z157" i="5"/>
  <c r="AH117" i="5"/>
  <c r="Q93" i="5"/>
  <c r="Q67" i="5"/>
  <c r="AG36" i="5"/>
  <c r="R19" i="5"/>
  <c r="L204" i="5"/>
  <c r="Y134" i="5"/>
  <c r="AB109" i="5"/>
  <c r="I87" i="5"/>
  <c r="I57" i="5"/>
  <c r="I446" i="5"/>
  <c r="Y456" i="5"/>
  <c r="AH472" i="5"/>
  <c r="J399" i="5"/>
  <c r="Z423" i="5"/>
  <c r="AB373" i="5"/>
  <c r="J367" i="5"/>
  <c r="AB397" i="5"/>
  <c r="I361" i="5"/>
  <c r="R425" i="5"/>
  <c r="T357" i="5"/>
  <c r="Y168" i="5"/>
  <c r="AH200" i="5"/>
  <c r="Y394" i="5"/>
  <c r="I167" i="5"/>
  <c r="J147" i="5"/>
  <c r="AH134" i="5"/>
  <c r="I457" i="5"/>
  <c r="Q197" i="5"/>
  <c r="AJ163" i="5"/>
  <c r="AH154" i="5"/>
  <c r="Q142" i="5"/>
  <c r="AB125" i="5"/>
  <c r="L358" i="5"/>
  <c r="Y178" i="5"/>
  <c r="AH161" i="5"/>
  <c r="J148" i="5"/>
  <c r="AJ137" i="5"/>
  <c r="AG123" i="5"/>
  <c r="J117" i="5"/>
  <c r="I109" i="5"/>
  <c r="AG103" i="5"/>
  <c r="AJ97" i="5"/>
  <c r="Z93" i="5"/>
  <c r="T86" i="5"/>
  <c r="T82" i="5"/>
  <c r="Q77" i="5"/>
  <c r="R72" i="5"/>
  <c r="AB66" i="5"/>
  <c r="AB61" i="5"/>
  <c r="AH55" i="5"/>
  <c r="AJ52" i="5"/>
  <c r="AG49" i="5"/>
  <c r="Y46" i="5"/>
  <c r="R40" i="5"/>
  <c r="AJ36" i="5"/>
  <c r="Y403" i="5"/>
  <c r="AB201" i="5"/>
  <c r="AG176" i="5"/>
  <c r="Z167" i="5"/>
  <c r="Z159" i="5"/>
  <c r="Z151" i="5"/>
  <c r="R142" i="5"/>
  <c r="AH135" i="5"/>
  <c r="AH127" i="5"/>
  <c r="Q119" i="5"/>
  <c r="T115" i="5"/>
  <c r="Q110" i="5"/>
  <c r="R105" i="5"/>
  <c r="AJ98" i="5"/>
  <c r="AH95" i="5"/>
  <c r="AH92" i="5"/>
  <c r="AJ87" i="5"/>
  <c r="AH84" i="5"/>
  <c r="AJ81" i="5"/>
  <c r="AH78" i="5"/>
  <c r="AJ74" i="5"/>
  <c r="AH71" i="5"/>
  <c r="AH68" i="5"/>
  <c r="AH65" i="5"/>
  <c r="AJ62" i="5"/>
  <c r="AH59" i="5"/>
  <c r="Z56" i="5"/>
  <c r="AB53" i="5"/>
  <c r="Z50" i="5"/>
  <c r="AG45" i="5"/>
  <c r="T40" i="5"/>
  <c r="Q36" i="5"/>
  <c r="T32" i="5"/>
  <c r="Q28" i="5"/>
  <c r="Q25" i="5"/>
  <c r="L376" i="5"/>
  <c r="L203" i="5"/>
  <c r="J171" i="5"/>
  <c r="AG157" i="5"/>
  <c r="R144" i="5"/>
  <c r="J125" i="5"/>
  <c r="T118" i="5"/>
  <c r="R111" i="5"/>
  <c r="AB103" i="5"/>
  <c r="I94" i="5"/>
  <c r="Q86" i="5"/>
  <c r="AJ76" i="5"/>
  <c r="AG67" i="5"/>
  <c r="L58" i="5"/>
  <c r="R46" i="5"/>
  <c r="AB37" i="5"/>
  <c r="R31" i="5"/>
  <c r="Q26" i="5"/>
  <c r="Z19" i="5"/>
  <c r="AB16" i="5"/>
  <c r="L471" i="5"/>
  <c r="Q351" i="5"/>
  <c r="I176" i="5"/>
  <c r="Z146" i="5"/>
  <c r="AG134" i="5"/>
  <c r="AG122" i="5"/>
  <c r="T117" i="5"/>
  <c r="R110" i="5"/>
  <c r="AB102" i="5"/>
  <c r="AG95" i="5"/>
  <c r="L88" i="5"/>
  <c r="L77" i="5"/>
  <c r="L68" i="5"/>
  <c r="R58" i="5"/>
  <c r="J471" i="5"/>
  <c r="I440" i="5"/>
  <c r="L473" i="5"/>
  <c r="Z440" i="5"/>
  <c r="AH466" i="5"/>
  <c r="AB409" i="5"/>
  <c r="R381" i="5"/>
  <c r="AH413" i="5"/>
  <c r="AH385" i="5"/>
  <c r="L418" i="5"/>
  <c r="Y357" i="5"/>
  <c r="AB413" i="5"/>
  <c r="T377" i="5"/>
  <c r="R353" i="5"/>
  <c r="AH443" i="5"/>
  <c r="J382" i="5"/>
  <c r="AG353" i="5"/>
  <c r="Z176" i="5"/>
  <c r="Y374" i="5"/>
  <c r="Y198" i="5"/>
  <c r="J458" i="5"/>
  <c r="AH203" i="5"/>
  <c r="I166" i="5"/>
  <c r="I150" i="5"/>
  <c r="L142" i="5"/>
  <c r="AJ133" i="5"/>
  <c r="AJ124" i="5"/>
  <c r="I376" i="5"/>
  <c r="I195" i="5"/>
  <c r="J166" i="5"/>
  <c r="J160" i="5"/>
  <c r="J154" i="5"/>
  <c r="Y146" i="5"/>
  <c r="AG133" i="5"/>
  <c r="AG124" i="5"/>
  <c r="Z355" i="5"/>
  <c r="L174" i="5"/>
  <c r="T152" i="5"/>
  <c r="R135" i="5"/>
  <c r="I122" i="5"/>
  <c r="Q111" i="5"/>
  <c r="I103" i="5"/>
  <c r="J96" i="5"/>
  <c r="Z87" i="5"/>
  <c r="Z81" i="5"/>
  <c r="Z74" i="5"/>
  <c r="AJ67" i="5"/>
  <c r="AH60" i="5"/>
  <c r="L54" i="5"/>
  <c r="L48" i="5"/>
  <c r="I38" i="5"/>
  <c r="L361" i="5"/>
  <c r="AH171" i="5"/>
  <c r="Y153" i="5"/>
  <c r="AB137" i="5"/>
  <c r="Y121" i="5"/>
  <c r="Y112" i="5"/>
  <c r="Q102" i="5"/>
  <c r="L94" i="5"/>
  <c r="J86" i="5"/>
  <c r="J80" i="5"/>
  <c r="J73" i="5"/>
  <c r="L67" i="5"/>
  <c r="J61" i="5"/>
  <c r="AH54" i="5"/>
  <c r="R48" i="5"/>
  <c r="AB38" i="5"/>
  <c r="Z29" i="5"/>
  <c r="AB446" i="5"/>
  <c r="I174" i="5"/>
  <c r="Q153" i="5"/>
  <c r="AB120" i="5"/>
  <c r="AH107" i="5"/>
  <c r="AB89" i="5"/>
  <c r="Q70" i="5"/>
  <c r="AG51" i="5"/>
  <c r="Z33" i="5"/>
  <c r="Q23" i="5"/>
  <c r="I12" i="5"/>
  <c r="L195" i="5"/>
  <c r="AH140" i="5"/>
  <c r="AB119" i="5"/>
  <c r="AH106" i="5"/>
  <c r="AJ90" i="5"/>
  <c r="Y72" i="5"/>
  <c r="I51" i="5"/>
  <c r="AG41" i="5"/>
  <c r="T34" i="5"/>
  <c r="I29" i="5"/>
  <c r="AB23" i="5"/>
  <c r="T20" i="5"/>
  <c r="Q16" i="5"/>
  <c r="J413" i="5"/>
  <c r="Y151" i="5"/>
  <c r="AJ132" i="5"/>
  <c r="AB108" i="5"/>
  <c r="AB99" i="5"/>
  <c r="AG82" i="5"/>
  <c r="AG59" i="5"/>
  <c r="L36" i="5"/>
  <c r="Z26" i="5"/>
  <c r="J16" i="5"/>
  <c r="R200" i="5"/>
  <c r="L118" i="5"/>
  <c r="Q73" i="5"/>
  <c r="R38" i="5"/>
  <c r="Y15" i="5"/>
  <c r="T158" i="5"/>
  <c r="J103" i="5"/>
  <c r="I78" i="5"/>
  <c r="L29" i="5"/>
  <c r="AB11" i="5"/>
  <c r="T150" i="5"/>
  <c r="Y130" i="5"/>
  <c r="I117" i="5"/>
  <c r="Y105" i="5"/>
  <c r="I82" i="5"/>
  <c r="AJ58" i="5"/>
  <c r="AH44" i="5"/>
  <c r="Q31" i="5"/>
  <c r="R20" i="5"/>
  <c r="R13" i="5"/>
  <c r="I367" i="5"/>
  <c r="AH136" i="5"/>
  <c r="AG105" i="5"/>
  <c r="Q66" i="5"/>
  <c r="Y38" i="5"/>
  <c r="R17" i="5"/>
  <c r="L175" i="5"/>
  <c r="AH112" i="5"/>
  <c r="Q75" i="5"/>
  <c r="AJ35" i="5"/>
  <c r="L18" i="5"/>
  <c r="AG322" i="5"/>
  <c r="AG307" i="5"/>
  <c r="AJ327" i="5"/>
  <c r="Q228" i="5"/>
  <c r="I262" i="5"/>
  <c r="AH327" i="5"/>
  <c r="J300" i="5"/>
  <c r="I306" i="5"/>
  <c r="I297" i="5"/>
  <c r="L322" i="5"/>
  <c r="AB320" i="5"/>
  <c r="AB240" i="5"/>
  <c r="T325" i="5"/>
  <c r="R313" i="5"/>
  <c r="Q322" i="5"/>
  <c r="Q307" i="5"/>
  <c r="Z328" i="5"/>
  <c r="AH282" i="5"/>
  <c r="L298" i="5"/>
  <c r="AB300" i="5"/>
  <c r="AB326" i="5"/>
  <c r="AB282" i="5"/>
  <c r="Y313" i="5"/>
  <c r="Y305" i="5"/>
  <c r="L325" i="5"/>
  <c r="AJ330" i="5"/>
  <c r="Z209" i="5"/>
  <c r="AH317" i="5"/>
  <c r="J239" i="5"/>
  <c r="L456" i="5"/>
  <c r="R420" i="5"/>
  <c r="AB449" i="5"/>
  <c r="J422" i="5"/>
  <c r="AJ426" i="5"/>
  <c r="AB391" i="5"/>
  <c r="R441" i="5"/>
  <c r="T397" i="5"/>
  <c r="Q461" i="5"/>
  <c r="Q377" i="5"/>
  <c r="Z454" i="5"/>
  <c r="Q387" i="5"/>
  <c r="I364" i="5"/>
  <c r="AG200" i="5"/>
  <c r="Z416" i="5"/>
  <c r="T364" i="5"/>
  <c r="Z195" i="5"/>
  <c r="I424" i="5"/>
  <c r="I353" i="5"/>
  <c r="J170" i="5"/>
  <c r="AG374" i="5"/>
  <c r="J173" i="5"/>
  <c r="I156" i="5"/>
  <c r="J145" i="5"/>
  <c r="J137" i="5"/>
  <c r="AH128" i="5"/>
  <c r="I404" i="5"/>
  <c r="J355" i="5"/>
  <c r="AH169" i="5"/>
  <c r="R162" i="5"/>
  <c r="R156" i="5"/>
  <c r="R150" i="5"/>
  <c r="AG138" i="5"/>
  <c r="I127" i="5"/>
  <c r="I387" i="5"/>
  <c r="AB179" i="5"/>
  <c r="Y157" i="5"/>
  <c r="AB141" i="5"/>
  <c r="AH124" i="5"/>
  <c r="J115" i="5"/>
  <c r="T105" i="5"/>
  <c r="R98" i="5"/>
  <c r="AG90" i="5"/>
  <c r="AH83" i="5"/>
  <c r="AH77" i="5"/>
  <c r="AH70" i="5"/>
  <c r="L63" i="5"/>
  <c r="T56" i="5"/>
  <c r="T50" i="5"/>
  <c r="Q41" i="5"/>
  <c r="I411" i="5"/>
  <c r="AH177" i="5"/>
  <c r="L160" i="5"/>
  <c r="AG143" i="5"/>
  <c r="Y128" i="5"/>
  <c r="AG115" i="5"/>
  <c r="AH105" i="5"/>
  <c r="T96" i="5"/>
  <c r="Q89" i="5"/>
  <c r="R82" i="5"/>
  <c r="R75" i="5"/>
  <c r="R69" i="5"/>
  <c r="R63" i="5"/>
  <c r="L57" i="5"/>
  <c r="L51" i="5"/>
  <c r="AG40" i="5"/>
  <c r="AG32" i="5"/>
  <c r="AG25" i="5"/>
  <c r="Q354" i="5"/>
  <c r="J161" i="5"/>
  <c r="Z125" i="5"/>
  <c r="T112" i="5"/>
  <c r="I96" i="5"/>
  <c r="Z77" i="5"/>
  <c r="Y60" i="5"/>
  <c r="L39" i="5"/>
  <c r="J27" i="5"/>
  <c r="L17" i="5"/>
  <c r="T359" i="5"/>
  <c r="AJ149" i="5"/>
  <c r="Z123" i="5"/>
  <c r="T111" i="5"/>
  <c r="AG97" i="5"/>
  <c r="Y78" i="5"/>
  <c r="Q59" i="5"/>
  <c r="AH45" i="5"/>
  <c r="AH37" i="5"/>
  <c r="J31" i="5"/>
  <c r="AH25" i="5"/>
  <c r="AB21" i="5"/>
  <c r="Y17" i="5"/>
  <c r="AB14" i="5"/>
  <c r="AB174" i="5"/>
  <c r="Y141" i="5"/>
  <c r="R113" i="5"/>
  <c r="AJ102" i="5"/>
  <c r="T89" i="5"/>
  <c r="AG70" i="5"/>
  <c r="J46" i="5"/>
  <c r="L31" i="5"/>
  <c r="Q20" i="5"/>
  <c r="L12" i="5"/>
  <c r="T147" i="5"/>
  <c r="I97" i="5"/>
  <c r="I28" i="5"/>
  <c r="AG195" i="5"/>
  <c r="T143" i="5"/>
  <c r="AB110" i="5"/>
  <c r="AG85" i="5"/>
  <c r="AB57" i="5"/>
  <c r="I31" i="5"/>
  <c r="T16" i="5"/>
  <c r="AG175" i="5"/>
  <c r="Z122" i="5"/>
  <c r="L102" i="5"/>
  <c r="Z76" i="5"/>
  <c r="Z475" i="5"/>
  <c r="J428" i="5"/>
  <c r="AB443" i="5"/>
  <c r="L444" i="5"/>
  <c r="I25" i="5"/>
  <c r="AJ166" i="5"/>
  <c r="J124" i="5"/>
  <c r="L103" i="5"/>
  <c r="T76" i="5"/>
  <c r="AB45" i="5"/>
  <c r="AB25" i="5"/>
  <c r="AB455" i="5"/>
  <c r="J146" i="5"/>
  <c r="AJ115" i="5"/>
  <c r="Q94" i="5"/>
  <c r="Y67" i="5"/>
  <c r="L462" i="5"/>
  <c r="L477" i="5"/>
  <c r="Y429" i="5"/>
  <c r="AB412" i="5"/>
  <c r="AJ457" i="5"/>
  <c r="J389" i="5"/>
  <c r="AH394" i="5"/>
  <c r="Q424" i="5"/>
  <c r="AH368" i="5"/>
  <c r="R451" i="5"/>
  <c r="Z371" i="5"/>
  <c r="Z178" i="5"/>
  <c r="AH359" i="5"/>
  <c r="L167" i="5"/>
  <c r="Q180" i="5"/>
  <c r="I152" i="5"/>
  <c r="J139" i="5"/>
  <c r="AG126" i="5"/>
  <c r="L365" i="5"/>
  <c r="AH166" i="5"/>
  <c r="AJ157" i="5"/>
  <c r="Q148" i="5"/>
  <c r="Y129" i="5"/>
  <c r="Q375" i="5"/>
  <c r="T197" i="5"/>
  <c r="AB164" i="5"/>
  <c r="AH153" i="5"/>
  <c r="J140" i="5"/>
  <c r="J129" i="5"/>
  <c r="AG118" i="5"/>
  <c r="I113" i="5"/>
  <c r="AG104" i="5"/>
  <c r="AH99" i="5"/>
  <c r="AH94" i="5"/>
  <c r="Q88" i="5"/>
  <c r="R83" i="5"/>
  <c r="R79" i="5"/>
  <c r="T73" i="5"/>
  <c r="T69" i="5"/>
  <c r="Z62" i="5"/>
  <c r="AB58" i="5"/>
  <c r="AH53" i="5"/>
  <c r="AJ50" i="5"/>
  <c r="AH47" i="5"/>
  <c r="AH41" i="5"/>
  <c r="AG37" i="5"/>
  <c r="AJ473" i="5"/>
  <c r="AH356" i="5"/>
  <c r="L180" i="5"/>
  <c r="I171" i="5"/>
  <c r="R161" i="5"/>
  <c r="R153" i="5"/>
  <c r="L145" i="5"/>
  <c r="L137" i="5"/>
  <c r="T130" i="5"/>
  <c r="Q121" i="5"/>
  <c r="Q116" i="5"/>
  <c r="Q112" i="5"/>
  <c r="T106" i="5"/>
  <c r="I102" i="5"/>
  <c r="AJ96" i="5"/>
  <c r="AG93" i="5"/>
  <c r="AG89" i="5"/>
  <c r="AJ85" i="5"/>
  <c r="AH82" i="5"/>
  <c r="AJ79" i="5"/>
  <c r="I76" i="5"/>
  <c r="AJ72" i="5"/>
  <c r="AH69" i="5"/>
  <c r="AH66" i="5"/>
  <c r="AH63" i="5"/>
  <c r="AJ60" i="5"/>
  <c r="Y57" i="5"/>
  <c r="Z54" i="5"/>
  <c r="AB51" i="5"/>
  <c r="J48" i="5"/>
  <c r="AJ41" i="5"/>
  <c r="R37" i="5"/>
  <c r="R33" i="5"/>
  <c r="R29" i="5"/>
  <c r="T26" i="5"/>
  <c r="L446" i="5"/>
  <c r="T362" i="5"/>
  <c r="AG173" i="5"/>
  <c r="Z161" i="5"/>
  <c r="J153" i="5"/>
  <c r="AJ126" i="5"/>
  <c r="L120" i="5"/>
  <c r="J113" i="5"/>
  <c r="R107" i="5"/>
  <c r="I98" i="5"/>
  <c r="L89" i="5"/>
  <c r="Q78" i="5"/>
  <c r="AG69" i="5"/>
  <c r="Y62" i="5"/>
  <c r="Q50" i="5"/>
  <c r="R41" i="5"/>
  <c r="L33" i="5"/>
  <c r="T28" i="5"/>
  <c r="AG22" i="5"/>
  <c r="AB17" i="5"/>
  <c r="AH11" i="5"/>
  <c r="L364" i="5"/>
  <c r="Y181" i="5"/>
  <c r="L154" i="5"/>
  <c r="R140" i="5"/>
  <c r="L126" i="5"/>
  <c r="L119" i="5"/>
  <c r="J112" i="5"/>
  <c r="Q105" i="5"/>
  <c r="Z99" i="5"/>
  <c r="T90" i="5"/>
  <c r="Y80" i="5"/>
  <c r="I71" i="5"/>
  <c r="Q61" i="5"/>
  <c r="Y50" i="5"/>
  <c r="J455" i="5"/>
  <c r="I419" i="5"/>
  <c r="Z448" i="5"/>
  <c r="J419" i="5"/>
  <c r="AH424" i="5"/>
  <c r="Y390" i="5"/>
  <c r="Z439" i="5"/>
  <c r="Q396" i="5"/>
  <c r="R456" i="5"/>
  <c r="R375" i="5"/>
  <c r="T446" i="5"/>
  <c r="R386" i="5"/>
  <c r="Y363" i="5"/>
  <c r="T200" i="5"/>
  <c r="AH409" i="5"/>
  <c r="J363" i="5"/>
  <c r="J195" i="5"/>
  <c r="AG413" i="5"/>
  <c r="I351" i="5"/>
  <c r="AB169" i="5"/>
  <c r="T370" i="5"/>
  <c r="R171" i="5"/>
  <c r="Y154" i="5"/>
  <c r="AB144" i="5"/>
  <c r="R136" i="5"/>
  <c r="R128" i="5"/>
  <c r="L396" i="5"/>
  <c r="AG350" i="5"/>
  <c r="I169" i="5"/>
  <c r="J162" i="5"/>
  <c r="J156" i="5"/>
  <c r="J150" i="5"/>
  <c r="Y138" i="5"/>
  <c r="AH126" i="5"/>
  <c r="L379" i="5"/>
  <c r="AG178" i="5"/>
  <c r="R157" i="5"/>
  <c r="L141" i="5"/>
  <c r="T124" i="5"/>
  <c r="AJ114" i="5"/>
  <c r="L105" i="5"/>
  <c r="J98" i="5"/>
  <c r="Y90" i="5"/>
  <c r="Z83" i="5"/>
  <c r="Y77" i="5"/>
  <c r="Z70" i="5"/>
  <c r="AH62" i="5"/>
  <c r="L56" i="5"/>
  <c r="L50" i="5"/>
  <c r="I41" i="5"/>
  <c r="J409" i="5"/>
  <c r="AB177" i="5"/>
  <c r="AG159" i="5"/>
  <c r="Q143" i="5"/>
  <c r="I128" i="5"/>
  <c r="AB115" i="5"/>
  <c r="Z105" i="5"/>
  <c r="L96" i="5"/>
  <c r="I89" i="5"/>
  <c r="J82" i="5"/>
  <c r="J75" i="5"/>
  <c r="J69" i="5"/>
  <c r="J63" i="5"/>
  <c r="AH56" i="5"/>
  <c r="AH50" i="5"/>
  <c r="Y40" i="5"/>
  <c r="Y32" i="5"/>
  <c r="Y25" i="5"/>
  <c r="I350" i="5"/>
  <c r="AJ158" i="5"/>
  <c r="Q125" i="5"/>
  <c r="AH111" i="5"/>
  <c r="Y95" i="5"/>
  <c r="J77" i="5"/>
  <c r="I59" i="5"/>
  <c r="J38" i="5"/>
  <c r="AG26" i="5"/>
  <c r="AJ16" i="5"/>
  <c r="J359" i="5"/>
  <c r="AJ147" i="5"/>
  <c r="J123" i="5"/>
  <c r="AH110" i="5"/>
  <c r="Q96" i="5"/>
  <c r="AB77" i="5"/>
  <c r="Y58" i="5"/>
  <c r="R45" i="5"/>
  <c r="I37" i="5"/>
  <c r="AJ30" i="5"/>
  <c r="T25" i="5"/>
  <c r="T21" i="5"/>
  <c r="Q17" i="5"/>
  <c r="T14" i="5"/>
  <c r="AB168" i="5"/>
  <c r="Q141" i="5"/>
  <c r="AB111" i="5"/>
  <c r="AB101" i="5"/>
  <c r="J89" i="5"/>
  <c r="Q69" i="5"/>
  <c r="R44" i="5"/>
  <c r="AG30" i="5"/>
  <c r="J20" i="5"/>
  <c r="AG11" i="5"/>
  <c r="AB128" i="5"/>
  <c r="Q95" i="5"/>
  <c r="AJ45" i="5"/>
  <c r="I22" i="5"/>
  <c r="I178" i="5"/>
  <c r="L111" i="5"/>
  <c r="Q87" i="5"/>
  <c r="L47" i="5"/>
  <c r="Z15" i="5"/>
  <c r="AH155" i="5"/>
  <c r="L132" i="5"/>
  <c r="R122" i="5"/>
  <c r="L112" i="5"/>
  <c r="Z89" i="5"/>
  <c r="R65" i="5"/>
  <c r="Z46" i="5"/>
  <c r="J34" i="5"/>
  <c r="AJ22" i="5"/>
  <c r="J15" i="5"/>
  <c r="T396" i="5"/>
  <c r="I159" i="5"/>
  <c r="R112" i="5"/>
  <c r="AG78" i="5"/>
  <c r="AB47" i="5"/>
  <c r="L23" i="5"/>
  <c r="AJ11" i="5"/>
  <c r="AB121" i="5"/>
  <c r="I99" i="5"/>
  <c r="Y53" i="5"/>
  <c r="I20" i="5"/>
  <c r="AG330" i="5"/>
  <c r="AG327" i="5"/>
  <c r="AJ239" i="5"/>
  <c r="AJ297" i="5"/>
  <c r="J305" i="5"/>
  <c r="Z299" i="5"/>
  <c r="Z255" i="5"/>
  <c r="I316" i="5"/>
  <c r="I317" i="5"/>
  <c r="R330" i="5"/>
  <c r="AH329" i="5"/>
  <c r="AH299" i="5"/>
  <c r="AJ299" i="5"/>
  <c r="AB323" i="5"/>
  <c r="Q330" i="5"/>
  <c r="Q327" i="5"/>
  <c r="T239" i="5"/>
  <c r="Z313" i="5"/>
  <c r="R322" i="5"/>
  <c r="Z322" i="5"/>
  <c r="AH306" i="5"/>
  <c r="R318" i="5"/>
  <c r="Y318" i="5"/>
  <c r="Y325" i="5"/>
  <c r="Z228" i="5"/>
  <c r="L281" i="5"/>
  <c r="AB298" i="5"/>
  <c r="AJ298" i="5"/>
  <c r="R328" i="5"/>
  <c r="L464" i="5"/>
  <c r="J430" i="5"/>
  <c r="Y460" i="5"/>
  <c r="Y432" i="5"/>
  <c r="I449" i="5"/>
  <c r="J401" i="5"/>
  <c r="I463" i="5"/>
  <c r="AJ405" i="5"/>
  <c r="Y375" i="5"/>
  <c r="AJ398" i="5"/>
  <c r="Z350" i="5"/>
  <c r="Q401" i="5"/>
  <c r="L370" i="5"/>
  <c r="AG204" i="5"/>
  <c r="AJ430" i="5"/>
  <c r="Q374" i="5"/>
  <c r="AH199" i="5"/>
  <c r="Y170" i="5"/>
  <c r="AH362" i="5"/>
  <c r="AJ174" i="5"/>
  <c r="Q405" i="5"/>
  <c r="T195" i="5"/>
  <c r="Y160" i="5"/>
  <c r="Z147" i="5"/>
  <c r="Z139" i="5"/>
  <c r="T131" i="5"/>
  <c r="Y457" i="5"/>
  <c r="AG365" i="5"/>
  <c r="T175" i="5"/>
  <c r="R164" i="5"/>
  <c r="R158" i="5"/>
  <c r="R152" i="5"/>
  <c r="AG142" i="5"/>
  <c r="I131" i="5"/>
  <c r="I428" i="5"/>
  <c r="AJ200" i="5"/>
  <c r="AG163" i="5"/>
  <c r="Q147" i="5"/>
  <c r="AB130" i="5"/>
  <c r="Q118" i="5"/>
  <c r="Y107" i="5"/>
  <c r="Q100" i="5"/>
  <c r="R94" i="5"/>
  <c r="AH85" i="5"/>
  <c r="AH79" i="5"/>
  <c r="AH72" i="5"/>
  <c r="L66" i="5"/>
  <c r="L59" i="5"/>
  <c r="T52" i="5"/>
  <c r="I46" i="5"/>
  <c r="R35" i="5"/>
  <c r="R198" i="5"/>
  <c r="I165" i="5"/>
  <c r="AB149" i="5"/>
  <c r="L134" i="5"/>
  <c r="AG117" i="5"/>
  <c r="AG108" i="5"/>
  <c r="T98" i="5"/>
  <c r="Q92" i="5"/>
  <c r="R84" i="5"/>
  <c r="R78" i="5"/>
  <c r="R71" i="5"/>
  <c r="Q65" i="5"/>
  <c r="R59" i="5"/>
  <c r="L53" i="5"/>
  <c r="Q45" i="5"/>
  <c r="AG35" i="5"/>
  <c r="AG27" i="5"/>
  <c r="Q371" i="5"/>
  <c r="AG165" i="5"/>
  <c r="L139" i="5"/>
  <c r="R117" i="5"/>
  <c r="Z102" i="5"/>
  <c r="Q84" i="5"/>
  <c r="AG66" i="5"/>
  <c r="L45" i="5"/>
  <c r="AH30" i="5"/>
  <c r="J19" i="5"/>
  <c r="L455" i="5"/>
  <c r="T170" i="5"/>
  <c r="Q134" i="5"/>
  <c r="I115" i="5"/>
  <c r="Z101" i="5"/>
  <c r="Y86" i="5"/>
  <c r="I66" i="5"/>
  <c r="Q47" i="5"/>
  <c r="I40" i="5"/>
  <c r="AH32" i="5"/>
  <c r="AH27" i="5"/>
  <c r="AH22" i="5"/>
  <c r="Z18" i="5"/>
  <c r="AB15" i="5"/>
  <c r="I352" i="5"/>
  <c r="L143" i="5"/>
  <c r="L122" i="5"/>
  <c r="Q106" i="5"/>
  <c r="AG94" i="5"/>
  <c r="Y79" i="5"/>
  <c r="Q57" i="5"/>
  <c r="T33" i="5"/>
  <c r="Y23" i="5"/>
  <c r="AH14" i="5"/>
  <c r="AG179" i="5"/>
  <c r="AJ113" i="5"/>
  <c r="I62" i="5"/>
  <c r="I35" i="5"/>
  <c r="AH12" i="5"/>
  <c r="AJ128" i="5"/>
  <c r="Q97" i="5"/>
  <c r="I67" i="5"/>
  <c r="AJ25" i="5"/>
  <c r="AB422" i="5"/>
  <c r="AB139" i="5"/>
  <c r="Z127" i="5"/>
  <c r="Q115" i="5"/>
  <c r="AG96" i="5"/>
  <c r="R76" i="5"/>
  <c r="Q51" i="5"/>
  <c r="L41" i="5"/>
  <c r="AB28" i="5"/>
  <c r="AJ18" i="5"/>
  <c r="R12" i="5"/>
  <c r="AJ201" i="5"/>
  <c r="AH123" i="5"/>
  <c r="L92" i="5"/>
  <c r="T58" i="5"/>
  <c r="Q30" i="5"/>
  <c r="Y14" i="5"/>
  <c r="Y163" i="5"/>
  <c r="T109" i="5"/>
  <c r="Y66" i="5"/>
  <c r="L27" i="5"/>
  <c r="AG14" i="5"/>
  <c r="AG316" i="5"/>
  <c r="AG317" i="5"/>
  <c r="AB329" i="5"/>
  <c r="AB299" i="5"/>
  <c r="R307" i="5"/>
  <c r="Z314" i="5"/>
  <c r="T298" i="5"/>
  <c r="I326" i="5"/>
  <c r="I282" i="5"/>
  <c r="I299" i="5"/>
  <c r="J324" i="5"/>
  <c r="Z323" i="5"/>
  <c r="J326" i="5"/>
  <c r="Z330" i="5"/>
  <c r="L262" i="5"/>
  <c r="Q306" i="5"/>
  <c r="Q297" i="5"/>
  <c r="AB322" i="5"/>
  <c r="L324" i="5"/>
  <c r="R327" i="5"/>
  <c r="L228" i="5"/>
  <c r="J330" i="5"/>
  <c r="Y298" i="5"/>
  <c r="Y281" i="5"/>
  <c r="T317" i="5"/>
  <c r="AB324" i="5"/>
  <c r="AJ322" i="5"/>
  <c r="J307" i="5"/>
  <c r="T299" i="5"/>
  <c r="I48" i="5"/>
  <c r="I450" i="5"/>
  <c r="AB445" i="5"/>
  <c r="AH417" i="5"/>
  <c r="T452" i="5"/>
  <c r="J467" i="5"/>
  <c r="J433" i="5"/>
  <c r="Y466" i="5"/>
  <c r="Z436" i="5"/>
  <c r="AG455" i="5"/>
  <c r="R404" i="5"/>
  <c r="I471" i="5"/>
  <c r="R409" i="5"/>
  <c r="AJ380" i="5"/>
  <c r="J407" i="5"/>
  <c r="AB353" i="5"/>
  <c r="R407" i="5"/>
  <c r="R372" i="5"/>
  <c r="R351" i="5"/>
  <c r="AH435" i="5"/>
  <c r="J378" i="5"/>
  <c r="Z202" i="5"/>
  <c r="J174" i="5"/>
  <c r="AJ366" i="5"/>
  <c r="AJ180" i="5"/>
  <c r="L431" i="5"/>
  <c r="AB197" i="5"/>
  <c r="Y162" i="5"/>
  <c r="Y148" i="5"/>
  <c r="AB140" i="5"/>
  <c r="R132" i="5"/>
  <c r="I465" i="5"/>
  <c r="T369" i="5"/>
  <c r="T178" i="5"/>
  <c r="L165" i="5"/>
  <c r="L159" i="5"/>
  <c r="L153" i="5"/>
  <c r="Y144" i="5"/>
  <c r="AG131" i="5"/>
  <c r="AG428" i="5"/>
  <c r="Z204" i="5"/>
  <c r="R165" i="5"/>
  <c r="AJ148" i="5"/>
  <c r="Y132" i="5"/>
  <c r="I120" i="5"/>
  <c r="Q109" i="5"/>
  <c r="I101" i="5"/>
  <c r="L95" i="5"/>
  <c r="AB86" i="5"/>
  <c r="AB80" i="5"/>
  <c r="AB73" i="5"/>
  <c r="AJ66" i="5"/>
  <c r="AJ59" i="5"/>
  <c r="J53" i="5"/>
  <c r="AG46" i="5"/>
  <c r="L37" i="5"/>
  <c r="T202" i="5"/>
  <c r="AG167" i="5"/>
  <c r="AG151" i="5"/>
  <c r="I136" i="5"/>
  <c r="L385" i="5"/>
  <c r="J474" i="5"/>
  <c r="I399" i="5"/>
  <c r="L173" i="5"/>
  <c r="J143" i="5"/>
  <c r="Y173" i="5"/>
  <c r="Y135" i="5"/>
  <c r="AB175" i="5"/>
  <c r="I132" i="5"/>
  <c r="I107" i="5"/>
  <c r="Q90" i="5"/>
  <c r="T75" i="5"/>
  <c r="AB59" i="5"/>
  <c r="AG48" i="5"/>
  <c r="AH34" i="5"/>
  <c r="AH173" i="5"/>
  <c r="Y147" i="5"/>
  <c r="I124" i="5"/>
  <c r="Q108" i="5"/>
  <c r="AJ94" i="5"/>
  <c r="AJ83" i="5"/>
  <c r="AH73" i="5"/>
  <c r="AG64" i="5"/>
  <c r="AB55" i="5"/>
  <c r="AG43" i="5"/>
  <c r="R30" i="5"/>
  <c r="Q370" i="5"/>
  <c r="AJ154" i="5"/>
  <c r="T116" i="5"/>
  <c r="T91" i="5"/>
  <c r="Z65" i="5"/>
  <c r="Y34" i="5"/>
  <c r="Y18" i="5"/>
  <c r="Z198" i="5"/>
  <c r="AB132" i="5"/>
  <c r="J108" i="5"/>
  <c r="Y84" i="5"/>
  <c r="Y54" i="5"/>
  <c r="Y458" i="5"/>
  <c r="L400" i="5"/>
  <c r="AB374" i="5"/>
  <c r="Q399" i="5"/>
  <c r="AH425" i="5"/>
  <c r="I170" i="5"/>
  <c r="Z402" i="5"/>
  <c r="R147" i="5"/>
  <c r="Q457" i="5"/>
  <c r="J164" i="5"/>
  <c r="Y142" i="5"/>
  <c r="Y200" i="5"/>
  <c r="L130" i="5"/>
  <c r="I100" i="5"/>
  <c r="Z79" i="5"/>
  <c r="AG58" i="5"/>
  <c r="J35" i="5"/>
  <c r="L149" i="5"/>
  <c r="Y108" i="5"/>
  <c r="J84" i="5"/>
  <c r="I65" i="5"/>
  <c r="I45" i="5"/>
  <c r="J371" i="5"/>
  <c r="AG116" i="5"/>
  <c r="AG65" i="5"/>
  <c r="AG18" i="5"/>
  <c r="I134" i="5"/>
  <c r="I85" i="5"/>
  <c r="Y39" i="5"/>
  <c r="Y22" i="5"/>
  <c r="Y177" i="5"/>
  <c r="I104" i="5"/>
  <c r="I56" i="5"/>
  <c r="Z13" i="5"/>
  <c r="AG54" i="5"/>
  <c r="AB126" i="5"/>
  <c r="T23" i="5"/>
  <c r="J127" i="5"/>
  <c r="AG72" i="5"/>
  <c r="Z25" i="5"/>
  <c r="I200" i="5"/>
  <c r="J58" i="5"/>
  <c r="R163" i="5"/>
  <c r="Y26" i="5"/>
  <c r="AG281" i="5"/>
  <c r="R324" i="5"/>
  <c r="I329" i="5"/>
  <c r="AH314" i="5"/>
  <c r="AH323" i="5"/>
  <c r="Z318" i="5"/>
  <c r="L326" i="5"/>
  <c r="Y282" i="5"/>
  <c r="AH322" i="5"/>
  <c r="AB473" i="5"/>
  <c r="AB441" i="5"/>
  <c r="AH382" i="5"/>
  <c r="L430" i="5"/>
  <c r="I378" i="5"/>
  <c r="I385" i="5"/>
  <c r="T378" i="5"/>
  <c r="L357" i="5"/>
  <c r="T142" i="5"/>
  <c r="Y376" i="5"/>
  <c r="R160" i="5"/>
  <c r="I135" i="5"/>
  <c r="Y174" i="5"/>
  <c r="AH403" i="5"/>
  <c r="Z379" i="5"/>
  <c r="AB198" i="5"/>
  <c r="AB361" i="5"/>
  <c r="AH130" i="5"/>
  <c r="AH160" i="5"/>
  <c r="Q398" i="5"/>
  <c r="AB156" i="5"/>
  <c r="AH122" i="5"/>
  <c r="AH100" i="5"/>
  <c r="R85" i="5"/>
  <c r="R70" i="5"/>
  <c r="AJ54" i="5"/>
  <c r="Y44" i="5"/>
  <c r="AB364" i="5"/>
  <c r="T164" i="5"/>
  <c r="Y139" i="5"/>
  <c r="Q117" i="5"/>
  <c r="J104" i="5"/>
  <c r="AH91" i="5"/>
  <c r="AH80" i="5"/>
  <c r="AJ70" i="5"/>
  <c r="AH61" i="5"/>
  <c r="Z52" i="5"/>
  <c r="Q39" i="5"/>
  <c r="Q27" i="5"/>
  <c r="L179" i="5"/>
  <c r="AH133" i="5"/>
  <c r="J109" i="5"/>
  <c r="Q82" i="5"/>
  <c r="Q54" i="5"/>
  <c r="T30" i="5"/>
  <c r="J13" i="5"/>
  <c r="R167" i="5"/>
  <c r="T121" i="5"/>
  <c r="AG100" i="5"/>
  <c r="I75" i="5"/>
  <c r="J463" i="5"/>
  <c r="Z431" i="5"/>
  <c r="J460" i="5"/>
  <c r="Z396" i="5"/>
  <c r="R369" i="5"/>
  <c r="AG372" i="5"/>
  <c r="AJ361" i="5"/>
  <c r="Q181" i="5"/>
  <c r="R139" i="5"/>
  <c r="Z365" i="5"/>
  <c r="J158" i="5"/>
  <c r="AG129" i="5"/>
  <c r="Z163" i="5"/>
  <c r="I118" i="5"/>
  <c r="J94" i="5"/>
  <c r="Z72" i="5"/>
  <c r="L52" i="5"/>
  <c r="J196" i="5"/>
  <c r="J133" i="5"/>
  <c r="L98" i="5"/>
  <c r="J78" i="5"/>
  <c r="J59" i="5"/>
  <c r="Y35" i="5"/>
  <c r="Z165" i="5"/>
  <c r="J102" i="5"/>
  <c r="Z44" i="5"/>
  <c r="Y410" i="5"/>
  <c r="Y114" i="5"/>
  <c r="AB65" i="5"/>
  <c r="R32" i="5"/>
  <c r="R18" i="5"/>
  <c r="Z142" i="5"/>
  <c r="AH93" i="5"/>
  <c r="Z32" i="5"/>
  <c r="AB166" i="5"/>
  <c r="AJ32" i="5"/>
  <c r="Y94" i="5"/>
  <c r="L422" i="5"/>
  <c r="T114" i="5"/>
  <c r="I50" i="5"/>
  <c r="T18" i="5"/>
  <c r="J120" i="5"/>
  <c r="I30" i="5"/>
  <c r="L108" i="5"/>
  <c r="AH13" i="5"/>
  <c r="AJ317" i="5"/>
  <c r="AG239" i="5"/>
  <c r="J240" i="5"/>
  <c r="AH320" i="5"/>
  <c r="Q300" i="5"/>
  <c r="T330" i="5"/>
  <c r="R209" i="5"/>
  <c r="Z262" i="5"/>
  <c r="AJ318" i="5"/>
  <c r="I442" i="5"/>
  <c r="T469" i="5"/>
  <c r="R417" i="5"/>
  <c r="Y358" i="5"/>
  <c r="AH353" i="5"/>
  <c r="L355" i="5"/>
  <c r="I199" i="5"/>
  <c r="Q166" i="5"/>
  <c r="J134" i="5"/>
  <c r="Y195" i="5"/>
  <c r="R154" i="5"/>
  <c r="L125" i="5"/>
  <c r="AJ152" i="5"/>
  <c r="Y111" i="5"/>
  <c r="AH87" i="5"/>
  <c r="AJ68" i="5"/>
  <c r="T48" i="5"/>
  <c r="T172" i="5"/>
  <c r="AG121" i="5"/>
  <c r="T94" i="5"/>
  <c r="R73" i="5"/>
  <c r="L55" i="5"/>
  <c r="AH29" i="5"/>
  <c r="Z153" i="5"/>
  <c r="R90" i="5"/>
  <c r="AJ33" i="5"/>
  <c r="Y197" i="5"/>
  <c r="T107" i="5"/>
  <c r="Y52" i="5"/>
  <c r="AB29" i="5"/>
  <c r="Y16" i="5"/>
  <c r="J138" i="5"/>
  <c r="Y87" i="5"/>
  <c r="R27" i="5"/>
  <c r="T120" i="5"/>
  <c r="Z40" i="5"/>
  <c r="J358" i="5"/>
  <c r="T103" i="5"/>
  <c r="Y48" i="5"/>
  <c r="T12" i="5"/>
  <c r="I137" i="5"/>
  <c r="AB117" i="5"/>
  <c r="AJ89" i="5"/>
  <c r="I60" i="5"/>
  <c r="R36" i="5"/>
  <c r="Y20" i="5"/>
  <c r="AG418" i="5"/>
  <c r="AJ139" i="5"/>
  <c r="Y83" i="5"/>
  <c r="AJ40" i="5"/>
  <c r="J12" i="5"/>
  <c r="R118" i="5"/>
  <c r="Q55" i="5"/>
  <c r="AB18" i="5"/>
  <c r="AG306" i="5"/>
  <c r="AH240" i="5"/>
  <c r="Q240" i="5"/>
  <c r="AJ328" i="5"/>
  <c r="AJ325" i="5"/>
  <c r="I313" i="5"/>
  <c r="L255" i="5"/>
  <c r="AJ228" i="5"/>
  <c r="Y228" i="5"/>
  <c r="AB316" i="5"/>
  <c r="Q329" i="5"/>
  <c r="AH330" i="5"/>
  <c r="T300" i="5"/>
  <c r="AH318" i="5"/>
  <c r="Y328" i="5"/>
  <c r="Y307" i="5"/>
  <c r="T297" i="5"/>
  <c r="Y239" i="5"/>
  <c r="AJ324" i="5"/>
  <c r="Z300" i="5"/>
  <c r="I426" i="5"/>
  <c r="AH458" i="5"/>
  <c r="Z410" i="5"/>
  <c r="I448" i="5"/>
  <c r="Z452" i="5"/>
  <c r="Q475" i="5"/>
  <c r="Z394" i="5"/>
  <c r="AB426" i="5"/>
  <c r="AB366" i="5"/>
  <c r="AB368" i="5"/>
  <c r="Q392" i="5"/>
  <c r="Y361" i="5"/>
  <c r="Q420" i="5"/>
  <c r="R358" i="5"/>
  <c r="AJ459" i="5"/>
  <c r="Z201" i="5"/>
  <c r="Y391" i="5"/>
  <c r="AH167" i="5"/>
  <c r="L146" i="5"/>
  <c r="L135" i="5"/>
  <c r="AB407" i="5"/>
  <c r="AG197" i="5"/>
  <c r="L163" i="5"/>
  <c r="L155" i="5"/>
  <c r="Y140" i="5"/>
  <c r="AJ125" i="5"/>
  <c r="Q195" i="5"/>
  <c r="Z155" i="5"/>
  <c r="R127" i="5"/>
  <c r="Q113" i="5"/>
  <c r="L99" i="5"/>
  <c r="Y88" i="5"/>
  <c r="AB78" i="5"/>
  <c r="AB69" i="5"/>
  <c r="J57" i="5"/>
  <c r="L49" i="5"/>
  <c r="I34" i="5"/>
  <c r="I175" i="5"/>
  <c r="AB145" i="5"/>
  <c r="R124" i="5"/>
  <c r="Z114" i="5"/>
  <c r="R104" i="5"/>
  <c r="J95" i="5"/>
  <c r="L87" i="5"/>
  <c r="L81" i="5"/>
  <c r="L74" i="5"/>
  <c r="I68" i="5"/>
  <c r="L62" i="5"/>
  <c r="AJ55" i="5"/>
  <c r="Z49" i="5"/>
  <c r="Z39" i="5"/>
  <c r="AB31" i="5"/>
  <c r="Y24" i="5"/>
  <c r="Y179" i="5"/>
  <c r="J157" i="5"/>
  <c r="T123" i="5"/>
  <c r="Z109" i="5"/>
  <c r="T92" i="5"/>
  <c r="Q74" i="5"/>
  <c r="AG55" i="5"/>
  <c r="Z35" i="5"/>
  <c r="AJ24" i="5"/>
  <c r="J14" i="5"/>
  <c r="AG199" i="5"/>
  <c r="Y145" i="5"/>
  <c r="AJ121" i="5"/>
  <c r="Z108" i="5"/>
  <c r="J92" i="5"/>
  <c r="AJ75" i="5"/>
  <c r="I55" i="5"/>
  <c r="AH40" i="5"/>
  <c r="Q33" i="5"/>
  <c r="L28" i="5"/>
  <c r="I23" i="5"/>
  <c r="AH18" i="5"/>
  <c r="AJ15" i="5"/>
  <c r="Z378" i="5"/>
  <c r="I151" i="5"/>
  <c r="L123" i="5"/>
  <c r="J107" i="5"/>
  <c r="Y96" i="5"/>
  <c r="I80" i="5"/>
  <c r="AG57" i="5"/>
  <c r="Y33" i="5"/>
  <c r="L24" i="5"/>
  <c r="I15" i="5"/>
  <c r="I180" i="5"/>
  <c r="Y115" i="5"/>
  <c r="AG63" i="5"/>
  <c r="AH35" i="5"/>
  <c r="AJ438" i="5"/>
  <c r="AG203" i="5"/>
  <c r="AH384" i="5"/>
  <c r="I160" i="5"/>
  <c r="AJ389" i="5"/>
  <c r="AJ151" i="5"/>
  <c r="R204" i="5"/>
  <c r="AJ145" i="5"/>
  <c r="AB114" i="5"/>
  <c r="AH96" i="5"/>
  <c r="T80" i="5"/>
  <c r="Z64" i="5"/>
  <c r="AH51" i="5"/>
  <c r="AH38" i="5"/>
  <c r="AH181" i="5"/>
  <c r="T156" i="5"/>
  <c r="AG132" i="5"/>
  <c r="Q114" i="5"/>
  <c r="AH97" i="5"/>
  <c r="AH86" i="5"/>
  <c r="AJ77" i="5"/>
  <c r="AH67" i="5"/>
  <c r="Z58" i="5"/>
  <c r="R49" i="5"/>
  <c r="T35" i="5"/>
  <c r="Q24" i="5"/>
  <c r="Q165" i="5"/>
  <c r="T122" i="5"/>
  <c r="AJ101" i="5"/>
  <c r="AG73" i="5"/>
  <c r="J44" i="5"/>
  <c r="R24" i="5"/>
  <c r="I410" i="5"/>
  <c r="Q145" i="5"/>
  <c r="R114" i="5"/>
  <c r="AG91" i="5"/>
  <c r="L65" i="5"/>
  <c r="L429" i="5"/>
  <c r="J447" i="5"/>
  <c r="AG404" i="5"/>
  <c r="Z477" i="5"/>
  <c r="Q204" i="5"/>
  <c r="L199" i="5"/>
  <c r="AB173" i="5"/>
  <c r="Q160" i="5"/>
  <c r="L131" i="5"/>
  <c r="T174" i="5"/>
  <c r="J152" i="5"/>
  <c r="Z424" i="5"/>
  <c r="R146" i="5"/>
  <c r="Q107" i="5"/>
  <c r="Z85" i="5"/>
  <c r="AJ65" i="5"/>
  <c r="AG44" i="5"/>
  <c r="AJ164" i="5"/>
  <c r="Y117" i="5"/>
  <c r="I92" i="5"/>
  <c r="J71" i="5"/>
  <c r="AH52" i="5"/>
  <c r="Y27" i="5"/>
  <c r="AB136" i="5"/>
  <c r="AG83" i="5"/>
  <c r="Y30" i="5"/>
  <c r="Y167" i="5"/>
  <c r="J101" i="5"/>
  <c r="J47" i="5"/>
  <c r="T27" i="5"/>
  <c r="T15" i="5"/>
  <c r="AH118" i="5"/>
  <c r="T77" i="5"/>
  <c r="AB22" i="5"/>
  <c r="AB107" i="5"/>
  <c r="J11" i="5"/>
  <c r="Q62" i="5"/>
  <c r="AG137" i="5"/>
  <c r="I95" i="5"/>
  <c r="Q40" i="5"/>
  <c r="Y11" i="5"/>
  <c r="L91" i="5"/>
  <c r="L14" i="5"/>
  <c r="I64" i="5"/>
  <c r="AG300" i="5"/>
  <c r="J323" i="5"/>
  <c r="I324" i="5"/>
  <c r="J298" i="5"/>
  <c r="T306" i="5"/>
  <c r="Q281" i="5"/>
  <c r="I239" i="5"/>
  <c r="Y326" i="5"/>
  <c r="L307" i="5"/>
  <c r="AH297" i="5"/>
  <c r="I474" i="5"/>
  <c r="AB410" i="5"/>
  <c r="J387" i="5"/>
  <c r="AG420" i="5"/>
  <c r="R447" i="5"/>
  <c r="R177" i="5"/>
  <c r="J466" i="5"/>
  <c r="Q150" i="5"/>
  <c r="I126" i="5"/>
  <c r="R166" i="5"/>
  <c r="AG146" i="5"/>
  <c r="AJ355" i="5"/>
  <c r="Q136" i="5"/>
  <c r="Q103" i="5"/>
  <c r="AH81" i="5"/>
  <c r="L61" i="5"/>
  <c r="Q38" i="5"/>
  <c r="J155" i="5"/>
  <c r="AG112" i="5"/>
  <c r="R86" i="5"/>
  <c r="T67" i="5"/>
  <c r="Z48" i="5"/>
  <c r="AJ23" i="5"/>
  <c r="R121" i="5"/>
  <c r="AG71" i="5"/>
  <c r="Z23" i="5"/>
  <c r="AB143" i="5"/>
  <c r="J91" i="5"/>
  <c r="Z43" i="5"/>
  <c r="AH23" i="5"/>
  <c r="R413" i="5"/>
  <c r="AJ109" i="5"/>
  <c r="Y61" i="5"/>
  <c r="AH17" i="5"/>
  <c r="AH76" i="5"/>
  <c r="Q22" i="5"/>
  <c r="Y169" i="5"/>
  <c r="R88" i="5"/>
  <c r="AB30" i="5"/>
  <c r="AB162" i="5"/>
  <c r="AG130" i="5"/>
  <c r="T113" i="5"/>
  <c r="Q83" i="5"/>
  <c r="Z47" i="5"/>
  <c r="AH31" i="5"/>
  <c r="Q15" i="5"/>
  <c r="I383" i="5"/>
  <c r="AB112" i="5"/>
  <c r="Y71" i="5"/>
  <c r="Z24" i="5"/>
  <c r="Y175" i="5"/>
  <c r="T102" i="5"/>
  <c r="Z37" i="5"/>
  <c r="R11" i="5"/>
  <c r="AG329" i="5"/>
  <c r="Z320" i="5"/>
  <c r="R325" i="5"/>
  <c r="AB209" i="5"/>
  <c r="J329" i="5"/>
  <c r="I323" i="5"/>
  <c r="I209" i="5"/>
  <c r="Z305" i="5"/>
  <c r="T318" i="5"/>
  <c r="Q324" i="5"/>
  <c r="Q317" i="5"/>
  <c r="Z298" i="5"/>
  <c r="I255" i="5"/>
  <c r="J299" i="5"/>
  <c r="Y320" i="5"/>
  <c r="AB239" i="5"/>
  <c r="AH209" i="5"/>
  <c r="R306" i="5"/>
  <c r="Q255" i="5"/>
  <c r="Z329" i="5"/>
  <c r="Y468" i="5"/>
  <c r="AG395" i="5"/>
  <c r="AB477" i="5"/>
  <c r="J424" i="5"/>
  <c r="Z444" i="5"/>
  <c r="L436" i="5"/>
  <c r="AB386" i="5"/>
  <c r="R400" i="5"/>
  <c r="AG441" i="5"/>
  <c r="AB467" i="5"/>
  <c r="AB380" i="5"/>
  <c r="Q202" i="5"/>
  <c r="I400" i="5"/>
  <c r="J197" i="5"/>
  <c r="J395" i="5"/>
  <c r="AB171" i="5"/>
  <c r="AJ362" i="5"/>
  <c r="I158" i="5"/>
  <c r="R143" i="5"/>
  <c r="AJ129" i="5"/>
  <c r="J390" i="5"/>
  <c r="L172" i="5"/>
  <c r="L161" i="5"/>
  <c r="L151" i="5"/>
  <c r="AG135" i="5"/>
  <c r="Y388" i="5"/>
  <c r="AH175" i="5"/>
  <c r="Y143" i="5"/>
  <c r="I123" i="5"/>
  <c r="J106" i="5"/>
  <c r="L97" i="5"/>
  <c r="AB84" i="5"/>
  <c r="AB75" i="5"/>
  <c r="AJ63" i="5"/>
  <c r="J55" i="5"/>
  <c r="J43" i="5"/>
  <c r="AJ365" i="5"/>
  <c r="Y161" i="5"/>
  <c r="Z140" i="5"/>
  <c r="Y119" i="5"/>
  <c r="Y110" i="5"/>
  <c r="J99" i="5"/>
  <c r="L93" i="5"/>
  <c r="L85" i="5"/>
  <c r="L79" i="5"/>
  <c r="L72" i="5"/>
  <c r="J66" i="5"/>
  <c r="L60" i="5"/>
  <c r="AJ53" i="5"/>
  <c r="I47" i="5"/>
  <c r="Z36" i="5"/>
  <c r="Y28" i="5"/>
  <c r="Z397" i="5"/>
  <c r="Q171" i="5"/>
  <c r="AH144" i="5"/>
  <c r="AJ118" i="5"/>
  <c r="Q104" i="5"/>
  <c r="AG87" i="5"/>
  <c r="J68" i="5"/>
  <c r="AH46" i="5"/>
  <c r="Y31" i="5"/>
  <c r="AH19" i="5"/>
  <c r="L11" i="5"/>
  <c r="AB178" i="5"/>
  <c r="J135" i="5"/>
  <c r="AJ117" i="5"/>
  <c r="R103" i="5"/>
  <c r="AB88" i="5"/>
  <c r="AB68" i="5"/>
  <c r="T46" i="5"/>
  <c r="L38" i="5"/>
  <c r="T31" i="5"/>
  <c r="R26" i="5"/>
  <c r="AJ21" i="5"/>
  <c r="AG17" i="5"/>
  <c r="AJ14" i="5"/>
  <c r="AH176" i="5"/>
  <c r="AG141" i="5"/>
  <c r="AG114" i="5"/>
  <c r="Z103" i="5"/>
  <c r="L90" i="5"/>
  <c r="Y75" i="5"/>
  <c r="AG50" i="5"/>
  <c r="AG31" i="5"/>
  <c r="J21" i="5"/>
  <c r="L13" i="5"/>
  <c r="R148" i="5"/>
  <c r="AG98" i="5"/>
  <c r="Q48" i="5"/>
  <c r="AH24" i="5"/>
  <c r="T384" i="5"/>
  <c r="AJ119" i="5"/>
  <c r="J90" i="5"/>
  <c r="Q49" i="5"/>
  <c r="I21" i="5"/>
  <c r="T166" i="5"/>
  <c r="Q137" i="5"/>
  <c r="R123" i="5"/>
  <c r="AH113" i="5"/>
  <c r="AB90" i="5"/>
  <c r="I70" i="5"/>
  <c r="AG47" i="5"/>
  <c r="J39" i="5"/>
  <c r="T24" i="5"/>
  <c r="R16" i="5"/>
  <c r="I11" i="5"/>
  <c r="Y159" i="5"/>
  <c r="T119" i="5"/>
  <c r="I84" i="5"/>
  <c r="Y51" i="5"/>
  <c r="AJ27" i="5"/>
  <c r="I13" i="5"/>
  <c r="T136" i="5"/>
  <c r="AH102" i="5"/>
  <c r="AG56" i="5"/>
  <c r="AH21" i="5"/>
  <c r="Y12" i="5"/>
  <c r="AG313" i="5"/>
  <c r="AG314" i="5"/>
  <c r="AG209" i="5"/>
  <c r="Q262" i="5"/>
  <c r="J297" i="5"/>
  <c r="Z239" i="5"/>
  <c r="R323" i="5"/>
  <c r="I328" i="5"/>
  <c r="I325" i="5"/>
  <c r="J228" i="5"/>
  <c r="J306" i="5"/>
  <c r="AH307" i="5"/>
  <c r="L240" i="5"/>
  <c r="Z281" i="5"/>
  <c r="T329" i="5"/>
  <c r="Q313" i="5"/>
  <c r="Q314" i="5"/>
  <c r="Q209" i="5"/>
  <c r="R239" i="5"/>
  <c r="L306" i="5"/>
  <c r="Y262" i="5"/>
  <c r="AJ281" i="5"/>
  <c r="Y330" i="5"/>
  <c r="Y329" i="5"/>
  <c r="Z240" i="5"/>
  <c r="L314" i="5"/>
  <c r="AJ326" i="5"/>
  <c r="Y255" i="5"/>
  <c r="Z326" i="5"/>
  <c r="AJ307" i="5"/>
  <c r="L460" i="5"/>
  <c r="AB453" i="5"/>
  <c r="J439" i="5"/>
  <c r="AH429" i="5"/>
  <c r="AB430" i="5"/>
  <c r="I401" i="5"/>
  <c r="AJ202" i="5"/>
  <c r="Y152" i="5"/>
  <c r="R390" i="5"/>
  <c r="T155" i="5"/>
  <c r="R363" i="5"/>
  <c r="Q123" i="5"/>
  <c r="AG88" i="5"/>
  <c r="J62" i="5"/>
  <c r="T371" i="5"/>
  <c r="R125" i="5"/>
  <c r="T87" i="5"/>
  <c r="T62" i="5"/>
  <c r="AJ31" i="5"/>
  <c r="AJ123" i="5"/>
  <c r="Q56" i="5"/>
  <c r="AB202" i="5"/>
  <c r="Y93" i="5"/>
  <c r="J36" i="5"/>
  <c r="I17" i="5"/>
  <c r="AJ110" i="5"/>
  <c r="J41" i="5"/>
  <c r="Z121" i="5"/>
  <c r="AG177" i="5"/>
  <c r="Z14" i="5"/>
  <c r="AH108" i="5"/>
  <c r="AH33" i="5"/>
  <c r="T154" i="5"/>
  <c r="Z21" i="5"/>
  <c r="AH43" i="5"/>
  <c r="L320" i="5"/>
  <c r="I330" i="5"/>
  <c r="R282" i="5"/>
  <c r="AG255" i="5"/>
  <c r="L318" i="5"/>
  <c r="Y240" i="5"/>
  <c r="T305" i="5"/>
  <c r="R320" i="5"/>
  <c r="T37" i="5"/>
  <c r="T93" i="5"/>
  <c r="AH36" i="5"/>
  <c r="AG92" i="5"/>
  <c r="Q11" i="5"/>
  <c r="T41" i="5"/>
  <c r="AB124" i="5"/>
  <c r="AH196" i="5"/>
  <c r="R28" i="5"/>
  <c r="Y63" i="5"/>
  <c r="L34" i="5"/>
  <c r="AG325" i="5"/>
  <c r="T262" i="5"/>
  <c r="AH298" i="5"/>
  <c r="T282" i="5"/>
  <c r="AB328" i="5"/>
  <c r="L409" i="5"/>
  <c r="Z395" i="5"/>
  <c r="T127" i="5"/>
  <c r="J126" i="5"/>
  <c r="R106" i="5"/>
  <c r="R51" i="5"/>
  <c r="R95" i="5"/>
  <c r="AG28" i="5"/>
  <c r="AH75" i="5"/>
  <c r="L109" i="5"/>
  <c r="L21" i="5"/>
  <c r="T68" i="5"/>
  <c r="AG21" i="5"/>
  <c r="J121" i="5"/>
  <c r="J17" i="5"/>
  <c r="I163" i="5"/>
  <c r="AB307" i="5"/>
  <c r="J328" i="5"/>
  <c r="R262" i="5"/>
  <c r="Y323" i="5"/>
  <c r="AJ409" i="5"/>
  <c r="AH351" i="5"/>
  <c r="Z174" i="5"/>
  <c r="R199" i="5"/>
  <c r="AH132" i="5"/>
  <c r="T165" i="5"/>
  <c r="I133" i="5"/>
  <c r="T149" i="5"/>
  <c r="Q101" i="5"/>
  <c r="AJ73" i="5"/>
  <c r="T47" i="5"/>
  <c r="L152" i="5"/>
  <c r="AJ99" i="5"/>
  <c r="T72" i="5"/>
  <c r="R47" i="5"/>
  <c r="AJ172" i="5"/>
  <c r="J88" i="5"/>
  <c r="J22" i="5"/>
  <c r="J118" i="5"/>
  <c r="AJ48" i="5"/>
  <c r="R23" i="5"/>
  <c r="R151" i="5"/>
  <c r="Q81" i="5"/>
  <c r="AH15" i="5"/>
  <c r="Q37" i="5"/>
  <c r="R77" i="5"/>
  <c r="Q130" i="5"/>
  <c r="Q122" i="5"/>
  <c r="T54" i="5"/>
  <c r="Y102" i="5"/>
  <c r="AJ38" i="5"/>
  <c r="Q52" i="5"/>
  <c r="I73" i="5"/>
  <c r="AH151" i="5"/>
  <c r="AJ356" i="5"/>
  <c r="Z111" i="5"/>
  <c r="I155" i="5"/>
  <c r="Y69" i="5"/>
  <c r="AB13" i="5"/>
  <c r="I49" i="5"/>
  <c r="Q79" i="5"/>
  <c r="AG297" i="5"/>
  <c r="T281" i="5"/>
  <c r="R300" i="5"/>
  <c r="Q316" i="5"/>
  <c r="AG228" i="5"/>
  <c r="T327" i="5"/>
  <c r="Z325" i="5"/>
  <c r="AB387" i="5"/>
  <c r="AB425" i="5"/>
  <c r="R391" i="5"/>
  <c r="Y365" i="5"/>
  <c r="R179" i="5"/>
  <c r="Q176" i="5"/>
  <c r="L127" i="5"/>
  <c r="L157" i="5"/>
  <c r="Z358" i="5"/>
  <c r="J116" i="5"/>
  <c r="AB82" i="5"/>
  <c r="J51" i="5"/>
  <c r="AJ156" i="5"/>
  <c r="AB106" i="5"/>
  <c r="L83" i="5"/>
  <c r="L64" i="5"/>
  <c r="L43" i="5"/>
  <c r="AB365" i="5"/>
  <c r="Z113" i="5"/>
  <c r="I63" i="5"/>
  <c r="AJ17" i="5"/>
  <c r="T128" i="5"/>
  <c r="I81" i="5"/>
  <c r="AB35" i="5"/>
  <c r="AJ20" i="5"/>
  <c r="AB158" i="5"/>
  <c r="AB100" i="5"/>
  <c r="AG39" i="5"/>
  <c r="J366" i="5"/>
  <c r="AJ44" i="5"/>
  <c r="AH174" i="5"/>
  <c r="L100" i="5"/>
  <c r="T38" i="5"/>
  <c r="L463" i="5"/>
  <c r="J131" i="5"/>
  <c r="I116" i="5"/>
  <c r="AG84" i="5"/>
  <c r="AG52" i="5"/>
  <c r="J32" i="5"/>
  <c r="I19" i="5"/>
  <c r="Y383" i="5"/>
  <c r="T126" i="5"/>
  <c r="I72" i="5"/>
  <c r="I33" i="5"/>
  <c r="AG373" i="5"/>
  <c r="AH109" i="5"/>
  <c r="AJ37" i="5"/>
  <c r="AG15" i="5"/>
  <c r="AG282" i="5"/>
  <c r="AJ255" i="5"/>
  <c r="J327" i="5"/>
  <c r="J316" i="5"/>
  <c r="T228" i="5"/>
  <c r="I298" i="5"/>
  <c r="R326" i="5"/>
  <c r="AH325" i="5"/>
  <c r="L316" i="5"/>
  <c r="T328" i="5"/>
  <c r="Q282" i="5"/>
  <c r="T255" i="5"/>
  <c r="T326" i="5"/>
  <c r="AJ329" i="5"/>
  <c r="Z307" i="5"/>
  <c r="Y300" i="5"/>
  <c r="L329" i="5"/>
  <c r="AH239" i="5"/>
  <c r="AB327" i="5"/>
  <c r="L297" i="5"/>
  <c r="I434" i="5"/>
  <c r="AH415" i="5"/>
  <c r="AB382" i="5"/>
  <c r="AG202" i="5"/>
  <c r="L434" i="5"/>
  <c r="J130" i="5"/>
  <c r="AG144" i="5"/>
  <c r="Z144" i="5"/>
  <c r="AJ80" i="5"/>
  <c r="I44" i="5"/>
  <c r="AG110" i="5"/>
  <c r="T70" i="5"/>
  <c r="L438" i="5"/>
  <c r="Q80" i="5"/>
  <c r="Z135" i="5"/>
  <c r="AJ46" i="5"/>
  <c r="AG378" i="5"/>
  <c r="L76" i="5"/>
  <c r="T65" i="5"/>
  <c r="I54" i="5"/>
  <c r="Y81" i="5"/>
  <c r="T11" i="5"/>
  <c r="R169" i="5"/>
  <c r="AG305" i="5"/>
  <c r="I327" i="5"/>
  <c r="L323" i="5"/>
  <c r="AB317" i="5"/>
  <c r="AB255" i="5"/>
  <c r="T401" i="5"/>
  <c r="AH116" i="5"/>
  <c r="AG181" i="5"/>
  <c r="J25" i="5"/>
  <c r="AB24" i="5"/>
  <c r="I32" i="5"/>
  <c r="Z131" i="5"/>
  <c r="AH119" i="5"/>
  <c r="AB281" i="5"/>
  <c r="R317" i="5"/>
  <c r="J322" i="5"/>
  <c r="AB367" i="5"/>
  <c r="Y392" i="5"/>
  <c r="T153" i="5"/>
  <c r="AJ86" i="5"/>
  <c r="AG119" i="5"/>
  <c r="Q157" i="5"/>
  <c r="AH180" i="5"/>
  <c r="L177" i="5"/>
  <c r="R116" i="5"/>
  <c r="Q71" i="5"/>
  <c r="AB43" i="5"/>
  <c r="J282" i="5"/>
  <c r="L300" i="5"/>
  <c r="AH255" i="5"/>
  <c r="Z381" i="5"/>
  <c r="Z357" i="5"/>
  <c r="Z143" i="5"/>
  <c r="T157" i="5"/>
  <c r="I177" i="5"/>
  <c r="J93" i="5"/>
  <c r="R55" i="5"/>
  <c r="R131" i="5"/>
  <c r="T81" i="5"/>
  <c r="AJ34" i="5"/>
  <c r="L110" i="5"/>
  <c r="AG380" i="5"/>
  <c r="J76" i="5"/>
  <c r="J18" i="5"/>
  <c r="R101" i="5"/>
  <c r="AB150" i="5"/>
  <c r="T110" i="5"/>
  <c r="J114" i="5"/>
  <c r="T39" i="5"/>
  <c r="AH159" i="5"/>
  <c r="AJ28" i="5"/>
  <c r="Y59" i="5"/>
  <c r="AB325" i="5"/>
  <c r="T307" i="5"/>
  <c r="I281" i="5"/>
  <c r="T313" i="5"/>
  <c r="L328" i="5"/>
  <c r="AJ306" i="5"/>
  <c r="AB318" i="5"/>
  <c r="AB354" i="5"/>
  <c r="R439" i="5"/>
  <c r="AJ368" i="5"/>
  <c r="I164" i="5"/>
  <c r="Y465" i="5"/>
  <c r="T159" i="5"/>
  <c r="J454" i="5"/>
  <c r="Z133" i="5"/>
  <c r="T95" i="5"/>
  <c r="R57" i="5"/>
  <c r="Y136" i="5"/>
  <c r="R66" i="5"/>
  <c r="L114" i="5"/>
  <c r="AH103" i="5"/>
  <c r="L20" i="5"/>
  <c r="AH58" i="5"/>
  <c r="R14" i="5"/>
  <c r="AJ93" i="5"/>
  <c r="Z366" i="5"/>
  <c r="I74" i="5"/>
  <c r="J325" i="5"/>
  <c r="Q328" i="5"/>
  <c r="Y316" i="5"/>
  <c r="I370" i="5"/>
  <c r="I196" i="5"/>
  <c r="Y372" i="5"/>
  <c r="AG352" i="5"/>
  <c r="AJ78" i="5"/>
  <c r="J163" i="5"/>
  <c r="T85" i="5"/>
  <c r="AH39" i="5"/>
  <c r="AH48" i="5"/>
  <c r="R89" i="5"/>
  <c r="I16" i="5"/>
  <c r="AG33" i="5"/>
  <c r="AB154" i="5"/>
  <c r="AH101" i="5"/>
  <c r="Q85" i="5"/>
  <c r="Y13" i="5"/>
  <c r="L330" i="5"/>
  <c r="Q298" i="5"/>
  <c r="Y324" i="5"/>
  <c r="T322" i="5"/>
  <c r="I320" i="5"/>
  <c r="Q299" i="5"/>
  <c r="AG262" i="5"/>
  <c r="J255" i="5"/>
  <c r="Y297" i="5"/>
  <c r="L299" i="5"/>
  <c r="AB306" i="5"/>
  <c r="L327" i="5"/>
  <c r="AB437" i="5"/>
  <c r="AG475" i="5"/>
  <c r="AJ467" i="5"/>
  <c r="J141" i="5"/>
  <c r="T163" i="5"/>
  <c r="Y165" i="5"/>
  <c r="R53" i="5"/>
  <c r="AH146" i="5"/>
  <c r="T79" i="5"/>
  <c r="Q43" i="5"/>
  <c r="I18" i="5"/>
  <c r="I69" i="5"/>
  <c r="L22" i="5"/>
  <c r="R99" i="5"/>
  <c r="Q13" i="5"/>
  <c r="AB123" i="5"/>
  <c r="Y19" i="5"/>
  <c r="I52" i="5"/>
  <c r="Z17" i="5"/>
  <c r="L317" i="5"/>
  <c r="AH316" i="5"/>
  <c r="AJ262" i="5"/>
  <c r="I157" i="5"/>
  <c r="I58" i="5"/>
  <c r="Y82" i="5"/>
  <c r="AH88" i="5"/>
  <c r="AJ120" i="5"/>
  <c r="Q14" i="5"/>
  <c r="Z22" i="5"/>
  <c r="R228" i="5"/>
  <c r="J281" i="5"/>
  <c r="AB379" i="5"/>
  <c r="AB172" i="5"/>
  <c r="Q139" i="5"/>
  <c r="Y351" i="5"/>
  <c r="T60" i="5"/>
  <c r="AB33" i="5"/>
  <c r="Q21" i="5"/>
  <c r="AB463" i="5"/>
  <c r="L136" i="5"/>
  <c r="AG298" i="5"/>
  <c r="Z327" i="5"/>
  <c r="Y469" i="5"/>
  <c r="L359" i="5"/>
  <c r="Q158" i="5"/>
  <c r="J198" i="5"/>
  <c r="I389" i="5"/>
  <c r="Y113" i="5"/>
  <c r="L176" i="5"/>
  <c r="Q91" i="5"/>
  <c r="T132" i="5"/>
  <c r="T36" i="5"/>
  <c r="J100" i="5"/>
  <c r="Z30" i="5"/>
  <c r="Z117" i="5"/>
  <c r="T29" i="5"/>
  <c r="AH386" i="5"/>
  <c r="Y155" i="5"/>
  <c r="Z57" i="5"/>
  <c r="AJ64" i="5"/>
  <c r="AG320" i="5"/>
  <c r="I240" i="5"/>
  <c r="I300" i="5"/>
  <c r="R297" i="5"/>
  <c r="AH326" i="5"/>
  <c r="Z282" i="5"/>
  <c r="Y299" i="5"/>
  <c r="J180" i="5"/>
  <c r="AH363" i="5"/>
  <c r="T135" i="5"/>
  <c r="Q167" i="5"/>
  <c r="AG155" i="5"/>
  <c r="T104" i="5"/>
  <c r="J67" i="5"/>
  <c r="AG180" i="5"/>
  <c r="AJ26" i="5"/>
  <c r="L162" i="5"/>
  <c r="AJ103" i="5"/>
  <c r="AB180" i="5"/>
  <c r="R25" i="5"/>
  <c r="T13" i="5"/>
  <c r="Z317" i="5"/>
  <c r="T324" i="5"/>
  <c r="Z197" i="5"/>
  <c r="T138" i="5"/>
  <c r="AG140" i="5"/>
  <c r="AJ39" i="5"/>
  <c r="J52" i="5"/>
  <c r="J119" i="5"/>
  <c r="AH26" i="5"/>
  <c r="Z90" i="5"/>
  <c r="Q53" i="5"/>
  <c r="AJ394" i="5"/>
  <c r="R92" i="5"/>
  <c r="L282" i="5"/>
  <c r="AB297" i="5"/>
  <c r="R96" i="5"/>
  <c r="Z361" i="5"/>
  <c r="R80" i="5"/>
  <c r="AB176" i="5"/>
  <c r="Q12" i="5"/>
  <c r="AG34" i="5"/>
  <c r="R100" i="5"/>
  <c r="AB46" i="5"/>
  <c r="AG80" i="5"/>
  <c r="AB122" i="5"/>
  <c r="J45" i="5"/>
  <c r="R159" i="5"/>
  <c r="AB19" i="5"/>
  <c r="AH20" i="5"/>
  <c r="AB314" i="5"/>
  <c r="I318" i="5"/>
  <c r="AB262" i="5"/>
  <c r="R240" i="5"/>
  <c r="AH328" i="5"/>
  <c r="AJ300" i="5"/>
  <c r="L468" i="5"/>
  <c r="J459" i="5"/>
  <c r="AJ414" i="5"/>
  <c r="AJ384" i="5"/>
  <c r="AH451" i="5"/>
  <c r="AB356" i="5"/>
  <c r="Q152" i="5"/>
  <c r="R357" i="5"/>
  <c r="Z148" i="5"/>
  <c r="T160" i="5"/>
  <c r="L104" i="5"/>
  <c r="AB71" i="5"/>
  <c r="AB39" i="5"/>
  <c r="AJ130" i="5"/>
  <c r="J97" i="5"/>
  <c r="Q76" i="5"/>
  <c r="AH57" i="5"/>
  <c r="AB34" i="5"/>
  <c r="AG161" i="5"/>
  <c r="T99" i="5"/>
  <c r="Y41" i="5"/>
  <c r="T379" i="5"/>
  <c r="Z112" i="5"/>
  <c r="AG62" i="5"/>
  <c r="L30" i="5"/>
  <c r="AG16" i="5"/>
  <c r="Z138" i="5"/>
  <c r="T88" i="5"/>
  <c r="Z27" i="5"/>
  <c r="L121" i="5"/>
  <c r="Z20" i="5"/>
  <c r="AJ143" i="5"/>
  <c r="Y85" i="5"/>
  <c r="J26" i="5"/>
  <c r="R155" i="5"/>
  <c r="I130" i="5"/>
  <c r="Z107" i="5"/>
  <c r="AB76" i="5"/>
  <c r="T45" i="5"/>
  <c r="Y29" i="5"/>
  <c r="I14" i="5"/>
  <c r="R366" i="5"/>
  <c r="R109" i="5"/>
  <c r="Q60" i="5"/>
  <c r="AG20" i="5"/>
  <c r="AH163" i="5"/>
  <c r="AB91" i="5"/>
  <c r="J28" i="5"/>
  <c r="AG326" i="5"/>
  <c r="AG323" i="5"/>
  <c r="AJ323" i="5"/>
  <c r="J317" i="5"/>
  <c r="AJ320" i="5"/>
  <c r="AG240" i="5"/>
  <c r="I305" i="5"/>
  <c r="R316" i="5"/>
  <c r="AH281" i="5"/>
  <c r="T240" i="5"/>
  <c r="Q326" i="5"/>
  <c r="Q323" i="5"/>
  <c r="Z324" i="5"/>
  <c r="T316" i="5"/>
  <c r="Z316" i="5"/>
  <c r="R305" i="5"/>
  <c r="Y317" i="5"/>
  <c r="J320" i="5"/>
  <c r="AJ316" i="5"/>
  <c r="AJ313" i="5"/>
  <c r="AB305" i="5"/>
  <c r="L415" i="5"/>
  <c r="Z405" i="5"/>
  <c r="AG387" i="5"/>
  <c r="AJ203" i="5"/>
  <c r="Q177" i="5"/>
  <c r="T179" i="5"/>
  <c r="I129" i="5"/>
  <c r="Y109" i="5"/>
  <c r="AJ71" i="5"/>
  <c r="J169" i="5"/>
  <c r="R97" i="5"/>
  <c r="J54" i="5"/>
  <c r="AJ162" i="5"/>
  <c r="Q32" i="5"/>
  <c r="L113" i="5"/>
  <c r="Z28" i="5"/>
  <c r="J142" i="5"/>
  <c r="L25" i="5"/>
  <c r="I26" i="5"/>
  <c r="AG148" i="5"/>
  <c r="AJ49" i="5"/>
  <c r="R102" i="5"/>
  <c r="I106" i="5"/>
  <c r="T320" i="5"/>
  <c r="L239" i="5"/>
  <c r="Q305" i="5"/>
  <c r="J314" i="5"/>
  <c r="AB313" i="5"/>
  <c r="AJ84" i="5"/>
  <c r="T74" i="5"/>
  <c r="AB147" i="5"/>
  <c r="J122" i="5"/>
  <c r="L15" i="5"/>
  <c r="Z45" i="5"/>
  <c r="Y116" i="5"/>
  <c r="Z120" i="5"/>
  <c r="R299" i="5"/>
  <c r="Q325" i="5"/>
  <c r="Y314" i="5"/>
  <c r="Q366" i="5"/>
  <c r="I149" i="5"/>
  <c r="AJ160" i="5"/>
  <c r="AJ69" i="5"/>
  <c r="Y76" i="5"/>
  <c r="T100" i="5"/>
  <c r="Q63" i="5"/>
  <c r="R108" i="5"/>
  <c r="R91" i="5"/>
  <c r="AG29" i="5"/>
  <c r="Q35" i="5"/>
  <c r="I322" i="5"/>
  <c r="L313" i="5"/>
  <c r="T392" i="5"/>
  <c r="T421" i="5"/>
  <c r="J168" i="5"/>
  <c r="I412" i="5"/>
  <c r="J149" i="5"/>
  <c r="Q128" i="5"/>
  <c r="AJ82" i="5"/>
  <c r="Q34" i="5"/>
  <c r="AH114" i="5"/>
  <c r="T64" i="5"/>
  <c r="AG24" i="5"/>
  <c r="Y64" i="5"/>
  <c r="AG145" i="5"/>
  <c r="R39" i="5"/>
  <c r="AJ13" i="5"/>
  <c r="Y55" i="5"/>
  <c r="I93" i="5"/>
  <c r="R22" i="5"/>
  <c r="AJ88" i="5"/>
  <c r="Y21" i="5"/>
  <c r="J111" i="5"/>
  <c r="T475" i="5"/>
  <c r="AG19" i="5"/>
  <c r="R329" i="5"/>
  <c r="R298" i="5"/>
  <c r="J313" i="5"/>
  <c r="Q320" i="5"/>
  <c r="L209" i="5"/>
  <c r="Y306" i="5"/>
  <c r="T314" i="5"/>
  <c r="Q394" i="5"/>
  <c r="Z369" i="5"/>
  <c r="J172" i="5"/>
  <c r="T146" i="5"/>
  <c r="AB357" i="5"/>
  <c r="T151" i="5"/>
  <c r="AB195" i="5"/>
  <c r="AB116" i="5"/>
  <c r="AG75" i="5"/>
  <c r="T49" i="5"/>
  <c r="Z104" i="5"/>
  <c r="J50" i="5"/>
  <c r="T43" i="5"/>
  <c r="Y56" i="5"/>
  <c r="T162" i="5"/>
  <c r="AJ19" i="5"/>
  <c r="I86" i="5"/>
  <c r="T44" i="5"/>
  <c r="AG74" i="5"/>
  <c r="AG328" i="5"/>
  <c r="I307" i="5"/>
  <c r="R255" i="5"/>
  <c r="T323" i="5"/>
  <c r="Z472" i="5"/>
  <c r="Z169" i="5"/>
  <c r="T161" i="5"/>
  <c r="Q120" i="5"/>
  <c r="J60" i="5"/>
  <c r="T141" i="5"/>
  <c r="Q68" i="5"/>
  <c r="T368" i="5"/>
  <c r="L16" i="5"/>
  <c r="AB44" i="5"/>
  <c r="I141" i="5"/>
  <c r="Z375" i="5"/>
  <c r="AG38" i="5"/>
  <c r="L46" i="5"/>
  <c r="Z16" i="5"/>
  <c r="AH262" i="5"/>
  <c r="AB228" i="5"/>
  <c r="Z306" i="5"/>
  <c r="Y209" i="5"/>
  <c r="AH74" i="5"/>
  <c r="AH138" i="5"/>
  <c r="R61" i="5"/>
  <c r="T108" i="5"/>
  <c r="R120" i="5"/>
  <c r="AB20" i="5"/>
  <c r="Y36" i="5"/>
  <c r="L19" i="5"/>
  <c r="AH16" i="5"/>
  <c r="L107" i="5"/>
  <c r="J23" i="5"/>
  <c r="AJ106" i="5"/>
  <c r="Z124" i="5"/>
  <c r="AG324" i="5"/>
  <c r="R281" i="5"/>
  <c r="I314" i="5"/>
  <c r="J209" i="5"/>
  <c r="T209" i="5"/>
  <c r="Y327" i="5"/>
  <c r="AH324" i="5"/>
  <c r="Z426" i="5"/>
  <c r="J414" i="5"/>
  <c r="R449" i="5"/>
  <c r="R427" i="5"/>
  <c r="Z368" i="5"/>
  <c r="AB167" i="5"/>
  <c r="L138" i="5"/>
  <c r="J167" i="5"/>
  <c r="AG127" i="5"/>
  <c r="R138" i="5"/>
  <c r="AJ92" i="5"/>
  <c r="AJ61" i="5"/>
  <c r="Y180" i="5"/>
  <c r="Z116" i="5"/>
  <c r="I91" i="5"/>
  <c r="L70" i="5"/>
  <c r="AJ51" i="5"/>
  <c r="AB26" i="5"/>
  <c r="L128" i="5"/>
  <c r="AG79" i="5"/>
  <c r="AH28" i="5"/>
  <c r="L158" i="5"/>
  <c r="AG99" i="5"/>
  <c r="L44" i="5"/>
  <c r="J24" i="5"/>
  <c r="Z413" i="5"/>
  <c r="Z110" i="5"/>
  <c r="Q64" i="5"/>
  <c r="T19" i="5"/>
  <c r="AG86" i="5"/>
  <c r="AG13" i="5"/>
  <c r="AJ104" i="5"/>
  <c r="R68" i="5"/>
  <c r="AJ12" i="5"/>
  <c r="L147" i="5"/>
  <c r="R119" i="5"/>
  <c r="Y98" i="5"/>
  <c r="AG61" i="5"/>
  <c r="I43" i="5"/>
  <c r="R21" i="5"/>
  <c r="AB12" i="5"/>
  <c r="AB148" i="5"/>
  <c r="Y92" i="5"/>
  <c r="R43" i="5"/>
  <c r="R15" i="5"/>
  <c r="AB118" i="5"/>
  <c r="Y73" i="5"/>
  <c r="Q19" i="5"/>
  <c r="AG318" i="5"/>
  <c r="AG299" i="5"/>
  <c r="AJ305" i="5"/>
  <c r="I228" i="5"/>
  <c r="L305" i="5"/>
  <c r="J262" i="5"/>
  <c r="AJ240" i="5"/>
  <c r="AJ314" i="5"/>
  <c r="AH305" i="5"/>
  <c r="Q318" i="5"/>
  <c r="AH300" i="5"/>
  <c r="Y322" i="5"/>
  <c r="AJ209" i="5"/>
  <c r="J373" i="5"/>
  <c r="Q99" i="5"/>
  <c r="I105" i="5"/>
  <c r="L101" i="5"/>
  <c r="Z297" i="5"/>
  <c r="Z68" i="5"/>
  <c r="J318" i="5"/>
  <c r="Q29" i="5"/>
  <c r="AH313" i="5"/>
  <c r="J56" i="5"/>
  <c r="AG12" i="5"/>
  <c r="Z445" i="5"/>
  <c r="Z31" i="5"/>
  <c r="AG106" i="5"/>
  <c r="Q239" i="5"/>
  <c r="J64" i="5"/>
  <c r="J110" i="5"/>
  <c r="I362" i="5"/>
  <c r="AJ136" i="5"/>
  <c r="T83" i="5"/>
  <c r="AH104" i="5"/>
  <c r="AH228" i="5"/>
  <c r="AB330" i="5"/>
  <c r="T97" i="5"/>
  <c r="R129" i="5"/>
  <c r="Y137" i="5"/>
  <c r="R314" i="5"/>
  <c r="AJ282" i="5"/>
  <c r="AN282" i="5"/>
  <c r="X97" i="5"/>
  <c r="AF330" i="5"/>
  <c r="X83" i="5"/>
  <c r="AN136" i="5"/>
  <c r="AT362" i="5"/>
  <c r="AS362" i="5"/>
  <c r="AV106" i="5"/>
  <c r="AW106" i="5"/>
  <c r="AW12" i="5"/>
  <c r="AV12" i="5"/>
  <c r="P101" i="5"/>
  <c r="AT105" i="5"/>
  <c r="AS105" i="5"/>
  <c r="AN209" i="5"/>
  <c r="AN314" i="5"/>
  <c r="AN240" i="5"/>
  <c r="P305" i="5"/>
  <c r="AR228" i="5"/>
  <c r="AT228" i="5"/>
  <c r="AN305" i="5"/>
  <c r="AW299" i="5"/>
  <c r="AV299" i="5"/>
  <c r="AV318" i="5"/>
  <c r="AW318" i="5"/>
  <c r="AF118" i="5"/>
  <c r="AF148" i="5"/>
  <c r="AF12" i="5"/>
  <c r="AT43" i="5"/>
  <c r="AS43" i="5"/>
  <c r="AW61" i="5"/>
  <c r="AV61" i="5"/>
  <c r="P147" i="5"/>
  <c r="AN12" i="5"/>
  <c r="AN104" i="5"/>
  <c r="AW13" i="5"/>
  <c r="AV13" i="5"/>
  <c r="AV86" i="5"/>
  <c r="AW86" i="5"/>
  <c r="X19" i="5"/>
  <c r="P44" i="5"/>
  <c r="AW99" i="5"/>
  <c r="AU99" i="5"/>
  <c r="P158" i="5"/>
  <c r="AW79" i="5"/>
  <c r="AU79" i="5"/>
  <c r="P128" i="5"/>
  <c r="AF26" i="5"/>
  <c r="AN51" i="5"/>
  <c r="P70" i="5"/>
  <c r="AT91" i="5"/>
  <c r="AR91" i="5"/>
  <c r="AN61" i="5"/>
  <c r="AN92" i="5"/>
  <c r="AV127" i="5"/>
  <c r="AW127" i="5"/>
  <c r="P138" i="5"/>
  <c r="AF167" i="5"/>
  <c r="X209" i="5"/>
  <c r="AT314" i="5"/>
  <c r="AS314" i="5"/>
  <c r="AW324" i="5"/>
  <c r="AV324" i="5"/>
  <c r="AN106" i="5"/>
  <c r="P107" i="5"/>
  <c r="P19" i="5"/>
  <c r="AF20" i="5"/>
  <c r="X108" i="5"/>
  <c r="AF228" i="5"/>
  <c r="P46" i="5"/>
  <c r="AW38" i="5"/>
  <c r="AV38" i="5"/>
  <c r="AS141" i="5"/>
  <c r="AT141" i="5"/>
  <c r="AF44" i="5"/>
  <c r="P16" i="5"/>
  <c r="X368" i="5"/>
  <c r="X141" i="5"/>
  <c r="X161" i="5"/>
  <c r="X323" i="5"/>
  <c r="AR307" i="5"/>
  <c r="AT307" i="5"/>
  <c r="AV328" i="5"/>
  <c r="AW328" i="5"/>
  <c r="AV74" i="5"/>
  <c r="AW74" i="5"/>
  <c r="X44" i="5"/>
  <c r="AT86" i="5"/>
  <c r="AS86" i="5"/>
  <c r="AN19" i="5"/>
  <c r="X162" i="5"/>
  <c r="X43" i="5"/>
  <c r="X49" i="5"/>
  <c r="AV75" i="5"/>
  <c r="AW75" i="5"/>
  <c r="AF116" i="5"/>
  <c r="AF195" i="5"/>
  <c r="X151" i="5"/>
  <c r="AF357" i="5"/>
  <c r="X146" i="5"/>
  <c r="X314" i="5"/>
  <c r="P209" i="5"/>
  <c r="AW19" i="5"/>
  <c r="AV19" i="5"/>
  <c r="X475" i="5"/>
  <c r="AN88" i="5"/>
  <c r="AT93" i="5"/>
  <c r="AR93" i="5"/>
  <c r="AN13" i="5"/>
  <c r="AV145" i="5"/>
  <c r="AW145" i="5"/>
  <c r="AW24" i="5"/>
  <c r="AV24" i="5"/>
  <c r="X64" i="5"/>
  <c r="AN82" i="5"/>
  <c r="AS412" i="5"/>
  <c r="AT412" i="5"/>
  <c r="X421" i="5"/>
  <c r="X392" i="5"/>
  <c r="P313" i="5"/>
  <c r="AT322" i="5"/>
  <c r="AR322" i="5"/>
  <c r="AW29" i="5"/>
  <c r="AV29" i="5"/>
  <c r="X100" i="5"/>
  <c r="AN69" i="5"/>
  <c r="AN160" i="5"/>
  <c r="AR149" i="5"/>
  <c r="AT149" i="5"/>
  <c r="P15" i="5"/>
  <c r="AF147" i="5"/>
  <c r="X74" i="5"/>
  <c r="AN84" i="5"/>
  <c r="AF313" i="5"/>
  <c r="P239" i="5"/>
  <c r="X320" i="5"/>
  <c r="AS106" i="5"/>
  <c r="AT106" i="5"/>
  <c r="AN49" i="5"/>
  <c r="AU148" i="5"/>
  <c r="AW148" i="5"/>
  <c r="AS26" i="5"/>
  <c r="AR26" i="5"/>
  <c r="P25" i="5"/>
  <c r="P113" i="5"/>
  <c r="AN162" i="5"/>
  <c r="AN71" i="5"/>
  <c r="AS129" i="5"/>
  <c r="AT129" i="5"/>
  <c r="X179" i="5"/>
  <c r="AN203" i="5"/>
  <c r="AV387" i="5"/>
  <c r="AW387" i="5"/>
  <c r="P415" i="5"/>
  <c r="AF305" i="5"/>
  <c r="AN313" i="5"/>
  <c r="AN316" i="5"/>
  <c r="X316" i="5"/>
  <c r="X240" i="5"/>
  <c r="AR305" i="5"/>
  <c r="AT305" i="5"/>
  <c r="AW240" i="5"/>
  <c r="AV240" i="5"/>
  <c r="AN320" i="5"/>
  <c r="AN323" i="5"/>
  <c r="AU323" i="5"/>
  <c r="AW323" i="5"/>
  <c r="AW326" i="5"/>
  <c r="AV326" i="5"/>
  <c r="AF91" i="5"/>
  <c r="AV20" i="5"/>
  <c r="AW20" i="5"/>
  <c r="AR14" i="5"/>
  <c r="AS14" i="5"/>
  <c r="X45" i="5"/>
  <c r="AF76" i="5"/>
  <c r="AS130" i="5"/>
  <c r="AT130" i="5"/>
  <c r="AN143" i="5"/>
  <c r="P121" i="5"/>
  <c r="X88" i="5"/>
  <c r="AV16" i="5"/>
  <c r="AW16" i="5"/>
  <c r="P30" i="5"/>
  <c r="AV62" i="5"/>
  <c r="AW62" i="5"/>
  <c r="X379" i="5"/>
  <c r="X99" i="5"/>
  <c r="AW161" i="5"/>
  <c r="AU161" i="5"/>
  <c r="AF34" i="5"/>
  <c r="AN130" i="5"/>
  <c r="AF39" i="5"/>
  <c r="AF71" i="5"/>
  <c r="P104" i="5"/>
  <c r="X160" i="5"/>
  <c r="AF356" i="5"/>
  <c r="AN384" i="5"/>
  <c r="AN414" i="5"/>
  <c r="P468" i="5"/>
  <c r="AN300" i="5"/>
  <c r="AF262" i="5"/>
  <c r="AS318" i="5"/>
  <c r="AT318" i="5"/>
  <c r="AF314" i="5"/>
  <c r="AF19" i="5"/>
  <c r="AF122" i="5"/>
  <c r="AV80" i="5"/>
  <c r="AW80" i="5"/>
  <c r="AF46" i="5"/>
  <c r="AV34" i="5"/>
  <c r="AW34" i="5"/>
  <c r="AF176" i="5"/>
  <c r="AF297" i="5"/>
  <c r="P282" i="5"/>
  <c r="AN394" i="5"/>
  <c r="AN39" i="5"/>
  <c r="AU140" i="5"/>
  <c r="AW140" i="5"/>
  <c r="X138" i="5"/>
  <c r="X324" i="5"/>
  <c r="X13" i="5"/>
  <c r="AF180" i="5"/>
  <c r="AN103" i="5"/>
  <c r="P162" i="5"/>
  <c r="AN26" i="5"/>
  <c r="AW180" i="5"/>
  <c r="AV180" i="5"/>
  <c r="X104" i="5"/>
  <c r="AU155" i="5"/>
  <c r="AW155" i="5"/>
  <c r="X135" i="5"/>
  <c r="AR300" i="5"/>
  <c r="AT300" i="5"/>
  <c r="AS240" i="5"/>
  <c r="AT240" i="5"/>
  <c r="AU320" i="5"/>
  <c r="AW320" i="5"/>
  <c r="AN64" i="5"/>
  <c r="X29" i="5"/>
  <c r="X36" i="5"/>
  <c r="X132" i="5"/>
  <c r="P176" i="5"/>
  <c r="AT389" i="5"/>
  <c r="AS389" i="5"/>
  <c r="P359" i="5"/>
  <c r="AV298" i="5"/>
  <c r="AW298" i="5"/>
  <c r="P136" i="5"/>
  <c r="AF463" i="5"/>
  <c r="AF33" i="5"/>
  <c r="X60" i="5"/>
  <c r="AF172" i="5"/>
  <c r="AF379" i="5"/>
  <c r="AN120" i="5"/>
  <c r="AT58" i="5"/>
  <c r="AR58" i="5"/>
  <c r="AS157" i="5"/>
  <c r="AT157" i="5"/>
  <c r="AN262" i="5"/>
  <c r="P317" i="5"/>
  <c r="AS52" i="5"/>
  <c r="AT52" i="5"/>
  <c r="AF123" i="5"/>
  <c r="P22" i="5"/>
  <c r="AT69" i="5"/>
  <c r="AS69" i="5"/>
  <c r="AS18" i="5"/>
  <c r="AR18" i="5"/>
  <c r="X79" i="5"/>
  <c r="X163" i="5"/>
  <c r="AN467" i="5"/>
  <c r="AW475" i="5"/>
  <c r="AV475" i="5"/>
  <c r="AF437" i="5"/>
  <c r="P327" i="5"/>
  <c r="AF306" i="5"/>
  <c r="P299" i="5"/>
  <c r="AW262" i="5"/>
  <c r="AV262" i="5"/>
  <c r="AT320" i="5"/>
  <c r="AR320" i="5"/>
  <c r="X322" i="5"/>
  <c r="P330" i="5"/>
  <c r="AF154" i="5"/>
  <c r="AV33" i="5"/>
  <c r="AW33" i="5"/>
  <c r="AR16" i="5"/>
  <c r="AS16" i="5"/>
  <c r="X85" i="5"/>
  <c r="AN78" i="5"/>
  <c r="AU352" i="5"/>
  <c r="AW352" i="5"/>
  <c r="AS196" i="5"/>
  <c r="AR196" i="5"/>
  <c r="AR370" i="5"/>
  <c r="AT370" i="5"/>
  <c r="AS74" i="5"/>
  <c r="AT74" i="5"/>
  <c r="AN93" i="5"/>
  <c r="P20" i="5"/>
  <c r="P114" i="5"/>
  <c r="X95" i="5"/>
  <c r="X159" i="5"/>
  <c r="AS164" i="5"/>
  <c r="AT164" i="5"/>
  <c r="AN368" i="5"/>
  <c r="AF354" i="5"/>
  <c r="AF318" i="5"/>
  <c r="AN306" i="5"/>
  <c r="P328" i="5"/>
  <c r="X313" i="5"/>
  <c r="AT281" i="5"/>
  <c r="AR281" i="5"/>
  <c r="X307" i="5"/>
  <c r="AF325" i="5"/>
  <c r="AN28" i="5"/>
  <c r="X39" i="5"/>
  <c r="X110" i="5"/>
  <c r="AF150" i="5"/>
  <c r="AW380" i="5"/>
  <c r="AV380" i="5"/>
  <c r="P110" i="5"/>
  <c r="AN34" i="5"/>
  <c r="X81" i="5"/>
  <c r="AT177" i="5"/>
  <c r="AS177" i="5"/>
  <c r="X157" i="5"/>
  <c r="P300" i="5"/>
  <c r="AF43" i="5"/>
  <c r="P177" i="5"/>
  <c r="AW119" i="5"/>
  <c r="AV119" i="5"/>
  <c r="AN86" i="5"/>
  <c r="X153" i="5"/>
  <c r="AF367" i="5"/>
  <c r="AF281" i="5"/>
  <c r="AR32" i="5"/>
  <c r="AS32" i="5"/>
  <c r="AF24" i="5"/>
  <c r="AW181" i="5"/>
  <c r="AV181" i="5"/>
  <c r="X401" i="5"/>
  <c r="AF255" i="5"/>
  <c r="AF317" i="5"/>
  <c r="P323" i="5"/>
  <c r="AR327" i="5"/>
  <c r="AT327" i="5"/>
  <c r="AV305" i="5"/>
  <c r="AW305" i="5"/>
  <c r="X11" i="5"/>
  <c r="AS54" i="5"/>
  <c r="AT54" i="5"/>
  <c r="X65" i="5"/>
  <c r="P76" i="5"/>
  <c r="AV378" i="5"/>
  <c r="AW378" i="5"/>
  <c r="AN46" i="5"/>
  <c r="P438" i="5"/>
  <c r="X70" i="5"/>
  <c r="AV110" i="5"/>
  <c r="AW110" i="5"/>
  <c r="AS44" i="5"/>
  <c r="AT44" i="5"/>
  <c r="AN80" i="5"/>
  <c r="AW144" i="5"/>
  <c r="AU144" i="5"/>
  <c r="P434" i="5"/>
  <c r="AV202" i="5"/>
  <c r="AW202" i="5"/>
  <c r="AF382" i="5"/>
  <c r="AS434" i="5"/>
  <c r="AT434" i="5"/>
  <c r="P297" i="5"/>
  <c r="AF327" i="5"/>
  <c r="P329" i="5"/>
  <c r="AN329" i="5"/>
  <c r="X326" i="5"/>
  <c r="X255" i="5"/>
  <c r="X328" i="5"/>
  <c r="P316" i="5"/>
  <c r="AT298" i="5"/>
  <c r="AS298" i="5"/>
  <c r="X228" i="5"/>
  <c r="AN255" i="5"/>
  <c r="AU282" i="5"/>
  <c r="AW282" i="5"/>
  <c r="AW15" i="5"/>
  <c r="AV15" i="5"/>
  <c r="AN37" i="5"/>
  <c r="AV373" i="5"/>
  <c r="AW373" i="5"/>
  <c r="AS33" i="5"/>
  <c r="AR33" i="5"/>
  <c r="AT72" i="5"/>
  <c r="AR72" i="5"/>
  <c r="X126" i="5"/>
  <c r="AS19" i="5"/>
  <c r="AR19" i="5"/>
  <c r="AV52" i="5"/>
  <c r="AW52" i="5"/>
  <c r="AW84" i="5"/>
  <c r="AU84" i="5"/>
  <c r="AS116" i="5"/>
  <c r="AT116" i="5"/>
  <c r="P463" i="5"/>
  <c r="X38" i="5"/>
  <c r="P100" i="5"/>
  <c r="AN44" i="5"/>
  <c r="AV39" i="5"/>
  <c r="AW39" i="5"/>
  <c r="AF100" i="5"/>
  <c r="AF158" i="5"/>
  <c r="AN20" i="5"/>
  <c r="AF35" i="5"/>
  <c r="AT81" i="5"/>
  <c r="AS81" i="5"/>
  <c r="X128" i="5"/>
  <c r="AN17" i="5"/>
  <c r="AT63" i="5"/>
  <c r="AS63" i="5"/>
  <c r="AF365" i="5"/>
  <c r="P43" i="5"/>
  <c r="P64" i="5"/>
  <c r="P83" i="5"/>
  <c r="AF106" i="5"/>
  <c r="AN156" i="5"/>
  <c r="AF82" i="5"/>
  <c r="P157" i="5"/>
  <c r="P127" i="5"/>
  <c r="AF425" i="5"/>
  <c r="AF387" i="5"/>
  <c r="X327" i="5"/>
  <c r="AU228" i="5"/>
  <c r="AW228" i="5"/>
  <c r="X281" i="5"/>
  <c r="AV297" i="5"/>
  <c r="AW297" i="5"/>
  <c r="AR49" i="5"/>
  <c r="AT49" i="5"/>
  <c r="AF13" i="5"/>
  <c r="AR155" i="5"/>
  <c r="AT155" i="5"/>
  <c r="AN356" i="5"/>
  <c r="AT73" i="5"/>
  <c r="AR73" i="5"/>
  <c r="AN38" i="5"/>
  <c r="X54" i="5"/>
  <c r="AN48" i="5"/>
  <c r="AN172" i="5"/>
  <c r="X72" i="5"/>
  <c r="AN99" i="5"/>
  <c r="P152" i="5"/>
  <c r="X47" i="5"/>
  <c r="AN73" i="5"/>
  <c r="X149" i="5"/>
  <c r="AR133" i="5"/>
  <c r="AT133" i="5"/>
  <c r="X165" i="5"/>
  <c r="AN409" i="5"/>
  <c r="AF307" i="5"/>
  <c r="AT163" i="5"/>
  <c r="AS163" i="5"/>
  <c r="AV21" i="5"/>
  <c r="AW21" i="5"/>
  <c r="X68" i="5"/>
  <c r="P21" i="5"/>
  <c r="P109" i="5"/>
  <c r="AV28" i="5"/>
  <c r="AW28" i="5"/>
  <c r="X127" i="5"/>
  <c r="P409" i="5"/>
  <c r="AF328" i="5"/>
  <c r="X282" i="5"/>
  <c r="X262" i="5"/>
  <c r="AU325" i="5"/>
  <c r="AW325" i="5"/>
  <c r="P34" i="5"/>
  <c r="AF124" i="5"/>
  <c r="X41" i="5"/>
  <c r="AW92" i="5"/>
  <c r="AV92" i="5"/>
  <c r="X93" i="5"/>
  <c r="X37" i="5"/>
  <c r="X305" i="5"/>
  <c r="P318" i="5"/>
  <c r="AV255" i="5"/>
  <c r="AW255" i="5"/>
  <c r="AS330" i="5"/>
  <c r="AT330" i="5"/>
  <c r="P320" i="5"/>
  <c r="X154" i="5"/>
  <c r="AV177" i="5"/>
  <c r="AW177" i="5"/>
  <c r="AN110" i="5"/>
  <c r="AS17" i="5"/>
  <c r="AR17" i="5"/>
  <c r="AF202" i="5"/>
  <c r="AN123" i="5"/>
  <c r="AN31" i="5"/>
  <c r="X62" i="5"/>
  <c r="X87" i="5"/>
  <c r="X371" i="5"/>
  <c r="AW88" i="5"/>
  <c r="AV88" i="5"/>
  <c r="X155" i="5"/>
  <c r="AN202" i="5"/>
  <c r="AS401" i="5"/>
  <c r="AT401" i="5"/>
  <c r="AF430" i="5"/>
  <c r="AF453" i="5"/>
  <c r="P460" i="5"/>
  <c r="AN307" i="5"/>
  <c r="AN326" i="5"/>
  <c r="P314" i="5"/>
  <c r="AN281" i="5"/>
  <c r="P306" i="5"/>
  <c r="X329" i="5"/>
  <c r="P240" i="5"/>
  <c r="AT325" i="5"/>
  <c r="AR325" i="5"/>
  <c r="AS328" i="5"/>
  <c r="AT328" i="5"/>
  <c r="AU209" i="5"/>
  <c r="AW209" i="5"/>
  <c r="AW314" i="5"/>
  <c r="AV314" i="5"/>
  <c r="AW313" i="5"/>
  <c r="AV313" i="5"/>
  <c r="AV56" i="5"/>
  <c r="AW56" i="5"/>
  <c r="X136" i="5"/>
  <c r="AS13" i="5"/>
  <c r="AR13" i="5"/>
  <c r="AN27" i="5"/>
  <c r="AT84" i="5"/>
  <c r="AR84" i="5"/>
  <c r="X119" i="5"/>
  <c r="AS11" i="5"/>
  <c r="AR11" i="5"/>
  <c r="X24" i="5"/>
  <c r="AW47" i="5"/>
  <c r="AU47" i="5"/>
  <c r="AT70" i="5"/>
  <c r="AR70" i="5"/>
  <c r="AF90" i="5"/>
  <c r="X166" i="5"/>
  <c r="AS21" i="5"/>
  <c r="AR21" i="5"/>
  <c r="AN119" i="5"/>
  <c r="X384" i="5"/>
  <c r="AV98" i="5"/>
  <c r="AW98" i="5"/>
  <c r="P13" i="5"/>
  <c r="AW31" i="5"/>
  <c r="AV31" i="5"/>
  <c r="AV50" i="5"/>
  <c r="AW50" i="5"/>
  <c r="P90" i="5"/>
  <c r="AW114" i="5"/>
  <c r="AV114" i="5"/>
  <c r="AW141" i="5"/>
  <c r="AV141" i="5"/>
  <c r="AN14" i="5"/>
  <c r="AW17" i="5"/>
  <c r="AU17" i="5"/>
  <c r="AN21" i="5"/>
  <c r="X31" i="5"/>
  <c r="P38" i="5"/>
  <c r="X46" i="5"/>
  <c r="AF68" i="5"/>
  <c r="AF88" i="5"/>
  <c r="AN117" i="5"/>
  <c r="AF178" i="5"/>
  <c r="P11" i="5"/>
  <c r="AV87" i="5"/>
  <c r="AW87" i="5"/>
  <c r="AN118" i="5"/>
  <c r="AR47" i="5"/>
  <c r="AT47" i="5"/>
  <c r="AN53" i="5"/>
  <c r="P60" i="5"/>
  <c r="P72" i="5"/>
  <c r="P79" i="5"/>
  <c r="P85" i="5"/>
  <c r="P93" i="5"/>
  <c r="AN365" i="5"/>
  <c r="AN63" i="5"/>
  <c r="AF75" i="5"/>
  <c r="AF84" i="5"/>
  <c r="P97" i="5"/>
  <c r="AT123" i="5"/>
  <c r="AS123" i="5"/>
  <c r="AV135" i="5"/>
  <c r="AW135" i="5"/>
  <c r="P151" i="5"/>
  <c r="P161" i="5"/>
  <c r="P172" i="5"/>
  <c r="AN129" i="5"/>
  <c r="AT158" i="5"/>
  <c r="AR158" i="5"/>
  <c r="AN362" i="5"/>
  <c r="AF171" i="5"/>
  <c r="AT400" i="5"/>
  <c r="AS400" i="5"/>
  <c r="AF380" i="5"/>
  <c r="AF467" i="5"/>
  <c r="AW441" i="5"/>
  <c r="AV441" i="5"/>
  <c r="AF386" i="5"/>
  <c r="P436" i="5"/>
  <c r="AF477" i="5"/>
  <c r="AW395" i="5"/>
  <c r="AV395" i="5"/>
  <c r="AF239" i="5"/>
  <c r="AS255" i="5"/>
  <c r="AT255" i="5"/>
  <c r="X318" i="5"/>
  <c r="AR209" i="5"/>
  <c r="AT209" i="5"/>
  <c r="AT323" i="5"/>
  <c r="AR323" i="5"/>
  <c r="AF209" i="5"/>
  <c r="AW329" i="5"/>
  <c r="AV329" i="5"/>
  <c r="X102" i="5"/>
  <c r="AF112" i="5"/>
  <c r="AT383" i="5"/>
  <c r="AS383" i="5"/>
  <c r="X113" i="5"/>
  <c r="AV130" i="5"/>
  <c r="AW130" i="5"/>
  <c r="AF162" i="5"/>
  <c r="AF30" i="5"/>
  <c r="AN109" i="5"/>
  <c r="AF143" i="5"/>
  <c r="AV71" i="5"/>
  <c r="AW71" i="5"/>
  <c r="AN23" i="5"/>
  <c r="X67" i="5"/>
  <c r="AW112" i="5"/>
  <c r="AV112" i="5"/>
  <c r="P61" i="5"/>
  <c r="AN355" i="5"/>
  <c r="AV146" i="5"/>
  <c r="AW146" i="5"/>
  <c r="AT126" i="5"/>
  <c r="AS126" i="5"/>
  <c r="AW420" i="5"/>
  <c r="AU420" i="5"/>
  <c r="AF410" i="5"/>
  <c r="AT474" i="5"/>
  <c r="AS474" i="5"/>
  <c r="P307" i="5"/>
  <c r="AT239" i="5"/>
  <c r="AS239" i="5"/>
  <c r="X306" i="5"/>
  <c r="AS324" i="5"/>
  <c r="AT324" i="5"/>
  <c r="AW300" i="5"/>
  <c r="AU300" i="5"/>
  <c r="AS64" i="5"/>
  <c r="AT64" i="5"/>
  <c r="P14" i="5"/>
  <c r="P91" i="5"/>
  <c r="AS95" i="5"/>
  <c r="AT95" i="5"/>
  <c r="AV137" i="5"/>
  <c r="AW137" i="5"/>
  <c r="AF107" i="5"/>
  <c r="AF22" i="5"/>
  <c r="X77" i="5"/>
  <c r="X15" i="5"/>
  <c r="X27" i="5"/>
  <c r="AW83" i="5"/>
  <c r="AV83" i="5"/>
  <c r="AF136" i="5"/>
  <c r="AT92" i="5"/>
  <c r="AS92" i="5"/>
  <c r="AN164" i="5"/>
  <c r="AV44" i="5"/>
  <c r="AW44" i="5"/>
  <c r="AN65" i="5"/>
  <c r="X174" i="5"/>
  <c r="P131" i="5"/>
  <c r="AF173" i="5"/>
  <c r="P199" i="5"/>
  <c r="AW404" i="5"/>
  <c r="AU404" i="5"/>
  <c r="P429" i="5"/>
  <c r="P65" i="5"/>
  <c r="AW91" i="5"/>
  <c r="AU91" i="5"/>
  <c r="AS410" i="5"/>
  <c r="AT410" i="5"/>
  <c r="AW73" i="5"/>
  <c r="AV73" i="5"/>
  <c r="AN101" i="5"/>
  <c r="X122" i="5"/>
  <c r="X35" i="5"/>
  <c r="AN77" i="5"/>
  <c r="AV132" i="5"/>
  <c r="AW132" i="5"/>
  <c r="X156" i="5"/>
  <c r="X80" i="5"/>
  <c r="AF114" i="5"/>
  <c r="AN145" i="5"/>
  <c r="AN151" i="5"/>
  <c r="AN389" i="5"/>
  <c r="AR160" i="5"/>
  <c r="AT160" i="5"/>
  <c r="AW203" i="5"/>
  <c r="AV203" i="5"/>
  <c r="AN438" i="5"/>
  <c r="AV63" i="5"/>
  <c r="AW63" i="5"/>
  <c r="AT180" i="5"/>
  <c r="AS180" i="5"/>
  <c r="AR15" i="5"/>
  <c r="AS15" i="5"/>
  <c r="P24" i="5"/>
  <c r="AW57" i="5"/>
  <c r="AU57" i="5"/>
  <c r="AS80" i="5"/>
  <c r="AT80" i="5"/>
  <c r="P123" i="5"/>
  <c r="AT151" i="5"/>
  <c r="AS151" i="5"/>
  <c r="AN15" i="5"/>
  <c r="AS23" i="5"/>
  <c r="AR23" i="5"/>
  <c r="P28" i="5"/>
  <c r="AS55" i="5"/>
  <c r="AT55" i="5"/>
  <c r="AN75" i="5"/>
  <c r="AN121" i="5"/>
  <c r="AV199" i="5"/>
  <c r="AW199" i="5"/>
  <c r="AN24" i="5"/>
  <c r="AW55" i="5"/>
  <c r="AV55" i="5"/>
  <c r="X92" i="5"/>
  <c r="X123" i="5"/>
  <c r="AF31" i="5"/>
  <c r="AN55" i="5"/>
  <c r="P62" i="5"/>
  <c r="AT68" i="5"/>
  <c r="AS68" i="5"/>
  <c r="P74" i="5"/>
  <c r="P81" i="5"/>
  <c r="P87" i="5"/>
  <c r="AF145" i="5"/>
  <c r="AS175" i="5"/>
  <c r="AT175" i="5"/>
  <c r="AR34" i="5"/>
  <c r="AS34" i="5"/>
  <c r="P49" i="5"/>
  <c r="AF69" i="5"/>
  <c r="AF78" i="5"/>
  <c r="P99" i="5"/>
  <c r="AN125" i="5"/>
  <c r="P155" i="5"/>
  <c r="P163" i="5"/>
  <c r="AV197" i="5"/>
  <c r="AW197" i="5"/>
  <c r="AF407" i="5"/>
  <c r="P135" i="5"/>
  <c r="P146" i="5"/>
  <c r="AN459" i="5"/>
  <c r="AF368" i="5"/>
  <c r="AF366" i="5"/>
  <c r="AF426" i="5"/>
  <c r="AS448" i="5"/>
  <c r="AT448" i="5"/>
  <c r="AT426" i="5"/>
  <c r="AS426" i="5"/>
  <c r="AN324" i="5"/>
  <c r="X297" i="5"/>
  <c r="X300" i="5"/>
  <c r="AF316" i="5"/>
  <c r="AN228" i="5"/>
  <c r="P255" i="5"/>
  <c r="AT313" i="5"/>
  <c r="AS313" i="5"/>
  <c r="AN325" i="5"/>
  <c r="AN328" i="5"/>
  <c r="AV306" i="5"/>
  <c r="AW306" i="5"/>
  <c r="AF18" i="5"/>
  <c r="AN40" i="5"/>
  <c r="AN139" i="5"/>
  <c r="AU418" i="5"/>
  <c r="AW418" i="5"/>
  <c r="AS60" i="5"/>
  <c r="AT60" i="5"/>
  <c r="AN89" i="5"/>
  <c r="AF117" i="5"/>
  <c r="AR137" i="5"/>
  <c r="AT137" i="5"/>
  <c r="X12" i="5"/>
  <c r="X103" i="5"/>
  <c r="X120" i="5"/>
  <c r="AF29" i="5"/>
  <c r="X107" i="5"/>
  <c r="AN33" i="5"/>
  <c r="P55" i="5"/>
  <c r="X94" i="5"/>
  <c r="AW121" i="5"/>
  <c r="AV121" i="5"/>
  <c r="X172" i="5"/>
  <c r="X48" i="5"/>
  <c r="AN68" i="5"/>
  <c r="AN152" i="5"/>
  <c r="P125" i="5"/>
  <c r="AR199" i="5"/>
  <c r="AS199" i="5"/>
  <c r="P355" i="5"/>
  <c r="X469" i="5"/>
  <c r="AS442" i="5"/>
  <c r="AT442" i="5"/>
  <c r="AN318" i="5"/>
  <c r="X330" i="5"/>
  <c r="AV239" i="5"/>
  <c r="AW239" i="5"/>
  <c r="AN317" i="5"/>
  <c r="P108" i="5"/>
  <c r="AR30" i="5"/>
  <c r="AS30" i="5"/>
  <c r="X18" i="5"/>
  <c r="AT50" i="5"/>
  <c r="AS50" i="5"/>
  <c r="X114" i="5"/>
  <c r="P422" i="5"/>
  <c r="AN32" i="5"/>
  <c r="AF166" i="5"/>
  <c r="AF65" i="5"/>
  <c r="P98" i="5"/>
  <c r="P52" i="5"/>
  <c r="AT118" i="5"/>
  <c r="AS118" i="5"/>
  <c r="AV129" i="5"/>
  <c r="AW129" i="5"/>
  <c r="AN361" i="5"/>
  <c r="AV372" i="5"/>
  <c r="AW372" i="5"/>
  <c r="AT75" i="5"/>
  <c r="AS75" i="5"/>
  <c r="AW100" i="5"/>
  <c r="AU100" i="5"/>
  <c r="X121" i="5"/>
  <c r="X30" i="5"/>
  <c r="P179" i="5"/>
  <c r="AN70" i="5"/>
  <c r="X164" i="5"/>
  <c r="AF364" i="5"/>
  <c r="AN54" i="5"/>
  <c r="AF156" i="5"/>
  <c r="AF361" i="5"/>
  <c r="AF198" i="5"/>
  <c r="AS135" i="5"/>
  <c r="AT135" i="5"/>
  <c r="X142" i="5"/>
  <c r="P357" i="5"/>
  <c r="X378" i="5"/>
  <c r="AS385" i="5"/>
  <c r="AT385" i="5"/>
  <c r="AS378" i="5"/>
  <c r="AT378" i="5"/>
  <c r="P430" i="5"/>
  <c r="AF441" i="5"/>
  <c r="AF473" i="5"/>
  <c r="P326" i="5"/>
  <c r="AT329" i="5"/>
  <c r="AS329" i="5"/>
  <c r="AU281" i="5"/>
  <c r="AW281" i="5"/>
  <c r="AS200" i="5"/>
  <c r="AR200" i="5"/>
  <c r="AW72" i="5"/>
  <c r="AV72" i="5"/>
  <c r="X23" i="5"/>
  <c r="AF126" i="5"/>
  <c r="AV54" i="5"/>
  <c r="AW54" i="5"/>
  <c r="AT56" i="5"/>
  <c r="AS56" i="5"/>
  <c r="AT104" i="5"/>
  <c r="AS104" i="5"/>
  <c r="AT85" i="5"/>
  <c r="AR85" i="5"/>
  <c r="AT134" i="5"/>
  <c r="AR134" i="5"/>
  <c r="AU18" i="5"/>
  <c r="AW18" i="5"/>
  <c r="AV65" i="5"/>
  <c r="AW65" i="5"/>
  <c r="AV116" i="5"/>
  <c r="AW116" i="5"/>
  <c r="AS45" i="5"/>
  <c r="AT45" i="5"/>
  <c r="AS65" i="5"/>
  <c r="AT65" i="5"/>
  <c r="P149" i="5"/>
  <c r="AW58" i="5"/>
  <c r="AU58" i="5"/>
  <c r="AR100" i="5"/>
  <c r="AT100" i="5"/>
  <c r="P130" i="5"/>
  <c r="AT170" i="5"/>
  <c r="AR170" i="5"/>
  <c r="AF374" i="5"/>
  <c r="P400" i="5"/>
  <c r="AF132" i="5"/>
  <c r="X91" i="5"/>
  <c r="X116" i="5"/>
  <c r="AN154" i="5"/>
  <c r="AW43" i="5"/>
  <c r="AV43" i="5"/>
  <c r="AF55" i="5"/>
  <c r="AW64" i="5"/>
  <c r="AV64" i="5"/>
  <c r="AN83" i="5"/>
  <c r="AN94" i="5"/>
  <c r="AS124" i="5"/>
  <c r="AT124" i="5"/>
  <c r="AW48" i="5"/>
  <c r="AU48" i="5"/>
  <c r="AF59" i="5"/>
  <c r="X75" i="5"/>
  <c r="AS107" i="5"/>
  <c r="AT107" i="5"/>
  <c r="AT132" i="5"/>
  <c r="AS132" i="5"/>
  <c r="AF175" i="5"/>
  <c r="P173" i="5"/>
  <c r="AS399" i="5"/>
  <c r="AT399" i="5"/>
  <c r="P385" i="5"/>
  <c r="AT136" i="5"/>
  <c r="AS136" i="5"/>
  <c r="AW151" i="5"/>
  <c r="AV151" i="5"/>
  <c r="AW167" i="5"/>
  <c r="AU167" i="5"/>
  <c r="X202" i="5"/>
  <c r="P37" i="5"/>
  <c r="AW46" i="5"/>
  <c r="AV46" i="5"/>
  <c r="AN59" i="5"/>
  <c r="AN66" i="5"/>
  <c r="AF73" i="5"/>
  <c r="AF80" i="5"/>
  <c r="AF86" i="5"/>
  <c r="P95" i="5"/>
  <c r="AR101" i="5"/>
  <c r="AT101" i="5"/>
  <c r="AT120" i="5"/>
  <c r="AS120" i="5"/>
  <c r="AN148" i="5"/>
  <c r="AV428" i="5"/>
  <c r="AW428" i="5"/>
  <c r="AW131" i="5"/>
  <c r="AV131" i="5"/>
  <c r="P153" i="5"/>
  <c r="P159" i="5"/>
  <c r="P165" i="5"/>
  <c r="X178" i="5"/>
  <c r="X369" i="5"/>
  <c r="AT465" i="5"/>
  <c r="AS465" i="5"/>
  <c r="AF140" i="5"/>
  <c r="AF197" i="5"/>
  <c r="P431" i="5"/>
  <c r="AN180" i="5"/>
  <c r="AN366" i="5"/>
  <c r="AF353" i="5"/>
  <c r="AN380" i="5"/>
  <c r="AT471" i="5"/>
  <c r="AS471" i="5"/>
  <c r="AW455" i="5"/>
  <c r="AV455" i="5"/>
  <c r="X452" i="5"/>
  <c r="AF445" i="5"/>
  <c r="AT450" i="5"/>
  <c r="AS450" i="5"/>
  <c r="AR48" i="5"/>
  <c r="AT48" i="5"/>
  <c r="X299" i="5"/>
  <c r="AN322" i="5"/>
  <c r="AF324" i="5"/>
  <c r="X317" i="5"/>
  <c r="P228" i="5"/>
  <c r="P324" i="5"/>
  <c r="AF322" i="5"/>
  <c r="P262" i="5"/>
  <c r="AS299" i="5"/>
  <c r="AT299" i="5"/>
  <c r="AR282" i="5"/>
  <c r="AT282" i="5"/>
  <c r="AR326" i="5"/>
  <c r="AT326" i="5"/>
  <c r="X298" i="5"/>
  <c r="AF299" i="5"/>
  <c r="AF329" i="5"/>
  <c r="AW317" i="5"/>
  <c r="AV317" i="5"/>
  <c r="AW316" i="5"/>
  <c r="AV316" i="5"/>
  <c r="AV14" i="5"/>
  <c r="AW14" i="5"/>
  <c r="P27" i="5"/>
  <c r="X109" i="5"/>
  <c r="X58" i="5"/>
  <c r="P92" i="5"/>
  <c r="AN201" i="5"/>
  <c r="AN18" i="5"/>
  <c r="AF28" i="5"/>
  <c r="P41" i="5"/>
  <c r="AW96" i="5"/>
  <c r="AV96" i="5"/>
  <c r="AF139" i="5"/>
  <c r="AF422" i="5"/>
  <c r="AN25" i="5"/>
  <c r="AT67" i="5"/>
  <c r="AS67" i="5"/>
  <c r="AN128" i="5"/>
  <c r="AR35" i="5"/>
  <c r="AS35" i="5"/>
  <c r="AT62" i="5"/>
  <c r="AS62" i="5"/>
  <c r="AN113" i="5"/>
  <c r="AV179" i="5"/>
  <c r="AW179" i="5"/>
  <c r="X33" i="5"/>
  <c r="AV94" i="5"/>
  <c r="AW94" i="5"/>
  <c r="P122" i="5"/>
  <c r="P143" i="5"/>
  <c r="AS352" i="5"/>
  <c r="AR352" i="5"/>
  <c r="AF15" i="5"/>
  <c r="AS40" i="5"/>
  <c r="AR40" i="5"/>
  <c r="AT66" i="5"/>
  <c r="AS66" i="5"/>
  <c r="AT115" i="5"/>
  <c r="AR115" i="5"/>
  <c r="X170" i="5"/>
  <c r="P455" i="5"/>
  <c r="P45" i="5"/>
  <c r="AW66" i="5"/>
  <c r="AV66" i="5"/>
  <c r="P139" i="5"/>
  <c r="AW165" i="5"/>
  <c r="AV165" i="5"/>
  <c r="AV27" i="5"/>
  <c r="AW27" i="5"/>
  <c r="AU35" i="5"/>
  <c r="AW35" i="5"/>
  <c r="P53" i="5"/>
  <c r="X98" i="5"/>
  <c r="AW108" i="5"/>
  <c r="AV108" i="5"/>
  <c r="AW117" i="5"/>
  <c r="AV117" i="5"/>
  <c r="P134" i="5"/>
  <c r="AF149" i="5"/>
  <c r="AS165" i="5"/>
  <c r="AT165" i="5"/>
  <c r="AT46" i="5"/>
  <c r="AS46" i="5"/>
  <c r="X52" i="5"/>
  <c r="P59" i="5"/>
  <c r="P66" i="5"/>
  <c r="AF130" i="5"/>
  <c r="AW163" i="5"/>
  <c r="AV163" i="5"/>
  <c r="AN200" i="5"/>
  <c r="AS428" i="5"/>
  <c r="AT428" i="5"/>
  <c r="AT131" i="5"/>
  <c r="AS131" i="5"/>
  <c r="AW142" i="5"/>
  <c r="AV142" i="5"/>
  <c r="X175" i="5"/>
  <c r="AU365" i="5"/>
  <c r="AW365" i="5"/>
  <c r="X131" i="5"/>
  <c r="X195" i="5"/>
  <c r="AN174" i="5"/>
  <c r="AN430" i="5"/>
  <c r="AV204" i="5"/>
  <c r="AW204" i="5"/>
  <c r="P370" i="5"/>
  <c r="AN398" i="5"/>
  <c r="AN405" i="5"/>
  <c r="AT463" i="5"/>
  <c r="AR463" i="5"/>
  <c r="AS449" i="5"/>
  <c r="AT449" i="5"/>
  <c r="P464" i="5"/>
  <c r="AN298" i="5"/>
  <c r="AF298" i="5"/>
  <c r="P281" i="5"/>
  <c r="X239" i="5"/>
  <c r="AF323" i="5"/>
  <c r="AN299" i="5"/>
  <c r="AT317" i="5"/>
  <c r="AS317" i="5"/>
  <c r="AS316" i="5"/>
  <c r="AT316" i="5"/>
  <c r="AN297" i="5"/>
  <c r="AN239" i="5"/>
  <c r="AW327" i="5"/>
  <c r="AU327" i="5"/>
  <c r="AW330" i="5"/>
  <c r="AV330" i="5"/>
  <c r="AS20" i="5"/>
  <c r="AR20" i="5"/>
  <c r="AR99" i="5"/>
  <c r="AT99" i="5"/>
  <c r="AF121" i="5"/>
  <c r="AN11" i="5"/>
  <c r="P23" i="5"/>
  <c r="AF47" i="5"/>
  <c r="AW78" i="5"/>
  <c r="AU78" i="5"/>
  <c r="AT159" i="5"/>
  <c r="AR159" i="5"/>
  <c r="X396" i="5"/>
  <c r="AN22" i="5"/>
  <c r="P112" i="5"/>
  <c r="P132" i="5"/>
  <c r="P47" i="5"/>
  <c r="P111" i="5"/>
  <c r="AT178" i="5"/>
  <c r="AS178" i="5"/>
  <c r="AR22" i="5"/>
  <c r="AS22" i="5"/>
  <c r="AN45" i="5"/>
  <c r="AF128" i="5"/>
  <c r="AW11" i="5"/>
  <c r="AV11" i="5"/>
  <c r="AW30" i="5"/>
  <c r="AU30" i="5"/>
  <c r="AF101" i="5"/>
  <c r="AF111" i="5"/>
  <c r="AF168" i="5"/>
  <c r="X14" i="5"/>
  <c r="X21" i="5"/>
  <c r="X25" i="5"/>
  <c r="AN30" i="5"/>
  <c r="AR37" i="5"/>
  <c r="AS37" i="5"/>
  <c r="AF77" i="5"/>
  <c r="AN147" i="5"/>
  <c r="AN16" i="5"/>
  <c r="AW26" i="5"/>
  <c r="AU26" i="5"/>
  <c r="AT59" i="5"/>
  <c r="AS59" i="5"/>
  <c r="AN158" i="5"/>
  <c r="AR350" i="5"/>
  <c r="AS350" i="5"/>
  <c r="AT89" i="5"/>
  <c r="AS89" i="5"/>
  <c r="P96" i="5"/>
  <c r="AF115" i="5"/>
  <c r="AS128" i="5"/>
  <c r="AT128" i="5"/>
  <c r="AU159" i="5"/>
  <c r="AW159" i="5"/>
  <c r="AF177" i="5"/>
  <c r="AS41" i="5"/>
  <c r="AR41" i="5"/>
  <c r="P50" i="5"/>
  <c r="P56" i="5"/>
  <c r="P105" i="5"/>
  <c r="AN114" i="5"/>
  <c r="X124" i="5"/>
  <c r="P141" i="5"/>
  <c r="AW178" i="5"/>
  <c r="AV178" i="5"/>
  <c r="P379" i="5"/>
  <c r="AT169" i="5"/>
  <c r="AR169" i="5"/>
  <c r="AW350" i="5"/>
  <c r="AU350" i="5"/>
  <c r="P396" i="5"/>
  <c r="AF144" i="5"/>
  <c r="X370" i="5"/>
  <c r="AF169" i="5"/>
  <c r="AR351" i="5"/>
  <c r="AS351" i="5"/>
  <c r="AW413" i="5"/>
  <c r="AV413" i="5"/>
  <c r="X200" i="5"/>
  <c r="X446" i="5"/>
  <c r="AT419" i="5"/>
  <c r="AR419" i="5"/>
  <c r="AT71" i="5"/>
  <c r="AR71" i="5"/>
  <c r="X90" i="5"/>
  <c r="P119" i="5"/>
  <c r="P126" i="5"/>
  <c r="P154" i="5"/>
  <c r="P364" i="5"/>
  <c r="AF17" i="5"/>
  <c r="AW22" i="5"/>
  <c r="AV22" i="5"/>
  <c r="X28" i="5"/>
  <c r="P33" i="5"/>
  <c r="AW69" i="5"/>
  <c r="AV69" i="5"/>
  <c r="P89" i="5"/>
  <c r="AT98" i="5"/>
  <c r="AS98" i="5"/>
  <c r="P120" i="5"/>
  <c r="AN126" i="5"/>
  <c r="AW173" i="5"/>
  <c r="AV173" i="5"/>
  <c r="X362" i="5"/>
  <c r="P446" i="5"/>
  <c r="X26" i="5"/>
  <c r="AN41" i="5"/>
  <c r="AF51" i="5"/>
  <c r="AN60" i="5"/>
  <c r="AN72" i="5"/>
  <c r="AT76" i="5"/>
  <c r="AS76" i="5"/>
  <c r="AN79" i="5"/>
  <c r="AN85" i="5"/>
  <c r="AV89" i="5"/>
  <c r="AW89" i="5"/>
  <c r="AW93" i="5"/>
  <c r="AU93" i="5"/>
  <c r="AN96" i="5"/>
  <c r="AT102" i="5"/>
  <c r="AR102" i="5"/>
  <c r="X106" i="5"/>
  <c r="X130" i="5"/>
  <c r="P137" i="5"/>
  <c r="P145" i="5"/>
  <c r="AT171" i="5"/>
  <c r="AR171" i="5"/>
  <c r="P180" i="5"/>
  <c r="AN473" i="5"/>
  <c r="AV37" i="5"/>
  <c r="AW37" i="5"/>
  <c r="AN50" i="5"/>
  <c r="AF58" i="5"/>
  <c r="X69" i="5"/>
  <c r="X73" i="5"/>
  <c r="AW104" i="5"/>
  <c r="AV104" i="5"/>
  <c r="AS113" i="5"/>
  <c r="AT113" i="5"/>
  <c r="AV118" i="5"/>
  <c r="AW118" i="5"/>
  <c r="AF164" i="5"/>
  <c r="X197" i="5"/>
  <c r="AN157" i="5"/>
  <c r="P365" i="5"/>
  <c r="AW126" i="5"/>
  <c r="AV126" i="5"/>
  <c r="AT152" i="5"/>
  <c r="AR152" i="5"/>
  <c r="P167" i="5"/>
  <c r="AN457" i="5"/>
  <c r="AF412" i="5"/>
  <c r="P477" i="5"/>
  <c r="P462" i="5"/>
  <c r="AN115" i="5"/>
  <c r="AF455" i="5"/>
  <c r="AF25" i="5"/>
  <c r="AF45" i="5"/>
  <c r="X76" i="5"/>
  <c r="P103" i="5"/>
  <c r="AN166" i="5"/>
  <c r="AR25" i="5"/>
  <c r="AS25" i="5"/>
  <c r="P444" i="5"/>
  <c r="AF443" i="5"/>
  <c r="P102" i="5"/>
  <c r="AW175" i="5"/>
  <c r="AV175" i="5"/>
  <c r="X16" i="5"/>
  <c r="AS31" i="5"/>
  <c r="AR31" i="5"/>
  <c r="AF57" i="5"/>
  <c r="AW85" i="5"/>
  <c r="AV85" i="5"/>
  <c r="AF110" i="5"/>
  <c r="X143" i="5"/>
  <c r="AW195" i="5"/>
  <c r="AV195" i="5"/>
  <c r="AR28" i="5"/>
  <c r="AS28" i="5"/>
  <c r="AT97" i="5"/>
  <c r="AR97" i="5"/>
  <c r="X147" i="5"/>
  <c r="P12" i="5"/>
  <c r="P31" i="5"/>
  <c r="AW70" i="5"/>
  <c r="AV70" i="5"/>
  <c r="X89" i="5"/>
  <c r="AN102" i="5"/>
  <c r="AF174" i="5"/>
  <c r="AF14" i="5"/>
  <c r="AF21" i="5"/>
  <c r="AW97" i="5"/>
  <c r="AV97" i="5"/>
  <c r="X111" i="5"/>
  <c r="AN149" i="5"/>
  <c r="X359" i="5"/>
  <c r="P17" i="5"/>
  <c r="P39" i="5"/>
  <c r="AS96" i="5"/>
  <c r="AT96" i="5"/>
  <c r="X112" i="5"/>
  <c r="AV25" i="5"/>
  <c r="AW25" i="5"/>
  <c r="AU32" i="5"/>
  <c r="AW32" i="5"/>
  <c r="AW40" i="5"/>
  <c r="AV40" i="5"/>
  <c r="P51" i="5"/>
  <c r="P57" i="5"/>
  <c r="X96" i="5"/>
  <c r="AU115" i="5"/>
  <c r="AW115" i="5"/>
  <c r="AW143" i="5"/>
  <c r="AU143" i="5"/>
  <c r="P160" i="5"/>
  <c r="AR411" i="5"/>
  <c r="AT411" i="5"/>
  <c r="X50" i="5"/>
  <c r="X56" i="5"/>
  <c r="P63" i="5"/>
  <c r="AW90" i="5"/>
  <c r="AV90" i="5"/>
  <c r="X105" i="5"/>
  <c r="AF141" i="5"/>
  <c r="AF179" i="5"/>
  <c r="AS387" i="5"/>
  <c r="AT387" i="5"/>
  <c r="AT127" i="5"/>
  <c r="AS127" i="5"/>
  <c r="AW138" i="5"/>
  <c r="AV138" i="5"/>
  <c r="AR404" i="5"/>
  <c r="AT404" i="5"/>
  <c r="AT156" i="5"/>
  <c r="AR156" i="5"/>
  <c r="AV374" i="5"/>
  <c r="AW374" i="5"/>
  <c r="AR353" i="5"/>
  <c r="AS353" i="5"/>
  <c r="AT424" i="5"/>
  <c r="AS424" i="5"/>
  <c r="X364" i="5"/>
  <c r="AW200" i="5"/>
  <c r="AU200" i="5"/>
  <c r="AS364" i="5"/>
  <c r="AT364" i="5"/>
  <c r="X397" i="5"/>
  <c r="AF391" i="5"/>
  <c r="AN426" i="5"/>
  <c r="AF449" i="5"/>
  <c r="P456" i="5"/>
  <c r="AN330" i="5"/>
  <c r="P325" i="5"/>
  <c r="AF282" i="5"/>
  <c r="AF326" i="5"/>
  <c r="AF300" i="5"/>
  <c r="P298" i="5"/>
  <c r="X325" i="5"/>
  <c r="AF240" i="5"/>
  <c r="AF320" i="5"/>
  <c r="P322" i="5"/>
  <c r="AS297" i="5"/>
  <c r="AT297" i="5"/>
  <c r="AT306" i="5"/>
  <c r="AR306" i="5"/>
  <c r="AS262" i="5"/>
  <c r="AT262" i="5"/>
  <c r="AN327" i="5"/>
  <c r="AV307" i="5"/>
  <c r="AW307" i="5"/>
  <c r="AW322" i="5"/>
  <c r="AU322" i="5"/>
  <c r="P18" i="5"/>
  <c r="AN35" i="5"/>
  <c r="P175" i="5"/>
  <c r="AW105" i="5"/>
  <c r="AV105" i="5"/>
  <c r="AT367" i="5"/>
  <c r="AR367" i="5"/>
  <c r="AN58" i="5"/>
  <c r="AT82" i="5"/>
  <c r="AS82" i="5"/>
  <c r="AT117" i="5"/>
  <c r="AS117" i="5"/>
  <c r="X150" i="5"/>
  <c r="AF11" i="5"/>
  <c r="P29" i="5"/>
  <c r="AR78" i="5"/>
  <c r="AT78" i="5"/>
  <c r="X158" i="5"/>
  <c r="P118" i="5"/>
  <c r="P36" i="5"/>
  <c r="AW59" i="5"/>
  <c r="AV59" i="5"/>
  <c r="AV82" i="5"/>
  <c r="AW82" i="5"/>
  <c r="AF99" i="5"/>
  <c r="AF108" i="5"/>
  <c r="AN132" i="5"/>
  <c r="X20" i="5"/>
  <c r="AF23" i="5"/>
  <c r="AS29" i="5"/>
  <c r="AR29" i="5"/>
  <c r="X34" i="5"/>
  <c r="AW41" i="5"/>
  <c r="AV41" i="5"/>
  <c r="AS51" i="5"/>
  <c r="AT51" i="5"/>
  <c r="AN90" i="5"/>
  <c r="AF119" i="5"/>
  <c r="P195" i="5"/>
  <c r="AR12" i="5"/>
  <c r="AS12" i="5"/>
  <c r="AW51" i="5"/>
  <c r="AV51" i="5"/>
  <c r="AF89" i="5"/>
  <c r="AF120" i="5"/>
  <c r="AT174" i="5"/>
  <c r="AS174" i="5"/>
  <c r="AF446" i="5"/>
  <c r="AF38" i="5"/>
  <c r="P67" i="5"/>
  <c r="P94" i="5"/>
  <c r="AF137" i="5"/>
  <c r="P361" i="5"/>
  <c r="AR38" i="5"/>
  <c r="AS38" i="5"/>
  <c r="P48" i="5"/>
  <c r="P54" i="5"/>
  <c r="AN67" i="5"/>
  <c r="AS103" i="5"/>
  <c r="AT103" i="5"/>
  <c r="AT122" i="5"/>
  <c r="AR122" i="5"/>
  <c r="X152" i="5"/>
  <c r="P174" i="5"/>
  <c r="AV124" i="5"/>
  <c r="AW124" i="5"/>
  <c r="AV133" i="5"/>
  <c r="AW133" i="5"/>
  <c r="AS195" i="5"/>
  <c r="AR195" i="5"/>
  <c r="AT376" i="5"/>
  <c r="AR376" i="5"/>
  <c r="AN124" i="5"/>
  <c r="AN133" i="5"/>
  <c r="P142" i="5"/>
  <c r="AS150" i="5"/>
  <c r="AT150" i="5"/>
  <c r="AT166" i="5"/>
  <c r="AS166" i="5"/>
  <c r="AW353" i="5"/>
  <c r="AV353" i="5"/>
  <c r="X377" i="5"/>
  <c r="AF413" i="5"/>
  <c r="P418" i="5"/>
  <c r="AF409" i="5"/>
  <c r="P473" i="5"/>
  <c r="AT440" i="5"/>
  <c r="AR440" i="5"/>
  <c r="P68" i="5"/>
  <c r="P77" i="5"/>
  <c r="P88" i="5"/>
  <c r="AW95" i="5"/>
  <c r="AV95" i="5"/>
  <c r="AF102" i="5"/>
  <c r="X117" i="5"/>
  <c r="AU122" i="5"/>
  <c r="AW122" i="5"/>
  <c r="AW134" i="5"/>
  <c r="AU134" i="5"/>
  <c r="AS176" i="5"/>
  <c r="AT176" i="5"/>
  <c r="P471" i="5"/>
  <c r="AF16" i="5"/>
  <c r="AF37" i="5"/>
  <c r="P58" i="5"/>
  <c r="AW67" i="5"/>
  <c r="AV67" i="5"/>
  <c r="AN76" i="5"/>
  <c r="AS94" i="5"/>
  <c r="AT94" i="5"/>
  <c r="AF103" i="5"/>
  <c r="X118" i="5"/>
  <c r="AV157" i="5"/>
  <c r="AW157" i="5"/>
  <c r="P203" i="5"/>
  <c r="P376" i="5"/>
  <c r="X32" i="5"/>
  <c r="X40" i="5"/>
  <c r="AW45" i="5"/>
  <c r="AV45" i="5"/>
  <c r="AF53" i="5"/>
  <c r="AN62" i="5"/>
  <c r="AN74" i="5"/>
  <c r="AN81" i="5"/>
  <c r="AN87" i="5"/>
  <c r="AN98" i="5"/>
  <c r="X115" i="5"/>
  <c r="AV176" i="5"/>
  <c r="AW176" i="5"/>
  <c r="AF201" i="5"/>
  <c r="AN36" i="5"/>
  <c r="AU49" i="5"/>
  <c r="AW49" i="5"/>
  <c r="AN52" i="5"/>
  <c r="AF61" i="5"/>
  <c r="AF66" i="5"/>
  <c r="X82" i="5"/>
  <c r="X86" i="5"/>
  <c r="AN97" i="5"/>
  <c r="AV103" i="5"/>
  <c r="AW103" i="5"/>
  <c r="AT109" i="5"/>
  <c r="AS109" i="5"/>
  <c r="AV123" i="5"/>
  <c r="AW123" i="5"/>
  <c r="AN137" i="5"/>
  <c r="P358" i="5"/>
  <c r="AF125" i="5"/>
  <c r="AN163" i="5"/>
  <c r="AS457" i="5"/>
  <c r="AT457" i="5"/>
  <c r="AR167" i="5"/>
  <c r="AT167" i="5"/>
  <c r="X357" i="5"/>
  <c r="AS361" i="5"/>
  <c r="AT361" i="5"/>
  <c r="AF397" i="5"/>
  <c r="AF373" i="5"/>
  <c r="AT446" i="5"/>
  <c r="AR446" i="5"/>
  <c r="AT57" i="5"/>
  <c r="AR57" i="5"/>
  <c r="AS87" i="5"/>
  <c r="AT87" i="5"/>
  <c r="AF109" i="5"/>
  <c r="P204" i="5"/>
  <c r="AU36" i="5"/>
  <c r="AW36" i="5"/>
  <c r="AR375" i="5"/>
  <c r="AT375" i="5"/>
  <c r="P32" i="5"/>
  <c r="AN56" i="5"/>
  <c r="AF63" i="5"/>
  <c r="X71" i="5"/>
  <c r="X78" i="5"/>
  <c r="X84" i="5"/>
  <c r="AF92" i="5"/>
  <c r="AN95" i="5"/>
  <c r="AW101" i="5"/>
  <c r="AV101" i="5"/>
  <c r="AN105" i="5"/>
  <c r="AT111" i="5"/>
  <c r="AS111" i="5"/>
  <c r="AW120" i="5"/>
  <c r="AV120" i="5"/>
  <c r="AN134" i="5"/>
  <c r="AR143" i="5"/>
  <c r="AT143" i="5"/>
  <c r="AN170" i="5"/>
  <c r="AS181" i="5"/>
  <c r="AT181" i="5"/>
  <c r="AS388" i="5"/>
  <c r="AT388" i="5"/>
  <c r="AN153" i="5"/>
  <c r="AN159" i="5"/>
  <c r="AN165" i="5"/>
  <c r="AW171" i="5"/>
  <c r="AV171" i="5"/>
  <c r="X181" i="5"/>
  <c r="AU375" i="5"/>
  <c r="AW375" i="5"/>
  <c r="AN404" i="5"/>
  <c r="X129" i="5"/>
  <c r="X133" i="5"/>
  <c r="P450" i="5"/>
  <c r="P171" i="5"/>
  <c r="AS198" i="5"/>
  <c r="AR198" i="5"/>
  <c r="AT372" i="5"/>
  <c r="AS372" i="5"/>
  <c r="AF196" i="5"/>
  <c r="AU351" i="5"/>
  <c r="AW351" i="5"/>
  <c r="AW417" i="5"/>
  <c r="AV417" i="5"/>
  <c r="AW201" i="5"/>
  <c r="AV201" i="5"/>
  <c r="AN352" i="5"/>
  <c r="AT365" i="5"/>
  <c r="AR365" i="5"/>
  <c r="AN390" i="5"/>
  <c r="AW414" i="5"/>
  <c r="AV414" i="5"/>
  <c r="X399" i="5"/>
  <c r="AF393" i="5"/>
  <c r="X408" i="5"/>
  <c r="AW463" i="5"/>
  <c r="AU463" i="5"/>
  <c r="X424" i="5"/>
  <c r="AF439" i="5"/>
  <c r="AF451" i="5"/>
  <c r="AN471" i="5"/>
  <c r="AR438" i="5"/>
  <c r="AT438" i="5"/>
  <c r="P458" i="5"/>
  <c r="P470" i="5"/>
  <c r="AT53" i="5"/>
  <c r="AT182" i="5"/>
  <c r="AT184" i="5"/>
  <c r="AT187" i="5"/>
  <c r="AS53" i="5"/>
  <c r="AS83" i="5"/>
  <c r="AT83" i="5"/>
  <c r="AN107" i="5"/>
  <c r="AF113" i="5"/>
  <c r="AR145" i="5"/>
  <c r="AT145" i="5"/>
  <c r="P166" i="5"/>
  <c r="AN197" i="5"/>
  <c r="AV23" i="5"/>
  <c r="AW23" i="5"/>
  <c r="AN29" i="5"/>
  <c r="AN43" i="5"/>
  <c r="AW53" i="5"/>
  <c r="AV53" i="5"/>
  <c r="AV81" i="5"/>
  <c r="AW81" i="5"/>
  <c r="X101" i="5"/>
  <c r="AN108" i="5"/>
  <c r="AW153" i="5"/>
  <c r="AV153" i="5"/>
  <c r="AS24" i="5"/>
  <c r="AR24" i="5"/>
  <c r="AR27" i="5"/>
  <c r="AS27" i="5"/>
  <c r="P35" i="5"/>
  <c r="AR39" i="5"/>
  <c r="AS39" i="5"/>
  <c r="X55" i="5"/>
  <c r="AF64" i="5"/>
  <c r="AF67" i="5"/>
  <c r="AF70" i="5"/>
  <c r="AW76" i="5"/>
  <c r="AV76" i="5"/>
  <c r="AF83" i="5"/>
  <c r="AF94" i="5"/>
  <c r="AW102" i="5"/>
  <c r="AV102" i="5"/>
  <c r="AS108" i="5"/>
  <c r="AT108" i="5"/>
  <c r="AT114" i="5"/>
  <c r="AS114" i="5"/>
  <c r="P117" i="5"/>
  <c r="AN122" i="5"/>
  <c r="AT139" i="5"/>
  <c r="AS139" i="5"/>
  <c r="AT147" i="5"/>
  <c r="AS147" i="5"/>
  <c r="AT173" i="5"/>
  <c r="AS173" i="5"/>
  <c r="AF181" i="5"/>
  <c r="AF49" i="5"/>
  <c r="X59" i="5"/>
  <c r="X63" i="5"/>
  <c r="P80" i="5"/>
  <c r="P84" i="5"/>
  <c r="AR90" i="5"/>
  <c r="AT90" i="5"/>
  <c r="AF95" i="5"/>
  <c r="AF105" i="5"/>
  <c r="AW113" i="5"/>
  <c r="AV113" i="5"/>
  <c r="P156" i="5"/>
  <c r="P168" i="5"/>
  <c r="X203" i="5"/>
  <c r="AT144" i="5"/>
  <c r="AR144" i="5"/>
  <c r="AF155" i="5"/>
  <c r="AF159" i="5"/>
  <c r="AS374" i="5"/>
  <c r="AT374" i="5"/>
  <c r="P129" i="5"/>
  <c r="AN135" i="5"/>
  <c r="P148" i="5"/>
  <c r="P170" i="5"/>
  <c r="AS408" i="5"/>
  <c r="AT408" i="5"/>
  <c r="AF203" i="5"/>
  <c r="AN370" i="5"/>
  <c r="AS172" i="5"/>
  <c r="AT172" i="5"/>
  <c r="P196" i="5"/>
  <c r="AN433" i="5"/>
  <c r="AV403" i="5"/>
  <c r="AW403" i="5"/>
  <c r="P459" i="5"/>
  <c r="X413" i="5"/>
  <c r="X398" i="5"/>
  <c r="AS433" i="5"/>
  <c r="AT433" i="5"/>
  <c r="P402" i="5"/>
  <c r="AV416" i="5"/>
  <c r="AW416" i="5"/>
  <c r="AS452" i="5"/>
  <c r="AT452" i="5"/>
  <c r="AF434" i="5"/>
  <c r="X173" i="5"/>
  <c r="AR354" i="5"/>
  <c r="AS354" i="5"/>
  <c r="X386" i="5"/>
  <c r="AN198" i="5"/>
  <c r="AN364" i="5"/>
  <c r="AR204" i="5"/>
  <c r="AS204" i="5"/>
  <c r="P380" i="5"/>
  <c r="AF475" i="5"/>
  <c r="AF404" i="5"/>
  <c r="AN385" i="5"/>
  <c r="X406" i="5"/>
  <c r="AV450" i="5"/>
  <c r="AW450" i="5"/>
  <c r="AV152" i="5"/>
  <c r="AW152" i="5"/>
  <c r="AW368" i="5"/>
  <c r="AV368" i="5"/>
  <c r="AF350" i="5"/>
  <c r="AN386" i="5"/>
  <c r="X410" i="5"/>
  <c r="X447" i="5"/>
  <c r="X404" i="5"/>
  <c r="AT390" i="5"/>
  <c r="AS390" i="5"/>
  <c r="AS427" i="5"/>
  <c r="AT427" i="5"/>
  <c r="AW447" i="5"/>
  <c r="AV447" i="5"/>
  <c r="AN469" i="5"/>
  <c r="AR36" i="5"/>
  <c r="AS36" i="5"/>
  <c r="P40" i="5"/>
  <c r="X53" i="5"/>
  <c r="AF62" i="5"/>
  <c r="AF74" i="5"/>
  <c r="AF81" i="5"/>
  <c r="AF87" i="5"/>
  <c r="AF98" i="5"/>
  <c r="AR110" i="5"/>
  <c r="AT110" i="5"/>
  <c r="P115" i="5"/>
  <c r="AT119" i="5"/>
  <c r="AS119" i="5"/>
  <c r="AF134" i="5"/>
  <c r="AN141" i="5"/>
  <c r="AW149" i="5"/>
  <c r="AU149" i="5"/>
  <c r="AS384" i="5"/>
  <c r="AT384" i="5"/>
  <c r="AF36" i="5"/>
  <c r="AF50" i="5"/>
  <c r="X66" i="5"/>
  <c r="P71" i="5"/>
  <c r="AS77" i="5"/>
  <c r="AT77" i="5"/>
  <c r="P86" i="5"/>
  <c r="AN91" i="5"/>
  <c r="AF97" i="5"/>
  <c r="AW107" i="5"/>
  <c r="AV107" i="5"/>
  <c r="X134" i="5"/>
  <c r="AV147" i="5"/>
  <c r="AW147" i="5"/>
  <c r="P178" i="5"/>
  <c r="AT138" i="5"/>
  <c r="AS138" i="5"/>
  <c r="AT146" i="5"/>
  <c r="AR146" i="5"/>
  <c r="AF161" i="5"/>
  <c r="AF165" i="5"/>
  <c r="X176" i="5"/>
  <c r="X355" i="5"/>
  <c r="AV465" i="5"/>
  <c r="AW465" i="5"/>
  <c r="AN131" i="5"/>
  <c r="P144" i="5"/>
  <c r="AR162" i="5"/>
  <c r="AT162" i="5"/>
  <c r="P442" i="5"/>
  <c r="AN176" i="5"/>
  <c r="AN354" i="5"/>
  <c r="AV397" i="5"/>
  <c r="AW397" i="5"/>
  <c r="AS402" i="5"/>
  <c r="AT402" i="5"/>
  <c r="X350" i="5"/>
  <c r="AV383" i="5"/>
  <c r="AW383" i="5"/>
  <c r="AF351" i="5"/>
  <c r="AT407" i="5"/>
  <c r="AS407" i="5"/>
  <c r="AN465" i="5"/>
  <c r="AU419" i="5"/>
  <c r="AW419" i="5"/>
  <c r="P416" i="5"/>
  <c r="X167" i="5"/>
  <c r="X361" i="5"/>
  <c r="AW371" i="5"/>
  <c r="AV371" i="5"/>
  <c r="P352" i="5"/>
  <c r="AS369" i="5"/>
  <c r="AT369" i="5"/>
  <c r="AV388" i="5"/>
  <c r="AW388" i="5"/>
  <c r="P425" i="5"/>
  <c r="X411" i="5"/>
  <c r="AW459" i="5"/>
  <c r="AV459" i="5"/>
  <c r="X414" i="5"/>
  <c r="AN423" i="5"/>
  <c r="AN462" i="5"/>
  <c r="AN142" i="5"/>
  <c r="AU160" i="5"/>
  <c r="AW160" i="5"/>
  <c r="AN169" i="5"/>
  <c r="X201" i="5"/>
  <c r="AT447" i="5"/>
  <c r="AS447" i="5"/>
  <c r="AF418" i="5"/>
  <c r="AN450" i="5"/>
  <c r="P353" i="5"/>
  <c r="P367" i="5"/>
  <c r="P428" i="5"/>
  <c r="P406" i="5"/>
  <c r="P449" i="5"/>
  <c r="AW390" i="5"/>
  <c r="AV390" i="5"/>
  <c r="AN155" i="5"/>
  <c r="AN161" i="5"/>
  <c r="AN168" i="5"/>
  <c r="X177" i="5"/>
  <c r="AN204" i="5"/>
  <c r="X140" i="5"/>
  <c r="X144" i="5"/>
  <c r="X148" i="5"/>
  <c r="AF170" i="5"/>
  <c r="P197" i="5"/>
  <c r="AN408" i="5"/>
  <c r="P169" i="5"/>
  <c r="AN178" i="5"/>
  <c r="X407" i="5"/>
  <c r="P362" i="5"/>
  <c r="AN376" i="5"/>
  <c r="AN199" i="5"/>
  <c r="AN350" i="5"/>
  <c r="AT363" i="5"/>
  <c r="AS363" i="5"/>
  <c r="AS405" i="5"/>
  <c r="AT405" i="5"/>
  <c r="X438" i="5"/>
  <c r="AT379" i="5"/>
  <c r="AR379" i="5"/>
  <c r="X394" i="5"/>
  <c r="X436" i="5"/>
  <c r="AF389" i="5"/>
  <c r="X403" i="5"/>
  <c r="AN417" i="5"/>
  <c r="AF435" i="5"/>
  <c r="AF447" i="5"/>
  <c r="AT418" i="5"/>
  <c r="AR418" i="5"/>
  <c r="P432" i="5"/>
  <c r="AN453" i="5"/>
  <c r="P466" i="5"/>
  <c r="AW60" i="5"/>
  <c r="AV60" i="5"/>
  <c r="AR79" i="5"/>
  <c r="AT79" i="5"/>
  <c r="AN111" i="5"/>
  <c r="P124" i="5"/>
  <c r="X139" i="5"/>
  <c r="P150" i="5"/>
  <c r="P181" i="5"/>
  <c r="X17" i="5"/>
  <c r="X22" i="5"/>
  <c r="AF27" i="5"/>
  <c r="AF32" i="5"/>
  <c r="AF40" i="5"/>
  <c r="AS61" i="5"/>
  <c r="AT61" i="5"/>
  <c r="AV68" i="5"/>
  <c r="AW68" i="5"/>
  <c r="AW77" i="5"/>
  <c r="AV77" i="5"/>
  <c r="AN112" i="5"/>
  <c r="AV125" i="5"/>
  <c r="AW125" i="5"/>
  <c r="AN150" i="5"/>
  <c r="AF438" i="5"/>
  <c r="P26" i="5"/>
  <c r="AF41" i="5"/>
  <c r="AN47" i="5"/>
  <c r="X51" i="5"/>
  <c r="X57" i="5"/>
  <c r="AF60" i="5"/>
  <c r="AF72" i="5"/>
  <c r="AF79" i="5"/>
  <c r="AF85" i="5"/>
  <c r="AF93" i="5"/>
  <c r="AF96" i="5"/>
  <c r="AN100" i="5"/>
  <c r="P106" i="5"/>
  <c r="AT112" i="5"/>
  <c r="AS112" i="5"/>
  <c r="P116" i="5"/>
  <c r="AT121" i="5"/>
  <c r="AR121" i="5"/>
  <c r="AW136" i="5"/>
  <c r="AV136" i="5"/>
  <c r="AF152" i="5"/>
  <c r="AF160" i="5"/>
  <c r="AS179" i="5"/>
  <c r="AT179" i="5"/>
  <c r="X356" i="5"/>
  <c r="AF52" i="5"/>
  <c r="AF56" i="5"/>
  <c r="P73" i="5"/>
  <c r="P78" i="5"/>
  <c r="AF104" i="5"/>
  <c r="AV109" i="5"/>
  <c r="AW109" i="5"/>
  <c r="AS125" i="5"/>
  <c r="AT125" i="5"/>
  <c r="AV139" i="5"/>
  <c r="AW139" i="5"/>
  <c r="P164" i="5"/>
  <c r="AT140" i="5"/>
  <c r="AR140" i="5"/>
  <c r="AF153" i="5"/>
  <c r="X168" i="5"/>
  <c r="X180" i="5"/>
  <c r="AN127" i="5"/>
  <c r="P133" i="5"/>
  <c r="P140" i="5"/>
  <c r="AS154" i="5"/>
  <c r="AT154" i="5"/>
  <c r="AT377" i="5"/>
  <c r="AS377" i="5"/>
  <c r="AF363" i="5"/>
  <c r="AF204" i="5"/>
  <c r="AN375" i="5"/>
  <c r="X352" i="5"/>
  <c r="P433" i="5"/>
  <c r="AF411" i="5"/>
  <c r="P452" i="5"/>
  <c r="AR431" i="5"/>
  <c r="AT431" i="5"/>
  <c r="AS397" i="5"/>
  <c r="AT397" i="5"/>
  <c r="P201" i="5"/>
  <c r="AN369" i="5"/>
  <c r="AU168" i="5"/>
  <c r="AW168" i="5"/>
  <c r="AN357" i="5"/>
  <c r="AR201" i="5"/>
  <c r="AS201" i="5"/>
  <c r="AN455" i="5"/>
  <c r="X374" i="5"/>
  <c r="P398" i="5"/>
  <c r="P426" i="5"/>
  <c r="AN428" i="5"/>
  <c r="P475" i="5"/>
  <c r="AW434" i="5"/>
  <c r="AV434" i="5"/>
  <c r="AN470" i="5"/>
  <c r="AF133" i="5"/>
  <c r="AN146" i="5"/>
  <c r="AT394" i="5"/>
  <c r="AS394" i="5"/>
  <c r="AN177" i="5"/>
  <c r="AN367" i="5"/>
  <c r="P403" i="5"/>
  <c r="AF200" i="5"/>
  <c r="X389" i="5"/>
  <c r="AV431" i="5"/>
  <c r="AW431" i="5"/>
  <c r="P378" i="5"/>
  <c r="X448" i="5"/>
  <c r="AF415" i="5"/>
  <c r="AV359" i="5"/>
  <c r="AW359" i="5"/>
  <c r="P405" i="5"/>
  <c r="X454" i="5"/>
  <c r="AF48" i="5"/>
  <c r="AF54" i="5"/>
  <c r="AN57" i="5"/>
  <c r="X61" i="5"/>
  <c r="P69" i="5"/>
  <c r="P75" i="5"/>
  <c r="P82" i="5"/>
  <c r="AS88" i="5"/>
  <c r="AT88" i="5"/>
  <c r="AW111" i="5"/>
  <c r="AV111" i="5"/>
  <c r="AN116" i="5"/>
  <c r="AW128" i="5"/>
  <c r="AV128" i="5"/>
  <c r="X137" i="5"/>
  <c r="X145" i="5"/>
  <c r="AT153" i="5"/>
  <c r="AS153" i="5"/>
  <c r="AR161" i="5"/>
  <c r="AT161" i="5"/>
  <c r="AV174" i="5"/>
  <c r="AW174" i="5"/>
  <c r="AR197" i="5"/>
  <c r="AS197" i="5"/>
  <c r="X125" i="5"/>
  <c r="AS142" i="5"/>
  <c r="AT142" i="5"/>
  <c r="AR148" i="5"/>
  <c r="AT148" i="5"/>
  <c r="AF151" i="5"/>
  <c r="AF157" i="5"/>
  <c r="AF163" i="5"/>
  <c r="AN363" i="5"/>
  <c r="P377" i="5"/>
  <c r="AF138" i="5"/>
  <c r="AF142" i="5"/>
  <c r="AF146" i="5"/>
  <c r="AN358" i="5"/>
  <c r="AT168" i="5"/>
  <c r="AR168" i="5"/>
  <c r="P198" i="5"/>
  <c r="P386" i="5"/>
  <c r="AT423" i="5"/>
  <c r="AS423" i="5"/>
  <c r="P368" i="5"/>
  <c r="AF378" i="5"/>
  <c r="AF395" i="5"/>
  <c r="X422" i="5"/>
  <c r="AF390" i="5"/>
  <c r="AF372" i="5"/>
  <c r="P388" i="5"/>
  <c r="AT421" i="5"/>
  <c r="AS421" i="5"/>
  <c r="AS455" i="5"/>
  <c r="AT455" i="5"/>
  <c r="AN383" i="5"/>
  <c r="AN397" i="5"/>
  <c r="AS441" i="5"/>
  <c r="AT441" i="5"/>
  <c r="AV471" i="5"/>
  <c r="AW471" i="5"/>
  <c r="AN475" i="5"/>
  <c r="P427" i="5"/>
  <c r="AT444" i="5"/>
  <c r="AS444" i="5"/>
  <c r="AF358" i="5"/>
  <c r="AT393" i="5"/>
  <c r="AR393" i="5"/>
  <c r="X418" i="5"/>
  <c r="X169" i="5"/>
  <c r="AN179" i="5"/>
  <c r="X358" i="5"/>
  <c r="X365" i="5"/>
  <c r="AN379" i="5"/>
  <c r="AV172" i="5"/>
  <c r="AW172" i="5"/>
  <c r="P202" i="5"/>
  <c r="AF355" i="5"/>
  <c r="AF362" i="5"/>
  <c r="AV369" i="5"/>
  <c r="AW369" i="5"/>
  <c r="P407" i="5"/>
  <c r="AN421" i="5"/>
  <c r="P200" i="5"/>
  <c r="AS203" i="5"/>
  <c r="AR203" i="5"/>
  <c r="AF371" i="5"/>
  <c r="P395" i="5"/>
  <c r="P421" i="5"/>
  <c r="X442" i="5"/>
  <c r="X353" i="5"/>
  <c r="P390" i="5"/>
  <c r="AN406" i="5"/>
  <c r="AN434" i="5"/>
  <c r="X455" i="5"/>
  <c r="X372" i="5"/>
  <c r="AV379" i="5"/>
  <c r="AW379" i="5"/>
  <c r="AT396" i="5"/>
  <c r="AS396" i="5"/>
  <c r="AT409" i="5"/>
  <c r="AR409" i="5"/>
  <c r="X420" i="5"/>
  <c r="AF383" i="5"/>
  <c r="AN440" i="5"/>
  <c r="AW472" i="5"/>
  <c r="AV472" i="5"/>
  <c r="AW446" i="5"/>
  <c r="AV446" i="5"/>
  <c r="AN458" i="5"/>
  <c r="AN468" i="5"/>
  <c r="AN412" i="5"/>
  <c r="AF127" i="5"/>
  <c r="AF131" i="5"/>
  <c r="AN140" i="5"/>
  <c r="AV158" i="5"/>
  <c r="AW158" i="5"/>
  <c r="AV166" i="5"/>
  <c r="AW166" i="5"/>
  <c r="AN195" i="5"/>
  <c r="AN359" i="5"/>
  <c r="AT392" i="5"/>
  <c r="AS392" i="5"/>
  <c r="AF431" i="5"/>
  <c r="AW198" i="5"/>
  <c r="AU198" i="5"/>
  <c r="AN381" i="5"/>
  <c r="X467" i="5"/>
  <c r="X198" i="5"/>
  <c r="AF396" i="5"/>
  <c r="AR439" i="5"/>
  <c r="AT439" i="5"/>
  <c r="AF199" i="5"/>
  <c r="AW363" i="5"/>
  <c r="AV363" i="5"/>
  <c r="AV377" i="5"/>
  <c r="AW377" i="5"/>
  <c r="AN422" i="5"/>
  <c r="P401" i="5"/>
  <c r="AV402" i="5"/>
  <c r="AW402" i="5"/>
  <c r="AF417" i="5"/>
  <c r="X441" i="5"/>
  <c r="AV452" i="5"/>
  <c r="AW452" i="5"/>
  <c r="AW474" i="5"/>
  <c r="AV474" i="5"/>
  <c r="AU398" i="5"/>
  <c r="AW398" i="5"/>
  <c r="AF414" i="5"/>
  <c r="AR453" i="5"/>
  <c r="AT453" i="5"/>
  <c r="AF385" i="5"/>
  <c r="AF400" i="5"/>
  <c r="AW430" i="5"/>
  <c r="AV430" i="5"/>
  <c r="P443" i="5"/>
  <c r="X471" i="5"/>
  <c r="AF432" i="5"/>
  <c r="AN353" i="5"/>
  <c r="AV396" i="5"/>
  <c r="AW396" i="5"/>
  <c r="AW367" i="5"/>
  <c r="AU367" i="5"/>
  <c r="AT430" i="5"/>
  <c r="AR430" i="5"/>
  <c r="P383" i="5"/>
  <c r="AV406" i="5"/>
  <c r="AW406" i="5"/>
  <c r="AW427" i="5"/>
  <c r="AV427" i="5"/>
  <c r="X444" i="5"/>
  <c r="AF406" i="5"/>
  <c r="X461" i="5"/>
  <c r="P423" i="5"/>
  <c r="AS436" i="5"/>
  <c r="AT436" i="5"/>
  <c r="AT391" i="5"/>
  <c r="AR391" i="5"/>
  <c r="AW405" i="5"/>
  <c r="AV405" i="5"/>
  <c r="AF450" i="5"/>
  <c r="X171" i="5"/>
  <c r="AN175" i="5"/>
  <c r="P356" i="5"/>
  <c r="P363" i="5"/>
  <c r="X459" i="5"/>
  <c r="AW170" i="5"/>
  <c r="AU170" i="5"/>
  <c r="AN196" i="5"/>
  <c r="AF359" i="5"/>
  <c r="AF375" i="5"/>
  <c r="AF381" i="5"/>
  <c r="AR420" i="5"/>
  <c r="AT420" i="5"/>
  <c r="X433" i="5"/>
  <c r="AT476" i="5"/>
  <c r="AS476" i="5"/>
  <c r="AS202" i="5"/>
  <c r="AR202" i="5"/>
  <c r="P350" i="5"/>
  <c r="P382" i="5"/>
  <c r="AV391" i="5"/>
  <c r="AW391" i="5"/>
  <c r="AF402" i="5"/>
  <c r="P413" i="5"/>
  <c r="AN431" i="5"/>
  <c r="X351" i="5"/>
  <c r="P371" i="5"/>
  <c r="AV401" i="5"/>
  <c r="AW401" i="5"/>
  <c r="AN415" i="5"/>
  <c r="X366" i="5"/>
  <c r="AU376" i="5"/>
  <c r="AW376" i="5"/>
  <c r="AF448" i="5"/>
  <c r="X465" i="5"/>
  <c r="AR381" i="5"/>
  <c r="AT381" i="5"/>
  <c r="X409" i="5"/>
  <c r="AW435" i="5"/>
  <c r="AV435" i="5"/>
  <c r="AW451" i="5"/>
  <c r="AV451" i="5"/>
  <c r="AF465" i="5"/>
  <c r="X425" i="5"/>
  <c r="AW415" i="5"/>
  <c r="AV415" i="5"/>
  <c r="AV438" i="5"/>
  <c r="AW438" i="5"/>
  <c r="AN456" i="5"/>
  <c r="AN464" i="5"/>
  <c r="X477" i="5"/>
  <c r="AV154" i="5"/>
  <c r="AW154" i="5"/>
  <c r="AV164" i="5"/>
  <c r="AW164" i="5"/>
  <c r="AF474" i="5"/>
  <c r="AN171" i="5"/>
  <c r="AN181" i="5"/>
  <c r="X204" i="5"/>
  <c r="AF377" i="5"/>
  <c r="AW370" i="5"/>
  <c r="AV370" i="5"/>
  <c r="AT435" i="5"/>
  <c r="AR435" i="5"/>
  <c r="AS451" i="5"/>
  <c r="AT451" i="5"/>
  <c r="AV362" i="5"/>
  <c r="AW362" i="5"/>
  <c r="AT371" i="5"/>
  <c r="AS371" i="5"/>
  <c r="AV393" i="5"/>
  <c r="AW393" i="5"/>
  <c r="X434" i="5"/>
  <c r="X367" i="5"/>
  <c r="P394" i="5"/>
  <c r="AU467" i="5"/>
  <c r="AW467" i="5"/>
  <c r="X435" i="5"/>
  <c r="X453" i="5"/>
  <c r="AN416" i="5"/>
  <c r="AV440" i="5"/>
  <c r="AW440" i="5"/>
  <c r="X473" i="5"/>
  <c r="AR358" i="5"/>
  <c r="AS358" i="5"/>
  <c r="P375" i="5"/>
  <c r="P412" i="5"/>
  <c r="P465" i="5"/>
  <c r="AT460" i="5"/>
  <c r="AR460" i="5"/>
  <c r="AF423" i="5"/>
  <c r="AV469" i="5"/>
  <c r="AW469" i="5"/>
  <c r="AV445" i="5"/>
  <c r="AW445" i="5"/>
  <c r="X388" i="5"/>
  <c r="AN411" i="5"/>
  <c r="P469" i="5"/>
  <c r="AV433" i="5"/>
  <c r="AW433" i="5"/>
  <c r="AU460" i="5"/>
  <c r="AW460" i="5"/>
  <c r="AW426" i="5"/>
  <c r="AV426" i="5"/>
  <c r="AN432" i="5"/>
  <c r="AV442" i="5"/>
  <c r="AW442" i="5"/>
  <c r="AN454" i="5"/>
  <c r="AN460" i="5"/>
  <c r="AN466" i="5"/>
  <c r="AW457" i="5"/>
  <c r="AV457" i="5"/>
  <c r="AF129" i="5"/>
  <c r="AF135" i="5"/>
  <c r="AN138" i="5"/>
  <c r="AN144" i="5"/>
  <c r="AW150" i="5"/>
  <c r="AV150" i="5"/>
  <c r="AW156" i="5"/>
  <c r="AU156" i="5"/>
  <c r="AW162" i="5"/>
  <c r="AU162" i="5"/>
  <c r="AU169" i="5"/>
  <c r="AW169" i="5"/>
  <c r="X363" i="5"/>
  <c r="AN378" i="5"/>
  <c r="AF442" i="5"/>
  <c r="AN167" i="5"/>
  <c r="AN173" i="5"/>
  <c r="AW196" i="5"/>
  <c r="AV196" i="5"/>
  <c r="AN371" i="5"/>
  <c r="X196" i="5"/>
  <c r="X199" i="5"/>
  <c r="AW366" i="5"/>
  <c r="AU366" i="5"/>
  <c r="AS373" i="5"/>
  <c r="AT373" i="5"/>
  <c r="X430" i="5"/>
  <c r="AR443" i="5"/>
  <c r="AT443" i="5"/>
  <c r="AF352" i="5"/>
  <c r="AW361" i="5"/>
  <c r="AV361" i="5"/>
  <c r="AW364" i="5"/>
  <c r="AV364" i="5"/>
  <c r="AF369" i="5"/>
  <c r="P381" i="5"/>
  <c r="X390" i="5"/>
  <c r="AW400" i="5"/>
  <c r="AV400" i="5"/>
  <c r="AV411" i="5"/>
  <c r="AW411" i="5"/>
  <c r="X463" i="5"/>
  <c r="X380" i="5"/>
  <c r="AR398" i="5"/>
  <c r="AT398" i="5"/>
  <c r="X375" i="5"/>
  <c r="P392" i="5"/>
  <c r="P399" i="5"/>
  <c r="AF405" i="5"/>
  <c r="AF428" i="5"/>
  <c r="AS380" i="5"/>
  <c r="AT380" i="5"/>
  <c r="X387" i="5"/>
  <c r="X393" i="5"/>
  <c r="AN400" i="5"/>
  <c r="P408" i="5"/>
  <c r="AT417" i="5"/>
  <c r="AS417" i="5"/>
  <c r="AN448" i="5"/>
  <c r="AW423" i="5"/>
  <c r="AV423" i="5"/>
  <c r="X439" i="5"/>
  <c r="X445" i="5"/>
  <c r="X451" i="5"/>
  <c r="AF471" i="5"/>
  <c r="AN429" i="5"/>
  <c r="AW436" i="5"/>
  <c r="AV436" i="5"/>
  <c r="AW448" i="5"/>
  <c r="AV448" i="5"/>
  <c r="AS356" i="5"/>
  <c r="AR356" i="5"/>
  <c r="AT368" i="5"/>
  <c r="AS368" i="5"/>
  <c r="AF433" i="5"/>
  <c r="AW449" i="5"/>
  <c r="AV449" i="5"/>
  <c r="P467" i="5"/>
  <c r="P374" i="5"/>
  <c r="AN401" i="5"/>
  <c r="AW425" i="5"/>
  <c r="AV425" i="5"/>
  <c r="AS437" i="5"/>
  <c r="AT437" i="5"/>
  <c r="AF461" i="5"/>
  <c r="X383" i="5"/>
  <c r="P389" i="5"/>
  <c r="P393" i="5"/>
  <c r="AN403" i="5"/>
  <c r="P424" i="5"/>
  <c r="P457" i="5"/>
  <c r="P454" i="5"/>
  <c r="AS468" i="5"/>
  <c r="AT468" i="5"/>
  <c r="AF476" i="5"/>
  <c r="AT422" i="5"/>
  <c r="AS422" i="5"/>
  <c r="AF429" i="5"/>
  <c r="AF460" i="5"/>
  <c r="AF466" i="5"/>
  <c r="AT475" i="5"/>
  <c r="AS475" i="5"/>
  <c r="AW358" i="5"/>
  <c r="AV358" i="5"/>
  <c r="AN442" i="5"/>
  <c r="AN463" i="5"/>
  <c r="AF394" i="5"/>
  <c r="AF401" i="5"/>
  <c r="AN444" i="5"/>
  <c r="P461" i="5"/>
  <c r="AN387" i="5"/>
  <c r="AN396" i="5"/>
  <c r="AF403" i="5"/>
  <c r="AT425" i="5"/>
  <c r="AR425" i="5"/>
  <c r="AN461" i="5"/>
  <c r="AT416" i="5"/>
  <c r="AS416" i="5"/>
  <c r="AN439" i="5"/>
  <c r="AU453" i="5"/>
  <c r="AW453" i="5"/>
  <c r="X476" i="5"/>
  <c r="AW473" i="5"/>
  <c r="AV473" i="5"/>
  <c r="X450" i="5"/>
  <c r="AT472" i="5"/>
  <c r="AS472" i="5"/>
  <c r="X354" i="5"/>
  <c r="AW437" i="5"/>
  <c r="AV437" i="5"/>
  <c r="AT461" i="5"/>
  <c r="AR461" i="5"/>
  <c r="X373" i="5"/>
  <c r="AV381" i="5"/>
  <c r="AW381" i="5"/>
  <c r="AN388" i="5"/>
  <c r="P397" i="5"/>
  <c r="AF440" i="5"/>
  <c r="X457" i="5"/>
  <c r="AV384" i="5"/>
  <c r="AW384" i="5"/>
  <c r="X391" i="5"/>
  <c r="X412" i="5"/>
  <c r="X426" i="5"/>
  <c r="AW443" i="5"/>
  <c r="AU443" i="5"/>
  <c r="AF457" i="5"/>
  <c r="AN420" i="5"/>
  <c r="X437" i="5"/>
  <c r="X443" i="5"/>
  <c r="X449" i="5"/>
  <c r="AV476" i="5"/>
  <c r="AW476" i="5"/>
  <c r="AN427" i="5"/>
  <c r="AV444" i="5"/>
  <c r="AW444" i="5"/>
  <c r="AT469" i="5"/>
  <c r="AS469" i="5"/>
  <c r="AR355" i="5"/>
  <c r="AS355" i="5"/>
  <c r="AS359" i="5"/>
  <c r="AR359" i="5"/>
  <c r="AN395" i="5"/>
  <c r="AT406" i="5"/>
  <c r="AS406" i="5"/>
  <c r="AF421" i="5"/>
  <c r="AV461" i="5"/>
  <c r="AW461" i="5"/>
  <c r="P372" i="5"/>
  <c r="P384" i="5"/>
  <c r="AV394" i="5"/>
  <c r="AW394" i="5"/>
  <c r="X405" i="5"/>
  <c r="P411" i="5"/>
  <c r="P419" i="5"/>
  <c r="AS445" i="5"/>
  <c r="AT445" i="5"/>
  <c r="AF469" i="5"/>
  <c r="P387" i="5"/>
  <c r="AN407" i="5"/>
  <c r="X419" i="5"/>
  <c r="AN419" i="5"/>
  <c r="AT429" i="5"/>
  <c r="AR429" i="5"/>
  <c r="P439" i="5"/>
  <c r="P445" i="5"/>
  <c r="AR462" i="5"/>
  <c r="AT462" i="5"/>
  <c r="AF427" i="5"/>
  <c r="AF464" i="5"/>
  <c r="AF470" i="5"/>
  <c r="AN477" i="5"/>
  <c r="AW355" i="5"/>
  <c r="AV355" i="5"/>
  <c r="X382" i="5"/>
  <c r="X431" i="5"/>
  <c r="AN372" i="5"/>
  <c r="AF399" i="5"/>
  <c r="AN436" i="5"/>
  <c r="AV386" i="5"/>
  <c r="AW386" i="5"/>
  <c r="AF408" i="5"/>
  <c r="AV421" i="5"/>
  <c r="AW421" i="5"/>
  <c r="P472" i="5"/>
  <c r="X423" i="5"/>
  <c r="AN435" i="5"/>
  <c r="AV470" i="5"/>
  <c r="AW470" i="5"/>
  <c r="P351" i="5"/>
  <c r="P354" i="5"/>
  <c r="AS357" i="5"/>
  <c r="AR357" i="5"/>
  <c r="AR366" i="5"/>
  <c r="AT366" i="5"/>
  <c r="AF370" i="5"/>
  <c r="X376" i="5"/>
  <c r="AW382" i="5"/>
  <c r="AV382" i="5"/>
  <c r="AV392" i="5"/>
  <c r="AW392" i="5"/>
  <c r="AW407" i="5"/>
  <c r="AV407" i="5"/>
  <c r="AN446" i="5"/>
  <c r="AF459" i="5"/>
  <c r="P366" i="5"/>
  <c r="P373" i="5"/>
  <c r="AF376" i="5"/>
  <c r="AF388" i="5"/>
  <c r="AN392" i="5"/>
  <c r="AN399" i="5"/>
  <c r="P440" i="5"/>
  <c r="P448" i="5"/>
  <c r="AN474" i="5"/>
  <c r="AF384" i="5"/>
  <c r="P391" i="5"/>
  <c r="AW408" i="5"/>
  <c r="AV408" i="5"/>
  <c r="X440" i="5"/>
  <c r="AV424" i="5"/>
  <c r="AW424" i="5"/>
  <c r="AT432" i="5"/>
  <c r="AS432" i="5"/>
  <c r="P437" i="5"/>
  <c r="P451" i="5"/>
  <c r="AT456" i="5"/>
  <c r="AR456" i="5"/>
  <c r="AT466" i="5"/>
  <c r="AR466" i="5"/>
  <c r="AF472" i="5"/>
  <c r="AF454" i="5"/>
  <c r="AF458" i="5"/>
  <c r="P474" i="5"/>
  <c r="AV356" i="5"/>
  <c r="AW356" i="5"/>
  <c r="P369" i="5"/>
  <c r="AV399" i="5"/>
  <c r="AW399" i="5"/>
  <c r="AT414" i="5"/>
  <c r="AS414" i="5"/>
  <c r="AN374" i="5"/>
  <c r="X381" i="5"/>
  <c r="AF392" i="5"/>
  <c r="AF398" i="5"/>
  <c r="AT403" i="5"/>
  <c r="AS403" i="5"/>
  <c r="AS413" i="5"/>
  <c r="AT413" i="5"/>
  <c r="AW439" i="5"/>
  <c r="AV439" i="5"/>
  <c r="AN452" i="5"/>
  <c r="AS477" i="5"/>
  <c r="AT477" i="5"/>
  <c r="AW389" i="5"/>
  <c r="AV389" i="5"/>
  <c r="AN393" i="5"/>
  <c r="X400" i="5"/>
  <c r="AN410" i="5"/>
  <c r="AN418" i="5"/>
  <c r="AT454" i="5"/>
  <c r="AS454" i="5"/>
  <c r="AS415" i="5"/>
  <c r="AT415" i="5"/>
  <c r="AW432" i="5"/>
  <c r="AV432" i="5"/>
  <c r="AN447" i="5"/>
  <c r="AN451" i="5"/>
  <c r="AU458" i="5"/>
  <c r="AW458" i="5"/>
  <c r="AU466" i="5"/>
  <c r="AW466" i="5"/>
  <c r="X415" i="5"/>
  <c r="X432" i="5"/>
  <c r="X460" i="5"/>
  <c r="AN441" i="5"/>
  <c r="AN445" i="5"/>
  <c r="AV454" i="5"/>
  <c r="AW454" i="5"/>
  <c r="AU464" i="5"/>
  <c r="AW464" i="5"/>
  <c r="X472" i="5"/>
  <c r="X429" i="5"/>
  <c r="X466" i="5"/>
  <c r="AW477" i="5"/>
  <c r="AV477" i="5"/>
  <c r="AV422" i="5"/>
  <c r="AW422" i="5"/>
  <c r="X427" i="5"/>
  <c r="X458" i="5"/>
  <c r="X464" i="5"/>
  <c r="X470" i="5"/>
  <c r="P410" i="5"/>
  <c r="AN413" i="5"/>
  <c r="AF420" i="5"/>
  <c r="X428" i="5"/>
  <c r="X417" i="5"/>
  <c r="P435" i="5"/>
  <c r="P441" i="5"/>
  <c r="P447" i="5"/>
  <c r="P453" i="5"/>
  <c r="AR458" i="5"/>
  <c r="AT458" i="5"/>
  <c r="AR464" i="5"/>
  <c r="AT464" i="5"/>
  <c r="AS470" i="5"/>
  <c r="AT470" i="5"/>
  <c r="AF416" i="5"/>
  <c r="AN424" i="5"/>
  <c r="AF456" i="5"/>
  <c r="AF462" i="5"/>
  <c r="AF468" i="5"/>
  <c r="AN472" i="5"/>
  <c r="AN476" i="5"/>
  <c r="X474" i="5"/>
  <c r="AN351" i="5"/>
  <c r="AU354" i="5"/>
  <c r="AW354" i="5"/>
  <c r="AW357" i="5"/>
  <c r="AV357" i="5"/>
  <c r="AN377" i="5"/>
  <c r="AW385" i="5"/>
  <c r="AV385" i="5"/>
  <c r="X395" i="5"/>
  <c r="AN402" i="5"/>
  <c r="AV410" i="5"/>
  <c r="AW410" i="5"/>
  <c r="AF419" i="5"/>
  <c r="AN373" i="5"/>
  <c r="AN382" i="5"/>
  <c r="AS386" i="5"/>
  <c r="AT386" i="5"/>
  <c r="P404" i="5"/>
  <c r="P414" i="5"/>
  <c r="P476" i="5"/>
  <c r="AT382" i="5"/>
  <c r="AR382" i="5"/>
  <c r="X385" i="5"/>
  <c r="AN391" i="5"/>
  <c r="AT395" i="5"/>
  <c r="AS395" i="5"/>
  <c r="X402" i="5"/>
  <c r="AW409" i="5"/>
  <c r="AU409" i="5"/>
  <c r="AW412" i="5"/>
  <c r="AV412" i="5"/>
  <c r="P420" i="5"/>
  <c r="AF436" i="5"/>
  <c r="AF444" i="5"/>
  <c r="AF452" i="5"/>
  <c r="AS459" i="5"/>
  <c r="AT459" i="5"/>
  <c r="AR467" i="5"/>
  <c r="AT467" i="5"/>
  <c r="AS473" i="5"/>
  <c r="AT473" i="5"/>
  <c r="P417" i="5"/>
  <c r="AN425" i="5"/>
  <c r="AV429" i="5"/>
  <c r="AW429" i="5"/>
  <c r="AN437" i="5"/>
  <c r="AN443" i="5"/>
  <c r="AN449" i="5"/>
  <c r="AV456" i="5"/>
  <c r="AW456" i="5"/>
  <c r="AW462" i="5"/>
  <c r="AU462" i="5"/>
  <c r="AV468" i="5"/>
  <c r="AW468" i="5"/>
  <c r="X416" i="5"/>
  <c r="AF424" i="5"/>
  <c r="X456" i="5"/>
  <c r="X462" i="5"/>
  <c r="X468" i="5"/>
  <c r="E8" i="16"/>
  <c r="E7" i="16"/>
  <c r="I7" i="16"/>
  <c r="AW478" i="5"/>
  <c r="AW480" i="5"/>
  <c r="AW483" i="5"/>
  <c r="AT337" i="5"/>
  <c r="AT339" i="5"/>
  <c r="AT478" i="5"/>
  <c r="AT480" i="5"/>
  <c r="AT483" i="5"/>
  <c r="AW337" i="5"/>
  <c r="AW339" i="5"/>
  <c r="AJ195" i="4"/>
  <c r="AI104" i="5"/>
  <c r="K64" i="5"/>
  <c r="AA31" i="5"/>
  <c r="K318" i="5"/>
  <c r="K373" i="5"/>
  <c r="AI305" i="5"/>
  <c r="K262" i="5"/>
  <c r="AA413" i="5"/>
  <c r="AI28" i="5"/>
  <c r="AA116" i="5"/>
  <c r="S138" i="5"/>
  <c r="K167" i="5"/>
  <c r="AA368" i="5"/>
  <c r="K414" i="5"/>
  <c r="K23" i="5"/>
  <c r="AI74" i="5"/>
  <c r="AI262" i="5"/>
  <c r="K60" i="5"/>
  <c r="AA472" i="5"/>
  <c r="K50" i="5"/>
  <c r="S298" i="5"/>
  <c r="S91" i="5"/>
  <c r="AA45" i="5"/>
  <c r="S102" i="5"/>
  <c r="S97" i="5"/>
  <c r="AA405" i="5"/>
  <c r="S305" i="5"/>
  <c r="AA324" i="5"/>
  <c r="S316" i="5"/>
  <c r="K317" i="5"/>
  <c r="K28" i="5"/>
  <c r="S366" i="5"/>
  <c r="K26" i="5"/>
  <c r="AA138" i="5"/>
  <c r="AA112" i="5"/>
  <c r="AI57" i="5"/>
  <c r="S159" i="5"/>
  <c r="S100" i="5"/>
  <c r="S96" i="5"/>
  <c r="S92" i="5"/>
  <c r="AI26" i="5"/>
  <c r="AA317" i="5"/>
  <c r="K67" i="5"/>
  <c r="K180" i="5"/>
  <c r="S297" i="5"/>
  <c r="AI386" i="5"/>
  <c r="AA30" i="5"/>
  <c r="AA327" i="5"/>
  <c r="K281" i="5"/>
  <c r="AA17" i="5"/>
  <c r="S53" i="5"/>
  <c r="AI48" i="5"/>
  <c r="K163" i="5"/>
  <c r="S66" i="5"/>
  <c r="AA133" i="5"/>
  <c r="S439" i="5"/>
  <c r="K76" i="5"/>
  <c r="S131" i="5"/>
  <c r="AA143" i="5"/>
  <c r="AI255" i="5"/>
  <c r="AI180" i="5"/>
  <c r="K322" i="5"/>
  <c r="AI119" i="5"/>
  <c r="AI415" i="5"/>
  <c r="K316" i="5"/>
  <c r="K32" i="5"/>
  <c r="K51" i="5"/>
  <c r="AA358" i="5"/>
  <c r="S179" i="5"/>
  <c r="S77" i="5"/>
  <c r="S23" i="5"/>
  <c r="K22" i="5"/>
  <c r="S47" i="5"/>
  <c r="AA174" i="5"/>
  <c r="S262" i="5"/>
  <c r="K121" i="5"/>
  <c r="AI75" i="5"/>
  <c r="S95" i="5"/>
  <c r="K126" i="5"/>
  <c r="AI298" i="5"/>
  <c r="AI196" i="5"/>
  <c r="AA21" i="5"/>
  <c r="AI108" i="5"/>
  <c r="K36" i="5"/>
  <c r="S125" i="5"/>
  <c r="AI429" i="5"/>
  <c r="AI307" i="5"/>
  <c r="K297" i="5"/>
  <c r="K90" i="5"/>
  <c r="AI24" i="5"/>
  <c r="S148" i="5"/>
  <c r="S26" i="5"/>
  <c r="S103" i="5"/>
  <c r="AI46" i="5"/>
  <c r="AA397" i="5"/>
  <c r="K66" i="5"/>
  <c r="AA140" i="5"/>
  <c r="K55" i="5"/>
  <c r="K395" i="5"/>
  <c r="K424" i="5"/>
  <c r="AI209" i="5"/>
  <c r="K329" i="5"/>
  <c r="AA320" i="5"/>
  <c r="S11" i="5"/>
  <c r="AA24" i="5"/>
  <c r="AI76" i="5"/>
  <c r="S413" i="5"/>
  <c r="K91" i="5"/>
  <c r="S86" i="5"/>
  <c r="K155" i="5"/>
  <c r="S166" i="5"/>
  <c r="K466" i="5"/>
  <c r="AI297" i="5"/>
  <c r="K101" i="5"/>
  <c r="AA85" i="5"/>
  <c r="K152" i="5"/>
  <c r="AA58" i="5"/>
  <c r="AI86" i="5"/>
  <c r="AI38" i="5"/>
  <c r="AI384" i="5"/>
  <c r="K92" i="5"/>
  <c r="AA39" i="5"/>
  <c r="K95" i="5"/>
  <c r="S124" i="5"/>
  <c r="AA155" i="5"/>
  <c r="AI167" i="5"/>
  <c r="S358" i="5"/>
  <c r="AI458" i="5"/>
  <c r="AA300" i="5"/>
  <c r="AI318" i="5"/>
  <c r="K12" i="5"/>
  <c r="AA40" i="5"/>
  <c r="K138" i="5"/>
  <c r="AI29" i="5"/>
  <c r="AI87" i="5"/>
  <c r="S154" i="5"/>
  <c r="S417" i="5"/>
  <c r="S209" i="5"/>
  <c r="K240" i="5"/>
  <c r="AA142" i="5"/>
  <c r="AA165" i="5"/>
  <c r="AA365" i="5"/>
  <c r="AA396" i="5"/>
  <c r="K463" i="5"/>
  <c r="S167" i="5"/>
  <c r="K109" i="5"/>
  <c r="AA52" i="5"/>
  <c r="AI80" i="5"/>
  <c r="S70" i="5"/>
  <c r="AI122" i="5"/>
  <c r="AI130" i="5"/>
  <c r="AA379" i="5"/>
  <c r="AA318" i="5"/>
  <c r="K58" i="5"/>
  <c r="AA25" i="5"/>
  <c r="K127" i="5"/>
  <c r="K35" i="5"/>
  <c r="AA79" i="5"/>
  <c r="AA402" i="5"/>
  <c r="AI425" i="5"/>
  <c r="K108" i="5"/>
  <c r="AA65" i="5"/>
  <c r="AI173" i="5"/>
  <c r="K474" i="5"/>
  <c r="K53" i="5"/>
  <c r="S165" i="5"/>
  <c r="K378" i="5"/>
  <c r="S372" i="5"/>
  <c r="K407" i="5"/>
  <c r="K433" i="5"/>
  <c r="AI417" i="5"/>
  <c r="K326" i="5"/>
  <c r="AI123" i="5"/>
  <c r="S76" i="5"/>
  <c r="AA127" i="5"/>
  <c r="AI14" i="5"/>
  <c r="AA18" i="5"/>
  <c r="AI32" i="5"/>
  <c r="AA102" i="5"/>
  <c r="S78" i="5"/>
  <c r="S35" i="5"/>
  <c r="AI72" i="5"/>
  <c r="S94" i="5"/>
  <c r="S158" i="5"/>
  <c r="AA139" i="5"/>
  <c r="K401" i="5"/>
  <c r="K430" i="5"/>
  <c r="AA228" i="5"/>
  <c r="AA322" i="5"/>
  <c r="AI299" i="5"/>
  <c r="K305" i="5"/>
  <c r="K15" i="5"/>
  <c r="AA46" i="5"/>
  <c r="AI155" i="5"/>
  <c r="K20" i="5"/>
  <c r="S44" i="5"/>
  <c r="AI111" i="5"/>
  <c r="K63" i="5"/>
  <c r="K82" i="5"/>
  <c r="AA83" i="5"/>
  <c r="S157" i="5"/>
  <c r="K156" i="5"/>
  <c r="K363" i="5"/>
  <c r="S386" i="5"/>
  <c r="S456" i="5"/>
  <c r="K419" i="5"/>
  <c r="K112" i="5"/>
  <c r="S140" i="5"/>
  <c r="AI11" i="5"/>
  <c r="S41" i="5"/>
  <c r="S107" i="5"/>
  <c r="S33" i="5"/>
  <c r="K48" i="5"/>
  <c r="AI69" i="5"/>
  <c r="S153" i="5"/>
  <c r="AI41" i="5"/>
  <c r="AI53" i="5"/>
  <c r="S83" i="5"/>
  <c r="K129" i="5"/>
  <c r="AI166" i="5"/>
  <c r="AA178" i="5"/>
  <c r="AI368" i="5"/>
  <c r="AA475" i="5"/>
  <c r="AA122" i="5"/>
  <c r="K31" i="5"/>
  <c r="AA123" i="5"/>
  <c r="AA77" i="5"/>
  <c r="S69" i="5"/>
  <c r="AI83" i="5"/>
  <c r="S98" i="5"/>
  <c r="AI124" i="5"/>
  <c r="S150" i="5"/>
  <c r="AI169" i="5"/>
  <c r="K145" i="5"/>
  <c r="K173" i="5"/>
  <c r="K170" i="5"/>
  <c r="AA454" i="5"/>
  <c r="K239" i="5"/>
  <c r="AI282" i="5"/>
  <c r="AI327" i="5"/>
  <c r="S17" i="5"/>
  <c r="AI136" i="5"/>
  <c r="S13" i="5"/>
  <c r="S38" i="5"/>
  <c r="K16" i="5"/>
  <c r="AI106" i="5"/>
  <c r="AA33" i="5"/>
  <c r="AA29" i="5"/>
  <c r="AI54" i="5"/>
  <c r="K73" i="5"/>
  <c r="AA87" i="5"/>
  <c r="S135" i="5"/>
  <c r="AA355" i="5"/>
  <c r="K160" i="5"/>
  <c r="AA176" i="5"/>
  <c r="K382" i="5"/>
  <c r="AI385" i="5"/>
  <c r="K471" i="5"/>
  <c r="S144" i="5"/>
  <c r="K171" i="5"/>
  <c r="AA56" i="5"/>
  <c r="AI65" i="5"/>
  <c r="AI84" i="5"/>
  <c r="AI95" i="5"/>
  <c r="S142" i="5"/>
  <c r="AA167" i="5"/>
  <c r="AI55" i="5"/>
  <c r="S72" i="5"/>
  <c r="AA93" i="5"/>
  <c r="K117" i="5"/>
  <c r="AI134" i="5"/>
  <c r="S425" i="5"/>
  <c r="AA423" i="5"/>
  <c r="AA157" i="5"/>
  <c r="S74" i="5"/>
  <c r="AI156" i="5"/>
  <c r="AA141" i="5"/>
  <c r="AA100" i="5"/>
  <c r="AI120" i="5"/>
  <c r="AI406" i="5"/>
  <c r="K65" i="5"/>
  <c r="AI90" i="5"/>
  <c r="AI115" i="5"/>
  <c r="AI178" i="5"/>
  <c r="K30" i="5"/>
  <c r="AA97" i="5"/>
  <c r="AA38" i="5"/>
  <c r="K74" i="5"/>
  <c r="AI131" i="5"/>
  <c r="AA171" i="5"/>
  <c r="K377" i="5"/>
  <c r="AA362" i="5"/>
  <c r="K175" i="5"/>
  <c r="AI422" i="5"/>
  <c r="AA458" i="5"/>
  <c r="AI407" i="5"/>
  <c r="AI463" i="5"/>
  <c r="K415" i="5"/>
  <c r="S56" i="5"/>
  <c r="AA71" i="5"/>
  <c r="AA92" i="5"/>
  <c r="K105" i="5"/>
  <c r="K199" i="5"/>
  <c r="AA55" i="5"/>
  <c r="K81" i="5"/>
  <c r="S115" i="5"/>
  <c r="K365" i="5"/>
  <c r="S175" i="5"/>
  <c r="K179" i="5"/>
  <c r="K462" i="5"/>
  <c r="S450" i="5"/>
  <c r="AA128" i="5"/>
  <c r="AA354" i="5"/>
  <c r="AI473" i="5"/>
  <c r="AA469" i="5"/>
  <c r="AI444" i="5"/>
  <c r="AI152" i="5"/>
  <c r="AI460" i="5"/>
  <c r="K136" i="5"/>
  <c r="K369" i="5"/>
  <c r="S373" i="5"/>
  <c r="K408" i="5"/>
  <c r="AA118" i="5"/>
  <c r="AA11" i="5"/>
  <c r="AA88" i="5"/>
  <c r="AA173" i="5"/>
  <c r="K37" i="5"/>
  <c r="AA69" i="5"/>
  <c r="AA129" i="5"/>
  <c r="K144" i="5"/>
  <c r="AA41" i="5"/>
  <c r="S62" i="5"/>
  <c r="AA94" i="5"/>
  <c r="K151" i="5"/>
  <c r="S145" i="5"/>
  <c r="S196" i="5"/>
  <c r="AA168" i="5"/>
  <c r="AA180" i="5"/>
  <c r="K477" i="5"/>
  <c r="AA446" i="5"/>
  <c r="K201" i="5"/>
  <c r="S170" i="5"/>
  <c r="S368" i="5"/>
  <c r="K177" i="5"/>
  <c r="AA386" i="5"/>
  <c r="AA387" i="5"/>
  <c r="S415" i="5"/>
  <c r="AA51" i="5"/>
  <c r="K72" i="5"/>
  <c r="AA106" i="5"/>
  <c r="AA166" i="5"/>
  <c r="S134" i="5"/>
  <c r="AA172" i="5"/>
  <c r="AI447" i="5"/>
  <c r="S471" i="5"/>
  <c r="AA411" i="5"/>
  <c r="AA466" i="5"/>
  <c r="AI197" i="5"/>
  <c r="K354" i="5"/>
  <c r="S378" i="5"/>
  <c r="AA374" i="5"/>
  <c r="AI437" i="5"/>
  <c r="S411" i="5"/>
  <c r="AA471" i="5"/>
  <c r="S442" i="5"/>
  <c r="AI145" i="5"/>
  <c r="AI172" i="5"/>
  <c r="K364" i="5"/>
  <c r="S174" i="5"/>
  <c r="AI354" i="5"/>
  <c r="AA372" i="5"/>
  <c r="K425" i="5"/>
  <c r="AA453" i="5"/>
  <c r="AA450" i="5"/>
  <c r="AA203" i="5"/>
  <c r="K353" i="5"/>
  <c r="K393" i="5"/>
  <c r="AI432" i="5"/>
  <c r="S394" i="5"/>
  <c r="S434" i="5"/>
  <c r="AI428" i="5"/>
  <c r="AI468" i="5"/>
  <c r="S197" i="5"/>
  <c r="K416" i="5"/>
  <c r="AI420" i="5"/>
  <c r="S477" i="5"/>
  <c r="S395" i="5"/>
  <c r="K473" i="5"/>
  <c r="K374" i="5"/>
  <c r="AI400" i="5"/>
  <c r="AA457" i="5"/>
  <c r="AI448" i="5"/>
  <c r="AA437" i="5"/>
  <c r="AA464" i="5"/>
  <c r="S462" i="5"/>
  <c r="AI352" i="5"/>
  <c r="S461" i="5"/>
  <c r="K426" i="5"/>
  <c r="AA428" i="5"/>
  <c r="AA393" i="5"/>
  <c r="S314" i="5"/>
  <c r="AA445" i="5"/>
  <c r="K56" i="5"/>
  <c r="AA68" i="5"/>
  <c r="S15" i="5"/>
  <c r="S119" i="5"/>
  <c r="S68" i="5"/>
  <c r="K24" i="5"/>
  <c r="S427" i="5"/>
  <c r="AA426" i="5"/>
  <c r="K209" i="5"/>
  <c r="S281" i="5"/>
  <c r="AA124" i="5"/>
  <c r="S61" i="5"/>
  <c r="AA306" i="5"/>
  <c r="AA16" i="5"/>
  <c r="AA104" i="5"/>
  <c r="K172" i="5"/>
  <c r="S329" i="5"/>
  <c r="S22" i="5"/>
  <c r="K149" i="5"/>
  <c r="K168" i="5"/>
  <c r="S108" i="5"/>
  <c r="S299" i="5"/>
  <c r="K314" i="5"/>
  <c r="K142" i="5"/>
  <c r="K169" i="5"/>
  <c r="AA316" i="5"/>
  <c r="AA27" i="5"/>
  <c r="K97" i="5"/>
  <c r="AA148" i="5"/>
  <c r="AI451" i="5"/>
  <c r="K459" i="5"/>
  <c r="AI328" i="5"/>
  <c r="AI20" i="5"/>
  <c r="K45" i="5"/>
  <c r="S80" i="5"/>
  <c r="K119" i="5"/>
  <c r="AA197" i="5"/>
  <c r="AA282" i="5"/>
  <c r="K100" i="5"/>
  <c r="K198" i="5"/>
  <c r="S228" i="5"/>
  <c r="AI88" i="5"/>
  <c r="AI316" i="5"/>
  <c r="S99" i="5"/>
  <c r="K255" i="5"/>
  <c r="AI39" i="5"/>
  <c r="S14" i="5"/>
  <c r="AI103" i="5"/>
  <c r="S57" i="5"/>
  <c r="K454" i="5"/>
  <c r="K114" i="5"/>
  <c r="S101" i="5"/>
  <c r="S55" i="5"/>
  <c r="AA357" i="5"/>
  <c r="S116" i="5"/>
  <c r="S317" i="5"/>
  <c r="AA131" i="5"/>
  <c r="AA144" i="5"/>
  <c r="K130" i="5"/>
  <c r="AA307" i="5"/>
  <c r="AI325" i="5"/>
  <c r="K327" i="5"/>
  <c r="K131" i="5"/>
  <c r="K366" i="5"/>
  <c r="S391" i="5"/>
  <c r="AA325" i="5"/>
  <c r="AI151" i="5"/>
  <c r="AI15" i="5"/>
  <c r="K88" i="5"/>
  <c r="AI132" i="5"/>
  <c r="AI351" i="5"/>
  <c r="K328" i="5"/>
  <c r="S51" i="5"/>
  <c r="S282" i="5"/>
  <c r="AA14" i="5"/>
  <c r="AA121" i="5"/>
  <c r="S390" i="5"/>
  <c r="K439" i="5"/>
  <c r="AA281" i="5"/>
  <c r="K306" i="5"/>
  <c r="S323" i="5"/>
  <c r="AI21" i="5"/>
  <c r="AI102" i="5"/>
  <c r="K39" i="5"/>
  <c r="AI113" i="5"/>
  <c r="AI176" i="5"/>
  <c r="K68" i="5"/>
  <c r="AA36" i="5"/>
  <c r="S143" i="5"/>
  <c r="K197" i="5"/>
  <c r="AA329" i="5"/>
  <c r="AA305" i="5"/>
  <c r="AA37" i="5"/>
  <c r="AI31" i="5"/>
  <c r="AI17" i="5"/>
  <c r="AI23" i="5"/>
  <c r="AA48" i="5"/>
  <c r="S177" i="5"/>
  <c r="K11" i="5"/>
  <c r="AI52" i="5"/>
  <c r="S146" i="5"/>
  <c r="S114" i="5"/>
  <c r="S24" i="5"/>
  <c r="AI67" i="5"/>
  <c r="AI97" i="5"/>
  <c r="AI51" i="5"/>
  <c r="AI96" i="5"/>
  <c r="S204" i="5"/>
  <c r="AI35" i="5"/>
  <c r="K107" i="5"/>
  <c r="AI18" i="5"/>
  <c r="AA108" i="5"/>
  <c r="AA35" i="5"/>
  <c r="K157" i="5"/>
  <c r="AA49" i="5"/>
  <c r="S104" i="5"/>
  <c r="K57" i="5"/>
  <c r="AA201" i="5"/>
  <c r="AA394" i="5"/>
  <c r="AI240" i="5"/>
  <c r="S90" i="5"/>
  <c r="K134" i="5"/>
  <c r="AI13" i="5"/>
  <c r="AA32" i="5"/>
  <c r="S18" i="5"/>
  <c r="AA44" i="5"/>
  <c r="K59" i="5"/>
  <c r="K133" i="5"/>
  <c r="AA72" i="5"/>
  <c r="S139" i="5"/>
  <c r="K460" i="5"/>
  <c r="K13" i="5"/>
  <c r="AI133" i="5"/>
  <c r="AI61" i="5"/>
  <c r="AI91" i="5"/>
  <c r="S85" i="5"/>
  <c r="AI403" i="5"/>
  <c r="S160" i="5"/>
  <c r="AI382" i="5"/>
  <c r="AI322" i="5"/>
  <c r="AI323" i="5"/>
  <c r="K84" i="5"/>
  <c r="K164" i="5"/>
  <c r="S30" i="5"/>
  <c r="AI73" i="5"/>
  <c r="AI34" i="5"/>
  <c r="AA204" i="5"/>
  <c r="S132" i="5"/>
  <c r="K174" i="5"/>
  <c r="AI435" i="5"/>
  <c r="S407" i="5"/>
  <c r="K467" i="5"/>
  <c r="K307" i="5"/>
  <c r="S327" i="5"/>
  <c r="AA323" i="5"/>
  <c r="AA314" i="5"/>
  <c r="AI12" i="5"/>
  <c r="AI22" i="5"/>
  <c r="K19" i="5"/>
  <c r="S117" i="5"/>
  <c r="S59" i="5"/>
  <c r="S84" i="5"/>
  <c r="AI79" i="5"/>
  <c r="S164" i="5"/>
  <c r="AA147" i="5"/>
  <c r="AI362" i="5"/>
  <c r="AA350" i="5"/>
  <c r="S318" i="5"/>
  <c r="S322" i="5"/>
  <c r="AI329" i="5"/>
  <c r="AA255" i="5"/>
  <c r="S65" i="5"/>
  <c r="S122" i="5"/>
  <c r="AA15" i="5"/>
  <c r="K89" i="5"/>
  <c r="AI110" i="5"/>
  <c r="K359" i="5"/>
  <c r="AI50" i="5"/>
  <c r="K69" i="5"/>
  <c r="AA105" i="5"/>
  <c r="AI62" i="5"/>
  <c r="K98" i="5"/>
  <c r="AI126" i="5"/>
  <c r="K162" i="5"/>
  <c r="S128" i="5"/>
  <c r="S171" i="5"/>
  <c r="AI409" i="5"/>
  <c r="AA439" i="5"/>
  <c r="AA448" i="5"/>
  <c r="K455" i="5"/>
  <c r="K113" i="5"/>
  <c r="K153" i="5"/>
  <c r="S37" i="5"/>
  <c r="AI63" i="5"/>
  <c r="S161" i="5"/>
  <c r="AI47" i="5"/>
  <c r="AI94" i="5"/>
  <c r="K140" i="5"/>
  <c r="K139" i="5"/>
  <c r="AA371" i="5"/>
  <c r="AI394" i="5"/>
  <c r="AA76" i="5"/>
  <c r="S113" i="5"/>
  <c r="AI37" i="5"/>
  <c r="K27" i="5"/>
  <c r="AA125" i="5"/>
  <c r="S75" i="5"/>
  <c r="AI105" i="5"/>
  <c r="AI177" i="5"/>
  <c r="AI70" i="5"/>
  <c r="S156" i="5"/>
  <c r="K355" i="5"/>
  <c r="AI128" i="5"/>
  <c r="AA416" i="5"/>
  <c r="S420" i="5"/>
  <c r="AI317" i="5"/>
  <c r="AA328" i="5"/>
  <c r="AI112" i="5"/>
  <c r="S20" i="5"/>
  <c r="K103" i="5"/>
  <c r="AA26" i="5"/>
  <c r="K413" i="5"/>
  <c r="AI107" i="5"/>
  <c r="K61" i="5"/>
  <c r="K80" i="5"/>
  <c r="AA74" i="5"/>
  <c r="K96" i="5"/>
  <c r="K166" i="5"/>
  <c r="AI203" i="5"/>
  <c r="AI443" i="5"/>
  <c r="AI413" i="5"/>
  <c r="AI466" i="5"/>
  <c r="S58" i="5"/>
  <c r="AA19" i="5"/>
  <c r="S46" i="5"/>
  <c r="AA50" i="5"/>
  <c r="AI59" i="5"/>
  <c r="AI68" i="5"/>
  <c r="AI78" i="5"/>
  <c r="AI127" i="5"/>
  <c r="AA151" i="5"/>
  <c r="K148" i="5"/>
  <c r="K147" i="5"/>
  <c r="AI200" i="5"/>
  <c r="K367" i="5"/>
  <c r="K399" i="5"/>
  <c r="AA67" i="5"/>
  <c r="S87" i="5"/>
  <c r="AI98" i="5"/>
  <c r="AA115" i="5"/>
  <c r="AI125" i="5"/>
  <c r="AI150" i="5"/>
  <c r="S356" i="5"/>
  <c r="AA145" i="5"/>
  <c r="AI355" i="5"/>
  <c r="AA432" i="5"/>
  <c r="S464" i="5"/>
  <c r="AA412" i="5"/>
  <c r="AI129" i="5"/>
  <c r="AA12" i="5"/>
  <c r="AI121" i="5"/>
  <c r="K370" i="5"/>
  <c r="K49" i="5"/>
  <c r="AA61" i="5"/>
  <c r="AA86" i="5"/>
  <c r="S364" i="5"/>
  <c r="AI142" i="5"/>
  <c r="AA199" i="5"/>
  <c r="S460" i="5"/>
  <c r="S141" i="5"/>
  <c r="S201" i="5"/>
  <c r="AA170" i="5"/>
  <c r="S361" i="5"/>
  <c r="S374" i="5"/>
  <c r="AA441" i="5"/>
  <c r="S444" i="5"/>
  <c r="AI398" i="5"/>
  <c r="S384" i="5"/>
  <c r="S50" i="5"/>
  <c r="AA59" i="5"/>
  <c r="AA84" i="5"/>
  <c r="AA95" i="5"/>
  <c r="AI157" i="5"/>
  <c r="K40" i="5"/>
  <c r="S60" i="5"/>
  <c r="K159" i="5"/>
  <c r="AA152" i="5"/>
  <c r="AA390" i="5"/>
  <c r="AA200" i="5"/>
  <c r="AI378" i="5"/>
  <c r="K465" i="5"/>
  <c r="K204" i="5"/>
  <c r="K417" i="5"/>
  <c r="K391" i="5"/>
  <c r="AA460" i="5"/>
  <c r="AA126" i="5"/>
  <c r="AI164" i="5"/>
  <c r="K128" i="5"/>
  <c r="AI204" i="5"/>
  <c r="S181" i="5"/>
  <c r="S371" i="5"/>
  <c r="AI404" i="5"/>
  <c r="AI89" i="5"/>
  <c r="K362" i="5"/>
  <c r="K29" i="5"/>
  <c r="S54" i="5"/>
  <c r="AA63" i="5"/>
  <c r="AA82" i="5"/>
  <c r="S67" i="5"/>
  <c r="K83" i="5"/>
  <c r="AA98" i="5"/>
  <c r="AA158" i="5"/>
  <c r="AA462" i="5"/>
  <c r="AA388" i="5"/>
  <c r="K380" i="5"/>
  <c r="AA373" i="5"/>
  <c r="AI412" i="5"/>
  <c r="AA356" i="5"/>
  <c r="AI365" i="5"/>
  <c r="S64" i="5"/>
  <c r="K85" i="5"/>
  <c r="S93" i="5"/>
  <c r="AI357" i="5"/>
  <c r="AA160" i="5"/>
  <c r="S173" i="5"/>
  <c r="AA359" i="5"/>
  <c r="K356" i="5"/>
  <c r="S354" i="5"/>
  <c r="K461" i="5"/>
  <c r="AI475" i="5"/>
  <c r="AA177" i="5"/>
  <c r="S367" i="5"/>
  <c r="AA470" i="5"/>
  <c r="AI454" i="5"/>
  <c r="S397" i="5"/>
  <c r="S424" i="5"/>
  <c r="AA418" i="5"/>
  <c r="S448" i="5"/>
  <c r="S421" i="5"/>
  <c r="AA136" i="5"/>
  <c r="AI149" i="5"/>
  <c r="K181" i="5"/>
  <c r="AA363" i="5"/>
  <c r="AA353" i="5"/>
  <c r="AA382" i="5"/>
  <c r="K383" i="5"/>
  <c r="AI449" i="5"/>
  <c r="AA421" i="5"/>
  <c r="K457" i="5"/>
  <c r="AI364" i="5"/>
  <c r="S168" i="5"/>
  <c r="K203" i="5"/>
  <c r="AI395" i="5"/>
  <c r="AI367" i="5"/>
  <c r="AI464" i="5"/>
  <c r="K449" i="5"/>
  <c r="K400" i="5"/>
  <c r="AI401" i="5"/>
  <c r="S440" i="5"/>
  <c r="AA130" i="5"/>
  <c r="AI143" i="5"/>
  <c r="AI419" i="5"/>
  <c r="S203" i="5"/>
  <c r="AA468" i="5"/>
  <c r="AI389" i="5"/>
  <c r="AA408" i="5"/>
  <c r="AA455" i="5"/>
  <c r="S379" i="5"/>
  <c r="K398" i="5"/>
  <c r="K418" i="5"/>
  <c r="K475" i="5"/>
  <c r="AI147" i="5"/>
  <c r="K202" i="5"/>
  <c r="AI402" i="5"/>
  <c r="AI170" i="5"/>
  <c r="S362" i="5"/>
  <c r="K432" i="5"/>
  <c r="AI374" i="5"/>
  <c r="S350" i="5"/>
  <c r="AI445" i="5"/>
  <c r="AI414" i="5"/>
  <c r="AI459" i="5"/>
  <c r="K352" i="5"/>
  <c r="K386" i="5"/>
  <c r="AI391" i="5"/>
  <c r="K412" i="5"/>
  <c r="AA443" i="5"/>
  <c r="K440" i="5"/>
  <c r="K385" i="5"/>
  <c r="AA409" i="5"/>
  <c r="AI411" i="5"/>
  <c r="AI372" i="5"/>
  <c r="AI423" i="5"/>
  <c r="AI408" i="5"/>
  <c r="S405" i="5"/>
  <c r="K420" i="5"/>
  <c r="AI465" i="5"/>
  <c r="K350" i="5"/>
  <c r="AI379" i="5"/>
  <c r="AA377" i="5"/>
  <c r="K435" i="5"/>
  <c r="K397" i="5"/>
  <c r="AA435" i="5"/>
  <c r="S401" i="5"/>
  <c r="AI455" i="5"/>
  <c r="S475" i="5"/>
  <c r="K410" i="5"/>
  <c r="K388" i="5"/>
  <c r="S398" i="5"/>
  <c r="S472" i="5"/>
  <c r="AA414" i="5"/>
  <c r="AA467" i="5"/>
  <c r="K376" i="5"/>
  <c r="AA404" i="5"/>
  <c r="AI441" i="5"/>
  <c r="K464" i="5"/>
  <c r="S419" i="5"/>
  <c r="S474" i="5"/>
  <c r="AI431" i="5"/>
  <c r="S457" i="5"/>
  <c r="S455" i="5"/>
  <c r="AI474" i="5"/>
  <c r="S445" i="5"/>
  <c r="K431" i="5"/>
  <c r="K450" i="5"/>
  <c r="K421" i="5"/>
  <c r="AA465" i="5"/>
  <c r="AA449" i="5"/>
  <c r="S377" i="5"/>
  <c r="AA400" i="5"/>
  <c r="S466" i="5"/>
  <c r="S399" i="5"/>
  <c r="AI446" i="5"/>
  <c r="S428" i="5"/>
  <c r="K472" i="5"/>
  <c r="K451" i="5"/>
  <c r="K434" i="5"/>
  <c r="AA407" i="5"/>
  <c r="AI375" i="5"/>
  <c r="S396" i="5"/>
  <c r="AA376" i="5"/>
  <c r="AA398" i="5"/>
  <c r="AI433" i="5"/>
  <c r="K392" i="5"/>
  <c r="S470" i="5"/>
  <c r="K452" i="5"/>
  <c r="S370" i="5"/>
  <c r="AA391" i="5"/>
  <c r="AI392" i="5"/>
  <c r="AI467" i="5"/>
  <c r="S385" i="5"/>
  <c r="AI396" i="5"/>
  <c r="K394" i="5"/>
  <c r="AI416" i="5"/>
  <c r="AA463" i="5"/>
  <c r="S387" i="5"/>
  <c r="AI442" i="5"/>
  <c r="AI421" i="5"/>
  <c r="S433" i="5"/>
  <c r="S473" i="5"/>
  <c r="AI371" i="5"/>
  <c r="K441" i="5"/>
  <c r="S458" i="5"/>
  <c r="AI388" i="5"/>
  <c r="AI434" i="5"/>
  <c r="S459" i="5"/>
  <c r="S129" i="5"/>
  <c r="AI228" i="5"/>
  <c r="K110" i="5"/>
  <c r="AI313" i="5"/>
  <c r="AA297" i="5"/>
  <c r="AI300" i="5"/>
  <c r="S43" i="5"/>
  <c r="S21" i="5"/>
  <c r="AA110" i="5"/>
  <c r="S449" i="5"/>
  <c r="AI324" i="5"/>
  <c r="AI16" i="5"/>
  <c r="S120" i="5"/>
  <c r="AI138" i="5"/>
  <c r="AA375" i="5"/>
  <c r="AA169" i="5"/>
  <c r="S255" i="5"/>
  <c r="AA369" i="5"/>
  <c r="K313" i="5"/>
  <c r="K111" i="5"/>
  <c r="S39" i="5"/>
  <c r="AI114" i="5"/>
  <c r="AA120" i="5"/>
  <c r="K122" i="5"/>
  <c r="AA28" i="5"/>
  <c r="K54" i="5"/>
  <c r="K320" i="5"/>
  <c r="AI281" i="5"/>
  <c r="AI163" i="5"/>
  <c r="S109" i="5"/>
  <c r="AA107" i="5"/>
  <c r="S155" i="5"/>
  <c r="AA20" i="5"/>
  <c r="S357" i="5"/>
  <c r="S240" i="5"/>
  <c r="AA361" i="5"/>
  <c r="AA90" i="5"/>
  <c r="K52" i="5"/>
  <c r="S25" i="5"/>
  <c r="AI363" i="5"/>
  <c r="AI326" i="5"/>
  <c r="AA57" i="5"/>
  <c r="AA117" i="5"/>
  <c r="AA22" i="5"/>
  <c r="AI146" i="5"/>
  <c r="K141" i="5"/>
  <c r="AI101" i="5"/>
  <c r="S89" i="5"/>
  <c r="K325" i="5"/>
  <c r="AA366" i="5"/>
  <c r="AI58" i="5"/>
  <c r="AI159" i="5"/>
  <c r="K18" i="5"/>
  <c r="K93" i="5"/>
  <c r="AA381" i="5"/>
  <c r="K282" i="5"/>
  <c r="K25" i="5"/>
  <c r="AI116" i="5"/>
  <c r="S169" i="5"/>
  <c r="AA135" i="5"/>
  <c r="AI239" i="5"/>
  <c r="S326" i="5"/>
  <c r="AI109" i="5"/>
  <c r="AI174" i="5"/>
  <c r="AA113" i="5"/>
  <c r="K116" i="5"/>
  <c r="S300" i="5"/>
  <c r="AA111" i="5"/>
  <c r="S151" i="5"/>
  <c r="K118" i="5"/>
  <c r="S199" i="5"/>
  <c r="K17" i="5"/>
  <c r="S106" i="5"/>
  <c r="AA395" i="5"/>
  <c r="S28" i="5"/>
  <c r="AI36" i="5"/>
  <c r="S320" i="5"/>
  <c r="AI43" i="5"/>
  <c r="AI33" i="5"/>
  <c r="K41" i="5"/>
  <c r="K62" i="5"/>
  <c r="S363" i="5"/>
  <c r="AA326" i="5"/>
  <c r="AA240" i="5"/>
  <c r="S239" i="5"/>
  <c r="K228" i="5"/>
  <c r="AA239" i="5"/>
  <c r="S16" i="5"/>
  <c r="S123" i="5"/>
  <c r="K21" i="5"/>
  <c r="AA103" i="5"/>
  <c r="K135" i="5"/>
  <c r="AI19" i="5"/>
  <c r="AI144" i="5"/>
  <c r="K99" i="5"/>
  <c r="K43" i="5"/>
  <c r="K106" i="5"/>
  <c r="AI175" i="5"/>
  <c r="K390" i="5"/>
  <c r="S400" i="5"/>
  <c r="AA444" i="5"/>
  <c r="S306" i="5"/>
  <c r="K299" i="5"/>
  <c r="AA298" i="5"/>
  <c r="S325" i="5"/>
  <c r="AA47" i="5"/>
  <c r="S88" i="5"/>
  <c r="AA43" i="5"/>
  <c r="AA23" i="5"/>
  <c r="S121" i="5"/>
  <c r="AI81" i="5"/>
  <c r="S447" i="5"/>
  <c r="K387" i="5"/>
  <c r="K298" i="5"/>
  <c r="K323" i="5"/>
  <c r="AI118" i="5"/>
  <c r="K47" i="5"/>
  <c r="K71" i="5"/>
  <c r="AA424" i="5"/>
  <c r="AA477" i="5"/>
  <c r="K447" i="5"/>
  <c r="K44" i="5"/>
  <c r="S49" i="5"/>
  <c r="AI181" i="5"/>
  <c r="AA64" i="5"/>
  <c r="AA378" i="5"/>
  <c r="AI40" i="5"/>
  <c r="K14" i="5"/>
  <c r="AA109" i="5"/>
  <c r="AA114" i="5"/>
  <c r="S127" i="5"/>
  <c r="AA452" i="5"/>
  <c r="AA410" i="5"/>
  <c r="AI330" i="5"/>
  <c r="S118" i="5"/>
  <c r="S36" i="5"/>
  <c r="K358" i="5"/>
  <c r="S27" i="5"/>
  <c r="AA153" i="5"/>
  <c r="S73" i="5"/>
  <c r="AI353" i="5"/>
  <c r="AA262" i="5"/>
  <c r="AI320" i="5"/>
  <c r="K120" i="5"/>
  <c r="AI93" i="5"/>
  <c r="S32" i="5"/>
  <c r="K102" i="5"/>
  <c r="K78" i="5"/>
  <c r="K196" i="5"/>
  <c r="K94" i="5"/>
  <c r="AA163" i="5"/>
  <c r="K158" i="5"/>
  <c r="S369" i="5"/>
  <c r="AA431" i="5"/>
  <c r="K104" i="5"/>
  <c r="AI100" i="5"/>
  <c r="AI160" i="5"/>
  <c r="AI314" i="5"/>
  <c r="S324" i="5"/>
  <c r="S163" i="5"/>
  <c r="AA13" i="5"/>
  <c r="K371" i="5"/>
  <c r="S147" i="5"/>
  <c r="AA198" i="5"/>
  <c r="K143" i="5"/>
  <c r="AA202" i="5"/>
  <c r="S351" i="5"/>
  <c r="S409" i="5"/>
  <c r="S404" i="5"/>
  <c r="AA436" i="5"/>
  <c r="K330" i="5"/>
  <c r="AA330" i="5"/>
  <c r="K324" i="5"/>
  <c r="S307" i="5"/>
  <c r="S12" i="5"/>
  <c r="AI27" i="5"/>
  <c r="AA101" i="5"/>
  <c r="AI30" i="5"/>
  <c r="S71" i="5"/>
  <c r="S198" i="5"/>
  <c r="AI85" i="5"/>
  <c r="S152" i="5"/>
  <c r="AI199" i="5"/>
  <c r="S328" i="5"/>
  <c r="AI306" i="5"/>
  <c r="AA313" i="5"/>
  <c r="S330" i="5"/>
  <c r="AA299" i="5"/>
  <c r="S112" i="5"/>
  <c r="K34" i="5"/>
  <c r="AA89" i="5"/>
  <c r="S45" i="5"/>
  <c r="K123" i="5"/>
  <c r="K38" i="5"/>
  <c r="K77" i="5"/>
  <c r="AI56" i="5"/>
  <c r="K75" i="5"/>
  <c r="K409" i="5"/>
  <c r="AA70" i="5"/>
  <c r="K150" i="5"/>
  <c r="S136" i="5"/>
  <c r="K195" i="5"/>
  <c r="S375" i="5"/>
  <c r="AI424" i="5"/>
  <c r="AA99" i="5"/>
  <c r="AA161" i="5"/>
  <c r="S29" i="5"/>
  <c r="AA54" i="5"/>
  <c r="AI66" i="5"/>
  <c r="AI82" i="5"/>
  <c r="AI356" i="5"/>
  <c r="AA62" i="5"/>
  <c r="S79" i="5"/>
  <c r="AI99" i="5"/>
  <c r="AI153" i="5"/>
  <c r="AI359" i="5"/>
  <c r="S451" i="5"/>
  <c r="K389" i="5"/>
  <c r="K146" i="5"/>
  <c r="K124" i="5"/>
  <c r="K428" i="5"/>
  <c r="K46" i="5"/>
  <c r="AI25" i="5"/>
  <c r="AI45" i="5"/>
  <c r="K161" i="5"/>
  <c r="S63" i="5"/>
  <c r="S82" i="5"/>
  <c r="AI77" i="5"/>
  <c r="K115" i="5"/>
  <c r="S162" i="5"/>
  <c r="K137" i="5"/>
  <c r="AA195" i="5"/>
  <c r="S441" i="5"/>
  <c r="K422" i="5"/>
  <c r="AA209" i="5"/>
  <c r="S313" i="5"/>
  <c r="K300" i="5"/>
  <c r="AI44" i="5"/>
  <c r="S200" i="5"/>
  <c r="AI140" i="5"/>
  <c r="S48" i="5"/>
  <c r="K86" i="5"/>
  <c r="AI171" i="5"/>
  <c r="AI60" i="5"/>
  <c r="AA81" i="5"/>
  <c r="K154" i="5"/>
  <c r="K458" i="5"/>
  <c r="S353" i="5"/>
  <c r="S381" i="5"/>
  <c r="AA440" i="5"/>
  <c r="S110" i="5"/>
  <c r="AA146" i="5"/>
  <c r="S31" i="5"/>
  <c r="K125" i="5"/>
  <c r="AI71" i="5"/>
  <c r="AI92" i="5"/>
  <c r="S105" i="5"/>
  <c r="AI135" i="5"/>
  <c r="AA159" i="5"/>
  <c r="S40" i="5"/>
  <c r="AI161" i="5"/>
  <c r="AI154" i="5"/>
  <c r="AI472" i="5"/>
  <c r="S19" i="5"/>
  <c r="AI117" i="5"/>
  <c r="AA60" i="5"/>
  <c r="S81" i="5"/>
  <c r="AI162" i="5"/>
  <c r="S468" i="5"/>
  <c r="AA137" i="5"/>
  <c r="AI202" i="5"/>
  <c r="K176" i="5"/>
  <c r="S443" i="5"/>
  <c r="K375" i="5"/>
  <c r="AI381" i="5"/>
  <c r="AA384" i="5"/>
  <c r="AA447" i="5"/>
  <c r="AI64" i="5"/>
  <c r="AA91" i="5"/>
  <c r="S34" i="5"/>
  <c r="S133" i="5"/>
  <c r="K165" i="5"/>
  <c r="S52" i="5"/>
  <c r="AA73" i="5"/>
  <c r="AA80" i="5"/>
  <c r="AA34" i="5"/>
  <c r="AA53" i="5"/>
  <c r="K70" i="5"/>
  <c r="S126" i="5"/>
  <c r="AA150" i="5"/>
  <c r="AA164" i="5"/>
  <c r="S380" i="5"/>
  <c r="S383" i="5"/>
  <c r="AI477" i="5"/>
  <c r="AI137" i="5"/>
  <c r="AI198" i="5"/>
  <c r="S195" i="5"/>
  <c r="S423" i="5"/>
  <c r="AA78" i="5"/>
  <c r="AI165" i="5"/>
  <c r="AA156" i="5"/>
  <c r="S137" i="5"/>
  <c r="S365" i="5"/>
  <c r="AI439" i="5"/>
  <c r="AA383" i="5"/>
  <c r="AA434" i="5"/>
  <c r="AI376" i="5"/>
  <c r="K429" i="5"/>
  <c r="K396" i="5"/>
  <c r="S392" i="5"/>
  <c r="S431" i="5"/>
  <c r="K357" i="5"/>
  <c r="AA149" i="5"/>
  <c r="AI158" i="5"/>
  <c r="AI390" i="5"/>
  <c r="K132" i="5"/>
  <c r="AA364" i="5"/>
  <c r="AI201" i="5"/>
  <c r="S435" i="5"/>
  <c r="AA352" i="5"/>
  <c r="K453" i="5"/>
  <c r="K468" i="5"/>
  <c r="AI453" i="5"/>
  <c r="AI49" i="5"/>
  <c r="K361" i="5"/>
  <c r="AA119" i="5"/>
  <c r="K33" i="5"/>
  <c r="AA66" i="5"/>
  <c r="AA75" i="5"/>
  <c r="K87" i="5"/>
  <c r="AI179" i="5"/>
  <c r="S149" i="5"/>
  <c r="AA162" i="5"/>
  <c r="K368" i="5"/>
  <c r="AA429" i="5"/>
  <c r="AI370" i="5"/>
  <c r="S393" i="5"/>
  <c r="AI195" i="5"/>
  <c r="AI399" i="5"/>
  <c r="S438" i="5"/>
  <c r="S352" i="5"/>
  <c r="S426" i="5"/>
  <c r="K79" i="5"/>
  <c r="AA96" i="5"/>
  <c r="AA154" i="5"/>
  <c r="AA196" i="5"/>
  <c r="S130" i="5"/>
  <c r="AA473" i="5"/>
  <c r="K381" i="5"/>
  <c r="K178" i="5"/>
  <c r="AA370" i="5"/>
  <c r="K437" i="5"/>
  <c r="S402" i="5"/>
  <c r="AA442" i="5"/>
  <c r="S172" i="5"/>
  <c r="AA181" i="5"/>
  <c r="K351" i="5"/>
  <c r="AI387" i="5"/>
  <c r="K402" i="5"/>
  <c r="AI470" i="5"/>
  <c r="K404" i="5"/>
  <c r="S436" i="5"/>
  <c r="AI430" i="5"/>
  <c r="AI168" i="5"/>
  <c r="S376" i="5"/>
  <c r="AI377" i="5"/>
  <c r="K403" i="5"/>
  <c r="AA461" i="5"/>
  <c r="AI476" i="5"/>
  <c r="S429" i="5"/>
  <c r="AA438" i="5"/>
  <c r="K469" i="5"/>
  <c r="S176" i="5"/>
  <c r="K200" i="5"/>
  <c r="AA385" i="5"/>
  <c r="AA406" i="5"/>
  <c r="S388" i="5"/>
  <c r="S446" i="5"/>
  <c r="AA134" i="5"/>
  <c r="AI148" i="5"/>
  <c r="S359" i="5"/>
  <c r="S178" i="5"/>
  <c r="AI361" i="5"/>
  <c r="S382" i="5"/>
  <c r="AA351" i="5"/>
  <c r="K443" i="5"/>
  <c r="AI418" i="5"/>
  <c r="AA132" i="5"/>
  <c r="AI141" i="5"/>
  <c r="S202" i="5"/>
  <c r="AA175" i="5"/>
  <c r="AA380" i="5"/>
  <c r="AI427" i="5"/>
  <c r="AI369" i="5"/>
  <c r="S412" i="5"/>
  <c r="AI462" i="5"/>
  <c r="S432" i="5"/>
  <c r="AI469" i="5"/>
  <c r="AI397" i="5"/>
  <c r="S476" i="5"/>
  <c r="K411" i="5"/>
  <c r="K448" i="5"/>
  <c r="AI350" i="5"/>
  <c r="AI373" i="5"/>
  <c r="K379" i="5"/>
  <c r="AA403" i="5"/>
  <c r="S454" i="5"/>
  <c r="AA433" i="5"/>
  <c r="AI383" i="5"/>
  <c r="K406" i="5"/>
  <c r="K456" i="5"/>
  <c r="AI461" i="5"/>
  <c r="AI471" i="5"/>
  <c r="AA415" i="5"/>
  <c r="S403" i="5"/>
  <c r="K423" i="5"/>
  <c r="AA456" i="5"/>
  <c r="AI380" i="5"/>
  <c r="AA401" i="5"/>
  <c r="AA451" i="5"/>
  <c r="S418" i="5"/>
  <c r="K442" i="5"/>
  <c r="AA419" i="5"/>
  <c r="S408" i="5"/>
  <c r="K427" i="5"/>
  <c r="K384" i="5"/>
  <c r="AI426" i="5"/>
  <c r="AI438" i="5"/>
  <c r="AI436" i="5"/>
  <c r="AI450" i="5"/>
  <c r="S414" i="5"/>
  <c r="S430" i="5"/>
  <c r="S467" i="5"/>
  <c r="S453" i="5"/>
  <c r="AA422" i="5"/>
  <c r="K444" i="5"/>
  <c r="AA459" i="5"/>
  <c r="AA367" i="5"/>
  <c r="AI366" i="5"/>
  <c r="S389" i="5"/>
  <c r="AA425" i="5"/>
  <c r="S422" i="5"/>
  <c r="AI440" i="5"/>
  <c r="AA420" i="5"/>
  <c r="S465" i="5"/>
  <c r="K476" i="5"/>
  <c r="S111" i="5"/>
  <c r="AA392" i="5"/>
  <c r="S180" i="5"/>
  <c r="S452" i="5"/>
  <c r="AI139" i="5"/>
  <c r="S416" i="5"/>
  <c r="AI393" i="5"/>
  <c r="K436" i="5"/>
  <c r="S355" i="5"/>
  <c r="AA179" i="5"/>
  <c r="AI358" i="5"/>
  <c r="AA417" i="5"/>
  <c r="K470" i="5"/>
  <c r="AA399" i="5"/>
  <c r="S410" i="5"/>
  <c r="AI457" i="5"/>
  <c r="K372" i="5"/>
  <c r="K445" i="5"/>
  <c r="AA389" i="5"/>
  <c r="AA474" i="5"/>
  <c r="AI456" i="5"/>
  <c r="S463" i="5"/>
  <c r="S406" i="5"/>
  <c r="K405" i="5"/>
  <c r="K446" i="5"/>
  <c r="AA430" i="5"/>
  <c r="AA476" i="5"/>
  <c r="S469" i="5"/>
  <c r="S437" i="5"/>
  <c r="K438" i="5"/>
  <c r="AI410" i="5"/>
  <c r="AI405" i="5"/>
  <c r="AA427" i="5"/>
  <c r="AI452" i="5"/>
  <c r="AU452" i="5"/>
  <c r="AU405" i="5"/>
  <c r="AU410" i="5"/>
  <c r="AS438" i="5"/>
  <c r="AS446" i="5"/>
  <c r="AR405" i="5"/>
  <c r="AU456" i="5"/>
  <c r="AR445" i="5"/>
  <c r="AR372" i="5"/>
  <c r="AU457" i="5"/>
  <c r="AR470" i="5"/>
  <c r="AU358" i="5"/>
  <c r="AR436" i="5"/>
  <c r="AU393" i="5"/>
  <c r="AU139" i="5"/>
  <c r="AR476" i="5"/>
  <c r="AU440" i="5"/>
  <c r="AV366" i="5"/>
  <c r="AR444" i="5"/>
  <c r="AU450" i="5"/>
  <c r="AU436" i="5"/>
  <c r="AU438" i="5"/>
  <c r="AU426" i="5"/>
  <c r="AR384" i="5"/>
  <c r="AR427" i="5"/>
  <c r="AR442" i="5"/>
  <c r="AU380" i="5"/>
  <c r="AR423" i="5"/>
  <c r="AU471" i="5"/>
  <c r="AU461" i="5"/>
  <c r="AS456" i="5"/>
  <c r="AR406" i="5"/>
  <c r="AU383" i="5"/>
  <c r="AS379" i="5"/>
  <c r="AU373" i="5"/>
  <c r="AV350" i="5"/>
  <c r="AR448" i="5"/>
  <c r="AS411" i="5"/>
  <c r="AU397" i="5"/>
  <c r="AU469" i="5"/>
  <c r="AV462" i="5"/>
  <c r="AU369" i="5"/>
  <c r="AU427" i="5"/>
  <c r="AU141" i="5"/>
  <c r="AV418" i="5"/>
  <c r="AS443" i="5"/>
  <c r="AU361" i="5"/>
  <c r="AV148" i="5"/>
  <c r="AT200" i="5"/>
  <c r="AR469" i="5"/>
  <c r="AU476" i="5"/>
  <c r="AR403" i="5"/>
  <c r="AU377" i="5"/>
  <c r="AV168" i="5"/>
  <c r="AU430" i="5"/>
  <c r="AS404" i="5"/>
  <c r="AU470" i="5"/>
  <c r="AR402" i="5"/>
  <c r="AU387" i="5"/>
  <c r="AT351" i="5"/>
  <c r="AR437" i="5"/>
  <c r="AR178" i="5"/>
  <c r="AS381" i="5"/>
  <c r="AS79" i="5"/>
  <c r="AU399" i="5"/>
  <c r="AU195" i="5"/>
  <c r="AU370" i="5"/>
  <c r="AR368" i="5"/>
  <c r="AU179" i="5"/>
  <c r="AR87" i="5"/>
  <c r="AT33" i="5"/>
  <c r="AR361" i="5"/>
  <c r="AV49" i="5"/>
  <c r="AV453" i="5"/>
  <c r="AR468" i="5"/>
  <c r="AS453" i="5"/>
  <c r="AU201" i="5"/>
  <c r="AR132" i="5"/>
  <c r="AU390" i="5"/>
  <c r="AU158" i="5"/>
  <c r="AT357" i="5"/>
  <c r="AR396" i="5"/>
  <c r="AS429" i="5"/>
  <c r="AV376" i="5"/>
  <c r="AU439" i="5"/>
  <c r="AU165" i="5"/>
  <c r="AV198" i="5"/>
  <c r="AU137" i="5"/>
  <c r="AU477" i="5"/>
  <c r="AS70" i="5"/>
  <c r="AR165" i="5"/>
  <c r="AU64" i="5"/>
  <c r="AU381" i="5"/>
  <c r="AS375" i="5"/>
  <c r="AR176" i="5"/>
  <c r="AU202" i="5"/>
  <c r="AV162" i="5"/>
  <c r="AU117" i="5"/>
  <c r="AU472" i="5"/>
  <c r="AU154" i="5"/>
  <c r="AV161" i="5"/>
  <c r="AU135" i="5"/>
  <c r="AU92" i="5"/>
  <c r="AU71" i="5"/>
  <c r="AR125" i="5"/>
  <c r="AS458" i="5"/>
  <c r="AR154" i="5"/>
  <c r="AU60" i="5"/>
  <c r="AU171" i="5"/>
  <c r="AR86" i="5"/>
  <c r="AV140" i="5"/>
  <c r="AU44" i="5"/>
  <c r="AS300" i="5"/>
  <c r="AR422" i="5"/>
  <c r="AS137" i="5"/>
  <c r="AS115" i="5"/>
  <c r="AU77" i="5"/>
  <c r="AS161" i="5"/>
  <c r="AU45" i="5"/>
  <c r="AU25" i="5"/>
  <c r="AR46" i="5"/>
  <c r="AR428" i="5"/>
  <c r="AR124" i="5"/>
  <c r="AS146" i="5"/>
  <c r="AR389" i="5"/>
  <c r="AU359" i="5"/>
  <c r="AU153" i="5"/>
  <c r="AV99" i="5"/>
  <c r="AU356" i="5"/>
  <c r="AU82" i="5"/>
  <c r="AU66" i="5"/>
  <c r="AU424" i="5"/>
  <c r="AT195" i="5"/>
  <c r="AR150" i="5"/>
  <c r="AS409" i="5"/>
  <c r="AR75" i="5"/>
  <c r="AU56" i="5"/>
  <c r="AR77" i="5"/>
  <c r="AT38" i="5"/>
  <c r="AR123" i="5"/>
  <c r="AT34" i="5"/>
  <c r="AU306" i="5"/>
  <c r="AU199" i="5"/>
  <c r="AU85" i="5"/>
  <c r="AV30" i="5"/>
  <c r="AU27" i="5"/>
  <c r="AR324" i="5"/>
  <c r="AR330" i="5"/>
  <c r="AS143" i="5"/>
  <c r="AR371" i="5"/>
  <c r="AU314" i="5"/>
  <c r="AV160" i="5"/>
  <c r="AV100" i="5"/>
  <c r="AR104" i="5"/>
  <c r="AS158" i="5"/>
  <c r="AR94" i="5"/>
  <c r="AT196" i="5"/>
  <c r="AS78" i="5"/>
  <c r="AS102" i="5"/>
  <c r="AV93" i="5"/>
  <c r="AR120" i="5"/>
  <c r="AV320" i="5"/>
  <c r="AU353" i="5"/>
  <c r="AT358" i="5"/>
  <c r="AU330" i="5"/>
  <c r="AT14" i="5"/>
  <c r="AU40" i="5"/>
  <c r="AU181" i="5"/>
  <c r="AR44" i="5"/>
  <c r="AR447" i="5"/>
  <c r="AS71" i="5"/>
  <c r="AS47" i="5"/>
  <c r="AU118" i="5"/>
  <c r="AS323" i="5"/>
  <c r="AR298" i="5"/>
  <c r="AR387" i="5"/>
  <c r="AU81" i="5"/>
  <c r="AR299" i="5"/>
  <c r="AR390" i="5"/>
  <c r="AU175" i="5"/>
  <c r="AR106" i="5"/>
  <c r="AR43" i="5"/>
  <c r="AS99" i="5"/>
  <c r="AV144" i="5"/>
  <c r="AU19" i="5"/>
  <c r="AR135" i="5"/>
  <c r="AT21" i="5"/>
  <c r="AS228" i="5"/>
  <c r="AR62" i="5"/>
  <c r="AT41" i="5"/>
  <c r="AU33" i="5"/>
  <c r="AU43" i="5"/>
  <c r="AV36" i="5"/>
  <c r="AT17" i="5"/>
  <c r="AR118" i="5"/>
  <c r="AR116" i="5"/>
  <c r="AU174" i="5"/>
  <c r="AU109" i="5"/>
  <c r="AU239" i="5"/>
  <c r="AU116" i="5"/>
  <c r="AT25" i="5"/>
  <c r="AS282" i="5"/>
  <c r="AS93" i="5"/>
  <c r="AT18" i="5"/>
  <c r="AV159" i="5"/>
  <c r="AV58" i="5"/>
  <c r="AS325" i="5"/>
  <c r="AU101" i="5"/>
  <c r="AR141" i="5"/>
  <c r="AU146" i="5"/>
  <c r="AU326" i="5"/>
  <c r="AU363" i="5"/>
  <c r="AR52" i="5"/>
  <c r="AU163" i="5"/>
  <c r="AV281" i="5"/>
  <c r="AS320" i="5"/>
  <c r="AR54" i="5"/>
  <c r="AS122" i="5"/>
  <c r="AU114" i="5"/>
  <c r="AR111" i="5"/>
  <c r="AR313" i="5"/>
  <c r="AU138" i="5"/>
  <c r="AU16" i="5"/>
  <c r="AU324" i="5"/>
  <c r="AV300" i="5"/>
  <c r="AU313" i="5"/>
  <c r="AS110" i="5"/>
  <c r="AV228" i="5"/>
  <c r="AU434" i="5"/>
  <c r="AU388" i="5"/>
  <c r="AR441" i="5"/>
  <c r="AU371" i="5"/>
  <c r="AU421" i="5"/>
  <c r="AU442" i="5"/>
  <c r="AU416" i="5"/>
  <c r="AR394" i="5"/>
  <c r="AU396" i="5"/>
  <c r="AV467" i="5"/>
  <c r="AU392" i="5"/>
  <c r="AR452" i="5"/>
  <c r="AR392" i="5"/>
  <c r="AU433" i="5"/>
  <c r="AV375" i="5"/>
  <c r="AR434" i="5"/>
  <c r="AR451" i="5"/>
  <c r="AR472" i="5"/>
  <c r="AU446" i="5"/>
  <c r="AR421" i="5"/>
  <c r="AR450" i="5"/>
  <c r="AS431" i="5"/>
  <c r="AU474" i="5"/>
  <c r="AU431" i="5"/>
  <c r="AS464" i="5"/>
  <c r="AU441" i="5"/>
  <c r="AS376" i="5"/>
  <c r="AR388" i="5"/>
  <c r="AR410" i="5"/>
  <c r="AU455" i="5"/>
  <c r="AR397" i="5"/>
  <c r="AS435" i="5"/>
  <c r="AU379" i="5"/>
  <c r="AT350" i="5"/>
  <c r="AU465" i="5"/>
  <c r="AS420" i="5"/>
  <c r="AU408" i="5"/>
  <c r="AU423" i="5"/>
  <c r="AU372" i="5"/>
  <c r="AU411" i="5"/>
  <c r="AR385" i="5"/>
  <c r="AS440" i="5"/>
  <c r="AR412" i="5"/>
  <c r="AU391" i="5"/>
  <c r="AR386" i="5"/>
  <c r="AT352" i="5"/>
  <c r="AU459" i="5"/>
  <c r="AU414" i="5"/>
  <c r="AU445" i="5"/>
  <c r="AU374" i="5"/>
  <c r="AR432" i="5"/>
  <c r="AV170" i="5"/>
  <c r="AU402" i="5"/>
  <c r="AT202" i="5"/>
  <c r="AU147" i="5"/>
  <c r="AR475" i="5"/>
  <c r="AS418" i="5"/>
  <c r="AS398" i="5"/>
  <c r="AU389" i="5"/>
  <c r="AV419" i="5"/>
  <c r="AV143" i="5"/>
  <c r="AU401" i="5"/>
  <c r="AR400" i="5"/>
  <c r="AR449" i="5"/>
  <c r="AV464" i="5"/>
  <c r="AV367" i="5"/>
  <c r="AU395" i="5"/>
  <c r="AT203" i="5"/>
  <c r="AU364" i="5"/>
  <c r="AR457" i="5"/>
  <c r="AU449" i="5"/>
  <c r="AR383" i="5"/>
  <c r="AR181" i="5"/>
  <c r="AV149" i="5"/>
  <c r="AU454" i="5"/>
  <c r="AU475" i="5"/>
  <c r="AS461" i="5"/>
  <c r="AT356" i="5"/>
  <c r="AU357" i="5"/>
  <c r="AS85" i="5"/>
  <c r="AV365" i="5"/>
  <c r="AU412" i="5"/>
  <c r="AR380" i="5"/>
  <c r="AR83" i="5"/>
  <c r="AT29" i="5"/>
  <c r="AR362" i="5"/>
  <c r="AU89" i="5"/>
  <c r="AV404" i="5"/>
  <c r="AU204" i="5"/>
  <c r="AR128" i="5"/>
  <c r="AU164" i="5"/>
  <c r="AS391" i="5"/>
  <c r="AR417" i="5"/>
  <c r="AT204" i="5"/>
  <c r="AR465" i="5"/>
  <c r="AU378" i="5"/>
  <c r="AS159" i="5"/>
  <c r="AT40" i="5"/>
  <c r="AU157" i="5"/>
  <c r="AV398" i="5"/>
  <c r="AU142" i="5"/>
  <c r="AS49" i="5"/>
  <c r="AS370" i="5"/>
  <c r="AU121" i="5"/>
  <c r="AU129" i="5"/>
  <c r="AU355" i="5"/>
  <c r="AU150" i="5"/>
  <c r="AU125" i="5"/>
  <c r="AU98" i="5"/>
  <c r="AR399" i="5"/>
  <c r="AS367" i="5"/>
  <c r="AV200" i="5"/>
  <c r="AR147" i="5"/>
  <c r="AS148" i="5"/>
  <c r="AU127" i="5"/>
  <c r="AV78" i="5"/>
  <c r="AU68" i="5"/>
  <c r="AU59" i="5"/>
  <c r="AV466" i="5"/>
  <c r="AU413" i="5"/>
  <c r="AV443" i="5"/>
  <c r="AU203" i="5"/>
  <c r="AR166" i="5"/>
  <c r="AR96" i="5"/>
  <c r="AR80" i="5"/>
  <c r="AR61" i="5"/>
  <c r="AU107" i="5"/>
  <c r="AR413" i="5"/>
  <c r="AR103" i="5"/>
  <c r="AU112" i="5"/>
  <c r="AU317" i="5"/>
  <c r="AU128" i="5"/>
  <c r="AT355" i="5"/>
  <c r="AU70" i="5"/>
  <c r="AU177" i="5"/>
  <c r="AU105" i="5"/>
  <c r="AT27" i="5"/>
  <c r="AU37" i="5"/>
  <c r="AU394" i="5"/>
  <c r="AR139" i="5"/>
  <c r="AS140" i="5"/>
  <c r="AU94" i="5"/>
  <c r="AV47" i="5"/>
  <c r="AU63" i="5"/>
  <c r="AR153" i="5"/>
  <c r="AR113" i="5"/>
  <c r="AR455" i="5"/>
  <c r="AV409" i="5"/>
  <c r="AS162" i="5"/>
  <c r="AU126" i="5"/>
  <c r="AR98" i="5"/>
  <c r="AU62" i="5"/>
  <c r="AR69" i="5"/>
  <c r="AU50" i="5"/>
  <c r="AT359" i="5"/>
  <c r="AU110" i="5"/>
  <c r="AR89" i="5"/>
  <c r="AU329" i="5"/>
  <c r="AU362" i="5"/>
  <c r="AV79" i="5"/>
  <c r="AT19" i="5"/>
  <c r="AU22" i="5"/>
  <c r="AU12" i="5"/>
  <c r="AS307" i="5"/>
  <c r="AS467" i="5"/>
  <c r="AU435" i="5"/>
  <c r="AR174" i="5"/>
  <c r="AU34" i="5"/>
  <c r="AU73" i="5"/>
  <c r="AR164" i="5"/>
  <c r="AS84" i="5"/>
  <c r="AV323" i="5"/>
  <c r="AV322" i="5"/>
  <c r="AU382" i="5"/>
  <c r="AU403" i="5"/>
  <c r="AV91" i="5"/>
  <c r="AU61" i="5"/>
  <c r="AU133" i="5"/>
  <c r="AT13" i="5"/>
  <c r="AS460" i="5"/>
  <c r="AS133" i="5"/>
  <c r="AR59" i="5"/>
  <c r="AU13" i="5"/>
  <c r="AS134" i="5"/>
  <c r="AU240" i="5"/>
  <c r="AS57" i="5"/>
  <c r="AR157" i="5"/>
  <c r="AV18" i="5"/>
  <c r="AR107" i="5"/>
  <c r="AV35" i="5"/>
  <c r="AU96" i="5"/>
  <c r="AU51" i="5"/>
  <c r="AU97" i="5"/>
  <c r="AU67" i="5"/>
  <c r="AU52" i="5"/>
  <c r="AT11" i="5"/>
  <c r="AU23" i="5"/>
  <c r="AV17" i="5"/>
  <c r="AU31" i="5"/>
  <c r="AT197" i="5"/>
  <c r="AR68" i="5"/>
  <c r="AU176" i="5"/>
  <c r="AU113" i="5"/>
  <c r="AT39" i="5"/>
  <c r="AU102" i="5"/>
  <c r="AU21" i="5"/>
  <c r="AS306" i="5"/>
  <c r="AS439" i="5"/>
  <c r="AR328" i="5"/>
  <c r="AV351" i="5"/>
  <c r="AU132" i="5"/>
  <c r="AR88" i="5"/>
  <c r="AU15" i="5"/>
  <c r="AU151" i="5"/>
  <c r="AS366" i="5"/>
  <c r="AR131" i="5"/>
  <c r="AS327" i="5"/>
  <c r="AV325" i="5"/>
  <c r="AR130" i="5"/>
  <c r="AR114" i="5"/>
  <c r="AR454" i="5"/>
  <c r="AU103" i="5"/>
  <c r="AU39" i="5"/>
  <c r="AR255" i="5"/>
  <c r="AU316" i="5"/>
  <c r="AU88" i="5"/>
  <c r="AT198" i="5"/>
  <c r="AS100" i="5"/>
  <c r="AR119" i="5"/>
  <c r="AR45" i="5"/>
  <c r="AU20" i="5"/>
  <c r="AU328" i="5"/>
  <c r="AR459" i="5"/>
  <c r="AU451" i="5"/>
  <c r="AS97" i="5"/>
  <c r="AS169" i="5"/>
  <c r="AR142" i="5"/>
  <c r="AR314" i="5"/>
  <c r="AS168" i="5"/>
  <c r="AS149" i="5"/>
  <c r="AR172" i="5"/>
  <c r="AS209" i="5"/>
  <c r="AS337" i="5"/>
  <c r="AS339" i="5"/>
  <c r="AT24" i="5"/>
  <c r="AR56" i="5"/>
  <c r="AR426" i="5"/>
  <c r="AV352" i="5"/>
  <c r="AU448" i="5"/>
  <c r="AU400" i="5"/>
  <c r="AR374" i="5"/>
  <c r="AR473" i="5"/>
  <c r="AV420" i="5"/>
  <c r="AR416" i="5"/>
  <c r="AU468" i="5"/>
  <c r="AU428" i="5"/>
  <c r="AU432" i="5"/>
  <c r="AS393" i="5"/>
  <c r="AT353" i="5"/>
  <c r="AS425" i="5"/>
  <c r="AV354" i="5"/>
  <c r="AR364" i="5"/>
  <c r="AU172" i="5"/>
  <c r="AU145" i="5"/>
  <c r="AU437" i="5"/>
  <c r="AT354" i="5"/>
  <c r="AU197" i="5"/>
  <c r="AU447" i="5"/>
  <c r="AS72" i="5"/>
  <c r="AR177" i="5"/>
  <c r="AT201" i="5"/>
  <c r="AR477" i="5"/>
  <c r="AR151" i="5"/>
  <c r="AS144" i="5"/>
  <c r="AT37" i="5"/>
  <c r="AR408" i="5"/>
  <c r="AR369" i="5"/>
  <c r="AR136" i="5"/>
  <c r="AV460" i="5"/>
  <c r="AU152" i="5"/>
  <c r="AU444" i="5"/>
  <c r="AU473" i="5"/>
  <c r="AS462" i="5"/>
  <c r="AR179" i="5"/>
  <c r="AS365" i="5"/>
  <c r="AR81" i="5"/>
  <c r="AT199" i="5"/>
  <c r="AR105" i="5"/>
  <c r="AR415" i="5"/>
  <c r="AV463" i="5"/>
  <c r="AU407" i="5"/>
  <c r="AU422" i="5"/>
  <c r="AR175" i="5"/>
  <c r="AR377" i="5"/>
  <c r="AU131" i="5"/>
  <c r="AR74" i="5"/>
  <c r="AT30" i="5"/>
  <c r="AU178" i="5"/>
  <c r="AV115" i="5"/>
  <c r="AU90" i="5"/>
  <c r="AR65" i="5"/>
  <c r="AU406" i="5"/>
  <c r="AU120" i="5"/>
  <c r="AV156" i="5"/>
  <c r="AV134" i="5"/>
  <c r="AR117" i="5"/>
  <c r="AU55" i="5"/>
  <c r="AU95" i="5"/>
  <c r="AV84" i="5"/>
  <c r="AV182" i="5"/>
  <c r="AV184" i="5"/>
  <c r="AV187" i="5"/>
  <c r="AU65" i="5"/>
  <c r="AS171" i="5"/>
  <c r="AR471" i="5"/>
  <c r="AU385" i="5"/>
  <c r="AS382" i="5"/>
  <c r="AS160" i="5"/>
  <c r="AS73" i="5"/>
  <c r="AU54" i="5"/>
  <c r="AU106" i="5"/>
  <c r="AT16" i="5"/>
  <c r="AU136" i="5"/>
  <c r="AV327" i="5"/>
  <c r="AV282" i="5"/>
  <c r="AR239" i="5"/>
  <c r="AS170" i="5"/>
  <c r="AR173" i="5"/>
  <c r="AS145" i="5"/>
  <c r="AV169" i="5"/>
  <c r="AU124" i="5"/>
  <c r="AU83" i="5"/>
  <c r="AT31" i="5"/>
  <c r="AU368" i="5"/>
  <c r="AU166" i="5"/>
  <c r="AR129" i="5"/>
  <c r="AU53" i="5"/>
  <c r="AU41" i="5"/>
  <c r="AU69" i="5"/>
  <c r="AS48" i="5"/>
  <c r="AU11" i="5"/>
  <c r="AR112" i="5"/>
  <c r="AS419" i="5"/>
  <c r="AR363" i="5"/>
  <c r="AS156" i="5"/>
  <c r="AR82" i="5"/>
  <c r="AR63" i="5"/>
  <c r="AU111" i="5"/>
  <c r="AT20" i="5"/>
  <c r="AV155" i="5"/>
  <c r="AT15" i="5"/>
  <c r="AS305" i="5"/>
  <c r="AU299" i="5"/>
  <c r="AS430" i="5"/>
  <c r="AR401" i="5"/>
  <c r="AU72" i="5"/>
  <c r="AV32" i="5"/>
  <c r="AU14" i="5"/>
  <c r="AU123" i="5"/>
  <c r="AS326" i="5"/>
  <c r="AU417" i="5"/>
  <c r="AR433" i="5"/>
  <c r="AR407" i="5"/>
  <c r="AR378" i="5"/>
  <c r="AR53" i="5"/>
  <c r="AR474" i="5"/>
  <c r="AU173" i="5"/>
  <c r="AR108" i="5"/>
  <c r="AU425" i="5"/>
  <c r="AT35" i="5"/>
  <c r="AR127" i="5"/>
  <c r="AS58" i="5"/>
  <c r="AU130" i="5"/>
  <c r="AV122" i="5"/>
  <c r="AU80" i="5"/>
  <c r="AR109" i="5"/>
  <c r="AS463" i="5"/>
  <c r="AR240" i="5"/>
  <c r="AU87" i="5"/>
  <c r="AU29" i="5"/>
  <c r="AR138" i="5"/>
  <c r="AT12" i="5"/>
  <c r="AU318" i="5"/>
  <c r="AV458" i="5"/>
  <c r="AV167" i="5"/>
  <c r="AR95" i="5"/>
  <c r="AR92" i="5"/>
  <c r="AU384" i="5"/>
  <c r="AU38" i="5"/>
  <c r="AU86" i="5"/>
  <c r="AS152" i="5"/>
  <c r="AS101" i="5"/>
  <c r="AU297" i="5"/>
  <c r="AU337" i="5"/>
  <c r="AU339" i="5"/>
  <c r="AS466" i="5"/>
  <c r="AS155" i="5"/>
  <c r="AS91" i="5"/>
  <c r="AU76" i="5"/>
  <c r="AR329" i="5"/>
  <c r="AV209" i="5"/>
  <c r="AR424" i="5"/>
  <c r="AR395" i="5"/>
  <c r="AR55" i="5"/>
  <c r="AR66" i="5"/>
  <c r="AU46" i="5"/>
  <c r="AU24" i="5"/>
  <c r="AS90" i="5"/>
  <c r="AR297" i="5"/>
  <c r="AU307" i="5"/>
  <c r="AU429" i="5"/>
  <c r="AT36" i="5"/>
  <c r="AU108" i="5"/>
  <c r="AU196" i="5"/>
  <c r="AU298" i="5"/>
  <c r="AR126" i="5"/>
  <c r="AU75" i="5"/>
  <c r="AU182" i="5"/>
  <c r="AU184" i="5"/>
  <c r="AU187" i="5"/>
  <c r="AS121" i="5"/>
  <c r="AT22" i="5"/>
  <c r="AR51" i="5"/>
  <c r="AT32" i="5"/>
  <c r="AR316" i="5"/>
  <c r="AU415" i="5"/>
  <c r="AU119" i="5"/>
  <c r="AS322" i="5"/>
  <c r="AU180" i="5"/>
  <c r="AU255" i="5"/>
  <c r="AR76" i="5"/>
  <c r="AR163" i="5"/>
  <c r="AV48" i="5"/>
  <c r="AS281" i="5"/>
  <c r="AU386" i="5"/>
  <c r="AR180" i="5"/>
  <c r="AR67" i="5"/>
  <c r="AV26" i="5"/>
  <c r="AV57" i="5"/>
  <c r="AT26" i="5"/>
  <c r="AT28" i="5"/>
  <c r="AR317" i="5"/>
  <c r="AR50" i="5"/>
  <c r="AR60" i="5"/>
  <c r="AU262" i="5"/>
  <c r="AU74" i="5"/>
  <c r="AT23" i="5"/>
  <c r="AR414" i="5"/>
  <c r="AS167" i="5"/>
  <c r="AU28" i="5"/>
  <c r="AR262" i="5"/>
  <c r="AU305" i="5"/>
  <c r="AR373" i="5"/>
  <c r="AR478" i="5"/>
  <c r="AR480" i="5"/>
  <c r="AR483" i="5"/>
  <c r="AR318" i="5"/>
  <c r="AR64" i="5"/>
  <c r="AU104" i="5"/>
  <c r="J7" i="16"/>
  <c r="AW182" i="5"/>
  <c r="AW184" i="5"/>
  <c r="AW187" i="5"/>
  <c r="G7" i="16"/>
  <c r="K7" i="16"/>
  <c r="AR182" i="5"/>
  <c r="AR184" i="5"/>
  <c r="AT341" i="5"/>
  <c r="G493" i="5"/>
  <c r="G495" i="5"/>
  <c r="AV337" i="5"/>
  <c r="AV339" i="5"/>
  <c r="AR337" i="5"/>
  <c r="AR339" i="5"/>
  <c r="AS478" i="5"/>
  <c r="AS480" i="5"/>
  <c r="AS483" i="5"/>
  <c r="AS182" i="5"/>
  <c r="AS184" i="5"/>
  <c r="AS187" i="5"/>
  <c r="AV478" i="5"/>
  <c r="AV480" i="5"/>
  <c r="AV483" i="5"/>
  <c r="AR187" i="5"/>
  <c r="AU478" i="5"/>
  <c r="AU480" i="5"/>
  <c r="AU483" i="5"/>
  <c r="AR341" i="5"/>
  <c r="E493" i="5"/>
  <c r="E495" i="5"/>
  <c r="AR340" i="5"/>
  <c r="B341" i="5"/>
  <c r="AS341" i="5"/>
  <c r="F493" i="5"/>
  <c r="F495" i="5"/>
  <c r="AR481" i="5"/>
  <c r="B482" i="5"/>
  <c r="AR185" i="5"/>
  <c r="B186" i="5"/>
  <c r="AX341" i="5"/>
  <c r="L493" i="5"/>
  <c r="L495" i="5"/>
  <c r="G9" i="3"/>
  <c r="G135" i="3"/>
  <c r="C24" i="3"/>
  <c r="V137" i="3"/>
  <c r="U137" i="3"/>
  <c r="T137" i="3"/>
  <c r="S137" i="3"/>
  <c r="R137" i="3"/>
  <c r="Q137" i="3"/>
  <c r="P137" i="3"/>
  <c r="V134" i="3"/>
  <c r="U134" i="3"/>
  <c r="T134" i="3"/>
  <c r="S134" i="3"/>
  <c r="R134" i="3"/>
  <c r="Q134" i="3"/>
  <c r="P134" i="3"/>
  <c r="V133" i="3"/>
  <c r="U133" i="3"/>
  <c r="T133" i="3"/>
  <c r="S133" i="3"/>
  <c r="R133" i="3"/>
  <c r="Q133" i="3"/>
  <c r="P133" i="3"/>
  <c r="J133" i="3"/>
  <c r="V132" i="3"/>
  <c r="U132" i="3"/>
  <c r="T132" i="3"/>
  <c r="S132" i="3"/>
  <c r="Q132" i="3"/>
  <c r="O132" i="3"/>
  <c r="N132" i="3"/>
  <c r="J132" i="3"/>
  <c r="R132" i="3"/>
  <c r="V131" i="3"/>
  <c r="U131" i="3"/>
  <c r="T131" i="3"/>
  <c r="R131" i="3"/>
  <c r="Q131" i="3"/>
  <c r="O131" i="3"/>
  <c r="N131" i="3"/>
  <c r="J131" i="3"/>
  <c r="S131" i="3"/>
  <c r="G131" i="3"/>
  <c r="V130" i="3"/>
  <c r="U130" i="3"/>
  <c r="T130" i="3"/>
  <c r="S130" i="3"/>
  <c r="R130" i="3"/>
  <c r="Q130" i="3"/>
  <c r="P130" i="3"/>
  <c r="V129" i="3"/>
  <c r="U129" i="3"/>
  <c r="T129" i="3"/>
  <c r="S129" i="3"/>
  <c r="R129" i="3"/>
  <c r="Q129" i="3"/>
  <c r="P129" i="3"/>
  <c r="J129" i="3"/>
  <c r="V128" i="3"/>
  <c r="U128" i="3"/>
  <c r="T128" i="3"/>
  <c r="S128" i="3"/>
  <c r="Q128" i="3"/>
  <c r="O128" i="3"/>
  <c r="N128" i="3"/>
  <c r="J128" i="3"/>
  <c r="R128" i="3"/>
  <c r="V127" i="3"/>
  <c r="U127" i="3"/>
  <c r="T127" i="3"/>
  <c r="R127" i="3"/>
  <c r="Q127" i="3"/>
  <c r="O127" i="3"/>
  <c r="N127" i="3"/>
  <c r="J127" i="3"/>
  <c r="S127" i="3"/>
  <c r="G127" i="3"/>
  <c r="V126" i="3"/>
  <c r="U126" i="3"/>
  <c r="T126" i="3"/>
  <c r="S126" i="3"/>
  <c r="R126" i="3"/>
  <c r="Q126" i="3"/>
  <c r="P126" i="3"/>
  <c r="V125" i="3"/>
  <c r="U125" i="3"/>
  <c r="T125" i="3"/>
  <c r="S125" i="3"/>
  <c r="R125" i="3"/>
  <c r="Q125" i="3"/>
  <c r="P125" i="3"/>
  <c r="J125" i="3"/>
  <c r="V124" i="3"/>
  <c r="U124" i="3"/>
  <c r="T124" i="3"/>
  <c r="S124" i="3"/>
  <c r="Q124" i="3"/>
  <c r="O124" i="3"/>
  <c r="N124" i="3"/>
  <c r="J124" i="3"/>
  <c r="R124" i="3"/>
  <c r="V123" i="3"/>
  <c r="U123" i="3"/>
  <c r="T123" i="3"/>
  <c r="R123" i="3"/>
  <c r="Q123" i="3"/>
  <c r="O123" i="3"/>
  <c r="N123" i="3"/>
  <c r="J123" i="3"/>
  <c r="S123" i="3"/>
  <c r="G123" i="3"/>
  <c r="V122" i="3"/>
  <c r="U122" i="3"/>
  <c r="T122" i="3"/>
  <c r="S122" i="3"/>
  <c r="R122" i="3"/>
  <c r="Q122" i="3"/>
  <c r="P122" i="3"/>
  <c r="V121" i="3"/>
  <c r="U121" i="3"/>
  <c r="T121" i="3"/>
  <c r="S121" i="3"/>
  <c r="Q121" i="3"/>
  <c r="P121" i="3"/>
  <c r="J121" i="3"/>
  <c r="R121" i="3"/>
  <c r="V120" i="3"/>
  <c r="U120" i="3"/>
  <c r="T120" i="3"/>
  <c r="R120" i="3"/>
  <c r="Q120" i="3"/>
  <c r="O120" i="3"/>
  <c r="N120" i="3"/>
  <c r="J120" i="3"/>
  <c r="S120" i="3"/>
  <c r="V119" i="3"/>
  <c r="U119" i="3"/>
  <c r="S119" i="3"/>
  <c r="R119" i="3"/>
  <c r="Q119" i="3"/>
  <c r="O119" i="3"/>
  <c r="N119" i="3"/>
  <c r="J119" i="3"/>
  <c r="T119" i="3"/>
  <c r="G119" i="3"/>
  <c r="V118" i="3"/>
  <c r="U118" i="3"/>
  <c r="T118" i="3"/>
  <c r="S118" i="3"/>
  <c r="R118" i="3"/>
  <c r="Q118" i="3"/>
  <c r="O118" i="3"/>
  <c r="P118" i="3"/>
  <c r="V117" i="3"/>
  <c r="U117" i="3"/>
  <c r="T117" i="3"/>
  <c r="S117" i="3"/>
  <c r="R117" i="3"/>
  <c r="Q117" i="3"/>
  <c r="P117" i="3"/>
  <c r="V116" i="3"/>
  <c r="U116" i="3"/>
  <c r="T116" i="3"/>
  <c r="S116" i="3"/>
  <c r="R116" i="3"/>
  <c r="Q116" i="3"/>
  <c r="P116" i="3"/>
  <c r="J116" i="3"/>
  <c r="V115" i="3"/>
  <c r="U115" i="3"/>
  <c r="T115" i="3"/>
  <c r="R115" i="3"/>
  <c r="Q115" i="3"/>
  <c r="O115" i="3"/>
  <c r="N115" i="3"/>
  <c r="J115" i="3"/>
  <c r="S115" i="3"/>
  <c r="V114" i="3"/>
  <c r="U114" i="3"/>
  <c r="S114" i="3"/>
  <c r="R114" i="3"/>
  <c r="Q114" i="3"/>
  <c r="O114" i="3"/>
  <c r="N114" i="3"/>
  <c r="J114" i="3"/>
  <c r="T114" i="3"/>
  <c r="G114" i="3"/>
  <c r="V113" i="3"/>
  <c r="U113" i="3"/>
  <c r="T113" i="3"/>
  <c r="S113" i="3"/>
  <c r="R113" i="3"/>
  <c r="Q113" i="3"/>
  <c r="O113" i="3"/>
  <c r="P113" i="3"/>
  <c r="V112" i="3"/>
  <c r="U112" i="3"/>
  <c r="T112" i="3"/>
  <c r="S112" i="3"/>
  <c r="R112" i="3"/>
  <c r="Q112" i="3"/>
  <c r="P112" i="3"/>
  <c r="V111" i="3"/>
  <c r="U111" i="3"/>
  <c r="T111" i="3"/>
  <c r="R111" i="3"/>
  <c r="Q111" i="3"/>
  <c r="P111" i="3"/>
  <c r="J111" i="3"/>
  <c r="S111" i="3"/>
  <c r="V110" i="3"/>
  <c r="U110" i="3"/>
  <c r="S110" i="3"/>
  <c r="R110" i="3"/>
  <c r="Q110" i="3"/>
  <c r="O110" i="3"/>
  <c r="N110" i="3"/>
  <c r="J110" i="3"/>
  <c r="T110" i="3"/>
  <c r="V109" i="3"/>
  <c r="T109" i="3"/>
  <c r="S109" i="3"/>
  <c r="R109" i="3"/>
  <c r="Q109" i="3"/>
  <c r="O109" i="3"/>
  <c r="N109" i="3"/>
  <c r="J109" i="3"/>
  <c r="U109" i="3"/>
  <c r="G109" i="3"/>
  <c r="V108" i="3"/>
  <c r="U108" i="3"/>
  <c r="T108" i="3"/>
  <c r="S108" i="3"/>
  <c r="R108" i="3"/>
  <c r="Q108" i="3"/>
  <c r="O108" i="3"/>
  <c r="P108" i="3"/>
  <c r="V107" i="3"/>
  <c r="U107" i="3"/>
  <c r="T107" i="3"/>
  <c r="S107" i="3"/>
  <c r="R107" i="3"/>
  <c r="Q107" i="3"/>
  <c r="P107" i="3"/>
  <c r="V106" i="3"/>
  <c r="U106" i="3"/>
  <c r="T106" i="3"/>
  <c r="S106" i="3"/>
  <c r="R106" i="3"/>
  <c r="Q106" i="3"/>
  <c r="P106" i="3"/>
  <c r="J106" i="3"/>
  <c r="V105" i="3"/>
  <c r="U105" i="3"/>
  <c r="T105" i="3"/>
  <c r="R105" i="3"/>
  <c r="Q105" i="3"/>
  <c r="O105" i="3"/>
  <c r="N105" i="3"/>
  <c r="J105" i="3"/>
  <c r="S105" i="3"/>
  <c r="V104" i="3"/>
  <c r="U104" i="3"/>
  <c r="S104" i="3"/>
  <c r="R104" i="3"/>
  <c r="Q104" i="3"/>
  <c r="O104" i="3"/>
  <c r="N104" i="3"/>
  <c r="J104" i="3"/>
  <c r="T104" i="3"/>
  <c r="G104" i="3"/>
  <c r="V103" i="3"/>
  <c r="U103" i="3"/>
  <c r="T103" i="3"/>
  <c r="S103" i="3"/>
  <c r="R103" i="3"/>
  <c r="Q103" i="3"/>
  <c r="O103" i="3"/>
  <c r="P103" i="3"/>
  <c r="V102" i="3"/>
  <c r="U102" i="3"/>
  <c r="T102" i="3"/>
  <c r="S102" i="3"/>
  <c r="R102" i="3"/>
  <c r="Q102" i="3"/>
  <c r="P102" i="3"/>
  <c r="V101" i="3"/>
  <c r="U101" i="3"/>
  <c r="T101" i="3"/>
  <c r="S101" i="3"/>
  <c r="Q101" i="3"/>
  <c r="P101" i="3"/>
  <c r="J101" i="3"/>
  <c r="R101" i="3"/>
  <c r="V100" i="3"/>
  <c r="U100" i="3"/>
  <c r="T100" i="3"/>
  <c r="R100" i="3"/>
  <c r="Q100" i="3"/>
  <c r="O100" i="3"/>
  <c r="N100" i="3"/>
  <c r="J100" i="3"/>
  <c r="S100" i="3"/>
  <c r="V99" i="3"/>
  <c r="U99" i="3"/>
  <c r="S99" i="3"/>
  <c r="R99" i="3"/>
  <c r="Q99" i="3"/>
  <c r="O99" i="3"/>
  <c r="N99" i="3"/>
  <c r="J99" i="3"/>
  <c r="T99" i="3"/>
  <c r="G99" i="3"/>
  <c r="V98" i="3"/>
  <c r="U98" i="3"/>
  <c r="T98" i="3"/>
  <c r="S98" i="3"/>
  <c r="R98" i="3"/>
  <c r="Q98" i="3"/>
  <c r="P98" i="3"/>
  <c r="V97" i="3"/>
  <c r="U97" i="3"/>
  <c r="T97" i="3"/>
  <c r="S97" i="3"/>
  <c r="R97" i="3"/>
  <c r="Q97" i="3"/>
  <c r="P97" i="3"/>
  <c r="V96" i="3"/>
  <c r="U96" i="3"/>
  <c r="T96" i="3"/>
  <c r="S96" i="3"/>
  <c r="R96" i="3"/>
  <c r="Q96" i="3"/>
  <c r="P96" i="3"/>
  <c r="J96" i="3"/>
  <c r="V95" i="3"/>
  <c r="U95" i="3"/>
  <c r="T95" i="3"/>
  <c r="R95" i="3"/>
  <c r="Q95" i="3"/>
  <c r="O95" i="3"/>
  <c r="N95" i="3"/>
  <c r="J95" i="3"/>
  <c r="S95" i="3"/>
  <c r="V94" i="3"/>
  <c r="U94" i="3"/>
  <c r="S94" i="3"/>
  <c r="R94" i="3"/>
  <c r="Q94" i="3"/>
  <c r="O94" i="3"/>
  <c r="N94" i="3"/>
  <c r="J94" i="3"/>
  <c r="T94" i="3"/>
  <c r="G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J91" i="3"/>
  <c r="V90" i="3"/>
  <c r="U90" i="3"/>
  <c r="T90" i="3"/>
  <c r="R90" i="3"/>
  <c r="Q90" i="3"/>
  <c r="O90" i="3"/>
  <c r="N90" i="3"/>
  <c r="J90" i="3"/>
  <c r="S90" i="3"/>
  <c r="V89" i="3"/>
  <c r="U89" i="3"/>
  <c r="S89" i="3"/>
  <c r="R89" i="3"/>
  <c r="Q89" i="3"/>
  <c r="O89" i="3"/>
  <c r="N89" i="3"/>
  <c r="J89" i="3"/>
  <c r="T89" i="3"/>
  <c r="G89" i="3"/>
  <c r="V88" i="3"/>
  <c r="U88" i="3"/>
  <c r="T88" i="3"/>
  <c r="S88" i="3"/>
  <c r="R88" i="3"/>
  <c r="Q88" i="3"/>
  <c r="P88" i="3"/>
  <c r="V87" i="3"/>
  <c r="U87" i="3"/>
  <c r="T87" i="3"/>
  <c r="S87" i="3"/>
  <c r="R87" i="3"/>
  <c r="Q87" i="3"/>
  <c r="P87" i="3"/>
  <c r="V86" i="3"/>
  <c r="U86" i="3"/>
  <c r="T86" i="3"/>
  <c r="S86" i="3"/>
  <c r="R86" i="3"/>
  <c r="Q86" i="3"/>
  <c r="P86" i="3"/>
  <c r="J86" i="3"/>
  <c r="V85" i="3"/>
  <c r="U85" i="3"/>
  <c r="T85" i="3"/>
  <c r="R85" i="3"/>
  <c r="Q85" i="3"/>
  <c r="O85" i="3"/>
  <c r="N85" i="3"/>
  <c r="J85" i="3"/>
  <c r="S85" i="3"/>
  <c r="V84" i="3"/>
  <c r="U84" i="3"/>
  <c r="S84" i="3"/>
  <c r="R84" i="3"/>
  <c r="Q84" i="3"/>
  <c r="O84" i="3"/>
  <c r="N84" i="3"/>
  <c r="J84" i="3"/>
  <c r="T84" i="3"/>
  <c r="G84" i="3"/>
  <c r="V83" i="3"/>
  <c r="U83" i="3"/>
  <c r="T83" i="3"/>
  <c r="S83" i="3"/>
  <c r="R83" i="3"/>
  <c r="Q83" i="3"/>
  <c r="P83" i="3"/>
  <c r="V82" i="3"/>
  <c r="U82" i="3"/>
  <c r="T82" i="3"/>
  <c r="S82" i="3"/>
  <c r="R82" i="3"/>
  <c r="Q82" i="3"/>
  <c r="P82" i="3"/>
  <c r="J82" i="3"/>
  <c r="V81" i="3"/>
  <c r="U81" i="3"/>
  <c r="T81" i="3"/>
  <c r="S81" i="3"/>
  <c r="Q81" i="3"/>
  <c r="O81" i="3"/>
  <c r="N81" i="3"/>
  <c r="J81" i="3"/>
  <c r="R81" i="3"/>
  <c r="V80" i="3"/>
  <c r="U80" i="3"/>
  <c r="T80" i="3"/>
  <c r="R80" i="3"/>
  <c r="Q80" i="3"/>
  <c r="O80" i="3"/>
  <c r="N80" i="3"/>
  <c r="J80" i="3"/>
  <c r="S80" i="3"/>
  <c r="G80" i="3"/>
  <c r="V79" i="3"/>
  <c r="U79" i="3"/>
  <c r="T79" i="3"/>
  <c r="S79" i="3"/>
  <c r="R79" i="3"/>
  <c r="Q79" i="3"/>
  <c r="P79" i="3"/>
  <c r="V78" i="3"/>
  <c r="U78" i="3"/>
  <c r="T78" i="3"/>
  <c r="S78" i="3"/>
  <c r="R78" i="3"/>
  <c r="Q78" i="3"/>
  <c r="P78" i="3"/>
  <c r="J78" i="3"/>
  <c r="V77" i="3"/>
  <c r="U77" i="3"/>
  <c r="T77" i="3"/>
  <c r="R77" i="3"/>
  <c r="Q77" i="3"/>
  <c r="O77" i="3"/>
  <c r="N77" i="3"/>
  <c r="J77" i="3"/>
  <c r="S77" i="3"/>
  <c r="V76" i="3"/>
  <c r="U76" i="3"/>
  <c r="S76" i="3"/>
  <c r="R76" i="3"/>
  <c r="Q76" i="3"/>
  <c r="O76" i="3"/>
  <c r="N76" i="3"/>
  <c r="J76" i="3"/>
  <c r="T76" i="3"/>
  <c r="G76" i="3"/>
  <c r="V75" i="3"/>
  <c r="U75" i="3"/>
  <c r="T75" i="3"/>
  <c r="S75" i="3"/>
  <c r="R75" i="3"/>
  <c r="Q75" i="3"/>
  <c r="P75" i="3"/>
  <c r="V74" i="3"/>
  <c r="U74" i="3"/>
  <c r="T74" i="3"/>
  <c r="S74" i="3"/>
  <c r="R74" i="3"/>
  <c r="Q74" i="3"/>
  <c r="P74" i="3"/>
  <c r="J74" i="3"/>
  <c r="V73" i="3"/>
  <c r="U73" i="3"/>
  <c r="T73" i="3"/>
  <c r="R73" i="3"/>
  <c r="Q73" i="3"/>
  <c r="O73" i="3"/>
  <c r="N73" i="3"/>
  <c r="J73" i="3"/>
  <c r="S73" i="3"/>
  <c r="V72" i="3"/>
  <c r="U72" i="3"/>
  <c r="S72" i="3"/>
  <c r="R72" i="3"/>
  <c r="Q72" i="3"/>
  <c r="O72" i="3"/>
  <c r="N72" i="3"/>
  <c r="J72" i="3"/>
  <c r="T72" i="3"/>
  <c r="G72" i="3"/>
  <c r="V71" i="3"/>
  <c r="U71" i="3"/>
  <c r="T71" i="3"/>
  <c r="S71" i="3"/>
  <c r="R71" i="3"/>
  <c r="Q71" i="3"/>
  <c r="P71" i="3"/>
  <c r="V70" i="3"/>
  <c r="U70" i="3"/>
  <c r="T70" i="3"/>
  <c r="S70" i="3"/>
  <c r="R70" i="3"/>
  <c r="Q70" i="3"/>
  <c r="P70" i="3"/>
  <c r="J70" i="3"/>
  <c r="V69" i="3"/>
  <c r="U69" i="3"/>
  <c r="T69" i="3"/>
  <c r="R69" i="3"/>
  <c r="Q69" i="3"/>
  <c r="O69" i="3"/>
  <c r="N69" i="3"/>
  <c r="J69" i="3"/>
  <c r="S69" i="3"/>
  <c r="V68" i="3"/>
  <c r="U68" i="3"/>
  <c r="S68" i="3"/>
  <c r="R68" i="3"/>
  <c r="Q68" i="3"/>
  <c r="O68" i="3"/>
  <c r="N68" i="3"/>
  <c r="J68" i="3"/>
  <c r="T68" i="3"/>
  <c r="G68" i="3"/>
  <c r="V67" i="3"/>
  <c r="U67" i="3"/>
  <c r="T67" i="3"/>
  <c r="S67" i="3"/>
  <c r="R67" i="3"/>
  <c r="Q67" i="3"/>
  <c r="P67" i="3"/>
  <c r="V66" i="3"/>
  <c r="U66" i="3"/>
  <c r="T66" i="3"/>
  <c r="S66" i="3"/>
  <c r="R66" i="3"/>
  <c r="Q66" i="3"/>
  <c r="P66" i="3"/>
  <c r="J66" i="3"/>
  <c r="V65" i="3"/>
  <c r="U65" i="3"/>
  <c r="T65" i="3"/>
  <c r="S65" i="3"/>
  <c r="R65" i="3"/>
  <c r="Q65" i="3"/>
  <c r="O65" i="3"/>
  <c r="N65" i="3"/>
  <c r="J65" i="3"/>
  <c r="V64" i="3"/>
  <c r="U64" i="3"/>
  <c r="T64" i="3"/>
  <c r="R64" i="3"/>
  <c r="Q64" i="3"/>
  <c r="O64" i="3"/>
  <c r="N64" i="3"/>
  <c r="J64" i="3"/>
  <c r="S64" i="3"/>
  <c r="G64" i="3"/>
  <c r="V63" i="3"/>
  <c r="U63" i="3"/>
  <c r="T63" i="3"/>
  <c r="S63" i="3"/>
  <c r="R63" i="3"/>
  <c r="Q63" i="3"/>
  <c r="P63" i="3"/>
  <c r="V62" i="3"/>
  <c r="U62" i="3"/>
  <c r="T62" i="3"/>
  <c r="S62" i="3"/>
  <c r="Q62" i="3"/>
  <c r="P62" i="3"/>
  <c r="J62" i="3"/>
  <c r="R62" i="3"/>
  <c r="V61" i="3"/>
  <c r="U61" i="3"/>
  <c r="T61" i="3"/>
  <c r="R61" i="3"/>
  <c r="Q61" i="3"/>
  <c r="O61" i="3"/>
  <c r="N61" i="3"/>
  <c r="J61" i="3"/>
  <c r="S61" i="3"/>
  <c r="V60" i="3"/>
  <c r="U60" i="3"/>
  <c r="S60" i="3"/>
  <c r="R60" i="3"/>
  <c r="Q60" i="3"/>
  <c r="O60" i="3"/>
  <c r="N60" i="3"/>
  <c r="J60" i="3"/>
  <c r="T60" i="3"/>
  <c r="G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J58" i="3"/>
  <c r="V57" i="3"/>
  <c r="U57" i="3"/>
  <c r="T57" i="3"/>
  <c r="R57" i="3"/>
  <c r="Q57" i="3"/>
  <c r="O57" i="3"/>
  <c r="N57" i="3"/>
  <c r="J57" i="3"/>
  <c r="S57" i="3"/>
  <c r="V56" i="3"/>
  <c r="U56" i="3"/>
  <c r="S56" i="3"/>
  <c r="R56" i="3"/>
  <c r="Q56" i="3"/>
  <c r="O56" i="3"/>
  <c r="N56" i="3"/>
  <c r="J56" i="3"/>
  <c r="T56" i="3"/>
  <c r="G56" i="3"/>
  <c r="V55" i="3"/>
  <c r="U55" i="3"/>
  <c r="T55" i="3"/>
  <c r="S55" i="3"/>
  <c r="R55" i="3"/>
  <c r="Q55" i="3"/>
  <c r="P55" i="3"/>
  <c r="V54" i="3"/>
  <c r="U54" i="3"/>
  <c r="T54" i="3"/>
  <c r="S54" i="3"/>
  <c r="R54" i="3"/>
  <c r="Q54" i="3"/>
  <c r="P54" i="3"/>
  <c r="J54" i="3"/>
  <c r="V53" i="3"/>
  <c r="U53" i="3"/>
  <c r="T53" i="3"/>
  <c r="R53" i="3"/>
  <c r="Q53" i="3"/>
  <c r="O53" i="3"/>
  <c r="N53" i="3"/>
  <c r="J53" i="3"/>
  <c r="S53" i="3"/>
  <c r="V52" i="3"/>
  <c r="U52" i="3"/>
  <c r="S52" i="3"/>
  <c r="R52" i="3"/>
  <c r="Q52" i="3"/>
  <c r="O52" i="3"/>
  <c r="N52" i="3"/>
  <c r="J52" i="3"/>
  <c r="T52" i="3"/>
  <c r="G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J50" i="3"/>
  <c r="V49" i="3"/>
  <c r="U49" i="3"/>
  <c r="T49" i="3"/>
  <c r="R49" i="3"/>
  <c r="Q49" i="3"/>
  <c r="O49" i="3"/>
  <c r="N49" i="3"/>
  <c r="J49" i="3"/>
  <c r="S49" i="3"/>
  <c r="V48" i="3"/>
  <c r="U48" i="3"/>
  <c r="S48" i="3"/>
  <c r="R48" i="3"/>
  <c r="Q48" i="3"/>
  <c r="O48" i="3"/>
  <c r="N48" i="3"/>
  <c r="J48" i="3"/>
  <c r="T48" i="3"/>
  <c r="G48" i="3"/>
  <c r="V47" i="3"/>
  <c r="U47" i="3"/>
  <c r="T47" i="3"/>
  <c r="S47" i="3"/>
  <c r="R47" i="3"/>
  <c r="Q47" i="3"/>
  <c r="V46" i="3"/>
  <c r="U46" i="3"/>
  <c r="T46" i="3"/>
  <c r="S46" i="3"/>
  <c r="R46" i="3"/>
  <c r="Q46" i="3"/>
  <c r="J46" i="3"/>
  <c r="V45" i="3"/>
  <c r="U45" i="3"/>
  <c r="T45" i="3"/>
  <c r="R45" i="3"/>
  <c r="Q45" i="3"/>
  <c r="O45" i="3"/>
  <c r="N45" i="3"/>
  <c r="J45" i="3"/>
  <c r="S45" i="3"/>
  <c r="V44" i="3"/>
  <c r="U44" i="3"/>
  <c r="S44" i="3"/>
  <c r="R44" i="3"/>
  <c r="Q44" i="3"/>
  <c r="O44" i="3"/>
  <c r="N44" i="3"/>
  <c r="J44" i="3"/>
  <c r="T44" i="3"/>
  <c r="G44" i="3"/>
  <c r="V43" i="3"/>
  <c r="U43" i="3"/>
  <c r="T43" i="3"/>
  <c r="S43" i="3"/>
  <c r="R43" i="3"/>
  <c r="Q43" i="3"/>
  <c r="P43" i="3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J41" i="3"/>
  <c r="V40" i="3"/>
  <c r="U40" i="3"/>
  <c r="T40" i="3"/>
  <c r="R40" i="3"/>
  <c r="Q40" i="3"/>
  <c r="O40" i="3"/>
  <c r="N40" i="3"/>
  <c r="J40" i="3"/>
  <c r="S40" i="3"/>
  <c r="V39" i="3"/>
  <c r="U39" i="3"/>
  <c r="S39" i="3"/>
  <c r="R39" i="3"/>
  <c r="Q39" i="3"/>
  <c r="O39" i="3"/>
  <c r="N39" i="3"/>
  <c r="J39" i="3"/>
  <c r="T39" i="3"/>
  <c r="G39" i="3"/>
  <c r="V38" i="3"/>
  <c r="U38" i="3"/>
  <c r="T38" i="3"/>
  <c r="S38" i="3"/>
  <c r="R38" i="3"/>
  <c r="Q38" i="3"/>
  <c r="P38" i="3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J36" i="3"/>
  <c r="V35" i="3"/>
  <c r="U35" i="3"/>
  <c r="T35" i="3"/>
  <c r="R35" i="3"/>
  <c r="Q35" i="3"/>
  <c r="O35" i="3"/>
  <c r="N35" i="3"/>
  <c r="J35" i="3"/>
  <c r="S35" i="3"/>
  <c r="V34" i="3"/>
  <c r="U34" i="3"/>
  <c r="S34" i="3"/>
  <c r="R34" i="3"/>
  <c r="Q34" i="3"/>
  <c r="O34" i="3"/>
  <c r="N34" i="3"/>
  <c r="J34" i="3"/>
  <c r="T34" i="3"/>
  <c r="G34" i="3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V31" i="3"/>
  <c r="U31" i="3"/>
  <c r="T31" i="3"/>
  <c r="S31" i="3"/>
  <c r="R31" i="3"/>
  <c r="Q31" i="3"/>
  <c r="P31" i="3"/>
  <c r="J31" i="3"/>
  <c r="V30" i="3"/>
  <c r="U30" i="3"/>
  <c r="T30" i="3"/>
  <c r="R30" i="3"/>
  <c r="Q30" i="3"/>
  <c r="O30" i="3"/>
  <c r="N30" i="3"/>
  <c r="J30" i="3"/>
  <c r="S30" i="3"/>
  <c r="V29" i="3"/>
  <c r="U29" i="3"/>
  <c r="S29" i="3"/>
  <c r="R29" i="3"/>
  <c r="Q29" i="3"/>
  <c r="O29" i="3"/>
  <c r="N29" i="3"/>
  <c r="J29" i="3"/>
  <c r="T29" i="3"/>
  <c r="G29" i="3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V25" i="3"/>
  <c r="U25" i="3"/>
  <c r="T25" i="3"/>
  <c r="R25" i="3"/>
  <c r="Q25" i="3"/>
  <c r="O25" i="3"/>
  <c r="N25" i="3"/>
  <c r="V24" i="3"/>
  <c r="U24" i="3"/>
  <c r="S24" i="3"/>
  <c r="R24" i="3"/>
  <c r="Q24" i="3"/>
  <c r="O24" i="3"/>
  <c r="N24" i="3"/>
  <c r="V23" i="3"/>
  <c r="U23" i="3"/>
  <c r="T23" i="3"/>
  <c r="S23" i="3"/>
  <c r="R23" i="3"/>
  <c r="Q23" i="3"/>
  <c r="P23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J21" i="3"/>
  <c r="V20" i="3"/>
  <c r="U20" i="3"/>
  <c r="T20" i="3"/>
  <c r="S20" i="3"/>
  <c r="R20" i="3"/>
  <c r="Q20" i="3"/>
  <c r="O20" i="3"/>
  <c r="N20" i="3"/>
  <c r="J20" i="3"/>
  <c r="V19" i="3"/>
  <c r="U19" i="3"/>
  <c r="T19" i="3"/>
  <c r="R19" i="3"/>
  <c r="Q19" i="3"/>
  <c r="O19" i="3"/>
  <c r="N19" i="3"/>
  <c r="J19" i="3"/>
  <c r="S19" i="3"/>
  <c r="G19" i="3"/>
  <c r="V18" i="3"/>
  <c r="U18" i="3"/>
  <c r="T18" i="3"/>
  <c r="S18" i="3"/>
  <c r="R18" i="3"/>
  <c r="Q18" i="3"/>
  <c r="V17" i="3"/>
  <c r="U17" i="3"/>
  <c r="T17" i="3"/>
  <c r="S17" i="3"/>
  <c r="R17" i="3"/>
  <c r="Q17" i="3"/>
  <c r="V16" i="3"/>
  <c r="U16" i="3"/>
  <c r="T16" i="3"/>
  <c r="S16" i="3"/>
  <c r="R16" i="3"/>
  <c r="Q16" i="3"/>
  <c r="J16" i="3"/>
  <c r="V15" i="3"/>
  <c r="U15" i="3"/>
  <c r="T15" i="3"/>
  <c r="R15" i="3"/>
  <c r="Q15" i="3"/>
  <c r="O15" i="3"/>
  <c r="N15" i="3"/>
  <c r="J15" i="3"/>
  <c r="S15" i="3"/>
  <c r="V14" i="3"/>
  <c r="U14" i="3"/>
  <c r="S14" i="3"/>
  <c r="R14" i="3"/>
  <c r="Q14" i="3"/>
  <c r="O14" i="3"/>
  <c r="N14" i="3"/>
  <c r="J14" i="3"/>
  <c r="T14" i="3"/>
  <c r="G14" i="3"/>
  <c r="V13" i="3"/>
  <c r="U13" i="3"/>
  <c r="T13" i="3"/>
  <c r="S13" i="3"/>
  <c r="R13" i="3"/>
  <c r="Q13" i="3"/>
  <c r="O13" i="3"/>
  <c r="P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J11" i="3"/>
  <c r="V10" i="3"/>
  <c r="U10" i="3"/>
  <c r="T10" i="3"/>
  <c r="R10" i="3"/>
  <c r="Q10" i="3"/>
  <c r="O10" i="3"/>
  <c r="N10" i="3"/>
  <c r="J10" i="3"/>
  <c r="S10" i="3"/>
  <c r="V9" i="3"/>
  <c r="U9" i="3"/>
  <c r="S9" i="3"/>
  <c r="R9" i="3"/>
  <c r="Q9" i="3"/>
  <c r="O9" i="3"/>
  <c r="N9" i="3"/>
  <c r="J9" i="3"/>
  <c r="T9" i="3"/>
  <c r="P56" i="3"/>
  <c r="J25" i="3"/>
  <c r="S25" i="3"/>
  <c r="S136" i="3"/>
  <c r="S138" i="3"/>
  <c r="S139" i="3"/>
  <c r="C136" i="3"/>
  <c r="P9" i="3"/>
  <c r="P10" i="3"/>
  <c r="P99" i="3"/>
  <c r="P100" i="3"/>
  <c r="P61" i="3"/>
  <c r="P69" i="3"/>
  <c r="P72" i="3"/>
  <c r="P84" i="3"/>
  <c r="P95" i="3"/>
  <c r="P65" i="3"/>
  <c r="P45" i="3"/>
  <c r="P35" i="3"/>
  <c r="P48" i="3"/>
  <c r="P53" i="3"/>
  <c r="P68" i="3"/>
  <c r="P81" i="3"/>
  <c r="P85" i="3"/>
  <c r="P89" i="3"/>
  <c r="P90" i="3"/>
  <c r="P131" i="3"/>
  <c r="P132" i="3"/>
  <c r="P127" i="3"/>
  <c r="P128" i="3"/>
  <c r="P123" i="3"/>
  <c r="P124" i="3"/>
  <c r="P104" i="3"/>
  <c r="P105" i="3"/>
  <c r="P94" i="3"/>
  <c r="P64" i="3"/>
  <c r="P60" i="3"/>
  <c r="P52" i="3"/>
  <c r="P34" i="3"/>
  <c r="P25" i="3"/>
  <c r="P19" i="3"/>
  <c r="P20" i="3"/>
  <c r="P14" i="3"/>
  <c r="P15" i="3"/>
  <c r="P44" i="3"/>
  <c r="P49" i="3"/>
  <c r="P119" i="3"/>
  <c r="P120" i="3"/>
  <c r="G24" i="3"/>
  <c r="G136" i="3"/>
  <c r="E10" i="16"/>
  <c r="P29" i="3"/>
  <c r="P30" i="3"/>
  <c r="P39" i="3"/>
  <c r="P40" i="3"/>
  <c r="P57" i="3"/>
  <c r="P73" i="3"/>
  <c r="P76" i="3"/>
  <c r="P77" i="3"/>
  <c r="P80" i="3"/>
  <c r="P109" i="3"/>
  <c r="P110" i="3"/>
  <c r="P114" i="3"/>
  <c r="P115" i="3"/>
  <c r="P24" i="3"/>
  <c r="J26" i="3"/>
  <c r="J24" i="3"/>
  <c r="T24" i="3"/>
  <c r="T136" i="3"/>
  <c r="T138" i="3"/>
  <c r="T139" i="3"/>
  <c r="U136" i="3"/>
  <c r="U138" i="3"/>
  <c r="U139" i="3"/>
  <c r="Q136" i="3"/>
  <c r="Q138" i="3"/>
  <c r="Q139" i="3"/>
  <c r="V136" i="3"/>
  <c r="V138" i="3"/>
  <c r="V139" i="3"/>
  <c r="R136" i="3"/>
  <c r="R138" i="3"/>
  <c r="R139" i="3"/>
  <c r="J10" i="16"/>
  <c r="I10" i="16"/>
  <c r="G10" i="16"/>
  <c r="K10" i="16"/>
  <c r="C15" i="6"/>
  <c r="P136" i="3"/>
  <c r="P138" i="3"/>
  <c r="P139" i="3"/>
  <c r="D37" i="2"/>
  <c r="D36" i="2"/>
  <c r="D35" i="2"/>
  <c r="G27" i="2"/>
  <c r="F27" i="2"/>
  <c r="E27" i="2"/>
  <c r="G26" i="2"/>
  <c r="F26" i="2"/>
  <c r="D33" i="2"/>
  <c r="G18" i="16"/>
  <c r="D18" i="2"/>
  <c r="E18" i="2"/>
  <c r="D17" i="2"/>
  <c r="F17" i="2"/>
  <c r="D15" i="2"/>
  <c r="G6" i="2"/>
  <c r="F6" i="2"/>
  <c r="E6" i="2"/>
  <c r="G5" i="2"/>
  <c r="F5" i="2"/>
  <c r="E35" i="2"/>
  <c r="F10" i="1"/>
  <c r="F17" i="1"/>
  <c r="F7" i="1"/>
  <c r="F18" i="1"/>
  <c r="F11" i="1"/>
  <c r="F12" i="1"/>
  <c r="G17" i="16"/>
  <c r="G11" i="16"/>
  <c r="G8" i="16"/>
  <c r="G37" i="2"/>
  <c r="F65" i="1"/>
  <c r="F66" i="1"/>
  <c r="G9" i="16"/>
  <c r="H36" i="2"/>
  <c r="F9" i="1"/>
  <c r="F15" i="1"/>
  <c r="G19" i="16"/>
  <c r="G12" i="16"/>
  <c r="G80" i="16"/>
  <c r="G86" i="16"/>
  <c r="E37" i="2"/>
  <c r="E17" i="2"/>
  <c r="F36" i="2"/>
  <c r="F37" i="2"/>
  <c r="H15" i="2"/>
  <c r="D13" i="2"/>
  <c r="E13" i="2"/>
  <c r="F15" i="2"/>
  <c r="D34" i="2"/>
  <c r="H34" i="2"/>
  <c r="D14" i="2"/>
  <c r="H14" i="2"/>
  <c r="G15" i="2"/>
  <c r="G36" i="2"/>
  <c r="F34" i="2"/>
  <c r="E34" i="2"/>
  <c r="G34" i="2"/>
  <c r="G33" i="2"/>
  <c r="K18" i="16"/>
  <c r="E33" i="2"/>
  <c r="I18" i="16"/>
  <c r="F33" i="2"/>
  <c r="J18" i="16"/>
  <c r="H33" i="2"/>
  <c r="H35" i="2"/>
  <c r="G18" i="2"/>
  <c r="E15" i="2"/>
  <c r="G17" i="2"/>
  <c r="F18" i="2"/>
  <c r="F35" i="2"/>
  <c r="E36" i="2"/>
  <c r="H37" i="2"/>
  <c r="H18" i="2"/>
  <c r="H17" i="2"/>
  <c r="G35" i="2"/>
  <c r="G15" i="1"/>
  <c r="G9" i="1"/>
  <c r="I19" i="16"/>
  <c r="I12" i="16"/>
  <c r="I10" i="1"/>
  <c r="I17" i="1"/>
  <c r="I18" i="1"/>
  <c r="I7" i="1"/>
  <c r="I11" i="1"/>
  <c r="I12" i="1"/>
  <c r="K17" i="16"/>
  <c r="K11" i="16"/>
  <c r="K8" i="16"/>
  <c r="I9" i="1"/>
  <c r="I15" i="1"/>
  <c r="K19" i="16"/>
  <c r="K12" i="16"/>
  <c r="H65" i="1"/>
  <c r="H66" i="1"/>
  <c r="J9" i="16"/>
  <c r="H15" i="1"/>
  <c r="H9" i="1"/>
  <c r="J19" i="16"/>
  <c r="J12" i="16"/>
  <c r="G65" i="1"/>
  <c r="G66" i="1"/>
  <c r="I9" i="16"/>
  <c r="H17" i="1"/>
  <c r="H10" i="1"/>
  <c r="H7" i="1"/>
  <c r="H11" i="1"/>
  <c r="H12" i="1"/>
  <c r="H18" i="1"/>
  <c r="J17" i="16"/>
  <c r="J11" i="16"/>
  <c r="J8" i="16"/>
  <c r="I66" i="1"/>
  <c r="I65" i="1"/>
  <c r="K9" i="16"/>
  <c r="F68" i="1"/>
  <c r="F74" i="1"/>
  <c r="G17" i="1"/>
  <c r="G10" i="1"/>
  <c r="G7" i="1"/>
  <c r="G11" i="1"/>
  <c r="G12" i="1"/>
  <c r="G18" i="1"/>
  <c r="I11" i="16"/>
  <c r="I17" i="16"/>
  <c r="I8" i="16"/>
  <c r="H13" i="2"/>
  <c r="G13" i="2"/>
  <c r="F13" i="2"/>
  <c r="G14" i="2"/>
  <c r="E14" i="2"/>
  <c r="F14" i="2"/>
  <c r="G68" i="1"/>
  <c r="G74" i="1"/>
  <c r="H68" i="1"/>
  <c r="H74" i="1"/>
  <c r="K80" i="16"/>
  <c r="K86" i="16"/>
  <c r="I68" i="1"/>
  <c r="I74" i="1"/>
  <c r="I80" i="16"/>
  <c r="I86" i="16"/>
  <c r="J80" i="16"/>
  <c r="J86" i="16"/>
  <c r="P441" i="3"/>
  <c r="P442" i="3"/>
  <c r="T441" i="3"/>
  <c r="T442" i="3"/>
  <c r="S441" i="3"/>
  <c r="S442" i="3"/>
  <c r="R441" i="3"/>
  <c r="R442" i="3"/>
  <c r="V441" i="3"/>
  <c r="V442" i="3"/>
  <c r="Q441" i="3"/>
  <c r="Q442" i="3"/>
  <c r="U441" i="3"/>
  <c r="U442" i="3"/>
</calcChain>
</file>

<file path=xl/sharedStrings.xml><?xml version="1.0" encoding="utf-8"?>
<sst xmlns="http://schemas.openxmlformats.org/spreadsheetml/2006/main" count="4855" uniqueCount="888">
  <si>
    <t>SR. NO</t>
  </si>
  <si>
    <t>NAME OF MATERIAL</t>
  </si>
  <si>
    <t>TOTAL TRIPS</t>
  </si>
  <si>
    <t>TOTAL QUANTITY</t>
  </si>
  <si>
    <t>R. SAND</t>
  </si>
  <si>
    <t>C. SAND</t>
  </si>
  <si>
    <t>METAL 1</t>
  </si>
  <si>
    <t>METAL 2</t>
  </si>
  <si>
    <t>4" BRICKS</t>
  </si>
  <si>
    <t>6" BRICKS</t>
  </si>
  <si>
    <t xml:space="preserve">Work Done </t>
  </si>
  <si>
    <t>Quantity</t>
  </si>
  <si>
    <t>Grade</t>
  </si>
  <si>
    <t>CEMENT</t>
  </si>
  <si>
    <t xml:space="preserve">CEMENT </t>
  </si>
  <si>
    <t>RCC</t>
  </si>
  <si>
    <t>A wing</t>
  </si>
  <si>
    <t>8th Floor Columns</t>
  </si>
  <si>
    <t xml:space="preserve">9th Slab </t>
  </si>
  <si>
    <t>M15</t>
  </si>
  <si>
    <t>M30</t>
  </si>
  <si>
    <t>M35</t>
  </si>
  <si>
    <t>M40</t>
  </si>
  <si>
    <t>Cumec</t>
  </si>
  <si>
    <t xml:space="preserve">Cement </t>
  </si>
  <si>
    <t>Sand-Ltr</t>
  </si>
  <si>
    <t>Metal-1-Ltr</t>
  </si>
  <si>
    <t>Metal-2-Ltr</t>
  </si>
  <si>
    <t>M20</t>
  </si>
  <si>
    <t>M25</t>
  </si>
  <si>
    <t>Sand</t>
  </si>
  <si>
    <t>Metal-1</t>
  </si>
  <si>
    <t>Metal-2</t>
  </si>
  <si>
    <t>Addmixture</t>
  </si>
  <si>
    <t>NEW ENLAB</t>
  </si>
  <si>
    <t>old mix design</t>
  </si>
  <si>
    <t>Column Quantity - 8th to 9th Floor</t>
  </si>
  <si>
    <t>Concert qty.</t>
  </si>
  <si>
    <t>Main bar</t>
  </si>
  <si>
    <t>Stirrup</t>
  </si>
  <si>
    <t>Steel</t>
  </si>
  <si>
    <t>Sr.no.</t>
  </si>
  <si>
    <t>Column No.</t>
  </si>
  <si>
    <t>No of columns</t>
  </si>
  <si>
    <t>L</t>
  </si>
  <si>
    <t>B</t>
  </si>
  <si>
    <t>D</t>
  </si>
  <si>
    <t>Qty.</t>
  </si>
  <si>
    <t>Dia</t>
  </si>
  <si>
    <t>No. of Bar</t>
  </si>
  <si>
    <t>Length</t>
  </si>
  <si>
    <t>Location</t>
  </si>
  <si>
    <t xml:space="preserve">dia </t>
  </si>
  <si>
    <t>Spacing</t>
  </si>
  <si>
    <t>No. of stirrup</t>
  </si>
  <si>
    <t>8mm</t>
  </si>
  <si>
    <t>10mm</t>
  </si>
  <si>
    <t>12mm</t>
  </si>
  <si>
    <t>16mm</t>
  </si>
  <si>
    <t>20mm</t>
  </si>
  <si>
    <t>25mm</t>
  </si>
  <si>
    <t>32mm</t>
  </si>
  <si>
    <t>C1,4</t>
  </si>
  <si>
    <t>Rectangular</t>
  </si>
  <si>
    <t>Link</t>
  </si>
  <si>
    <t>C2,3.</t>
  </si>
  <si>
    <t>Main ring</t>
  </si>
  <si>
    <t>Triangular</t>
  </si>
  <si>
    <t>C5,8,54,57,59,62</t>
  </si>
  <si>
    <t>C6,7,12,13,17,29,44,55,56</t>
  </si>
  <si>
    <t xml:space="preserve">C9&amp;10,58  inner </t>
  </si>
  <si>
    <t>C9&amp;10,58  outer</t>
  </si>
  <si>
    <t>C11,14</t>
  </si>
  <si>
    <t>C15,50,53.</t>
  </si>
  <si>
    <t>C16,26,28,41,45,51,52.</t>
  </si>
  <si>
    <t>C18,21,47.</t>
  </si>
  <si>
    <t>C19,49.</t>
  </si>
  <si>
    <t>C20,43</t>
  </si>
  <si>
    <t>C22,23,24,30,39,48.</t>
  </si>
  <si>
    <t xml:space="preserve">C37            inner </t>
  </si>
  <si>
    <t>C37          outer</t>
  </si>
  <si>
    <t>C25</t>
  </si>
  <si>
    <t>C27,46</t>
  </si>
  <si>
    <t>C31,40</t>
  </si>
  <si>
    <t>Rectangular + Link</t>
  </si>
  <si>
    <t>C35</t>
  </si>
  <si>
    <t>C36</t>
  </si>
  <si>
    <t>C65,66</t>
  </si>
  <si>
    <t>C63,64</t>
  </si>
  <si>
    <t>C42</t>
  </si>
  <si>
    <t>C38,32</t>
  </si>
  <si>
    <t>C34</t>
  </si>
  <si>
    <t>C33</t>
  </si>
  <si>
    <t>CL1,CL2</t>
  </si>
  <si>
    <t>CL3</t>
  </si>
  <si>
    <t>Total</t>
  </si>
  <si>
    <t>Total Length in mts</t>
  </si>
  <si>
    <t>wt in kgs/mt</t>
  </si>
  <si>
    <t>Total Weight in kg</t>
  </si>
  <si>
    <t>Total Weight in MT</t>
  </si>
  <si>
    <t>60,61</t>
  </si>
  <si>
    <t>Podium Slab</t>
  </si>
  <si>
    <t>Podium Beam</t>
  </si>
  <si>
    <t>A-Wing</t>
  </si>
  <si>
    <t>Sr.No.</t>
  </si>
  <si>
    <t>Beam mark</t>
  </si>
  <si>
    <t>Nos.</t>
  </si>
  <si>
    <t>H</t>
  </si>
  <si>
    <t>Qty</t>
  </si>
  <si>
    <t>Description of bar</t>
  </si>
  <si>
    <t>No</t>
  </si>
  <si>
    <t>Cut Length</t>
  </si>
  <si>
    <t>wt/m</t>
  </si>
  <si>
    <t>Total wt/beam</t>
  </si>
  <si>
    <t>Total Wt</t>
  </si>
  <si>
    <t>Stirrups</t>
  </si>
  <si>
    <t>Span</t>
  </si>
  <si>
    <t>wt</t>
  </si>
  <si>
    <t>total wt.</t>
  </si>
  <si>
    <t>100mm c/c</t>
  </si>
  <si>
    <t>125mm c/c</t>
  </si>
  <si>
    <t>150mm c/c</t>
  </si>
  <si>
    <t>180mm c/c</t>
  </si>
  <si>
    <t>200mm c/c</t>
  </si>
  <si>
    <t>230mm c/c</t>
  </si>
  <si>
    <t>A</t>
  </si>
  <si>
    <t>2nd Podium Beam</t>
  </si>
  <si>
    <t>Bottom Bar</t>
  </si>
  <si>
    <t>Top Bar</t>
  </si>
  <si>
    <t>PB75</t>
  </si>
  <si>
    <t>PB78</t>
  </si>
  <si>
    <t>PB83</t>
  </si>
  <si>
    <t>PB84</t>
  </si>
  <si>
    <t>PB85</t>
  </si>
  <si>
    <t>PB89</t>
  </si>
  <si>
    <t>PB90</t>
  </si>
  <si>
    <t>PB91</t>
  </si>
  <si>
    <t>PB92</t>
  </si>
  <si>
    <t>PB94( 4 legged )</t>
  </si>
  <si>
    <t>PB95</t>
  </si>
  <si>
    <t>PB96</t>
  </si>
  <si>
    <t>PB97 ( 4 legged )</t>
  </si>
  <si>
    <t>PB98</t>
  </si>
  <si>
    <t>PB99</t>
  </si>
  <si>
    <t>PB100</t>
  </si>
  <si>
    <t>PB101</t>
  </si>
  <si>
    <t>PB102</t>
  </si>
  <si>
    <t>PB131</t>
  </si>
  <si>
    <t>PB143</t>
  </si>
  <si>
    <t>PB153</t>
  </si>
  <si>
    <t>PB164</t>
  </si>
  <si>
    <t>PB180</t>
  </si>
  <si>
    <t>PB189</t>
  </si>
  <si>
    <t>PB190</t>
  </si>
  <si>
    <t>SB191</t>
  </si>
  <si>
    <t>PB197</t>
  </si>
  <si>
    <t>PB198</t>
  </si>
  <si>
    <t>PB199</t>
  </si>
  <si>
    <t>PB201</t>
  </si>
  <si>
    <t>PB202</t>
  </si>
  <si>
    <t>PB203</t>
  </si>
  <si>
    <t>PB210</t>
  </si>
  <si>
    <t>PB211</t>
  </si>
  <si>
    <t>PB212</t>
  </si>
  <si>
    <t>Project Name : Wood-Ph II (Wing-A)</t>
  </si>
  <si>
    <t>Floor : 1st Podium Floor Slab</t>
  </si>
  <si>
    <t>Dwg. No.: 7A, Rev.-R3,Job no.-215</t>
  </si>
  <si>
    <t>Concrete Grade : M25</t>
  </si>
  <si>
    <t xml:space="preserve">Concrete Grade : </t>
  </si>
  <si>
    <t>Wing-'C'</t>
  </si>
  <si>
    <t>Type
of Slab</t>
  </si>
  <si>
    <t>No of Slab</t>
  </si>
  <si>
    <t>Shuttering</t>
  </si>
  <si>
    <t>Main Bar (A)</t>
  </si>
  <si>
    <t>Main Bar (B)</t>
  </si>
  <si>
    <t>Dist Bar Straight</t>
  </si>
  <si>
    <t>Dist Bar Bent up</t>
  </si>
  <si>
    <t>Chairs</t>
  </si>
  <si>
    <t>m</t>
  </si>
  <si>
    <t>Cum</t>
  </si>
  <si>
    <t>Sqm</t>
  </si>
  <si>
    <t>Nos</t>
  </si>
  <si>
    <t>Bent up</t>
  </si>
  <si>
    <t>Adj. Beam</t>
  </si>
  <si>
    <t>Cover</t>
  </si>
  <si>
    <t>0.3L</t>
  </si>
  <si>
    <t>Cutting
Length</t>
  </si>
  <si>
    <t>Spac</t>
  </si>
  <si>
    <t>Slab Details</t>
  </si>
  <si>
    <t>Ramp</t>
  </si>
  <si>
    <t>RS1</t>
  </si>
  <si>
    <t xml:space="preserve">RB-30-PB313 </t>
  </si>
  <si>
    <t>TYPE</t>
  </si>
  <si>
    <t>DEPTH</t>
  </si>
  <si>
    <t>MAIN BAR</t>
  </si>
  <si>
    <t>DISTRIBUTION BARS</t>
  </si>
  <si>
    <t>RB37-PC167</t>
  </si>
  <si>
    <t>RB38-45</t>
  </si>
  <si>
    <t>M DIA</t>
  </si>
  <si>
    <t>M SPACING</t>
  </si>
  <si>
    <t>D DIA</t>
  </si>
  <si>
    <t>D SPACING</t>
  </si>
  <si>
    <t>bent up bars main</t>
  </si>
  <si>
    <t>bent up bars Dist</t>
  </si>
  <si>
    <t>Remark</t>
  </si>
  <si>
    <t>RB45-51</t>
  </si>
  <si>
    <t>Sum of DEPTH</t>
  </si>
  <si>
    <t>Sum of M DIA</t>
  </si>
  <si>
    <t>Sum of M SPACING</t>
  </si>
  <si>
    <t>Sum of bent up bars main</t>
  </si>
  <si>
    <t>Sum of D DIA</t>
  </si>
  <si>
    <t>Sum of bent up bars Dist</t>
  </si>
  <si>
    <t>Sum of D SPACING</t>
  </si>
  <si>
    <t>Sum of Remark</t>
  </si>
  <si>
    <t>RB39-46</t>
  </si>
  <si>
    <t>RS2</t>
  </si>
  <si>
    <t>RB46-52</t>
  </si>
  <si>
    <t>RS3</t>
  </si>
  <si>
    <t>S1</t>
  </si>
  <si>
    <t>S2</t>
  </si>
  <si>
    <t>RB40-54</t>
  </si>
  <si>
    <t>RS4</t>
  </si>
  <si>
    <t>S3</t>
  </si>
  <si>
    <t>S10</t>
  </si>
  <si>
    <t>RB41-55</t>
  </si>
  <si>
    <t>S4</t>
  </si>
  <si>
    <t>S11</t>
  </si>
  <si>
    <t>S12</t>
  </si>
  <si>
    <t>RB42-47</t>
  </si>
  <si>
    <t>S5</t>
  </si>
  <si>
    <t>S14</t>
  </si>
  <si>
    <t>RB47-57</t>
  </si>
  <si>
    <t>S6</t>
  </si>
  <si>
    <t>S13</t>
  </si>
  <si>
    <t>S15</t>
  </si>
  <si>
    <t>RB43-48,44-49</t>
  </si>
  <si>
    <t>S18</t>
  </si>
  <si>
    <t>RB48-58,49-59</t>
  </si>
  <si>
    <t>(blank)</t>
  </si>
  <si>
    <t>S7</t>
  </si>
  <si>
    <t>S19</t>
  </si>
  <si>
    <t>PB319-RB50</t>
  </si>
  <si>
    <t>S8</t>
  </si>
  <si>
    <t>S16</t>
  </si>
  <si>
    <t>RB50-PB318</t>
  </si>
  <si>
    <t>S9</t>
  </si>
  <si>
    <t>PB320-PB319</t>
  </si>
  <si>
    <t>PC154-PC143</t>
  </si>
  <si>
    <t>PB318-PB322</t>
  </si>
  <si>
    <t>PB322-PB326</t>
  </si>
  <si>
    <t>PB318-PB326</t>
  </si>
  <si>
    <t>PC142-143</t>
  </si>
  <si>
    <t>PB326-327</t>
  </si>
  <si>
    <t>PB327-RB22</t>
  </si>
  <si>
    <t>S17</t>
  </si>
  <si>
    <t>RB69-21</t>
  </si>
  <si>
    <t>RB69-22&amp; PC150-137</t>
  </si>
  <si>
    <t>RB70-22</t>
  </si>
  <si>
    <t>RB70-23</t>
  </si>
  <si>
    <t>S20</t>
  </si>
  <si>
    <t>PC146-145</t>
  </si>
  <si>
    <t>S21</t>
  </si>
  <si>
    <t>PC145-144</t>
  </si>
  <si>
    <t>RB69-PC385</t>
  </si>
  <si>
    <t>PC385-346</t>
  </si>
  <si>
    <t>Podium floor</t>
  </si>
  <si>
    <t>Grand Total</t>
  </si>
  <si>
    <t>PC166-178</t>
  </si>
  <si>
    <t>PC167-180</t>
  </si>
  <si>
    <t>PC168-C8</t>
  </si>
  <si>
    <t>C4-C8</t>
  </si>
  <si>
    <t>PB9-13</t>
  </si>
  <si>
    <t>PB161-162</t>
  </si>
  <si>
    <t>PB13-13</t>
  </si>
  <si>
    <t>PB161-32</t>
  </si>
  <si>
    <t>PB314-14</t>
  </si>
  <si>
    <t>PB354-356</t>
  </si>
  <si>
    <t>PB316-PC175</t>
  </si>
  <si>
    <t>PC171-174</t>
  </si>
  <si>
    <t>PB273-278</t>
  </si>
  <si>
    <t>C7-13</t>
  </si>
  <si>
    <t>PB16-20</t>
  </si>
  <si>
    <t>PB13-C10</t>
  </si>
  <si>
    <t>PC176-C5</t>
  </si>
  <si>
    <t>PB32-354</t>
  </si>
  <si>
    <t>PB187-PC180</t>
  </si>
  <si>
    <t>PC177-181</t>
  </si>
  <si>
    <t>C14-18</t>
  </si>
  <si>
    <t>C9-C17</t>
  </si>
  <si>
    <t>PB176-172</t>
  </si>
  <si>
    <t>C10-12</t>
  </si>
  <si>
    <t>C11-PC182A</t>
  </si>
  <si>
    <t>PB32-PB355</t>
  </si>
  <si>
    <t>PB324-328</t>
  </si>
  <si>
    <t>PC174-185</t>
  </si>
  <si>
    <t>PC173-152</t>
  </si>
  <si>
    <t>PB31-36</t>
  </si>
  <si>
    <t>C18-24</t>
  </si>
  <si>
    <t>PB29-41</t>
  </si>
  <si>
    <t>C15-CL1</t>
  </si>
  <si>
    <t>PB22-331</t>
  </si>
  <si>
    <t>PB331-39</t>
  </si>
  <si>
    <t>PB28-35</t>
  </si>
  <si>
    <t>PB35-45</t>
  </si>
  <si>
    <t>PB75-PB44</t>
  </si>
  <si>
    <t>PB328-332</t>
  </si>
  <si>
    <t>PC184-186</t>
  </si>
  <si>
    <t>PC152-151</t>
  </si>
  <si>
    <t>C21-22</t>
  </si>
  <si>
    <t>C22-30</t>
  </si>
  <si>
    <t>PB32-37</t>
  </si>
  <si>
    <t>PB37-46</t>
  </si>
  <si>
    <t>PB33-46</t>
  </si>
  <si>
    <t>C25-33</t>
  </si>
  <si>
    <t>PB41-50</t>
  </si>
  <si>
    <t>PB40-49</t>
  </si>
  <si>
    <t>PB39-C32</t>
  </si>
  <si>
    <t>PB45-48</t>
  </si>
  <si>
    <t>C31-35</t>
  </si>
  <si>
    <t>PC187-188</t>
  </si>
  <si>
    <t>PB367-379</t>
  </si>
  <si>
    <t>PB13-205</t>
  </si>
  <si>
    <t>PB205-C37</t>
  </si>
  <si>
    <t>PB46-C37</t>
  </si>
  <si>
    <t>PB46-C42</t>
  </si>
  <si>
    <t>C34-33</t>
  </si>
  <si>
    <t>C33-PB169,cl1-cl2</t>
  </si>
  <si>
    <t>PB50-50</t>
  </si>
  <si>
    <t>PB49-49</t>
  </si>
  <si>
    <t>C32-38</t>
  </si>
  <si>
    <t>PB150-C36</t>
  </si>
  <si>
    <t>C35-40</t>
  </si>
  <si>
    <t>PC188-189</t>
  </si>
  <si>
    <t>PC150-149</t>
  </si>
  <si>
    <t>C39-44</t>
  </si>
  <si>
    <t>C37-PB37</t>
  </si>
  <si>
    <t>C42-43</t>
  </si>
  <si>
    <t>C42-CL3</t>
  </si>
  <si>
    <t>C38-41</t>
  </si>
  <si>
    <t>PB48-45</t>
  </si>
  <si>
    <t>C48-47</t>
  </si>
  <si>
    <t>PB260-259</t>
  </si>
  <si>
    <t>C43-PC195</t>
  </si>
  <si>
    <t>PB253-MB3</t>
  </si>
  <si>
    <t>PB36-31</t>
  </si>
  <si>
    <t>CL3-C52</t>
  </si>
  <si>
    <t>PB50-58</t>
  </si>
  <si>
    <t>CL2-C50</t>
  </si>
  <si>
    <t>PB331-40</t>
  </si>
  <si>
    <t>PC192-193</t>
  </si>
  <si>
    <t>C45-46</t>
  </si>
  <si>
    <t>PB35-60</t>
  </si>
  <si>
    <t>PB44-57</t>
  </si>
  <si>
    <t>C49-40</t>
  </si>
  <si>
    <t>PC189-190</t>
  </si>
  <si>
    <t>PC148-149</t>
  </si>
  <si>
    <t>PB264-259</t>
  </si>
  <si>
    <t>PB259-256</t>
  </si>
  <si>
    <t>PC195-198</t>
  </si>
  <si>
    <t>PB31-69</t>
  </si>
  <si>
    <t>C53-56</t>
  </si>
  <si>
    <t>C51-58</t>
  </si>
  <si>
    <t>PB57-66</t>
  </si>
  <si>
    <t>PB32-60</t>
  </si>
  <si>
    <t>PB60-70</t>
  </si>
  <si>
    <t>C49-PB341</t>
  </si>
  <si>
    <t>PB340-342</t>
  </si>
  <si>
    <t>PB282-289</t>
  </si>
  <si>
    <t>PB69-76</t>
  </si>
  <si>
    <t>C56-PB77</t>
  </si>
  <si>
    <t>C58-PB13</t>
  </si>
  <si>
    <t>C55-PB77</t>
  </si>
  <si>
    <t>C54-59</t>
  </si>
  <si>
    <t>PC199-PB281</t>
  </si>
  <si>
    <t>PB341-PC200</t>
  </si>
  <si>
    <t>PC147-146</t>
  </si>
  <si>
    <t>PB289-294</t>
  </si>
  <si>
    <t>C61-64</t>
  </si>
  <si>
    <t>PB13-81</t>
  </si>
  <si>
    <t>PB81-87</t>
  </si>
  <si>
    <t>C60-65</t>
  </si>
  <si>
    <t>PB281-292</t>
  </si>
  <si>
    <t>PC200-201</t>
  </si>
  <si>
    <t>PB343-344</t>
  </si>
  <si>
    <t>PC205-122</t>
  </si>
  <si>
    <t>PC204-123</t>
  </si>
  <si>
    <t>PC203-124</t>
  </si>
  <si>
    <t>PC202-125</t>
  </si>
  <si>
    <t>C64-PC126</t>
  </si>
  <si>
    <t>C63-PC127</t>
  </si>
  <si>
    <t>C65-PC128</t>
  </si>
  <si>
    <t>PC201-129</t>
  </si>
  <si>
    <t>PB245-357</t>
  </si>
  <si>
    <t>PB357-372</t>
  </si>
  <si>
    <t>PB304-312</t>
  </si>
  <si>
    <t>PB303-311</t>
  </si>
  <si>
    <t>PB302-310</t>
  </si>
  <si>
    <t>PB301-309</t>
  </si>
  <si>
    <t>PB300-308</t>
  </si>
  <si>
    <t>PB299-307</t>
  </si>
  <si>
    <t>PB298-306</t>
  </si>
  <si>
    <t>PB345-347</t>
  </si>
  <si>
    <t>PB346-348</t>
  </si>
  <si>
    <t>Total in Cum</t>
  </si>
  <si>
    <t>Total in Rmt</t>
  </si>
  <si>
    <t>Total in Cft</t>
  </si>
  <si>
    <t>Wt. per Rmt</t>
  </si>
  <si>
    <t>Wt in Kg</t>
  </si>
  <si>
    <t>Steel in Kg / CUM of concrete</t>
  </si>
  <si>
    <t>Total Wt in Kg</t>
  </si>
  <si>
    <t>Check</t>
  </si>
  <si>
    <t>Wing-'A'</t>
  </si>
  <si>
    <t>RB 10-20</t>
  </si>
  <si>
    <t>RB 9-19</t>
  </si>
  <si>
    <t>RB8-18</t>
  </si>
  <si>
    <t>RB7-17</t>
  </si>
  <si>
    <t>RB6-16</t>
  </si>
  <si>
    <t>RB5-15</t>
  </si>
  <si>
    <t>RB4-14</t>
  </si>
  <si>
    <t>RB3-13</t>
  </si>
  <si>
    <t>RB2-12</t>
  </si>
  <si>
    <t>RB1-11</t>
  </si>
  <si>
    <t>PB4-18</t>
  </si>
  <si>
    <t>PB18-26</t>
  </si>
  <si>
    <t>PB123-129</t>
  </si>
  <si>
    <t>PB129-138</t>
  </si>
  <si>
    <t>PB26-43</t>
  </si>
  <si>
    <t>PB43-26</t>
  </si>
  <si>
    <t>PC6-7</t>
  </si>
  <si>
    <t>PB26-54</t>
  </si>
  <si>
    <t>PB54-62</t>
  </si>
  <si>
    <t>PB62-73</t>
  </si>
  <si>
    <t>PB55-63</t>
  </si>
  <si>
    <t>PB56-64</t>
  </si>
  <si>
    <t>PC30-36</t>
  </si>
  <si>
    <t>PC27-37</t>
  </si>
  <si>
    <t>Pc38-29</t>
  </si>
  <si>
    <t>PC31-25</t>
  </si>
  <si>
    <t>PB64-75</t>
  </si>
  <si>
    <t>PB182-SB91</t>
  </si>
  <si>
    <t>SB46-PB78</t>
  </si>
  <si>
    <t>PC8-9</t>
  </si>
  <si>
    <t>PB127-132</t>
  </si>
  <si>
    <t>PB74-84</t>
  </si>
  <si>
    <t>PB154-144</t>
  </si>
  <si>
    <t>PC26-21</t>
  </si>
  <si>
    <t>PB78-90,PB91-SB32</t>
  </si>
  <si>
    <t>PC29-18</t>
  </si>
  <si>
    <t>PC9-10</t>
  </si>
  <si>
    <t>PB94-131</t>
  </si>
  <si>
    <t>PC23-11</t>
  </si>
  <si>
    <t>PC22-12</t>
  </si>
  <si>
    <t>PB86-98</t>
  </si>
  <si>
    <t>PB87-99</t>
  </si>
  <si>
    <t>PB88-100</t>
  </si>
  <si>
    <t>PB89-101</t>
  </si>
  <si>
    <t>PB90-101,PB91-102</t>
  </si>
  <si>
    <t>PB92-102</t>
  </si>
  <si>
    <t>Wing-'B'</t>
  </si>
  <si>
    <t>PC64-Rb24</t>
  </si>
  <si>
    <t>RB24-PC65</t>
  </si>
  <si>
    <t>PC65-66</t>
  </si>
  <si>
    <t>PC66-67</t>
  </si>
  <si>
    <t>PC67-68</t>
  </si>
  <si>
    <t>PC68-69</t>
  </si>
  <si>
    <t>PC69-70</t>
  </si>
  <si>
    <t>PC70-71</t>
  </si>
  <si>
    <t>PC71-72</t>
  </si>
  <si>
    <t>PC72-73</t>
  </si>
  <si>
    <t>PC228-234</t>
  </si>
  <si>
    <t>PC228-244</t>
  </si>
  <si>
    <t>PC78-C5</t>
  </si>
  <si>
    <t>C1-2</t>
  </si>
  <si>
    <t>C3-4</t>
  </si>
  <si>
    <t>C4-PC77</t>
  </si>
  <si>
    <t>PC77-76</t>
  </si>
  <si>
    <t>PB253-261</t>
  </si>
  <si>
    <t>PB261-267</t>
  </si>
  <si>
    <t>PC80-81</t>
  </si>
  <si>
    <t>SB32-32</t>
  </si>
  <si>
    <t>PB16-SB20</t>
  </si>
  <si>
    <t>PB13-C9</t>
  </si>
  <si>
    <t>PB14-277</t>
  </si>
  <si>
    <t>PC79-91</t>
  </si>
  <si>
    <t>PC274-27</t>
  </si>
  <si>
    <t>PB28-52</t>
  </si>
  <si>
    <t>PB275-28</t>
  </si>
  <si>
    <t>PB276-28</t>
  </si>
  <si>
    <t>PB34-38</t>
  </si>
  <si>
    <t>PB38-47</t>
  </si>
  <si>
    <t>PB27-37</t>
  </si>
  <si>
    <t>PC87-PB40</t>
  </si>
  <si>
    <t>SB20-PB22</t>
  </si>
  <si>
    <t>C10-PB29</t>
  </si>
  <si>
    <t>C14-PB31</t>
  </si>
  <si>
    <t>PC82-85</t>
  </si>
  <si>
    <t>C17-23</t>
  </si>
  <si>
    <t>PC85-86</t>
  </si>
  <si>
    <t>C20-21</t>
  </si>
  <si>
    <t>PC83-C22</t>
  </si>
  <si>
    <t>PC86-C20</t>
  </si>
  <si>
    <t>C23-33</t>
  </si>
  <si>
    <t>PB46-SB46</t>
  </si>
  <si>
    <t>C29-PB192,C37-44</t>
  </si>
  <si>
    <t>C29-PB192,C37-PB192</t>
  </si>
  <si>
    <t>C29-30</t>
  </si>
  <si>
    <t>PB47-47</t>
  </si>
  <si>
    <t>PB46-C37,C42A-42B</t>
  </si>
  <si>
    <t>CL1-2</t>
  </si>
  <si>
    <t>C33-PB40</t>
  </si>
  <si>
    <t>C34-42</t>
  </si>
  <si>
    <t>C347-PB205</t>
  </si>
  <si>
    <t>PB40-64,MB2-64</t>
  </si>
  <si>
    <t>C39A-48A</t>
  </si>
  <si>
    <t>C37-C43A</t>
  </si>
  <si>
    <t>PB46-52</t>
  </si>
  <si>
    <t>C39-48</t>
  </si>
  <si>
    <t>C48A-PC92</t>
  </si>
  <si>
    <t>C43A-47A</t>
  </si>
  <si>
    <t>PC94-95</t>
  </si>
  <si>
    <t>PB40-PC101</t>
  </si>
  <si>
    <t>CL2-C51</t>
  </si>
  <si>
    <t>SB46-PB52</t>
  </si>
  <si>
    <t>PB37-52A</t>
  </si>
  <si>
    <t>C47-48</t>
  </si>
  <si>
    <t>PC92-105</t>
  </si>
  <si>
    <t>PC94-104</t>
  </si>
  <si>
    <t>PC94-102</t>
  </si>
  <si>
    <t>PC101-102</t>
  </si>
  <si>
    <t>C50-55</t>
  </si>
  <si>
    <t>PB166-166</t>
  </si>
  <si>
    <t>PB31-C57</t>
  </si>
  <si>
    <t>PB52-PC100</t>
  </si>
  <si>
    <t>Pb52A-PB295</t>
  </si>
  <si>
    <t>Pb259-264</t>
  </si>
  <si>
    <t>SB46-PC103</t>
  </si>
  <si>
    <t>PC102-C59</t>
  </si>
  <si>
    <t>C55-60</t>
  </si>
  <si>
    <t>PB77-77</t>
  </si>
  <si>
    <t>PB67-77</t>
  </si>
  <si>
    <t>C57-62</t>
  </si>
  <si>
    <t>PB165-165</t>
  </si>
  <si>
    <t>PB220-238</t>
  </si>
  <si>
    <t>PB280-291,281-292</t>
  </si>
  <si>
    <t>C59-65</t>
  </si>
  <si>
    <t>C62-PC109</t>
  </si>
  <si>
    <t>PC107-113</t>
  </si>
  <si>
    <t>C108-114,C65-115</t>
  </si>
  <si>
    <t>C63-116,C64-66</t>
  </si>
  <si>
    <t>C64-PC117</t>
  </si>
  <si>
    <t>C66-PC118,111-120</t>
  </si>
  <si>
    <t>C110-119</t>
  </si>
  <si>
    <t>C112-121</t>
  </si>
  <si>
    <t>PB297-305</t>
  </si>
  <si>
    <t>PB299-307,301-309</t>
  </si>
  <si>
    <t>Summary</t>
  </si>
  <si>
    <t>Description</t>
  </si>
  <si>
    <t>Concrete qty.</t>
  </si>
  <si>
    <t>Steel Qty.</t>
  </si>
  <si>
    <t>Total in kg</t>
  </si>
  <si>
    <t>2nd Podium Slab</t>
  </si>
  <si>
    <t>C wing</t>
  </si>
  <si>
    <t>12th Floor Columns</t>
  </si>
  <si>
    <t>13th Typical Slab 50%.</t>
  </si>
  <si>
    <t>C20,43      outer</t>
  </si>
  <si>
    <t>C20,43      inner</t>
  </si>
  <si>
    <t>C65,66 (Inner)</t>
  </si>
  <si>
    <t>C65,67 (Outer)</t>
  </si>
  <si>
    <t>C63,64 (Outer)</t>
  </si>
  <si>
    <t>C63,64 (Inner)</t>
  </si>
  <si>
    <t>Column Quantity - 12th to 13th Floor</t>
  </si>
  <si>
    <t>1st Podium Columns</t>
  </si>
  <si>
    <t>Grd. Floor Podium Columns</t>
  </si>
  <si>
    <t xml:space="preserve"> Plinth Level to First Podium Level</t>
  </si>
  <si>
    <t xml:space="preserve">Column Quantity (Wing-A) </t>
  </si>
  <si>
    <t>Serial No</t>
  </si>
  <si>
    <t>Plaster Area</t>
  </si>
  <si>
    <t>Area</t>
  </si>
  <si>
    <t>Specing</t>
  </si>
  <si>
    <t>PC1</t>
  </si>
  <si>
    <t>Rectangulat</t>
  </si>
  <si>
    <t>100/150/100</t>
  </si>
  <si>
    <t>PC2,7,51,52,53,54,55,56,57,58,59,60,61,62.</t>
  </si>
  <si>
    <t>PC9,8,49,50,63.</t>
  </si>
  <si>
    <t>PC23,34,48.</t>
  </si>
  <si>
    <t>PC3,4,5,6,15,16,22,24,25,30,42.</t>
  </si>
  <si>
    <t>PC13,14,17,18,19,20, 21,26,28,27,29,32,44,45.</t>
  </si>
  <si>
    <t>PC46.</t>
  </si>
  <si>
    <t>PC47</t>
  </si>
  <si>
    <t>PC31,33,35,40,41,43.</t>
  </si>
  <si>
    <t>PC39.</t>
  </si>
  <si>
    <t>PC10,11,12.</t>
  </si>
  <si>
    <t>PC36,37.</t>
  </si>
  <si>
    <t>PC 38.</t>
  </si>
  <si>
    <t>cum</t>
  </si>
  <si>
    <t>Sqmt</t>
  </si>
  <si>
    <t>MT</t>
  </si>
  <si>
    <t xml:space="preserve"> First Podium Level TO Second Podium Level</t>
  </si>
  <si>
    <t>45 &amp; 2</t>
  </si>
  <si>
    <t>PC3,4,5,6,22,24,25.</t>
  </si>
  <si>
    <t>Brick Work</t>
  </si>
  <si>
    <t>5th Floor Complete</t>
  </si>
  <si>
    <t>6th Floor Complete</t>
  </si>
  <si>
    <t>Brick Work 150mm thk (1:5)</t>
  </si>
  <si>
    <t>150mm thk.</t>
  </si>
  <si>
    <t>Total Quantity of Brick work in m3</t>
  </si>
  <si>
    <t>For mortar in cum</t>
  </si>
  <si>
    <r>
      <t xml:space="preserve">Wet Volume of Brick work Incresed for </t>
    </r>
    <r>
      <rPr>
        <b/>
        <sz val="10"/>
        <rFont val="Calibri"/>
        <family val="2"/>
      </rPr>
      <t>40%</t>
    </r>
  </si>
  <si>
    <t>No. of cement bags</t>
  </si>
  <si>
    <t>Quantity of Sand in Cum</t>
  </si>
  <si>
    <t>Quantity of Sand in Cuft</t>
  </si>
  <si>
    <t>Quantity of Sand in Brass</t>
  </si>
  <si>
    <t>Total No of Bricks</t>
  </si>
  <si>
    <t>Brick Work 100mm thk (1:5)</t>
  </si>
  <si>
    <t>100mm thk.</t>
  </si>
  <si>
    <t>5th , 6th &amp; 7th Floor</t>
  </si>
  <si>
    <t>10th Floor Complete</t>
  </si>
  <si>
    <t>11th Floor Complete</t>
  </si>
  <si>
    <t>Activity</t>
  </si>
  <si>
    <t>Internal Plaster</t>
  </si>
  <si>
    <t>7th Typical Floor</t>
  </si>
  <si>
    <t>8th Typical Floor</t>
  </si>
  <si>
    <t>9th Typical Floor</t>
  </si>
  <si>
    <t>Total Quantity  in m2</t>
  </si>
  <si>
    <t>Total Quantity  in m3</t>
  </si>
  <si>
    <r>
      <t>Incresed for dry volumn 35</t>
    </r>
    <r>
      <rPr>
        <b/>
        <sz val="10"/>
        <rFont val="Calibri"/>
        <family val="2"/>
      </rPr>
      <t>%</t>
    </r>
  </si>
  <si>
    <t>7th , 8th &amp; 9th Slab</t>
  </si>
  <si>
    <t>A WING</t>
  </si>
  <si>
    <t>C WING</t>
  </si>
  <si>
    <t>7th,8th,9th,10th &amp; 11th Floor</t>
  </si>
  <si>
    <t>Unit</t>
  </si>
  <si>
    <t>Bags</t>
  </si>
  <si>
    <t>Brass</t>
  </si>
  <si>
    <t>No.s</t>
  </si>
  <si>
    <t>INTERNAL PLASTER</t>
  </si>
  <si>
    <t>BRICK WORK</t>
  </si>
  <si>
    <t>Woods Phase II</t>
  </si>
  <si>
    <t>EXTERNAL PLASTER</t>
  </si>
  <si>
    <t>Quantity Of External Plaster For Woods</t>
  </si>
  <si>
    <t>WOODS 2 A</t>
  </si>
  <si>
    <t>SR NO</t>
  </si>
  <si>
    <t>DESCRIPTION</t>
  </si>
  <si>
    <t>QTY IN SQ MT</t>
  </si>
  <si>
    <t>L In M</t>
  </si>
  <si>
    <t>H in M</t>
  </si>
  <si>
    <t>Qty in m2</t>
  </si>
  <si>
    <t>Typical floor</t>
  </si>
  <si>
    <t>Flat-1 &amp; 6</t>
  </si>
  <si>
    <t>Total Length</t>
  </si>
  <si>
    <t>Deductions</t>
  </si>
  <si>
    <t>W</t>
  </si>
  <si>
    <t>Wa</t>
  </si>
  <si>
    <t>W1</t>
  </si>
  <si>
    <t>V</t>
  </si>
  <si>
    <t>S.W</t>
  </si>
  <si>
    <t>Ducts</t>
  </si>
  <si>
    <t>Fire</t>
  </si>
  <si>
    <t>Pass</t>
  </si>
  <si>
    <t>Beam 1&amp; 2</t>
  </si>
  <si>
    <t>Beam  3 &amp; 4</t>
  </si>
  <si>
    <t>Beam 5&amp; 6</t>
  </si>
  <si>
    <t>Balconys</t>
  </si>
  <si>
    <t>1 &amp; 2</t>
  </si>
  <si>
    <t>3 &amp; 4</t>
  </si>
  <si>
    <t>5 &amp; 6</t>
  </si>
  <si>
    <t>7 &amp; 8</t>
  </si>
  <si>
    <t>Service Slabs</t>
  </si>
  <si>
    <t>S.S Ceilings</t>
  </si>
  <si>
    <t>Staircase Chajjas</t>
  </si>
  <si>
    <t>Small.SC</t>
  </si>
  <si>
    <t>Small.BC</t>
  </si>
  <si>
    <t xml:space="preserve"> Total  (1 &amp; 6)</t>
  </si>
  <si>
    <t>m2</t>
  </si>
  <si>
    <t xml:space="preserve"> 15mm thk (1:4)</t>
  </si>
  <si>
    <t>Beam 1&amp; 3</t>
  </si>
  <si>
    <t>Beam 5&amp; 7</t>
  </si>
  <si>
    <t>Parapet Wall</t>
  </si>
  <si>
    <t>Terrace</t>
  </si>
  <si>
    <t>Connector Beams</t>
  </si>
  <si>
    <t>External Plaster</t>
  </si>
  <si>
    <t>Podium Slab Part 1 &amp; 2 is completed.</t>
  </si>
  <si>
    <t>9th Floor Columns complete</t>
  </si>
  <si>
    <t>PB79</t>
  </si>
  <si>
    <t>PB80</t>
  </si>
  <si>
    <t>SB46</t>
  </si>
  <si>
    <t>Column Quantity - 9th to 10th Floor</t>
  </si>
  <si>
    <t>7th Floor Complete (20%)</t>
  </si>
  <si>
    <t>1st Typical Floor</t>
  </si>
  <si>
    <t>2nd Typical Floor</t>
  </si>
  <si>
    <t>NIL</t>
  </si>
  <si>
    <t>PRECAST WORKS</t>
  </si>
  <si>
    <t>Completed of 3596rft.</t>
  </si>
  <si>
    <t>Total Quantity  in Length</t>
  </si>
  <si>
    <t xml:space="preserve">Column Completed 12th Floor, </t>
  </si>
  <si>
    <t>13th Floor Columns 1.1 mt Ht.</t>
  </si>
  <si>
    <t>Column Quantity - 13th to 14th Floor</t>
  </si>
  <si>
    <t>RCC Staircase Pardhi</t>
  </si>
  <si>
    <t>Staircase Pardhi</t>
  </si>
  <si>
    <t>Width</t>
  </si>
  <si>
    <t>Thk</t>
  </si>
  <si>
    <t xml:space="preserve">Main Staircase </t>
  </si>
  <si>
    <t>No.</t>
  </si>
  <si>
    <t>Small Staircase</t>
  </si>
  <si>
    <t>Thickness</t>
  </si>
  <si>
    <t>12th Floor Complete (50%)</t>
  </si>
  <si>
    <t>10th Typical Floor</t>
  </si>
  <si>
    <t>11th Typical Floor</t>
  </si>
  <si>
    <t>3nd Typical Floor (75%)</t>
  </si>
  <si>
    <t xml:space="preserve">Lift Lobby From 2nd to 6th </t>
  </si>
  <si>
    <t>Extenal Plaster 33% Completed.</t>
  </si>
  <si>
    <t xml:space="preserve"> </t>
  </si>
  <si>
    <t>Coat 1</t>
  </si>
  <si>
    <t>Coat 2</t>
  </si>
  <si>
    <t xml:space="preserve">WATERPROOFING </t>
  </si>
  <si>
    <t xml:space="preserve">Base Coat 5th  Floor </t>
  </si>
  <si>
    <t xml:space="preserve">Base Coat 6th  Floor </t>
  </si>
  <si>
    <t xml:space="preserve">Base Coat 7th  Floor </t>
  </si>
  <si>
    <t xml:space="preserve">Base Coat &amp; Brickbat 4th  Floor </t>
  </si>
  <si>
    <t xml:space="preserve">Base Coat &amp; Brickbat  2nd Floor </t>
  </si>
  <si>
    <t xml:space="preserve">Base Coat &amp; Brickbat 3rd  Floor </t>
  </si>
  <si>
    <t>1" thk Basecoat.(1:4)</t>
  </si>
  <si>
    <t xml:space="preserve"> 200mm thk Brickbat  (1:4)</t>
  </si>
  <si>
    <t>Brick Quantity (6")</t>
  </si>
  <si>
    <t>Motar Quantity</t>
  </si>
  <si>
    <t>Quantity of Bricks</t>
  </si>
  <si>
    <t>Quantity Of WaterProofing For Building WOODS</t>
  </si>
  <si>
    <t>Flat-1 &amp; 2</t>
  </si>
  <si>
    <t>Toilets</t>
  </si>
  <si>
    <t>D2</t>
  </si>
  <si>
    <t>Balcony-L</t>
  </si>
  <si>
    <t>Balcony-B</t>
  </si>
  <si>
    <t xml:space="preserve"> Total  (1 &amp; 2)</t>
  </si>
  <si>
    <t>Flat-3 &amp; 4</t>
  </si>
  <si>
    <t>Balcony-k</t>
  </si>
  <si>
    <t xml:space="preserve"> Total  (2)</t>
  </si>
  <si>
    <t>Flat-5 &amp; 6</t>
  </si>
  <si>
    <t>Balcony</t>
  </si>
  <si>
    <t xml:space="preserve"> Total  (3)</t>
  </si>
  <si>
    <t>Flat- 7 &amp; 8</t>
  </si>
  <si>
    <t>TOTAL FOR TYPICAL FLOOR (100MM)</t>
  </si>
  <si>
    <t>Balcony for Flat 6 &amp; 7 (5 1/2 Floors)</t>
  </si>
  <si>
    <t>Completed of 7192rft.</t>
  </si>
  <si>
    <t>MARBLE PATTI</t>
  </si>
  <si>
    <t xml:space="preserve">Quantity Of  Frames For WOODS </t>
  </si>
  <si>
    <t>Height</t>
  </si>
  <si>
    <t>Total Area</t>
  </si>
  <si>
    <t>Windows (W)</t>
  </si>
  <si>
    <t>Windows (Wa)</t>
  </si>
  <si>
    <t>Windows (W1)</t>
  </si>
  <si>
    <t>Vents (V)</t>
  </si>
  <si>
    <t>Doors</t>
  </si>
  <si>
    <t>Kit</t>
  </si>
  <si>
    <t xml:space="preserve"> Total </t>
  </si>
  <si>
    <t xml:space="preserve"> 10mm thk (1:4) (Dado &amp; Skirting)</t>
  </si>
  <si>
    <t>All Windows Considered 2nd to 11th Floor Cosidered</t>
  </si>
  <si>
    <t xml:space="preserve">Balance on Site </t>
  </si>
  <si>
    <t xml:space="preserve">Supplied Quantity </t>
  </si>
  <si>
    <t>13th Typical  Slab (50%)</t>
  </si>
  <si>
    <t>Cement Paste</t>
  </si>
  <si>
    <t>C23,24,</t>
  </si>
  <si>
    <t>C22,30,39,48.</t>
  </si>
  <si>
    <t>13th Floor Columns 2.2 mt Ht.</t>
  </si>
  <si>
    <t>( A)</t>
  </si>
  <si>
    <t>( B)</t>
  </si>
  <si>
    <t>( C ).</t>
  </si>
  <si>
    <t>Difference ( B ) - (A) - (C )</t>
  </si>
  <si>
    <t xml:space="preserve">Note: </t>
  </si>
  <si>
    <t>1) Oppening balance detail on 17th Oct,2014 not available on site.</t>
  </si>
  <si>
    <t>2) Material was supplied to site between July to Oct,2014 dispite site being shut.</t>
  </si>
  <si>
    <t>3) Wastage not considered in the above given material.</t>
  </si>
  <si>
    <t>new mix design</t>
  </si>
  <si>
    <t>15 No.s Considered.</t>
  </si>
  <si>
    <t>37 No.s Columns Considered.</t>
  </si>
  <si>
    <t>30 No.s Considered.</t>
  </si>
  <si>
    <t>All columns considered.</t>
  </si>
  <si>
    <t>Parapet ht. 1.1, columns casted in M15</t>
  </si>
  <si>
    <t>Full ht considerd for 6 No.s of columns.</t>
  </si>
  <si>
    <t>12 floors considered casted in M25</t>
  </si>
  <si>
    <t>Parapet wall Complete (50%)</t>
  </si>
  <si>
    <t>Material reconciliation from 17th Oct,2014 to 10th Feb ,2015.</t>
  </si>
  <si>
    <t xml:space="preserve"> 12.5mm thk (1:4)</t>
  </si>
  <si>
    <t>Balcony-K</t>
  </si>
  <si>
    <t>Railing</t>
  </si>
  <si>
    <t>WOODS 2 A only balconies plaster</t>
  </si>
  <si>
    <t>Balconies  Area</t>
  </si>
  <si>
    <t>Balconies 1st,2nd &amp; 3rd(75%)</t>
  </si>
  <si>
    <t xml:space="preserve">electric </t>
  </si>
  <si>
    <t>lobby</t>
  </si>
  <si>
    <t>balcony</t>
  </si>
  <si>
    <t>staircase</t>
  </si>
  <si>
    <t xml:space="preserve">5Floors </t>
  </si>
  <si>
    <t xml:space="preserve"> 12.5mm thk (1:5)</t>
  </si>
  <si>
    <t xml:space="preserve"> 10mm thk (1:5)</t>
  </si>
  <si>
    <t xml:space="preserve"> (1:4)</t>
  </si>
  <si>
    <t>Lift Doors</t>
  </si>
  <si>
    <t>Staircase Doors</t>
  </si>
  <si>
    <t>Foot Patti</t>
  </si>
  <si>
    <t xml:space="preserve">Ducts </t>
  </si>
  <si>
    <t xml:space="preserve">Toi </t>
  </si>
  <si>
    <t>Staircase Windows</t>
  </si>
  <si>
    <t>Main</t>
  </si>
  <si>
    <t>Quantity Of Patli For Building No.  5</t>
  </si>
  <si>
    <t>Building No.  5</t>
  </si>
  <si>
    <t>Thks</t>
  </si>
  <si>
    <t>Kitchen</t>
  </si>
  <si>
    <t xml:space="preserve">Living </t>
  </si>
  <si>
    <t>Toilets 1 &amp; 2</t>
  </si>
  <si>
    <t>Toilets 7 &amp; 8</t>
  </si>
  <si>
    <t>Toilets 5 &amp; 6</t>
  </si>
  <si>
    <t>Toilets 3 &amp; 4</t>
  </si>
  <si>
    <t xml:space="preserve"> Total  </t>
  </si>
  <si>
    <t>m3</t>
  </si>
  <si>
    <t>Note: As per site information Patli is provided only in the middle long wall for living room.</t>
  </si>
  <si>
    <t>In rest of the place a vertical bricks are places instead of patli</t>
  </si>
  <si>
    <t>M15 (1:2:4)</t>
  </si>
  <si>
    <r>
      <t>Incresed for dry volumn 54</t>
    </r>
    <r>
      <rPr>
        <b/>
        <sz val="10"/>
        <rFont val="Calibri"/>
        <family val="2"/>
      </rPr>
      <t>%</t>
    </r>
  </si>
  <si>
    <t>Sand In Brass</t>
  </si>
  <si>
    <t>Metal 1</t>
  </si>
  <si>
    <t>Metal 2</t>
  </si>
  <si>
    <t>Patli</t>
  </si>
  <si>
    <t>30/10/2014</t>
  </si>
  <si>
    <r>
      <t>Incresed for dry volumn 40</t>
    </r>
    <r>
      <rPr>
        <b/>
        <sz val="10"/>
        <rFont val="Calibri"/>
        <family val="2"/>
      </rPr>
      <t>%</t>
    </r>
  </si>
  <si>
    <t>10th Floor Columns</t>
  </si>
  <si>
    <t>11th Floor Slab</t>
  </si>
  <si>
    <t>12th Floor Slab</t>
  </si>
  <si>
    <t>10th Typical Slab</t>
  </si>
  <si>
    <t>8th Floor Complete</t>
  </si>
  <si>
    <t>7th Floor Complete (80%)</t>
  </si>
  <si>
    <t>4th Typical Floor</t>
  </si>
  <si>
    <t>5th Typical Floor</t>
  </si>
  <si>
    <t xml:space="preserve">6th Typical Floor </t>
  </si>
  <si>
    <t>Balconies</t>
  </si>
  <si>
    <t xml:space="preserve">Extenal Plaster 25% </t>
  </si>
  <si>
    <t>12th Typical Floor</t>
  </si>
  <si>
    <t>KITCHEN PLATFORM</t>
  </si>
  <si>
    <t>Patli (7th-80% &amp; 8th-100%)</t>
  </si>
  <si>
    <t>Quantity Of  Flooring For WOODS</t>
  </si>
  <si>
    <t>Dado</t>
  </si>
  <si>
    <t>Floor</t>
  </si>
  <si>
    <t>Kitchen Platform</t>
  </si>
  <si>
    <t>Between Khota n Granite</t>
  </si>
  <si>
    <t>Below Kitchen Platform</t>
  </si>
  <si>
    <t>Flat-7 &amp; 8</t>
  </si>
  <si>
    <t xml:space="preserve"> Total  (4)</t>
  </si>
  <si>
    <t>Flat No.5,6 &amp; 7 - (2nd to 11th Floor)</t>
  </si>
  <si>
    <t xml:space="preserve"> 50mm thk (1:4) (Kitchen Platform)</t>
  </si>
  <si>
    <t>Cement</t>
  </si>
  <si>
    <t xml:space="preserve">Base coat &amp; Brickbat 7th Floor </t>
  </si>
  <si>
    <t xml:space="preserve">Base coat &amp; Brickbat 8th Floor </t>
  </si>
  <si>
    <t xml:space="preserve">Base coat &amp; Brickbat 9th Floor </t>
  </si>
  <si>
    <t xml:space="preserve">Base coat &amp; Brickbat 10th Floor </t>
  </si>
  <si>
    <t xml:space="preserve">Base coat &amp; Brickbat 11th Floor </t>
  </si>
  <si>
    <t>Balconies Ceiling</t>
  </si>
  <si>
    <t>The side facing Bwing has only one coat and hence to be deducted  length of 3.96*2</t>
  </si>
  <si>
    <t xml:space="preserve"> 10mm thk (1:4)</t>
  </si>
  <si>
    <t>Wastage %</t>
  </si>
  <si>
    <t>PILES</t>
  </si>
  <si>
    <t>Schedule for MARCH 2015</t>
  </si>
  <si>
    <t>11th Floor Columns (2.2ht)</t>
  </si>
  <si>
    <t>11th Floor Columns (0.7 ht)</t>
  </si>
  <si>
    <t>700 Dia piles (11No.s)</t>
  </si>
  <si>
    <t>600 Dia piles (6No.s)</t>
  </si>
  <si>
    <t>DADO</t>
  </si>
  <si>
    <t xml:space="preserve"> (Kitchen &amp; Bathroom)</t>
  </si>
  <si>
    <t>Material to be Supplied FOR THE MONTH OF MARCH</t>
  </si>
  <si>
    <t>BALANCE ON SITE</t>
  </si>
  <si>
    <t>bags</t>
  </si>
  <si>
    <t>brass</t>
  </si>
  <si>
    <t>Half Slab Considered as one half was casted on the 28th of Feb.</t>
  </si>
  <si>
    <t>Height considered 2.2mts as only this ht is filled in M30</t>
  </si>
  <si>
    <t>Height considered 0.7mts as it is casted with slab in M25</t>
  </si>
  <si>
    <t>Full Slab considered in M25</t>
  </si>
  <si>
    <t>Half Slab Considered as in schedule</t>
  </si>
  <si>
    <t>Only 80% passed &amp; 20% was already considered.</t>
  </si>
  <si>
    <t>Only 80% considered for 7th slab &amp; 100% considered for 8th slab.</t>
  </si>
  <si>
    <t>Only 50% passed &amp; 50% was already considered.</t>
  </si>
  <si>
    <t>Only considered for 12th floor columns.</t>
  </si>
  <si>
    <t>Includes wall &amp; ceiling plaster</t>
  </si>
  <si>
    <t>Includes only ceiling plaster for  balconies for 3 floors.</t>
  </si>
  <si>
    <t>Taken 3 sides of 12 sides which mounts to 25%</t>
  </si>
  <si>
    <t>Considered balconies, kitchen &amp; Toilets</t>
  </si>
  <si>
    <t>As per Indent</t>
  </si>
  <si>
    <t>Considered Bathrooms  &amp; Kitchen</t>
  </si>
  <si>
    <t>Bricks only 20% fresh bricks considered</t>
  </si>
  <si>
    <t>Work to be Carried out in March</t>
  </si>
  <si>
    <t>mason</t>
  </si>
  <si>
    <t>mazdoor</t>
  </si>
  <si>
    <t>bisthi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</si>
</sst>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0.0"/>
    <numFmt numFmtId="166" formatCode="#,##0.000"/>
    <numFmt numFmtId="167" formatCode="0.000"/>
    <numFmt numFmtId="168" formatCode="#,##0.0"/>
    <numFmt numFmtId="169" formatCode="0.00_ "/>
    <numFmt numFmtId="170" formatCode="_ * #,##0.00_ ;_ * \-#,##0.00_ ;_ * &quot;-&quot;??_ ;_ @_ "/>
    <numFmt numFmtId="171" formatCode="\$#,##0_);\(\$#,##0\)"/>
    <numFmt numFmtId="172" formatCode="0.0%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b/>
      <sz val="18"/>
      <name val="Calibri"/>
      <family val="2"/>
    </font>
    <font>
      <sz val="18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.5"/>
      <name val="Arial"/>
      <family val="2"/>
    </font>
    <font>
      <b/>
      <sz val="10.5"/>
      <color theme="3" tint="0.39997558519241921"/>
      <name val="Arial"/>
      <family val="2"/>
    </font>
    <font>
      <sz val="10.5"/>
      <color theme="3" tint="0.39997558519241921"/>
      <name val="Arial"/>
      <family val="2"/>
    </font>
    <font>
      <sz val="11"/>
      <color theme="3" tint="0.39997558519241921"/>
      <name val="Calibri"/>
      <family val="2"/>
      <scheme val="minor"/>
    </font>
    <font>
      <b/>
      <sz val="10.5"/>
      <name val="Arial"/>
      <family val="2"/>
    </font>
    <font>
      <b/>
      <sz val="10.5"/>
      <color indexed="10"/>
      <name val="Arial"/>
      <family val="2"/>
    </font>
    <font>
      <sz val="10.5"/>
      <name val="Calibri"/>
      <family val="2"/>
    </font>
    <font>
      <sz val="10.5"/>
      <color theme="1"/>
      <name val="Calibri"/>
      <family val="2"/>
    </font>
    <font>
      <sz val="10.5"/>
      <color indexed="10"/>
      <name val="Calibri"/>
      <family val="2"/>
    </font>
    <font>
      <b/>
      <sz val="10.5"/>
      <color rgb="FFFF0000"/>
      <name val="Arial"/>
      <family val="2"/>
    </font>
    <font>
      <sz val="10.5"/>
      <color rgb="FFFF0000"/>
      <name val="Arial"/>
      <family val="2"/>
    </font>
    <font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indexed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indexed="10"/>
      <name val="Arial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theme="1"/>
      <name val="Book Antiqua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name val="Calibri"/>
      <family val="2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5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5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0" fontId="5" fillId="0" borderId="0"/>
    <xf numFmtId="0" fontId="8" fillId="0" borderId="0">
      <alignment vertical="center"/>
    </xf>
    <xf numFmtId="0" fontId="1" fillId="0" borderId="0"/>
    <xf numFmtId="0" fontId="1" fillId="0" borderId="0"/>
    <xf numFmtId="0" fontId="5" fillId="0" borderId="0"/>
    <xf numFmtId="0" fontId="9" fillId="0" borderId="0"/>
    <xf numFmtId="0" fontId="47" fillId="0" borderId="0"/>
    <xf numFmtId="169" fontId="5" fillId="0" borderId="0" applyProtection="0"/>
    <xf numFmtId="170" fontId="5" fillId="0" borderId="0" applyProtection="0"/>
    <xf numFmtId="171" fontId="5" fillId="0" borderId="0" applyProtection="0"/>
    <xf numFmtId="0" fontId="6" fillId="0" borderId="0"/>
    <xf numFmtId="0" fontId="54" fillId="0" borderId="0"/>
  </cellStyleXfs>
  <cellXfs count="1116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1" applyAlignment="1">
      <alignment vertical="center"/>
    </xf>
    <xf numFmtId="2" fontId="6" fillId="0" borderId="8" xfId="3" applyNumberFormat="1" applyBorder="1" applyAlignment="1">
      <alignment horizontal="center" vertical="center"/>
    </xf>
    <xf numFmtId="0" fontId="5" fillId="0" borderId="14" xfId="1" applyBorder="1" applyAlignment="1">
      <alignment vertical="center"/>
    </xf>
    <xf numFmtId="0" fontId="5" fillId="0" borderId="15" xfId="1" applyBorder="1" applyAlignment="1">
      <alignment vertical="center"/>
    </xf>
    <xf numFmtId="0" fontId="5" fillId="0" borderId="16" xfId="1" applyBorder="1" applyAlignment="1">
      <alignment vertical="center"/>
    </xf>
    <xf numFmtId="0" fontId="5" fillId="0" borderId="17" xfId="1" applyBorder="1" applyAlignment="1">
      <alignment vertical="center"/>
    </xf>
    <xf numFmtId="0" fontId="6" fillId="0" borderId="14" xfId="3" applyBorder="1" applyAlignment="1">
      <alignment horizontal="center" vertical="center"/>
    </xf>
    <xf numFmtId="0" fontId="6" fillId="0" borderId="15" xfId="3" applyBorder="1" applyAlignment="1">
      <alignment horizontal="center" vertical="center"/>
    </xf>
    <xf numFmtId="0" fontId="6" fillId="0" borderId="15" xfId="3" applyBorder="1"/>
    <xf numFmtId="0" fontId="5" fillId="0" borderId="18" xfId="1" applyBorder="1" applyAlignment="1">
      <alignment vertical="center"/>
    </xf>
    <xf numFmtId="0" fontId="6" fillId="0" borderId="7" xfId="3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6" fillId="0" borderId="0" xfId="3"/>
    <xf numFmtId="0" fontId="7" fillId="0" borderId="7" xfId="3" applyFont="1" applyBorder="1" applyAlignment="1">
      <alignment horizontal="center" vertical="center"/>
    </xf>
    <xf numFmtId="2" fontId="7" fillId="0" borderId="8" xfId="3" applyNumberFormat="1" applyFont="1" applyBorder="1" applyAlignment="1">
      <alignment horizontal="center" vertical="center"/>
    </xf>
    <xf numFmtId="0" fontId="7" fillId="0" borderId="7" xfId="3" applyFont="1" applyFill="1" applyBorder="1" applyAlignment="1">
      <alignment horizontal="center" vertical="center"/>
    </xf>
    <xf numFmtId="0" fontId="5" fillId="0" borderId="0" xfId="1" applyBorder="1" applyAlignment="1">
      <alignment vertical="center"/>
    </xf>
    <xf numFmtId="0" fontId="2" fillId="0" borderId="9" xfId="3" applyFont="1" applyBorder="1" applyAlignment="1">
      <alignment horizontal="center" vertical="center"/>
    </xf>
    <xf numFmtId="2" fontId="6" fillId="0" borderId="9" xfId="3" applyNumberFormat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10" xfId="3" applyBorder="1" applyAlignment="1">
      <alignment horizontal="center" vertical="center"/>
    </xf>
    <xf numFmtId="2" fontId="6" fillId="0" borderId="11" xfId="3" applyNumberFormat="1" applyBorder="1" applyAlignment="1">
      <alignment horizontal="center" vertical="center"/>
    </xf>
    <xf numFmtId="2" fontId="6" fillId="0" borderId="12" xfId="3" applyNumberFormat="1" applyBorder="1" applyAlignment="1">
      <alignment horizontal="center" vertical="center"/>
    </xf>
    <xf numFmtId="0" fontId="5" fillId="0" borderId="19" xfId="1" applyBorder="1" applyAlignment="1">
      <alignment vertical="center"/>
    </xf>
    <xf numFmtId="0" fontId="5" fillId="0" borderId="20" xfId="1" applyBorder="1" applyAlignment="1">
      <alignment vertical="center"/>
    </xf>
    <xf numFmtId="0" fontId="5" fillId="0" borderId="21" xfId="1" applyBorder="1" applyAlignment="1">
      <alignment vertical="center"/>
    </xf>
    <xf numFmtId="0" fontId="5" fillId="0" borderId="0" xfId="1" applyAlignment="1">
      <alignment horizontal="center" vertical="center"/>
    </xf>
    <xf numFmtId="0" fontId="10" fillId="0" borderId="7" xfId="3" applyFont="1" applyBorder="1" applyAlignment="1">
      <alignment horizontal="center" vertical="center"/>
    </xf>
    <xf numFmtId="2" fontId="10" fillId="0" borderId="8" xfId="3" applyNumberFormat="1" applyFont="1" applyBorder="1" applyAlignment="1">
      <alignment horizontal="center" vertical="center"/>
    </xf>
    <xf numFmtId="0" fontId="10" fillId="0" borderId="7" xfId="3" applyFont="1" applyFill="1" applyBorder="1" applyAlignment="1">
      <alignment horizontal="center" vertical="center"/>
    </xf>
    <xf numFmtId="4" fontId="16" fillId="0" borderId="22" xfId="0" applyNumberFormat="1" applyFont="1" applyFill="1" applyBorder="1" applyAlignment="1">
      <alignment vertical="center"/>
    </xf>
    <xf numFmtId="166" fontId="16" fillId="0" borderId="22" xfId="0" applyNumberFormat="1" applyFont="1" applyFill="1" applyBorder="1" applyAlignment="1">
      <alignment vertical="center"/>
    </xf>
    <xf numFmtId="0" fontId="16" fillId="0" borderId="22" xfId="0" applyNumberFormat="1" applyFont="1" applyFill="1" applyBorder="1" applyAlignment="1">
      <alignment horizontal="center" vertical="center"/>
    </xf>
    <xf numFmtId="0" fontId="16" fillId="0" borderId="22" xfId="0" applyNumberFormat="1" applyFont="1" applyFill="1" applyBorder="1" applyAlignment="1">
      <alignment vertical="center"/>
    </xf>
    <xf numFmtId="166" fontId="16" fillId="0" borderId="22" xfId="0" applyNumberFormat="1" applyFont="1" applyFill="1" applyBorder="1" applyAlignment="1">
      <alignment horizontal="right" vertical="center"/>
    </xf>
    <xf numFmtId="4" fontId="16" fillId="0" borderId="22" xfId="0" applyNumberFormat="1" applyFont="1" applyFill="1" applyBorder="1" applyAlignment="1">
      <alignment horizontal="right" vertical="center"/>
    </xf>
    <xf numFmtId="4" fontId="6" fillId="0" borderId="22" xfId="13" applyNumberFormat="1" applyFont="1" applyFill="1" applyBorder="1" applyAlignment="1">
      <alignment horizontal="right" vertical="center"/>
    </xf>
    <xf numFmtId="4" fontId="6" fillId="0" borderId="8" xfId="13" applyNumberFormat="1" applyFont="1" applyFill="1" applyBorder="1" applyAlignment="1">
      <alignment horizontal="right" vertical="center"/>
    </xf>
    <xf numFmtId="4" fontId="0" fillId="0" borderId="8" xfId="0" applyNumberFormat="1" applyFont="1" applyFill="1" applyBorder="1" applyAlignment="1"/>
    <xf numFmtId="4" fontId="16" fillId="0" borderId="24" xfId="0" applyNumberFormat="1" applyFont="1" applyFill="1" applyBorder="1" applyAlignment="1">
      <alignment vertical="center"/>
    </xf>
    <xf numFmtId="166" fontId="16" fillId="0" borderId="24" xfId="0" applyNumberFormat="1" applyFont="1" applyFill="1" applyBorder="1" applyAlignment="1">
      <alignment vertical="center"/>
    </xf>
    <xf numFmtId="0" fontId="16" fillId="0" borderId="24" xfId="0" applyNumberFormat="1" applyFont="1" applyFill="1" applyBorder="1" applyAlignment="1">
      <alignment horizontal="center" vertical="center"/>
    </xf>
    <xf numFmtId="0" fontId="16" fillId="0" borderId="24" xfId="0" applyNumberFormat="1" applyFont="1" applyFill="1" applyBorder="1" applyAlignment="1">
      <alignment vertical="center"/>
    </xf>
    <xf numFmtId="166" fontId="16" fillId="0" borderId="24" xfId="0" applyNumberFormat="1" applyFont="1" applyFill="1" applyBorder="1" applyAlignment="1">
      <alignment horizontal="right" vertical="center"/>
    </xf>
    <xf numFmtId="4" fontId="16" fillId="0" borderId="24" xfId="0" applyNumberFormat="1" applyFont="1" applyFill="1" applyBorder="1" applyAlignment="1">
      <alignment horizontal="right" vertical="center"/>
    </xf>
    <xf numFmtId="4" fontId="16" fillId="0" borderId="25" xfId="0" applyNumberFormat="1" applyFont="1" applyFill="1" applyBorder="1" applyAlignment="1">
      <alignment vertical="center"/>
    </xf>
    <xf numFmtId="166" fontId="16" fillId="0" borderId="25" xfId="0" applyNumberFormat="1" applyFont="1" applyFill="1" applyBorder="1" applyAlignment="1">
      <alignment vertical="center"/>
    </xf>
    <xf numFmtId="0" fontId="16" fillId="0" borderId="25" xfId="0" applyNumberFormat="1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vertical="center"/>
    </xf>
    <xf numFmtId="166" fontId="16" fillId="0" borderId="25" xfId="0" applyNumberFormat="1" applyFont="1" applyFill="1" applyBorder="1" applyAlignment="1">
      <alignment horizontal="right" vertical="center"/>
    </xf>
    <xf numFmtId="0" fontId="16" fillId="0" borderId="26" xfId="0" applyNumberFormat="1" applyFont="1" applyFill="1" applyBorder="1" applyAlignment="1">
      <alignment vertical="center"/>
    </xf>
    <xf numFmtId="4" fontId="16" fillId="0" borderId="25" xfId="0" applyNumberFormat="1" applyFont="1" applyFill="1" applyBorder="1" applyAlignment="1">
      <alignment horizontal="right" vertical="center"/>
    </xf>
    <xf numFmtId="4" fontId="16" fillId="0" borderId="27" xfId="0" applyNumberFormat="1" applyFont="1" applyFill="1" applyBorder="1" applyAlignment="1">
      <alignment vertical="center"/>
    </xf>
    <xf numFmtId="166" fontId="16" fillId="0" borderId="27" xfId="0" applyNumberFormat="1" applyFont="1" applyFill="1" applyBorder="1" applyAlignment="1">
      <alignment vertical="center"/>
    </xf>
    <xf numFmtId="0" fontId="16" fillId="0" borderId="27" xfId="0" applyNumberFormat="1" applyFont="1" applyFill="1" applyBorder="1" applyAlignment="1">
      <alignment horizontal="center" vertical="center"/>
    </xf>
    <xf numFmtId="0" fontId="16" fillId="0" borderId="27" xfId="0" applyNumberFormat="1" applyFont="1" applyFill="1" applyBorder="1" applyAlignment="1">
      <alignment vertical="center"/>
    </xf>
    <xf numFmtId="0" fontId="16" fillId="0" borderId="8" xfId="0" applyNumberFormat="1" applyFont="1" applyFill="1" applyBorder="1" applyAlignment="1">
      <alignment vertical="center"/>
    </xf>
    <xf numFmtId="0" fontId="17" fillId="0" borderId="8" xfId="0" applyNumberFormat="1" applyFont="1" applyFill="1" applyBorder="1" applyAlignment="1">
      <alignment horizontal="right" vertical="center"/>
    </xf>
    <xf numFmtId="166" fontId="17" fillId="0" borderId="8" xfId="0" applyNumberFormat="1" applyFont="1" applyFill="1" applyBorder="1" applyAlignment="1">
      <alignment horizontal="right" vertical="center"/>
    </xf>
    <xf numFmtId="4" fontId="17" fillId="0" borderId="8" xfId="0" applyNumberFormat="1" applyFont="1" applyFill="1" applyBorder="1" applyAlignment="1">
      <alignment horizontal="right" vertical="center"/>
    </xf>
    <xf numFmtId="0" fontId="17" fillId="0" borderId="28" xfId="0" applyNumberFormat="1" applyFont="1" applyFill="1" applyBorder="1" applyAlignment="1">
      <alignment horizontal="right" vertical="center"/>
    </xf>
    <xf numFmtId="0" fontId="18" fillId="0" borderId="0" xfId="0" applyNumberFormat="1" applyFont="1" applyFill="1" applyBorder="1" applyAlignment="1">
      <alignment horizontal="right" vertical="center"/>
    </xf>
    <xf numFmtId="4" fontId="18" fillId="0" borderId="0" xfId="0" applyNumberFormat="1" applyFont="1" applyFill="1" applyBorder="1" applyAlignment="1">
      <alignment horizontal="right" vertical="center"/>
    </xf>
    <xf numFmtId="166" fontId="18" fillId="0" borderId="0" xfId="0" applyNumberFormat="1" applyFont="1" applyFill="1" applyBorder="1" applyAlignment="1">
      <alignment horizontal="right" vertical="center"/>
    </xf>
    <xf numFmtId="4" fontId="18" fillId="0" borderId="8" xfId="0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horizontal="right" vertical="center"/>
    </xf>
    <xf numFmtId="166" fontId="17" fillId="0" borderId="0" xfId="0" applyNumberFormat="1" applyFont="1" applyFill="1" applyBorder="1" applyAlignment="1">
      <alignment horizontal="right" vertical="center"/>
    </xf>
    <xf numFmtId="0" fontId="16" fillId="0" borderId="13" xfId="0" applyNumberFormat="1" applyFont="1" applyFill="1" applyBorder="1" applyAlignment="1">
      <alignment horizontal="center" vertical="center"/>
    </xf>
    <xf numFmtId="0" fontId="16" fillId="0" borderId="13" xfId="0" applyNumberFormat="1" applyFont="1" applyFill="1" applyBorder="1" applyAlignment="1">
      <alignment horizontal="center" vertical="center" wrapText="1"/>
    </xf>
    <xf numFmtId="4" fontId="16" fillId="0" borderId="13" xfId="0" applyNumberFormat="1" applyFont="1" applyFill="1" applyBorder="1" applyAlignment="1">
      <alignment vertical="center"/>
    </xf>
    <xf numFmtId="166" fontId="16" fillId="0" borderId="13" xfId="0" applyNumberFormat="1" applyFont="1" applyFill="1" applyBorder="1" applyAlignment="1">
      <alignment vertical="center"/>
    </xf>
    <xf numFmtId="0" fontId="16" fillId="0" borderId="13" xfId="0" applyNumberFormat="1" applyFont="1" applyFill="1" applyBorder="1" applyAlignment="1">
      <alignment vertical="center"/>
    </xf>
    <xf numFmtId="0" fontId="16" fillId="0" borderId="29" xfId="0" applyNumberFormat="1" applyFont="1" applyFill="1" applyBorder="1" applyAlignment="1">
      <alignment horizontal="center" vertical="center"/>
    </xf>
    <xf numFmtId="166" fontId="16" fillId="0" borderId="5" xfId="0" applyNumberFormat="1" applyFont="1" applyFill="1" applyBorder="1" applyAlignment="1">
      <alignment horizontal="right" vertical="center"/>
    </xf>
    <xf numFmtId="0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4" fontId="6" fillId="0" borderId="23" xfId="13" applyNumberFormat="1" applyFont="1" applyFill="1" applyBorder="1" applyAlignment="1">
      <alignment horizontal="right" vertical="center"/>
    </xf>
    <xf numFmtId="165" fontId="3" fillId="0" borderId="8" xfId="0" applyNumberFormat="1" applyFont="1" applyBorder="1"/>
    <xf numFmtId="4" fontId="3" fillId="0" borderId="8" xfId="0" applyNumberFormat="1" applyFont="1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167" fontId="2" fillId="0" borderId="8" xfId="0" applyNumberFormat="1" applyFont="1" applyBorder="1" applyAlignment="1">
      <alignment horizontal="center"/>
    </xf>
    <xf numFmtId="167" fontId="0" fillId="0" borderId="8" xfId="0" applyNumberFormat="1" applyBorder="1"/>
    <xf numFmtId="2" fontId="0" fillId="0" borderId="8" xfId="0" applyNumberFormat="1" applyBorder="1"/>
    <xf numFmtId="2" fontId="2" fillId="0" borderId="8" xfId="0" applyNumberFormat="1" applyFont="1" applyBorder="1"/>
    <xf numFmtId="1" fontId="0" fillId="0" borderId="8" xfId="0" applyNumberFormat="1" applyBorder="1"/>
    <xf numFmtId="1" fontId="0" fillId="0" borderId="8" xfId="0" applyNumberFormat="1" applyBorder="1" applyAlignment="1">
      <alignment horizontal="center"/>
    </xf>
    <xf numFmtId="0" fontId="0" fillId="0" borderId="8" xfId="0" applyFill="1" applyBorder="1"/>
    <xf numFmtId="2" fontId="0" fillId="0" borderId="8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167" fontId="0" fillId="0" borderId="0" xfId="0" applyNumberFormat="1" applyBorder="1"/>
    <xf numFmtId="2" fontId="0" fillId="0" borderId="0" xfId="0" applyNumberFormat="1" applyBorder="1"/>
    <xf numFmtId="2" fontId="2" fillId="0" borderId="0" xfId="0" applyNumberFormat="1" applyFont="1" applyBorder="1"/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2" fontId="2" fillId="0" borderId="0" xfId="0" applyNumberFormat="1" applyFont="1"/>
    <xf numFmtId="165" fontId="0" fillId="0" borderId="0" xfId="0" applyNumberFormat="1"/>
    <xf numFmtId="2" fontId="0" fillId="0" borderId="0" xfId="0" applyNumberFormat="1"/>
    <xf numFmtId="0" fontId="6" fillId="0" borderId="0" xfId="13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right"/>
    </xf>
    <xf numFmtId="0" fontId="19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21" fillId="0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right"/>
    </xf>
    <xf numFmtId="0" fontId="22" fillId="3" borderId="0" xfId="0" applyFont="1" applyFill="1" applyBorder="1" applyAlignment="1">
      <alignment horizontal="center" wrapText="1"/>
    </xf>
    <xf numFmtId="4" fontId="22" fillId="3" borderId="0" xfId="0" applyNumberFormat="1" applyFont="1" applyFill="1" applyBorder="1" applyAlignment="1">
      <alignment horizontal="right"/>
    </xf>
    <xf numFmtId="166" fontId="22" fillId="3" borderId="0" xfId="0" applyNumberFormat="1" applyFont="1" applyFill="1" applyBorder="1" applyAlignment="1">
      <alignment horizontal="right"/>
    </xf>
    <xf numFmtId="0" fontId="22" fillId="3" borderId="0" xfId="0" applyFont="1" applyFill="1" applyBorder="1" applyAlignment="1"/>
    <xf numFmtId="2" fontId="23" fillId="3" borderId="0" xfId="0" applyNumberFormat="1" applyFont="1" applyFill="1" applyBorder="1" applyAlignment="1">
      <alignment vertical="center"/>
    </xf>
    <xf numFmtId="0" fontId="24" fillId="3" borderId="0" xfId="0" applyFont="1" applyFill="1"/>
    <xf numFmtId="2" fontId="23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4" fontId="25" fillId="0" borderId="0" xfId="0" applyNumberFormat="1" applyFont="1" applyFill="1" applyBorder="1" applyAlignment="1">
      <alignment horizontal="right"/>
    </xf>
    <xf numFmtId="0" fontId="22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horizontal="right" vertical="center"/>
    </xf>
    <xf numFmtId="0" fontId="22" fillId="3" borderId="0" xfId="0" applyFont="1" applyFill="1" applyBorder="1" applyAlignment="1">
      <alignment horizontal="center" vertical="center" wrapText="1"/>
    </xf>
    <xf numFmtId="4" fontId="22" fillId="3" borderId="0" xfId="0" applyNumberFormat="1" applyFont="1" applyFill="1" applyBorder="1" applyAlignment="1">
      <alignment horizontal="right" vertical="center"/>
    </xf>
    <xf numFmtId="166" fontId="22" fillId="3" borderId="0" xfId="0" applyNumberFormat="1" applyFont="1" applyFill="1" applyBorder="1" applyAlignment="1">
      <alignment horizontal="right" vertical="center"/>
    </xf>
    <xf numFmtId="0" fontId="22" fillId="3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4" fontId="25" fillId="0" borderId="0" xfId="0" applyNumberFormat="1" applyFont="1" applyFill="1" applyBorder="1" applyAlignment="1">
      <alignment horizontal="right" vertical="center"/>
    </xf>
    <xf numFmtId="4" fontId="22" fillId="3" borderId="8" xfId="0" applyNumberFormat="1" applyFont="1" applyFill="1" applyBorder="1" applyAlignment="1">
      <alignment horizontal="center" vertical="center"/>
    </xf>
    <xf numFmtId="166" fontId="22" fillId="3" borderId="8" xfId="0" applyNumberFormat="1" applyFont="1" applyFill="1" applyBorder="1" applyAlignment="1">
      <alignment horizontal="center" vertical="center"/>
    </xf>
    <xf numFmtId="2" fontId="22" fillId="3" borderId="8" xfId="0" applyNumberFormat="1" applyFont="1" applyFill="1" applyBorder="1" applyAlignment="1">
      <alignment horizontal="center" vertical="center" wrapText="1"/>
    </xf>
    <xf numFmtId="2" fontId="22" fillId="3" borderId="8" xfId="0" applyNumberFormat="1" applyFont="1" applyFill="1" applyBorder="1" applyAlignment="1">
      <alignment horizontal="center" vertical="top"/>
    </xf>
    <xf numFmtId="2" fontId="25" fillId="0" borderId="0" xfId="0" applyNumberFormat="1" applyFont="1" applyFill="1" applyBorder="1" applyAlignment="1">
      <alignment horizontal="center" vertical="top"/>
    </xf>
    <xf numFmtId="4" fontId="25" fillId="0" borderId="0" xfId="0" applyNumberFormat="1" applyFont="1" applyFill="1" applyBorder="1" applyAlignment="1">
      <alignment horizontal="center" vertical="center"/>
    </xf>
    <xf numFmtId="4" fontId="22" fillId="3" borderId="8" xfId="0" applyNumberFormat="1" applyFont="1" applyFill="1" applyBorder="1" applyAlignment="1">
      <alignment horizontal="center" vertical="top"/>
    </xf>
    <xf numFmtId="166" fontId="22" fillId="3" borderId="8" xfId="0" applyNumberFormat="1" applyFont="1" applyFill="1" applyBorder="1" applyAlignment="1">
      <alignment horizontal="center" vertical="top"/>
    </xf>
    <xf numFmtId="0" fontId="22" fillId="3" borderId="8" xfId="0" applyFont="1" applyFill="1" applyBorder="1" applyAlignment="1">
      <alignment horizontal="center" vertical="top"/>
    </xf>
    <xf numFmtId="2" fontId="22" fillId="3" borderId="8" xfId="0" applyNumberFormat="1" applyFont="1" applyFill="1" applyBorder="1" applyAlignment="1">
      <alignment horizontal="center" vertical="top" wrapText="1"/>
    </xf>
    <xf numFmtId="2" fontId="25" fillId="0" borderId="0" xfId="0" applyNumberFormat="1" applyFont="1" applyFill="1" applyBorder="1" applyAlignment="1">
      <alignment horizontal="center" vertical="top" wrapText="1"/>
    </xf>
    <xf numFmtId="167" fontId="21" fillId="0" borderId="32" xfId="0" applyNumberFormat="1" applyFont="1" applyFill="1" applyBorder="1" applyAlignment="1">
      <alignment horizontal="center" vertical="top"/>
    </xf>
    <xf numFmtId="0" fontId="21" fillId="0" borderId="32" xfId="0" applyFont="1" applyFill="1" applyBorder="1" applyAlignment="1">
      <alignment horizontal="center" vertical="top"/>
    </xf>
    <xf numFmtId="0" fontId="21" fillId="0" borderId="33" xfId="0" applyFont="1" applyFill="1" applyBorder="1" applyAlignment="1">
      <alignment horizontal="center" vertical="top"/>
    </xf>
    <xf numFmtId="0" fontId="21" fillId="0" borderId="0" xfId="0" applyFont="1" applyFill="1" applyAlignment="1">
      <alignment horizontal="center" vertical="top"/>
    </xf>
    <xf numFmtId="0" fontId="22" fillId="3" borderId="8" xfId="0" applyNumberFormat="1" applyFont="1" applyFill="1" applyBorder="1" applyAlignment="1">
      <alignment horizontal="left" vertical="top"/>
    </xf>
    <xf numFmtId="0" fontId="22" fillId="3" borderId="8" xfId="0" applyNumberFormat="1" applyFont="1" applyFill="1" applyBorder="1" applyAlignment="1">
      <alignment horizontal="center" vertical="top"/>
    </xf>
    <xf numFmtId="0" fontId="22" fillId="3" borderId="8" xfId="0" applyNumberFormat="1" applyFont="1" applyFill="1" applyBorder="1" applyAlignment="1">
      <alignment horizontal="center" vertical="top" wrapText="1"/>
    </xf>
    <xf numFmtId="4" fontId="22" fillId="3" borderId="8" xfId="0" applyNumberFormat="1" applyFont="1" applyFill="1" applyBorder="1" applyAlignment="1">
      <alignment horizontal="right" vertical="top"/>
    </xf>
    <xf numFmtId="166" fontId="22" fillId="3" borderId="8" xfId="0" applyNumberFormat="1" applyFont="1" applyFill="1" applyBorder="1" applyAlignment="1">
      <alignment horizontal="right" vertical="top"/>
    </xf>
    <xf numFmtId="2" fontId="22" fillId="3" borderId="8" xfId="0" applyNumberFormat="1" applyFont="1" applyFill="1" applyBorder="1" applyAlignment="1">
      <alignment horizontal="right" vertical="top"/>
    </xf>
    <xf numFmtId="0" fontId="26" fillId="0" borderId="28" xfId="0" applyFont="1" applyFill="1" applyBorder="1" applyAlignment="1">
      <alignment horizontal="center" vertical="top"/>
    </xf>
    <xf numFmtId="4" fontId="26" fillId="0" borderId="31" xfId="0" applyNumberFormat="1" applyFont="1" applyFill="1" applyBorder="1" applyAlignment="1">
      <alignment horizontal="center" vertical="top"/>
    </xf>
    <xf numFmtId="0" fontId="26" fillId="0" borderId="31" xfId="0" applyFont="1" applyFill="1" applyBorder="1" applyAlignment="1">
      <alignment horizontal="center" vertical="top"/>
    </xf>
    <xf numFmtId="167" fontId="21" fillId="0" borderId="31" xfId="0" applyNumberFormat="1" applyFont="1" applyFill="1" applyBorder="1" applyAlignment="1">
      <alignment horizontal="center" vertical="top"/>
    </xf>
    <xf numFmtId="0" fontId="21" fillId="0" borderId="31" xfId="0" applyFont="1" applyFill="1" applyBorder="1" applyAlignment="1">
      <alignment horizontal="center" vertical="top"/>
    </xf>
    <xf numFmtId="0" fontId="21" fillId="0" borderId="30" xfId="0" applyFont="1" applyFill="1" applyBorder="1" applyAlignment="1">
      <alignment horizontal="center" vertical="top"/>
    </xf>
    <xf numFmtId="0" fontId="23" fillId="3" borderId="8" xfId="0" applyFont="1" applyFill="1" applyBorder="1" applyAlignment="1">
      <alignment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4" fontId="23" fillId="3" borderId="8" xfId="0" applyNumberFormat="1" applyFont="1" applyFill="1" applyBorder="1" applyAlignment="1">
      <alignment horizontal="right" vertical="center"/>
    </xf>
    <xf numFmtId="166" fontId="23" fillId="3" borderId="8" xfId="0" applyNumberFormat="1" applyFont="1" applyFill="1" applyBorder="1" applyAlignment="1">
      <alignment horizontal="right" vertical="center"/>
    </xf>
    <xf numFmtId="2" fontId="23" fillId="3" borderId="8" xfId="0" applyNumberFormat="1" applyFont="1" applyFill="1" applyBorder="1" applyAlignment="1">
      <alignment horizontal="right" vertical="center"/>
    </xf>
    <xf numFmtId="2" fontId="23" fillId="3" borderId="8" xfId="0" applyNumberFormat="1" applyFont="1" applyFill="1" applyBorder="1" applyAlignment="1">
      <alignment vertical="center"/>
    </xf>
    <xf numFmtId="2" fontId="23" fillId="3" borderId="8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horizontal="right" vertical="center"/>
    </xf>
    <xf numFmtId="0" fontId="21" fillId="0" borderId="8" xfId="0" applyFont="1" applyFill="1" applyBorder="1" applyAlignment="1">
      <alignment horizontal="center" vertical="center"/>
    </xf>
    <xf numFmtId="4" fontId="21" fillId="0" borderId="8" xfId="0" applyNumberFormat="1" applyFont="1" applyFill="1" applyBorder="1" applyAlignment="1">
      <alignment vertical="center"/>
    </xf>
    <xf numFmtId="167" fontId="21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0" fontId="21" fillId="0" borderId="3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167" fontId="21" fillId="0" borderId="0" xfId="0" applyNumberFormat="1" applyFont="1" applyFill="1" applyAlignment="1">
      <alignment vertical="center"/>
    </xf>
    <xf numFmtId="0" fontId="21" fillId="0" borderId="28" xfId="0" applyFont="1" applyFill="1" applyBorder="1" applyAlignment="1">
      <alignment horizontal="center" vertical="center" shrinkToFit="1"/>
    </xf>
    <xf numFmtId="0" fontId="21" fillId="0" borderId="31" xfId="0" applyFont="1" applyFill="1" applyBorder="1" applyAlignment="1">
      <alignment horizontal="center" vertical="center" shrinkToFit="1"/>
    </xf>
    <xf numFmtId="0" fontId="21" fillId="0" borderId="8" xfId="0" applyFont="1" applyFill="1" applyBorder="1" applyAlignment="1">
      <alignment vertical="center"/>
    </xf>
    <xf numFmtId="0" fontId="21" fillId="0" borderId="28" xfId="0" applyFont="1" applyFill="1" applyBorder="1" applyAlignment="1">
      <alignment vertical="center"/>
    </xf>
    <xf numFmtId="4" fontId="23" fillId="3" borderId="8" xfId="0" applyNumberFormat="1" applyFont="1" applyFill="1" applyBorder="1" applyAlignment="1">
      <alignment horizontal="right" vertical="center" wrapText="1"/>
    </xf>
    <xf numFmtId="0" fontId="21" fillId="0" borderId="29" xfId="0" applyFont="1" applyFill="1" applyBorder="1" applyAlignment="1">
      <alignment horizontal="center" vertical="center"/>
    </xf>
    <xf numFmtId="166" fontId="21" fillId="0" borderId="0" xfId="0" applyNumberFormat="1" applyFont="1" applyFill="1" applyBorder="1" applyAlignment="1">
      <alignment vertical="center"/>
    </xf>
    <xf numFmtId="167" fontId="21" fillId="0" borderId="0" xfId="0" applyNumberFormat="1" applyFont="1" applyFill="1" applyBorder="1" applyAlignment="1">
      <alignment vertical="center"/>
    </xf>
    <xf numFmtId="0" fontId="21" fillId="0" borderId="34" xfId="0" applyFont="1" applyFill="1" applyBorder="1" applyAlignment="1">
      <alignment vertical="center"/>
    </xf>
    <xf numFmtId="0" fontId="27" fillId="0" borderId="35" xfId="0" applyFont="1" applyFill="1" applyBorder="1"/>
    <xf numFmtId="0" fontId="27" fillId="0" borderId="36" xfId="0" applyFont="1" applyFill="1" applyBorder="1"/>
    <xf numFmtId="2" fontId="27" fillId="0" borderId="35" xfId="0" applyNumberFormat="1" applyFont="1" applyFill="1" applyBorder="1"/>
    <xf numFmtId="0" fontId="16" fillId="0" borderId="35" xfId="0" applyFont="1" applyFill="1" applyBorder="1"/>
    <xf numFmtId="0" fontId="16" fillId="0" borderId="36" xfId="0" applyFont="1" applyFill="1" applyBorder="1"/>
    <xf numFmtId="0" fontId="28" fillId="0" borderId="35" xfId="0" applyFont="1" applyFill="1" applyBorder="1"/>
    <xf numFmtId="0" fontId="28" fillId="0" borderId="36" xfId="0" applyFont="1" applyFill="1" applyBorder="1"/>
    <xf numFmtId="2" fontId="28" fillId="0" borderId="35" xfId="0" applyNumberFormat="1" applyFont="1" applyFill="1" applyBorder="1"/>
    <xf numFmtId="0" fontId="0" fillId="0" borderId="35" xfId="0" applyFill="1" applyBorder="1"/>
    <xf numFmtId="0" fontId="0" fillId="0" borderId="36" xfId="0" applyFill="1" applyBorder="1"/>
    <xf numFmtId="0" fontId="25" fillId="0" borderId="0" xfId="0" applyFont="1" applyFill="1" applyAlignment="1">
      <alignment vertical="center"/>
    </xf>
    <xf numFmtId="0" fontId="28" fillId="0" borderId="37" xfId="0" applyFont="1" applyFill="1" applyBorder="1"/>
    <xf numFmtId="0" fontId="28" fillId="0" borderId="37" xfId="0" applyNumberFormat="1" applyFont="1" applyFill="1" applyBorder="1"/>
    <xf numFmtId="0" fontId="28" fillId="0" borderId="36" xfId="0" applyNumberFormat="1" applyFont="1" applyFill="1" applyBorder="1"/>
    <xf numFmtId="0" fontId="28" fillId="0" borderId="13" xfId="0" applyFont="1" applyFill="1" applyBorder="1"/>
    <xf numFmtId="0" fontId="28" fillId="0" borderId="13" xfId="0" applyNumberFormat="1" applyFont="1" applyFill="1" applyBorder="1"/>
    <xf numFmtId="2" fontId="28" fillId="0" borderId="38" xfId="0" applyNumberFormat="1" applyFont="1" applyFill="1" applyBorder="1"/>
    <xf numFmtId="0" fontId="28" fillId="0" borderId="39" xfId="0" applyNumberFormat="1" applyFont="1" applyFill="1" applyBorder="1"/>
    <xf numFmtId="0" fontId="28" fillId="0" borderId="38" xfId="0" applyFont="1" applyFill="1" applyBorder="1"/>
    <xf numFmtId="0" fontId="21" fillId="0" borderId="40" xfId="0" applyFont="1" applyFill="1" applyBorder="1" applyAlignment="1">
      <alignment horizontal="center" vertical="center"/>
    </xf>
    <xf numFmtId="0" fontId="29" fillId="0" borderId="13" xfId="0" applyFont="1" applyFill="1" applyBorder="1"/>
    <xf numFmtId="0" fontId="29" fillId="0" borderId="13" xfId="0" applyNumberFormat="1" applyFont="1" applyFill="1" applyBorder="1"/>
    <xf numFmtId="0" fontId="29" fillId="0" borderId="38" xfId="0" applyFont="1" applyFill="1" applyBorder="1"/>
    <xf numFmtId="0" fontId="29" fillId="0" borderId="39" xfId="0" applyNumberFormat="1" applyFont="1" applyFill="1" applyBorder="1"/>
    <xf numFmtId="4" fontId="21" fillId="0" borderId="0" xfId="0" applyNumberFormat="1" applyFont="1" applyFill="1" applyBorder="1" applyAlignment="1">
      <alignment vertical="center"/>
    </xf>
    <xf numFmtId="0" fontId="28" fillId="0" borderId="0" xfId="0" applyFont="1" applyFill="1" applyBorder="1"/>
    <xf numFmtId="0" fontId="28" fillId="0" borderId="0" xfId="0" applyNumberFormat="1" applyFont="1" applyFill="1" applyBorder="1"/>
    <xf numFmtId="0" fontId="21" fillId="0" borderId="41" xfId="0" applyFont="1" applyFill="1" applyBorder="1" applyAlignment="1">
      <alignment horizontal="center" vertical="center"/>
    </xf>
    <xf numFmtId="4" fontId="21" fillId="0" borderId="42" xfId="0" applyNumberFormat="1" applyFont="1" applyFill="1" applyBorder="1" applyAlignment="1">
      <alignment vertical="center"/>
    </xf>
    <xf numFmtId="0" fontId="21" fillId="0" borderId="42" xfId="0" applyFont="1" applyFill="1" applyBorder="1" applyAlignment="1">
      <alignment vertical="center"/>
    </xf>
    <xf numFmtId="167" fontId="21" fillId="0" borderId="42" xfId="0" applyNumberFormat="1" applyFont="1" applyFill="1" applyBorder="1" applyAlignment="1">
      <alignment vertical="center"/>
    </xf>
    <xf numFmtId="0" fontId="21" fillId="0" borderId="43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8" fillId="0" borderId="5" xfId="0" applyFont="1" applyFill="1" applyBorder="1"/>
    <xf numFmtId="0" fontId="28" fillId="0" borderId="5" xfId="0" applyNumberFormat="1" applyFont="1" applyFill="1" applyBorder="1"/>
    <xf numFmtId="0" fontId="22" fillId="3" borderId="8" xfId="0" applyFont="1" applyFill="1" applyBorder="1" applyAlignment="1">
      <alignment vertical="center"/>
    </xf>
    <xf numFmtId="0" fontId="28" fillId="0" borderId="8" xfId="0" applyFont="1" applyFill="1" applyBorder="1"/>
    <xf numFmtId="0" fontId="28" fillId="0" borderId="8" xfId="0" applyNumberFormat="1" applyFont="1" applyFill="1" applyBorder="1"/>
    <xf numFmtId="2" fontId="28" fillId="0" borderId="0" xfId="0" applyNumberFormat="1" applyFont="1" applyFill="1" applyBorder="1"/>
    <xf numFmtId="0" fontId="23" fillId="3" borderId="8" xfId="0" applyFont="1" applyFill="1" applyBorder="1" applyAlignment="1">
      <alignment horizontal="right" vertical="center" wrapText="1"/>
    </xf>
    <xf numFmtId="0" fontId="23" fillId="3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 wrapText="1"/>
    </xf>
    <xf numFmtId="4" fontId="23" fillId="3" borderId="0" xfId="0" applyNumberFormat="1" applyFont="1" applyFill="1" applyBorder="1" applyAlignment="1">
      <alignment horizontal="right" vertical="center"/>
    </xf>
    <xf numFmtId="2" fontId="22" fillId="3" borderId="43" xfId="0" applyNumberFormat="1" applyFont="1" applyFill="1" applyBorder="1" applyAlignment="1">
      <alignment horizontal="right" vertical="center"/>
    </xf>
    <xf numFmtId="0" fontId="22" fillId="3" borderId="5" xfId="0" applyFont="1" applyFill="1" applyBorder="1" applyAlignment="1">
      <alignment horizontal="center" vertical="center"/>
    </xf>
    <xf numFmtId="2" fontId="23" fillId="3" borderId="0" xfId="0" applyNumberFormat="1" applyFont="1" applyFill="1" applyAlignment="1">
      <alignment vertical="center"/>
    </xf>
    <xf numFmtId="0" fontId="22" fillId="3" borderId="0" xfId="0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2" fontId="25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Alignment="1">
      <alignment horizontal="center" vertical="center"/>
    </xf>
    <xf numFmtId="4" fontId="21" fillId="0" borderId="0" xfId="0" applyNumberFormat="1" applyFont="1" applyFill="1" applyAlignment="1">
      <alignment vertical="center"/>
    </xf>
    <xf numFmtId="2" fontId="22" fillId="3" borderId="44" xfId="0" applyNumberFormat="1" applyFont="1" applyFill="1" applyBorder="1" applyAlignment="1">
      <alignment horizontal="right" vertical="center"/>
    </xf>
    <xf numFmtId="2" fontId="22" fillId="3" borderId="8" xfId="0" applyNumberFormat="1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/>
    </xf>
    <xf numFmtId="2" fontId="23" fillId="3" borderId="0" xfId="0" applyNumberFormat="1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4" fontId="23" fillId="3" borderId="0" xfId="0" applyNumberFormat="1" applyFont="1" applyFill="1" applyAlignment="1">
      <alignment horizontal="right" vertical="center"/>
    </xf>
    <xf numFmtId="166" fontId="23" fillId="3" borderId="0" xfId="0" applyNumberFormat="1" applyFont="1" applyFill="1" applyAlignment="1">
      <alignment horizontal="right" vertical="center"/>
    </xf>
    <xf numFmtId="0" fontId="23" fillId="3" borderId="0" xfId="0" applyFont="1" applyFill="1" applyAlignment="1">
      <alignment horizontal="right" vertical="center"/>
    </xf>
    <xf numFmtId="2" fontId="22" fillId="3" borderId="8" xfId="0" applyNumberFormat="1" applyFont="1" applyFill="1" applyBorder="1" applyAlignment="1">
      <alignment horizontal="right" vertical="center"/>
    </xf>
    <xf numFmtId="0" fontId="23" fillId="3" borderId="0" xfId="0" applyFont="1" applyFill="1"/>
    <xf numFmtId="0" fontId="23" fillId="3" borderId="0" xfId="0" applyFont="1" applyFill="1" applyAlignment="1">
      <alignment horizontal="center" vertical="center" wrapText="1"/>
    </xf>
    <xf numFmtId="0" fontId="22" fillId="3" borderId="8" xfId="0" applyFont="1" applyFill="1" applyBorder="1" applyAlignment="1">
      <alignment horizontal="right"/>
    </xf>
    <xf numFmtId="2" fontId="23" fillId="3" borderId="0" xfId="0" applyNumberFormat="1" applyFont="1" applyFill="1"/>
    <xf numFmtId="2" fontId="23" fillId="3" borderId="0" xfId="0" applyNumberFormat="1" applyFont="1" applyFill="1" applyAlignment="1">
      <alignment horizontal="center" vertical="center" wrapText="1"/>
    </xf>
    <xf numFmtId="2" fontId="22" fillId="3" borderId="0" xfId="0" applyNumberFormat="1" applyFont="1" applyFill="1" applyBorder="1" applyAlignment="1">
      <alignment horizontal="right"/>
    </xf>
    <xf numFmtId="2" fontId="25" fillId="0" borderId="0" xfId="0" applyNumberFormat="1" applyFont="1" applyFill="1" applyBorder="1" applyAlignment="1">
      <alignment horizontal="right"/>
    </xf>
    <xf numFmtId="0" fontId="6" fillId="0" borderId="0" xfId="0" applyFont="1" applyFill="1"/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 wrapText="1"/>
    </xf>
    <xf numFmtId="4" fontId="21" fillId="4" borderId="0" xfId="0" applyNumberFormat="1" applyFont="1" applyFill="1" applyAlignment="1">
      <alignment horizontal="right" vertical="center"/>
    </xf>
    <xf numFmtId="4" fontId="25" fillId="4" borderId="0" xfId="0" applyNumberFormat="1" applyFont="1" applyFill="1" applyBorder="1" applyAlignment="1">
      <alignment horizontal="right"/>
    </xf>
    <xf numFmtId="166" fontId="25" fillId="4" borderId="0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30" fillId="4" borderId="0" xfId="0" applyFont="1" applyFill="1" applyBorder="1" applyAlignment="1">
      <alignment horizontal="right"/>
    </xf>
    <xf numFmtId="2" fontId="25" fillId="4" borderId="0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center"/>
    </xf>
    <xf numFmtId="0" fontId="21" fillId="0" borderId="0" xfId="0" applyFont="1" applyFill="1" applyAlignment="1">
      <alignment horizontal="center" vertical="center" wrapText="1"/>
    </xf>
    <xf numFmtId="4" fontId="21" fillId="0" borderId="0" xfId="0" applyNumberFormat="1" applyFont="1" applyFill="1" applyAlignment="1">
      <alignment horizontal="right" vertical="center"/>
    </xf>
    <xf numFmtId="166" fontId="21" fillId="0" borderId="0" xfId="0" applyNumberFormat="1" applyFont="1" applyFill="1" applyAlignment="1">
      <alignment horizontal="right" vertical="center"/>
    </xf>
    <xf numFmtId="2" fontId="21" fillId="0" borderId="0" xfId="0" applyNumberFormat="1" applyFont="1" applyFill="1" applyAlignment="1">
      <alignment horizontal="right" vertical="center"/>
    </xf>
    <xf numFmtId="2" fontId="21" fillId="0" borderId="0" xfId="0" applyNumberFormat="1" applyFont="1" applyFill="1" applyAlignment="1">
      <alignment vertical="center"/>
    </xf>
    <xf numFmtId="2" fontId="21" fillId="0" borderId="0" xfId="0" applyNumberFormat="1" applyFont="1" applyFill="1" applyAlignment="1">
      <alignment horizontal="center" vertical="center"/>
    </xf>
    <xf numFmtId="2" fontId="31" fillId="0" borderId="0" xfId="0" applyNumberFormat="1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right" vertical="center"/>
    </xf>
    <xf numFmtId="0" fontId="26" fillId="0" borderId="0" xfId="0" applyFont="1" applyFill="1" applyBorder="1" applyAlignment="1">
      <alignment vertical="center"/>
    </xf>
    <xf numFmtId="167" fontId="21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center" wrapText="1"/>
    </xf>
    <xf numFmtId="166" fontId="25" fillId="0" borderId="0" xfId="0" applyNumberFormat="1" applyFont="1" applyFill="1" applyBorder="1" applyAlignment="1">
      <alignment horizontal="right"/>
    </xf>
    <xf numFmtId="0" fontId="25" fillId="0" borderId="0" xfId="0" applyFont="1" applyFill="1" applyBorder="1" applyAlignment="1"/>
    <xf numFmtId="2" fontId="21" fillId="0" borderId="0" xfId="0" applyNumberFormat="1" applyFont="1" applyFill="1" applyBorder="1" applyAlignment="1">
      <alignment vertical="center"/>
    </xf>
    <xf numFmtId="0" fontId="30" fillId="0" borderId="0" xfId="0" applyFont="1" applyFill="1" applyBorder="1" applyAlignment="1">
      <alignment horizontal="right"/>
    </xf>
    <xf numFmtId="2" fontId="0" fillId="0" borderId="0" xfId="0" applyNumberFormat="1" applyFill="1"/>
    <xf numFmtId="2" fontId="31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 wrapText="1"/>
    </xf>
    <xf numFmtId="166" fontId="25" fillId="0" borderId="0" xfId="0" applyNumberFormat="1" applyFont="1" applyFill="1" applyBorder="1" applyAlignment="1">
      <alignment horizontal="right" vertical="center"/>
    </xf>
    <xf numFmtId="0" fontId="30" fillId="0" borderId="0" xfId="0" applyFont="1" applyFill="1" applyBorder="1" applyAlignment="1">
      <alignment horizontal="right" vertical="center"/>
    </xf>
    <xf numFmtId="4" fontId="25" fillId="0" borderId="8" xfId="0" applyNumberFormat="1" applyFont="1" applyFill="1" applyBorder="1" applyAlignment="1">
      <alignment horizontal="center" vertical="center"/>
    </xf>
    <xf numFmtId="166" fontId="25" fillId="0" borderId="8" xfId="0" applyNumberFormat="1" applyFont="1" applyFill="1" applyBorder="1" applyAlignment="1">
      <alignment horizontal="center" vertical="center"/>
    </xf>
    <xf numFmtId="2" fontId="25" fillId="0" borderId="8" xfId="0" applyNumberFormat="1" applyFont="1" applyFill="1" applyBorder="1" applyAlignment="1">
      <alignment horizontal="center" vertical="center" wrapText="1"/>
    </xf>
    <xf numFmtId="2" fontId="25" fillId="0" borderId="8" xfId="0" applyNumberFormat="1" applyFont="1" applyFill="1" applyBorder="1" applyAlignment="1">
      <alignment horizontal="center" vertical="top"/>
    </xf>
    <xf numFmtId="4" fontId="25" fillId="0" borderId="8" xfId="0" applyNumberFormat="1" applyFont="1" applyFill="1" applyBorder="1" applyAlignment="1">
      <alignment horizontal="center" vertical="top"/>
    </xf>
    <xf numFmtId="166" fontId="25" fillId="0" borderId="8" xfId="0" applyNumberFormat="1" applyFont="1" applyFill="1" applyBorder="1" applyAlignment="1">
      <alignment horizontal="center" vertical="top"/>
    </xf>
    <xf numFmtId="0" fontId="25" fillId="0" borderId="8" xfId="0" applyFont="1" applyFill="1" applyBorder="1" applyAlignment="1">
      <alignment horizontal="center" vertical="top"/>
    </xf>
    <xf numFmtId="2" fontId="25" fillId="0" borderId="8" xfId="0" applyNumberFormat="1" applyFont="1" applyFill="1" applyBorder="1" applyAlignment="1">
      <alignment horizontal="center" vertical="top" wrapText="1"/>
    </xf>
    <xf numFmtId="2" fontId="30" fillId="0" borderId="8" xfId="0" applyNumberFormat="1" applyFont="1" applyFill="1" applyBorder="1" applyAlignment="1">
      <alignment horizontal="center" vertical="top" wrapText="1"/>
    </xf>
    <xf numFmtId="167" fontId="21" fillId="0" borderId="47" xfId="0" applyNumberFormat="1" applyFont="1" applyFill="1" applyBorder="1" applyAlignment="1">
      <alignment horizontal="center" vertical="top"/>
    </xf>
    <xf numFmtId="0" fontId="21" fillId="0" borderId="47" xfId="0" applyFont="1" applyFill="1" applyBorder="1" applyAlignment="1">
      <alignment horizontal="center" vertical="top"/>
    </xf>
    <xf numFmtId="0" fontId="21" fillId="0" borderId="48" xfId="0" applyFont="1" applyFill="1" applyBorder="1" applyAlignment="1">
      <alignment horizontal="center" vertical="top"/>
    </xf>
    <xf numFmtId="4" fontId="26" fillId="0" borderId="45" xfId="0" applyNumberFormat="1" applyFont="1" applyFill="1" applyBorder="1" applyAlignment="1">
      <alignment horizontal="center" vertical="top"/>
    </xf>
    <xf numFmtId="0" fontId="26" fillId="0" borderId="45" xfId="0" applyFont="1" applyFill="1" applyBorder="1" applyAlignment="1">
      <alignment horizontal="center" vertical="top"/>
    </xf>
    <xf numFmtId="167" fontId="21" fillId="0" borderId="45" xfId="0" applyNumberFormat="1" applyFont="1" applyFill="1" applyBorder="1" applyAlignment="1">
      <alignment horizontal="center" vertical="top"/>
    </xf>
    <xf numFmtId="0" fontId="21" fillId="0" borderId="45" xfId="0" applyFont="1" applyFill="1" applyBorder="1" applyAlignment="1">
      <alignment horizontal="center" vertical="top"/>
    </xf>
    <xf numFmtId="0" fontId="21" fillId="0" borderId="44" xfId="0" applyFont="1" applyFill="1" applyBorder="1" applyAlignment="1">
      <alignment horizontal="center" vertical="top"/>
    </xf>
    <xf numFmtId="167" fontId="21" fillId="0" borderId="45" xfId="0" applyNumberFormat="1" applyFont="1" applyFill="1" applyBorder="1" applyAlignment="1">
      <alignment vertical="center"/>
    </xf>
    <xf numFmtId="0" fontId="21" fillId="0" borderId="45" xfId="0" applyFont="1" applyFill="1" applyBorder="1" applyAlignment="1">
      <alignment vertical="center"/>
    </xf>
    <xf numFmtId="0" fontId="21" fillId="0" borderId="44" xfId="0" applyFont="1" applyFill="1" applyBorder="1" applyAlignment="1">
      <alignment vertical="center"/>
    </xf>
    <xf numFmtId="0" fontId="21" fillId="0" borderId="45" xfId="0" applyFont="1" applyFill="1" applyBorder="1" applyAlignment="1">
      <alignment horizontal="center" vertical="center" shrinkToFit="1"/>
    </xf>
    <xf numFmtId="0" fontId="32" fillId="0" borderId="35" xfId="0" applyFont="1" applyFill="1" applyBorder="1"/>
    <xf numFmtId="0" fontId="32" fillId="0" borderId="36" xfId="0" applyFont="1" applyFill="1" applyBorder="1"/>
    <xf numFmtId="2" fontId="32" fillId="0" borderId="35" xfId="0" applyNumberFormat="1" applyFont="1" applyFill="1" applyBorder="1"/>
    <xf numFmtId="0" fontId="20" fillId="0" borderId="35" xfId="0" applyFont="1" applyFill="1" applyBorder="1"/>
    <xf numFmtId="0" fontId="20" fillId="0" borderId="36" xfId="0" applyFont="1" applyFill="1" applyBorder="1"/>
    <xf numFmtId="0" fontId="33" fillId="0" borderId="35" xfId="0" applyFont="1" applyFill="1" applyBorder="1"/>
    <xf numFmtId="0" fontId="33" fillId="0" borderId="36" xfId="0" applyFont="1" applyFill="1" applyBorder="1"/>
    <xf numFmtId="2" fontId="33" fillId="0" borderId="35" xfId="0" applyNumberFormat="1" applyFont="1" applyFill="1" applyBorder="1"/>
    <xf numFmtId="0" fontId="33" fillId="0" borderId="37" xfId="0" applyFont="1" applyFill="1" applyBorder="1"/>
    <xf numFmtId="0" fontId="33" fillId="0" borderId="37" xfId="0" applyNumberFormat="1" applyFont="1" applyFill="1" applyBorder="1"/>
    <xf numFmtId="0" fontId="33" fillId="0" borderId="36" xfId="0" applyNumberFormat="1" applyFont="1" applyFill="1" applyBorder="1"/>
    <xf numFmtId="0" fontId="33" fillId="0" borderId="13" xfId="0" applyFont="1" applyFill="1" applyBorder="1"/>
    <xf numFmtId="0" fontId="33" fillId="0" borderId="13" xfId="0" applyNumberFormat="1" applyFont="1" applyFill="1" applyBorder="1"/>
    <xf numFmtId="2" fontId="33" fillId="0" borderId="38" xfId="0" applyNumberFormat="1" applyFont="1" applyFill="1" applyBorder="1"/>
    <xf numFmtId="0" fontId="33" fillId="0" borderId="39" xfId="0" applyNumberFormat="1" applyFont="1" applyFill="1" applyBorder="1"/>
    <xf numFmtId="0" fontId="33" fillId="0" borderId="38" xfId="0" applyFont="1" applyFill="1" applyBorder="1"/>
    <xf numFmtId="0" fontId="25" fillId="0" borderId="8" xfId="0" applyFont="1" applyFill="1" applyBorder="1" applyAlignment="1">
      <alignment vertical="center"/>
    </xf>
    <xf numFmtId="0" fontId="21" fillId="0" borderId="8" xfId="0" applyFont="1" applyFill="1" applyBorder="1" applyAlignment="1">
      <alignment horizontal="center" vertical="center" wrapText="1"/>
    </xf>
    <xf numFmtId="4" fontId="21" fillId="0" borderId="8" xfId="0" applyNumberFormat="1" applyFont="1" applyFill="1" applyBorder="1" applyAlignment="1">
      <alignment horizontal="right" vertical="center"/>
    </xf>
    <xf numFmtId="166" fontId="21" fillId="0" borderId="8" xfId="0" applyNumberFormat="1" applyFont="1" applyFill="1" applyBorder="1" applyAlignment="1">
      <alignment horizontal="right" vertical="center"/>
    </xf>
    <xf numFmtId="2" fontId="21" fillId="0" borderId="8" xfId="0" applyNumberFormat="1" applyFont="1" applyFill="1" applyBorder="1" applyAlignment="1">
      <alignment horizontal="right" vertical="center"/>
    </xf>
    <xf numFmtId="2" fontId="21" fillId="0" borderId="8" xfId="0" applyNumberFormat="1" applyFont="1" applyFill="1" applyBorder="1" applyAlignment="1">
      <alignment vertical="center"/>
    </xf>
    <xf numFmtId="2" fontId="21" fillId="0" borderId="8" xfId="0" applyNumberFormat="1" applyFont="1" applyFill="1" applyBorder="1" applyAlignment="1">
      <alignment horizontal="center" vertical="center"/>
    </xf>
    <xf numFmtId="2" fontId="31" fillId="0" borderId="8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 wrapText="1"/>
    </xf>
    <xf numFmtId="0" fontId="34" fillId="0" borderId="13" xfId="0" applyFont="1" applyFill="1" applyBorder="1"/>
    <xf numFmtId="0" fontId="34" fillId="0" borderId="13" xfId="0" applyNumberFormat="1" applyFont="1" applyFill="1" applyBorder="1"/>
    <xf numFmtId="0" fontId="34" fillId="0" borderId="38" xfId="0" applyFont="1" applyFill="1" applyBorder="1"/>
    <xf numFmtId="0" fontId="34" fillId="0" borderId="39" xfId="0" applyNumberFormat="1" applyFont="1" applyFill="1" applyBorder="1"/>
    <xf numFmtId="0" fontId="33" fillId="0" borderId="0" xfId="0" applyFont="1" applyFill="1" applyBorder="1"/>
    <xf numFmtId="0" fontId="33" fillId="0" borderId="0" xfId="0" applyNumberFormat="1" applyFont="1" applyFill="1" applyBorder="1"/>
    <xf numFmtId="0" fontId="33" fillId="0" borderId="5" xfId="0" applyFont="1" applyFill="1" applyBorder="1"/>
    <xf numFmtId="0" fontId="33" fillId="0" borderId="5" xfId="0" applyNumberFormat="1" applyFont="1" applyFill="1" applyBorder="1"/>
    <xf numFmtId="0" fontId="33" fillId="0" borderId="8" xfId="0" applyFont="1" applyFill="1" applyBorder="1"/>
    <xf numFmtId="0" fontId="33" fillId="0" borderId="8" xfId="0" applyNumberFormat="1" applyFont="1" applyFill="1" applyBorder="1"/>
    <xf numFmtId="2" fontId="33" fillId="0" borderId="0" xfId="0" applyNumberFormat="1" applyFont="1" applyFill="1" applyBorder="1"/>
    <xf numFmtId="2" fontId="21" fillId="0" borderId="8" xfId="0" applyNumberFormat="1" applyFont="1" applyFill="1" applyBorder="1" applyAlignment="1">
      <alignment horizontal="right" vertical="center" wrapText="1"/>
    </xf>
    <xf numFmtId="0" fontId="21" fillId="0" borderId="8" xfId="0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center" vertical="center" wrapText="1"/>
    </xf>
    <xf numFmtId="4" fontId="21" fillId="0" borderId="0" xfId="0" applyNumberFormat="1" applyFont="1" applyFill="1" applyBorder="1" applyAlignment="1">
      <alignment horizontal="right" vertical="center"/>
    </xf>
    <xf numFmtId="2" fontId="25" fillId="0" borderId="43" xfId="0" applyNumberFormat="1" applyFont="1" applyFill="1" applyBorder="1" applyAlignment="1">
      <alignment horizontal="right" vertical="center"/>
    </xf>
    <xf numFmtId="0" fontId="25" fillId="0" borderId="5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2" fontId="30" fillId="0" borderId="0" xfId="0" applyNumberFormat="1" applyFont="1" applyFill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2" fontId="25" fillId="0" borderId="44" xfId="0" applyNumberFormat="1" applyFont="1" applyFill="1" applyBorder="1" applyAlignment="1">
      <alignment horizontal="right" vertical="center"/>
    </xf>
    <xf numFmtId="2" fontId="25" fillId="0" borderId="8" xfId="0" applyNumberFormat="1" applyFont="1" applyFill="1" applyBorder="1" applyAlignment="1">
      <alignment vertical="center"/>
    </xf>
    <xf numFmtId="0" fontId="31" fillId="0" borderId="0" xfId="0" applyFont="1" applyFill="1" applyAlignment="1">
      <alignment vertical="center"/>
    </xf>
    <xf numFmtId="2" fontId="25" fillId="0" borderId="8" xfId="0" applyNumberFormat="1" applyFont="1" applyFill="1" applyBorder="1" applyAlignment="1">
      <alignment horizontal="right" vertical="center"/>
    </xf>
    <xf numFmtId="0" fontId="21" fillId="0" borderId="0" xfId="0" applyFont="1" applyFill="1"/>
    <xf numFmtId="0" fontId="25" fillId="0" borderId="8" xfId="0" applyFont="1" applyFill="1" applyBorder="1" applyAlignment="1">
      <alignment horizontal="right"/>
    </xf>
    <xf numFmtId="2" fontId="21" fillId="0" borderId="0" xfId="0" applyNumberFormat="1" applyFont="1" applyFill="1"/>
    <xf numFmtId="2" fontId="21" fillId="0" borderId="0" xfId="0" applyNumberFormat="1" applyFont="1" applyFill="1" applyAlignment="1">
      <alignment horizontal="center" vertical="center" wrapText="1"/>
    </xf>
    <xf numFmtId="2" fontId="24" fillId="3" borderId="0" xfId="0" applyNumberFormat="1" applyFont="1" applyFill="1"/>
    <xf numFmtId="2" fontId="21" fillId="5" borderId="0" xfId="0" applyNumberFormat="1" applyFont="1" applyFill="1" applyBorder="1" applyAlignment="1">
      <alignment horizontal="right" vertical="center"/>
    </xf>
    <xf numFmtId="0" fontId="21" fillId="5" borderId="8" xfId="0" applyFont="1" applyFill="1" applyBorder="1" applyAlignment="1">
      <alignment horizontal="center" vertical="center"/>
    </xf>
    <xf numFmtId="4" fontId="21" fillId="5" borderId="8" xfId="0" applyNumberFormat="1" applyFont="1" applyFill="1" applyBorder="1" applyAlignment="1">
      <alignment vertical="center"/>
    </xf>
    <xf numFmtId="167" fontId="21" fillId="5" borderId="45" xfId="0" applyNumberFormat="1" applyFont="1" applyFill="1" applyBorder="1" applyAlignment="1">
      <alignment vertical="center"/>
    </xf>
    <xf numFmtId="0" fontId="21" fillId="5" borderId="45" xfId="0" applyFont="1" applyFill="1" applyBorder="1" applyAlignment="1">
      <alignment vertical="center"/>
    </xf>
    <xf numFmtId="0" fontId="21" fillId="5" borderId="44" xfId="0" applyFont="1" applyFill="1" applyBorder="1" applyAlignment="1">
      <alignment vertical="center"/>
    </xf>
    <xf numFmtId="0" fontId="21" fillId="5" borderId="0" xfId="0" applyFont="1" applyFill="1" applyAlignment="1">
      <alignment vertical="center"/>
    </xf>
    <xf numFmtId="0" fontId="21" fillId="5" borderId="0" xfId="0" applyFont="1" applyFill="1" applyBorder="1" applyAlignment="1">
      <alignment vertical="center"/>
    </xf>
    <xf numFmtId="167" fontId="21" fillId="5" borderId="0" xfId="0" applyNumberFormat="1" applyFont="1" applyFill="1" applyAlignment="1">
      <alignment vertical="center"/>
    </xf>
    <xf numFmtId="0" fontId="21" fillId="5" borderId="28" xfId="0" applyFont="1" applyFill="1" applyBorder="1" applyAlignment="1">
      <alignment horizontal="center" vertical="center" shrinkToFit="1"/>
    </xf>
    <xf numFmtId="0" fontId="21" fillId="5" borderId="45" xfId="0" applyFont="1" applyFill="1" applyBorder="1" applyAlignment="1">
      <alignment horizontal="center" vertical="center" shrinkToFit="1"/>
    </xf>
    <xf numFmtId="0" fontId="21" fillId="5" borderId="8" xfId="0" applyFont="1" applyFill="1" applyBorder="1" applyAlignment="1">
      <alignment vertical="center"/>
    </xf>
    <xf numFmtId="0" fontId="21" fillId="5" borderId="28" xfId="0" applyFont="1" applyFill="1" applyBorder="1" applyAlignment="1">
      <alignment vertical="center"/>
    </xf>
    <xf numFmtId="0" fontId="21" fillId="5" borderId="40" xfId="0" applyFont="1" applyFill="1" applyBorder="1" applyAlignment="1">
      <alignment horizontal="center" vertical="center"/>
    </xf>
    <xf numFmtId="166" fontId="21" fillId="5" borderId="0" xfId="0" applyNumberFormat="1" applyFont="1" applyFill="1" applyBorder="1" applyAlignment="1">
      <alignment vertical="center"/>
    </xf>
    <xf numFmtId="167" fontId="21" fillId="5" borderId="0" xfId="0" applyNumberFormat="1" applyFont="1" applyFill="1" applyBorder="1" applyAlignment="1">
      <alignment vertical="center"/>
    </xf>
    <xf numFmtId="0" fontId="21" fillId="5" borderId="34" xfId="0" applyFont="1" applyFill="1" applyBorder="1" applyAlignment="1">
      <alignment vertical="center"/>
    </xf>
    <xf numFmtId="0" fontId="32" fillId="5" borderId="35" xfId="0" applyFont="1" applyFill="1" applyBorder="1"/>
    <xf numFmtId="0" fontId="32" fillId="5" borderId="36" xfId="0" applyFont="1" applyFill="1" applyBorder="1"/>
    <xf numFmtId="2" fontId="32" fillId="5" borderId="35" xfId="0" applyNumberFormat="1" applyFont="1" applyFill="1" applyBorder="1"/>
    <xf numFmtId="0" fontId="20" fillId="5" borderId="35" xfId="0" applyFont="1" applyFill="1" applyBorder="1"/>
    <xf numFmtId="0" fontId="20" fillId="5" borderId="36" xfId="0" applyFont="1" applyFill="1" applyBorder="1"/>
    <xf numFmtId="0" fontId="33" fillId="5" borderId="35" xfId="0" applyFont="1" applyFill="1" applyBorder="1"/>
    <xf numFmtId="0" fontId="33" fillId="5" borderId="36" xfId="0" applyFont="1" applyFill="1" applyBorder="1"/>
    <xf numFmtId="2" fontId="33" fillId="5" borderId="35" xfId="0" applyNumberFormat="1" applyFont="1" applyFill="1" applyBorder="1"/>
    <xf numFmtId="0" fontId="0" fillId="5" borderId="35" xfId="0" applyFill="1" applyBorder="1"/>
    <xf numFmtId="0" fontId="0" fillId="5" borderId="36" xfId="0" applyFill="1" applyBorder="1"/>
    <xf numFmtId="0" fontId="25" fillId="5" borderId="0" xfId="0" applyFont="1" applyFill="1" applyAlignment="1">
      <alignment vertical="center"/>
    </xf>
    <xf numFmtId="0" fontId="33" fillId="5" borderId="37" xfId="0" applyFont="1" applyFill="1" applyBorder="1"/>
    <xf numFmtId="0" fontId="33" fillId="5" borderId="37" xfId="0" applyNumberFormat="1" applyFont="1" applyFill="1" applyBorder="1"/>
    <xf numFmtId="0" fontId="33" fillId="5" borderId="36" xfId="0" applyNumberFormat="1" applyFont="1" applyFill="1" applyBorder="1"/>
    <xf numFmtId="0" fontId="33" fillId="5" borderId="13" xfId="0" applyFont="1" applyFill="1" applyBorder="1"/>
    <xf numFmtId="0" fontId="33" fillId="5" borderId="13" xfId="0" applyNumberFormat="1" applyFont="1" applyFill="1" applyBorder="1"/>
    <xf numFmtId="2" fontId="33" fillId="5" borderId="38" xfId="0" applyNumberFormat="1" applyFont="1" applyFill="1" applyBorder="1"/>
    <xf numFmtId="0" fontId="33" fillId="5" borderId="39" xfId="0" applyNumberFormat="1" applyFont="1" applyFill="1" applyBorder="1"/>
    <xf numFmtId="0" fontId="33" fillId="5" borderId="38" xfId="0" applyFont="1" applyFill="1" applyBorder="1"/>
    <xf numFmtId="0" fontId="34" fillId="5" borderId="13" xfId="0" applyFont="1" applyFill="1" applyBorder="1"/>
    <xf numFmtId="0" fontId="34" fillId="5" borderId="13" xfId="0" applyNumberFormat="1" applyFont="1" applyFill="1" applyBorder="1"/>
    <xf numFmtId="0" fontId="34" fillId="5" borderId="38" xfId="0" applyFont="1" applyFill="1" applyBorder="1"/>
    <xf numFmtId="0" fontId="34" fillId="5" borderId="39" xfId="0" applyNumberFormat="1" applyFont="1" applyFill="1" applyBorder="1"/>
    <xf numFmtId="4" fontId="21" fillId="5" borderId="0" xfId="0" applyNumberFormat="1" applyFont="1" applyFill="1" applyBorder="1" applyAlignment="1">
      <alignment vertical="center"/>
    </xf>
    <xf numFmtId="0" fontId="33" fillId="5" borderId="0" xfId="0" applyFont="1" applyFill="1" applyBorder="1"/>
    <xf numFmtId="0" fontId="33" fillId="5" borderId="0" xfId="0" applyNumberFormat="1" applyFont="1" applyFill="1" applyBorder="1"/>
    <xf numFmtId="0" fontId="21" fillId="5" borderId="41" xfId="0" applyFont="1" applyFill="1" applyBorder="1" applyAlignment="1">
      <alignment horizontal="center" vertical="center"/>
    </xf>
    <xf numFmtId="4" fontId="21" fillId="5" borderId="42" xfId="0" applyNumberFormat="1" applyFont="1" applyFill="1" applyBorder="1" applyAlignment="1">
      <alignment vertical="center"/>
    </xf>
    <xf numFmtId="0" fontId="21" fillId="5" borderId="42" xfId="0" applyFont="1" applyFill="1" applyBorder="1" applyAlignment="1">
      <alignment vertical="center"/>
    </xf>
    <xf numFmtId="167" fontId="21" fillId="5" borderId="42" xfId="0" applyNumberFormat="1" applyFont="1" applyFill="1" applyBorder="1" applyAlignment="1">
      <alignment vertical="center"/>
    </xf>
    <xf numFmtId="0" fontId="21" fillId="5" borderId="43" xfId="0" applyFont="1" applyFill="1" applyBorder="1" applyAlignment="1">
      <alignment vertical="center"/>
    </xf>
    <xf numFmtId="0" fontId="21" fillId="5" borderId="0" xfId="0" applyFont="1" applyFill="1" applyBorder="1" applyAlignment="1">
      <alignment horizontal="center" vertical="center"/>
    </xf>
    <xf numFmtId="0" fontId="33" fillId="5" borderId="5" xfId="0" applyFont="1" applyFill="1" applyBorder="1"/>
    <xf numFmtId="0" fontId="33" fillId="5" borderId="5" xfId="0" applyNumberFormat="1" applyFont="1" applyFill="1" applyBorder="1"/>
    <xf numFmtId="0" fontId="33" fillId="5" borderId="8" xfId="0" applyFont="1" applyFill="1" applyBorder="1"/>
    <xf numFmtId="0" fontId="33" fillId="5" borderId="8" xfId="0" applyNumberFormat="1" applyFont="1" applyFill="1" applyBorder="1"/>
    <xf numFmtId="2" fontId="33" fillId="5" borderId="0" xfId="0" applyNumberFormat="1" applyFont="1" applyFill="1" applyBorder="1"/>
    <xf numFmtId="2" fontId="23" fillId="3" borderId="8" xfId="0" applyNumberFormat="1" applyFont="1" applyFill="1" applyBorder="1" applyAlignment="1">
      <alignment horizontal="right" vertical="center" wrapText="1"/>
    </xf>
    <xf numFmtId="0" fontId="0" fillId="5" borderId="0" xfId="0" applyFill="1"/>
    <xf numFmtId="4" fontId="2" fillId="0" borderId="8" xfId="0" applyNumberFormat="1" applyFont="1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4" fontId="0" fillId="0" borderId="26" xfId="0" applyNumberFormat="1" applyFill="1" applyBorder="1" applyAlignment="1">
      <alignment horizontal="right" vertical="center"/>
    </xf>
    <xf numFmtId="0" fontId="0" fillId="0" borderId="24" xfId="0" applyFill="1" applyBorder="1" applyAlignment="1">
      <alignment horizontal="center" vertical="center"/>
    </xf>
    <xf numFmtId="0" fontId="0" fillId="0" borderId="24" xfId="0" applyFill="1" applyBorder="1" applyAlignment="1">
      <alignment vertical="center"/>
    </xf>
    <xf numFmtId="4" fontId="0" fillId="0" borderId="24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4" fontId="0" fillId="0" borderId="25" xfId="0" applyNumberFormat="1" applyFill="1" applyBorder="1" applyAlignment="1">
      <alignment horizontal="right" vertical="center"/>
    </xf>
    <xf numFmtId="0" fontId="0" fillId="6" borderId="0" xfId="0" applyFill="1"/>
    <xf numFmtId="2" fontId="3" fillId="0" borderId="8" xfId="0" applyNumberFormat="1" applyFont="1" applyBorder="1"/>
    <xf numFmtId="0" fontId="4" fillId="0" borderId="8" xfId="0" applyFont="1" applyBorder="1"/>
    <xf numFmtId="166" fontId="16" fillId="0" borderId="27" xfId="0" applyNumberFormat="1" applyFont="1" applyFill="1" applyBorder="1" applyAlignment="1">
      <alignment horizontal="right" vertical="center"/>
    </xf>
    <xf numFmtId="4" fontId="16" fillId="0" borderId="49" xfId="0" applyNumberFormat="1" applyFont="1" applyFill="1" applyBorder="1" applyAlignment="1">
      <alignment horizontal="right" vertical="center"/>
    </xf>
    <xf numFmtId="4" fontId="6" fillId="0" borderId="37" xfId="13" applyNumberFormat="1" applyFont="1" applyFill="1" applyBorder="1" applyAlignment="1">
      <alignment horizontal="right" vertical="center"/>
    </xf>
    <xf numFmtId="4" fontId="16" fillId="0" borderId="26" xfId="0" applyNumberFormat="1" applyFont="1" applyFill="1" applyBorder="1" applyAlignment="1">
      <alignment vertical="center"/>
    </xf>
    <xf numFmtId="166" fontId="16" fillId="0" borderId="26" xfId="0" applyNumberFormat="1" applyFont="1" applyFill="1" applyBorder="1" applyAlignment="1">
      <alignment vertical="center"/>
    </xf>
    <xf numFmtId="4" fontId="16" fillId="0" borderId="5" xfId="0" applyNumberFormat="1" applyFont="1" applyFill="1" applyBorder="1" applyAlignment="1">
      <alignment vertical="center"/>
    </xf>
    <xf numFmtId="166" fontId="16" fillId="0" borderId="5" xfId="0" applyNumberFormat="1" applyFont="1" applyFill="1" applyBorder="1" applyAlignment="1">
      <alignment vertical="center"/>
    </xf>
    <xf numFmtId="0" fontId="16" fillId="0" borderId="26" xfId="0" applyNumberFormat="1" applyFont="1" applyFill="1" applyBorder="1" applyAlignment="1">
      <alignment horizontal="center" vertical="center"/>
    </xf>
    <xf numFmtId="166" fontId="16" fillId="0" borderId="26" xfId="0" applyNumberFormat="1" applyFont="1" applyFill="1" applyBorder="1" applyAlignment="1">
      <alignment horizontal="right" vertical="center"/>
    </xf>
    <xf numFmtId="4" fontId="16" fillId="0" borderId="26" xfId="0" applyNumberFormat="1" applyFont="1" applyFill="1" applyBorder="1" applyAlignment="1">
      <alignment horizontal="right" vertical="center"/>
    </xf>
    <xf numFmtId="4" fontId="6" fillId="0" borderId="26" xfId="13" applyNumberFormat="1" applyFont="1" applyFill="1" applyBorder="1" applyAlignment="1">
      <alignment horizontal="right" vertical="center"/>
    </xf>
    <xf numFmtId="4" fontId="36" fillId="0" borderId="8" xfId="13" applyNumberFormat="1" applyFont="1" applyFill="1" applyBorder="1" applyAlignment="1">
      <alignment horizontal="right" vertical="center"/>
    </xf>
    <xf numFmtId="4" fontId="37" fillId="0" borderId="8" xfId="0" applyNumberFormat="1" applyFont="1" applyFill="1" applyBorder="1" applyAlignment="1"/>
    <xf numFmtId="168" fontId="3" fillId="0" borderId="8" xfId="0" applyNumberFormat="1" applyFont="1" applyBorder="1"/>
    <xf numFmtId="0" fontId="0" fillId="0" borderId="35" xfId="0" pivotButton="1" applyFill="1" applyBorder="1"/>
    <xf numFmtId="0" fontId="28" fillId="0" borderId="35" xfId="0" pivotButton="1" applyFont="1" applyFill="1" applyBorder="1"/>
    <xf numFmtId="0" fontId="27" fillId="0" borderId="35" xfId="0" pivotButton="1" applyFont="1" applyFill="1" applyBorder="1"/>
    <xf numFmtId="0" fontId="16" fillId="0" borderId="35" xfId="0" pivotButton="1" applyFont="1" applyFill="1" applyBorder="1"/>
    <xf numFmtId="2" fontId="28" fillId="0" borderId="35" xfId="0" pivotButton="1" applyNumberFormat="1" applyFont="1" applyFill="1" applyBorder="1"/>
    <xf numFmtId="2" fontId="27" fillId="0" borderId="35" xfId="0" pivotButton="1" applyNumberFormat="1" applyFont="1" applyFill="1" applyBorder="1"/>
    <xf numFmtId="4" fontId="38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/>
    <xf numFmtId="2" fontId="0" fillId="0" borderId="22" xfId="0" applyNumberFormat="1" applyFont="1" applyFill="1" applyBorder="1" applyAlignment="1"/>
    <xf numFmtId="0" fontId="0" fillId="0" borderId="22" xfId="0" applyNumberFormat="1" applyFont="1" applyFill="1" applyBorder="1" applyAlignment="1"/>
    <xf numFmtId="4" fontId="0" fillId="0" borderId="22" xfId="0" applyNumberFormat="1" applyFont="1" applyFill="1" applyBorder="1" applyAlignment="1"/>
    <xf numFmtId="0" fontId="0" fillId="0" borderId="24" xfId="0" applyNumberFormat="1" applyFont="1" applyFill="1" applyBorder="1" applyAlignment="1"/>
    <xf numFmtId="0" fontId="0" fillId="0" borderId="22" xfId="0" applyNumberFormat="1" applyFont="1" applyFill="1" applyBorder="1" applyAlignment="1">
      <alignment horizontal="center"/>
    </xf>
    <xf numFmtId="4" fontId="0" fillId="0" borderId="64" xfId="0" applyNumberFormat="1" applyFont="1" applyFill="1" applyBorder="1" applyAlignment="1"/>
    <xf numFmtId="3" fontId="6" fillId="0" borderId="24" xfId="13" applyNumberFormat="1" applyFont="1" applyFill="1" applyBorder="1" applyAlignment="1">
      <alignment horizontal="right" vertical="center"/>
    </xf>
    <xf numFmtId="3" fontId="0" fillId="0" borderId="24" xfId="0" applyNumberFormat="1" applyFont="1" applyFill="1" applyBorder="1" applyAlignment="1"/>
    <xf numFmtId="2" fontId="0" fillId="0" borderId="24" xfId="0" applyNumberFormat="1" applyFont="1" applyFill="1" applyBorder="1" applyAlignment="1"/>
    <xf numFmtId="0" fontId="0" fillId="0" borderId="24" xfId="0" applyNumberFormat="1" applyFont="1" applyFill="1" applyBorder="1" applyAlignment="1">
      <alignment horizontal="center"/>
    </xf>
    <xf numFmtId="4" fontId="0" fillId="0" borderId="65" xfId="0" applyNumberFormat="1" applyFont="1" applyFill="1" applyBorder="1" applyAlignment="1"/>
    <xf numFmtId="2" fontId="0" fillId="0" borderId="25" xfId="0" applyNumberFormat="1" applyFont="1" applyFill="1" applyBorder="1" applyAlignment="1"/>
    <xf numFmtId="0" fontId="0" fillId="0" borderId="25" xfId="0" applyNumberFormat="1" applyFont="1" applyFill="1" applyBorder="1" applyAlignment="1"/>
    <xf numFmtId="0" fontId="0" fillId="0" borderId="25" xfId="0" applyNumberFormat="1" applyFont="1" applyFill="1" applyBorder="1" applyAlignment="1">
      <alignment horizontal="center"/>
    </xf>
    <xf numFmtId="0" fontId="16" fillId="0" borderId="25" xfId="0" applyNumberFormat="1" applyFont="1" applyFill="1" applyBorder="1" applyAlignment="1"/>
    <xf numFmtId="4" fontId="0" fillId="0" borderId="66" xfId="0" applyNumberFormat="1" applyFont="1" applyFill="1" applyBorder="1" applyAlignment="1"/>
    <xf numFmtId="0" fontId="37" fillId="0" borderId="0" xfId="0" applyNumberFormat="1" applyFont="1" applyFill="1" applyBorder="1" applyAlignment="1"/>
    <xf numFmtId="0" fontId="0" fillId="0" borderId="22" xfId="0" applyNumberFormat="1" applyFont="1" applyFill="1" applyBorder="1" applyAlignment="1">
      <alignment horizontal="left"/>
    </xf>
    <xf numFmtId="4" fontId="37" fillId="0" borderId="64" xfId="0" applyNumberFormat="1" applyFont="1" applyFill="1" applyBorder="1" applyAlignment="1"/>
    <xf numFmtId="0" fontId="0" fillId="0" borderId="24" xfId="0" applyNumberFormat="1" applyFont="1" applyFill="1" applyBorder="1" applyAlignment="1">
      <alignment horizontal="left"/>
    </xf>
    <xf numFmtId="0" fontId="0" fillId="0" borderId="25" xfId="0" applyNumberFormat="1" applyFont="1" applyFill="1" applyBorder="1" applyAlignment="1">
      <alignment horizontal="left"/>
    </xf>
    <xf numFmtId="2" fontId="0" fillId="0" borderId="24" xfId="0" applyNumberFormat="1" applyFont="1" applyFill="1" applyBorder="1" applyAlignment="1">
      <alignment horizontal="center"/>
    </xf>
    <xf numFmtId="0" fontId="37" fillId="0" borderId="42" xfId="0" applyNumberFormat="1" applyFont="1" applyFill="1" applyBorder="1" applyAlignment="1"/>
    <xf numFmtId="2" fontId="0" fillId="0" borderId="25" xfId="0" applyNumberFormat="1" applyFont="1" applyFill="1" applyBorder="1" applyAlignment="1">
      <alignment horizontal="center"/>
    </xf>
    <xf numFmtId="0" fontId="38" fillId="0" borderId="0" xfId="0" applyNumberFormat="1" applyFont="1" applyFill="1" applyBorder="1" applyAlignment="1">
      <alignment vertical="center"/>
    </xf>
    <xf numFmtId="3" fontId="38" fillId="0" borderId="8" xfId="0" applyNumberFormat="1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vertical="center"/>
    </xf>
    <xf numFmtId="0" fontId="38" fillId="0" borderId="8" xfId="0" applyNumberFormat="1" applyFont="1" applyFill="1" applyBorder="1" applyAlignment="1">
      <alignment vertical="center"/>
    </xf>
    <xf numFmtId="2" fontId="38" fillId="0" borderId="8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vertical="center"/>
    </xf>
    <xf numFmtId="3" fontId="41" fillId="0" borderId="5" xfId="0" applyNumberFormat="1" applyFont="1" applyFill="1" applyBorder="1" applyAlignment="1">
      <alignment vertical="center"/>
    </xf>
    <xf numFmtId="2" fontId="41" fillId="0" borderId="1" xfId="0" applyNumberFormat="1" applyFont="1" applyFill="1" applyBorder="1" applyAlignment="1">
      <alignment vertical="center"/>
    </xf>
    <xf numFmtId="0" fontId="0" fillId="0" borderId="0" xfId="0" applyNumberFormat="1" applyFill="1" applyBorder="1" applyAlignment="1"/>
    <xf numFmtId="0" fontId="38" fillId="0" borderId="0" xfId="0" applyNumberFormat="1" applyFont="1" applyFill="1" applyBorder="1" applyAlignment="1"/>
    <xf numFmtId="0" fontId="37" fillId="0" borderId="0" xfId="0" applyNumberFormat="1" applyFont="1" applyFill="1" applyBorder="1" applyAlignment="1">
      <alignment horizontal="center"/>
    </xf>
    <xf numFmtId="4" fontId="42" fillId="0" borderId="37" xfId="0" applyNumberFormat="1" applyFont="1" applyFill="1" applyBorder="1" applyAlignment="1"/>
    <xf numFmtId="168" fontId="42" fillId="0" borderId="68" xfId="0" applyNumberFormat="1" applyFont="1" applyFill="1" applyBorder="1" applyAlignment="1"/>
    <xf numFmtId="0" fontId="42" fillId="0" borderId="0" xfId="0" applyNumberFormat="1" applyFont="1" applyFill="1" applyBorder="1" applyAlignment="1">
      <alignment horizontal="center"/>
    </xf>
    <xf numFmtId="0" fontId="38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/>
    <xf numFmtId="0" fontId="43" fillId="0" borderId="8" xfId="0" applyFont="1" applyBorder="1"/>
    <xf numFmtId="0" fontId="44" fillId="0" borderId="4" xfId="0" applyFont="1" applyFill="1" applyBorder="1" applyAlignment="1">
      <alignment horizontal="center" vertical="center" wrapText="1"/>
    </xf>
    <xf numFmtId="0" fontId="44" fillId="0" borderId="6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/>
    </xf>
    <xf numFmtId="4" fontId="45" fillId="0" borderId="9" xfId="0" applyNumberFormat="1" applyFont="1" applyBorder="1" applyAlignment="1">
      <alignment horizontal="right" vertical="center"/>
    </xf>
    <xf numFmtId="4" fontId="44" fillId="0" borderId="9" xfId="0" applyNumberFormat="1" applyFont="1" applyBorder="1" applyAlignment="1">
      <alignment horizontal="right" vertical="center"/>
    </xf>
    <xf numFmtId="3" fontId="44" fillId="0" borderId="9" xfId="0" applyNumberFormat="1" applyFont="1" applyBorder="1" applyAlignment="1">
      <alignment horizontal="right" vertical="center"/>
    </xf>
    <xf numFmtId="3" fontId="3" fillId="0" borderId="8" xfId="0" applyNumberFormat="1" applyFont="1" applyBorder="1"/>
    <xf numFmtId="0" fontId="44" fillId="0" borderId="10" xfId="0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4" fontId="46" fillId="0" borderId="6" xfId="0" applyNumberFormat="1" applyFont="1" applyFill="1" applyBorder="1" applyAlignment="1"/>
    <xf numFmtId="4" fontId="46" fillId="0" borderId="9" xfId="0" applyNumberFormat="1" applyFont="1" applyFill="1" applyBorder="1" applyAlignment="1"/>
    <xf numFmtId="0" fontId="45" fillId="0" borderId="10" xfId="0" applyFont="1" applyBorder="1" applyAlignment="1">
      <alignment horizontal="center" vertical="center"/>
    </xf>
    <xf numFmtId="4" fontId="46" fillId="0" borderId="12" xfId="0" applyNumberFormat="1" applyFont="1" applyFill="1" applyBorder="1" applyAlignment="1"/>
    <xf numFmtId="0" fontId="4" fillId="0" borderId="8" xfId="0" applyFont="1" applyBorder="1" applyAlignment="1">
      <alignment horizontal="center" vertical="center"/>
    </xf>
    <xf numFmtId="165" fontId="4" fillId="0" borderId="8" xfId="0" applyNumberFormat="1" applyFont="1" applyBorder="1"/>
    <xf numFmtId="0" fontId="3" fillId="0" borderId="8" xfId="0" applyFont="1" applyBorder="1" applyAlignment="1">
      <alignment horizontal="right"/>
    </xf>
    <xf numFmtId="0" fontId="43" fillId="0" borderId="0" xfId="0" applyFont="1"/>
    <xf numFmtId="20" fontId="3" fillId="0" borderId="8" xfId="0" applyNumberFormat="1" applyFont="1" applyBorder="1" applyAlignment="1">
      <alignment horizontal="center" vertical="center"/>
    </xf>
    <xf numFmtId="3" fontId="0" fillId="0" borderId="0" xfId="0" applyNumberFormat="1"/>
    <xf numFmtId="165" fontId="3" fillId="0" borderId="0" xfId="0" applyNumberFormat="1" applyFont="1"/>
    <xf numFmtId="0" fontId="3" fillId="0" borderId="5" xfId="0" applyFont="1" applyBorder="1" applyAlignment="1">
      <alignment horizontal="left" vertical="center" wrapText="1"/>
    </xf>
    <xf numFmtId="20" fontId="3" fillId="0" borderId="8" xfId="0" applyNumberFormat="1" applyFont="1" applyBorder="1" applyAlignment="1">
      <alignment horizontal="center"/>
    </xf>
    <xf numFmtId="0" fontId="51" fillId="0" borderId="0" xfId="14" applyFont="1" applyBorder="1"/>
    <xf numFmtId="2" fontId="52" fillId="0" borderId="0" xfId="14" applyNumberFormat="1" applyFont="1" applyBorder="1"/>
    <xf numFmtId="167" fontId="51" fillId="0" borderId="34" xfId="14" applyNumberFormat="1" applyFont="1" applyBorder="1" applyAlignment="1">
      <alignment horizontal="center"/>
    </xf>
    <xf numFmtId="0" fontId="45" fillId="0" borderId="0" xfId="18" applyFont="1" applyBorder="1"/>
    <xf numFmtId="0" fontId="46" fillId="0" borderId="0" xfId="18" applyFont="1" applyBorder="1"/>
    <xf numFmtId="2" fontId="46" fillId="0" borderId="0" xfId="18" applyNumberFormat="1" applyFont="1" applyBorder="1"/>
    <xf numFmtId="0" fontId="3" fillId="0" borderId="5" xfId="0" applyFont="1" applyBorder="1" applyAlignment="1">
      <alignment horizontal="left" vertical="center"/>
    </xf>
    <xf numFmtId="0" fontId="16" fillId="0" borderId="22" xfId="0" applyNumberFormat="1" applyFont="1" applyFill="1" applyBorder="1" applyAlignment="1">
      <alignment horizontal="center" vertical="center"/>
    </xf>
    <xf numFmtId="0" fontId="16" fillId="0" borderId="24" xfId="0" applyNumberFormat="1" applyFont="1" applyFill="1" applyBorder="1" applyAlignment="1">
      <alignment horizontal="center" vertical="center"/>
    </xf>
    <xf numFmtId="0" fontId="16" fillId="0" borderId="27" xfId="0" applyNumberFormat="1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 vertical="center"/>
    </xf>
    <xf numFmtId="0" fontId="16" fillId="0" borderId="2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4" fontId="25" fillId="6" borderId="8" xfId="0" applyNumberFormat="1" applyFont="1" applyFill="1" applyBorder="1" applyAlignment="1">
      <alignment horizontal="center" vertical="top"/>
    </xf>
    <xf numFmtId="166" fontId="25" fillId="6" borderId="8" xfId="0" applyNumberFormat="1" applyFont="1" applyFill="1" applyBorder="1" applyAlignment="1">
      <alignment horizontal="center" vertical="top"/>
    </xf>
    <xf numFmtId="2" fontId="25" fillId="6" borderId="8" xfId="0" applyNumberFormat="1" applyFont="1" applyFill="1" applyBorder="1" applyAlignment="1">
      <alignment horizontal="center" vertical="top"/>
    </xf>
    <xf numFmtId="0" fontId="25" fillId="6" borderId="8" xfId="0" applyFont="1" applyFill="1" applyBorder="1" applyAlignment="1">
      <alignment horizontal="center" vertical="top"/>
    </xf>
    <xf numFmtId="2" fontId="25" fillId="6" borderId="8" xfId="0" applyNumberFormat="1" applyFont="1" applyFill="1" applyBorder="1" applyAlignment="1">
      <alignment horizontal="center" vertical="top" wrapText="1"/>
    </xf>
    <xf numFmtId="2" fontId="30" fillId="6" borderId="8" xfId="0" applyNumberFormat="1" applyFont="1" applyFill="1" applyBorder="1" applyAlignment="1">
      <alignment horizontal="center" vertical="top" wrapText="1"/>
    </xf>
    <xf numFmtId="2" fontId="25" fillId="6" borderId="0" xfId="0" applyNumberFormat="1" applyFont="1" applyFill="1" applyBorder="1" applyAlignment="1">
      <alignment horizontal="center" vertical="top" wrapText="1"/>
    </xf>
    <xf numFmtId="167" fontId="21" fillId="6" borderId="47" xfId="0" applyNumberFormat="1" applyFont="1" applyFill="1" applyBorder="1" applyAlignment="1">
      <alignment horizontal="center" vertical="top"/>
    </xf>
    <xf numFmtId="0" fontId="21" fillId="6" borderId="47" xfId="0" applyFont="1" applyFill="1" applyBorder="1" applyAlignment="1">
      <alignment horizontal="center" vertical="top"/>
    </xf>
    <xf numFmtId="0" fontId="21" fillId="6" borderId="48" xfId="0" applyFont="1" applyFill="1" applyBorder="1" applyAlignment="1">
      <alignment horizontal="center" vertical="top"/>
    </xf>
    <xf numFmtId="0" fontId="21" fillId="6" borderId="0" xfId="0" applyFont="1" applyFill="1" applyAlignment="1">
      <alignment horizontal="center" vertical="top"/>
    </xf>
    <xf numFmtId="0" fontId="22" fillId="6" borderId="8" xfId="0" applyNumberFormat="1" applyFont="1" applyFill="1" applyBorder="1" applyAlignment="1">
      <alignment horizontal="left" vertical="top"/>
    </xf>
    <xf numFmtId="0" fontId="22" fillId="6" borderId="8" xfId="0" applyNumberFormat="1" applyFont="1" applyFill="1" applyBorder="1" applyAlignment="1">
      <alignment horizontal="center" vertical="top"/>
    </xf>
    <xf numFmtId="0" fontId="22" fillId="6" borderId="8" xfId="0" applyNumberFormat="1" applyFont="1" applyFill="1" applyBorder="1" applyAlignment="1">
      <alignment horizontal="center" vertical="top" wrapText="1"/>
    </xf>
    <xf numFmtId="4" fontId="22" fillId="6" borderId="8" xfId="0" applyNumberFormat="1" applyFont="1" applyFill="1" applyBorder="1" applyAlignment="1">
      <alignment horizontal="right" vertical="top"/>
    </xf>
    <xf numFmtId="166" fontId="22" fillId="6" borderId="8" xfId="0" applyNumberFormat="1" applyFont="1" applyFill="1" applyBorder="1" applyAlignment="1">
      <alignment horizontal="right" vertical="top"/>
    </xf>
    <xf numFmtId="2" fontId="22" fillId="6" borderId="8" xfId="0" applyNumberFormat="1" applyFont="1" applyFill="1" applyBorder="1" applyAlignment="1">
      <alignment horizontal="right" vertical="top"/>
    </xf>
    <xf numFmtId="2" fontId="22" fillId="6" borderId="8" xfId="0" applyNumberFormat="1" applyFont="1" applyFill="1" applyBorder="1" applyAlignment="1">
      <alignment horizontal="center" vertical="top"/>
    </xf>
    <xf numFmtId="0" fontId="22" fillId="6" borderId="8" xfId="0" applyFont="1" applyFill="1" applyBorder="1" applyAlignment="1">
      <alignment horizontal="center" vertical="top"/>
    </xf>
    <xf numFmtId="2" fontId="22" fillId="6" borderId="8" xfId="0" applyNumberFormat="1" applyFont="1" applyFill="1" applyBorder="1" applyAlignment="1">
      <alignment horizontal="center" vertical="top" wrapText="1"/>
    </xf>
    <xf numFmtId="0" fontId="26" fillId="6" borderId="28" xfId="0" applyFont="1" applyFill="1" applyBorder="1" applyAlignment="1">
      <alignment horizontal="center" vertical="top"/>
    </xf>
    <xf numFmtId="4" fontId="26" fillId="6" borderId="45" xfId="0" applyNumberFormat="1" applyFont="1" applyFill="1" applyBorder="1" applyAlignment="1">
      <alignment horizontal="center" vertical="top"/>
    </xf>
    <xf numFmtId="0" fontId="26" fillId="6" borderId="45" xfId="0" applyFont="1" applyFill="1" applyBorder="1" applyAlignment="1">
      <alignment horizontal="center" vertical="top"/>
    </xf>
    <xf numFmtId="167" fontId="21" fillId="6" borderId="45" xfId="0" applyNumberFormat="1" applyFont="1" applyFill="1" applyBorder="1" applyAlignment="1">
      <alignment horizontal="center" vertical="top"/>
    </xf>
    <xf numFmtId="0" fontId="21" fillId="6" borderId="45" xfId="0" applyFont="1" applyFill="1" applyBorder="1" applyAlignment="1">
      <alignment horizontal="center" vertical="top"/>
    </xf>
    <xf numFmtId="0" fontId="21" fillId="6" borderId="44" xfId="0" applyFont="1" applyFill="1" applyBorder="1" applyAlignment="1">
      <alignment horizontal="center" vertical="top"/>
    </xf>
    <xf numFmtId="0" fontId="23" fillId="6" borderId="8" xfId="0" applyFont="1" applyFill="1" applyBorder="1" applyAlignment="1">
      <alignment vertical="center"/>
    </xf>
    <xf numFmtId="0" fontId="23" fillId="6" borderId="8" xfId="0" applyFont="1" applyFill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 wrapText="1"/>
    </xf>
    <xf numFmtId="4" fontId="23" fillId="6" borderId="8" xfId="0" applyNumberFormat="1" applyFont="1" applyFill="1" applyBorder="1" applyAlignment="1">
      <alignment horizontal="right" vertical="center"/>
    </xf>
    <xf numFmtId="166" fontId="23" fillId="6" borderId="8" xfId="0" applyNumberFormat="1" applyFont="1" applyFill="1" applyBorder="1" applyAlignment="1">
      <alignment horizontal="right" vertical="center"/>
    </xf>
    <xf numFmtId="2" fontId="23" fillId="6" borderId="8" xfId="0" applyNumberFormat="1" applyFont="1" applyFill="1" applyBorder="1" applyAlignment="1">
      <alignment horizontal="right" vertical="center"/>
    </xf>
    <xf numFmtId="2" fontId="23" fillId="6" borderId="8" xfId="0" applyNumberFormat="1" applyFont="1" applyFill="1" applyBorder="1" applyAlignment="1">
      <alignment vertical="center"/>
    </xf>
    <xf numFmtId="2" fontId="23" fillId="6" borderId="8" xfId="0" applyNumberFormat="1" applyFont="1" applyFill="1" applyBorder="1" applyAlignment="1">
      <alignment horizontal="center" vertical="center"/>
    </xf>
    <xf numFmtId="2" fontId="21" fillId="6" borderId="0" xfId="0" applyNumberFormat="1" applyFont="1" applyFill="1" applyBorder="1" applyAlignment="1">
      <alignment horizontal="right" vertical="center"/>
    </xf>
    <xf numFmtId="0" fontId="21" fillId="6" borderId="8" xfId="0" applyFont="1" applyFill="1" applyBorder="1" applyAlignment="1">
      <alignment horizontal="center" vertical="center"/>
    </xf>
    <xf numFmtId="4" fontId="21" fillId="6" borderId="8" xfId="0" applyNumberFormat="1" applyFont="1" applyFill="1" applyBorder="1" applyAlignment="1">
      <alignment vertical="center"/>
    </xf>
    <xf numFmtId="167" fontId="21" fillId="6" borderId="45" xfId="0" applyNumberFormat="1" applyFont="1" applyFill="1" applyBorder="1" applyAlignment="1">
      <alignment vertical="center"/>
    </xf>
    <xf numFmtId="0" fontId="21" fillId="6" borderId="45" xfId="0" applyFont="1" applyFill="1" applyBorder="1" applyAlignment="1">
      <alignment vertical="center"/>
    </xf>
    <xf numFmtId="0" fontId="21" fillId="6" borderId="44" xfId="0" applyFont="1" applyFill="1" applyBorder="1" applyAlignment="1">
      <alignment vertical="center"/>
    </xf>
    <xf numFmtId="0" fontId="21" fillId="6" borderId="0" xfId="0" applyFont="1" applyFill="1" applyAlignment="1">
      <alignment vertical="center"/>
    </xf>
    <xf numFmtId="0" fontId="21" fillId="6" borderId="0" xfId="0" applyFont="1" applyFill="1" applyBorder="1" applyAlignment="1">
      <alignment vertical="center"/>
    </xf>
    <xf numFmtId="167" fontId="21" fillId="6" borderId="0" xfId="0" applyNumberFormat="1" applyFont="1" applyFill="1" applyAlignment="1">
      <alignment vertical="center"/>
    </xf>
    <xf numFmtId="0" fontId="21" fillId="6" borderId="28" xfId="0" applyFont="1" applyFill="1" applyBorder="1" applyAlignment="1">
      <alignment horizontal="center" vertical="center" shrinkToFit="1"/>
    </xf>
    <xf numFmtId="0" fontId="21" fillId="6" borderId="45" xfId="0" applyFont="1" applyFill="1" applyBorder="1" applyAlignment="1">
      <alignment horizontal="center" vertical="center" shrinkToFit="1"/>
    </xf>
    <xf numFmtId="0" fontId="21" fillId="6" borderId="8" xfId="0" applyFont="1" applyFill="1" applyBorder="1" applyAlignment="1">
      <alignment vertical="center"/>
    </xf>
    <xf numFmtId="0" fontId="21" fillId="6" borderId="28" xfId="0" applyFont="1" applyFill="1" applyBorder="1" applyAlignment="1">
      <alignment vertical="center"/>
    </xf>
    <xf numFmtId="4" fontId="23" fillId="6" borderId="8" xfId="0" applyNumberFormat="1" applyFont="1" applyFill="1" applyBorder="1" applyAlignment="1">
      <alignment horizontal="right" vertical="center" wrapText="1"/>
    </xf>
    <xf numFmtId="0" fontId="21" fillId="6" borderId="40" xfId="0" applyFont="1" applyFill="1" applyBorder="1" applyAlignment="1">
      <alignment horizontal="center" vertical="center"/>
    </xf>
    <xf numFmtId="166" fontId="21" fillId="6" borderId="0" xfId="0" applyNumberFormat="1" applyFont="1" applyFill="1" applyBorder="1" applyAlignment="1">
      <alignment vertical="center"/>
    </xf>
    <xf numFmtId="167" fontId="21" fillId="6" borderId="0" xfId="0" applyNumberFormat="1" applyFont="1" applyFill="1" applyBorder="1" applyAlignment="1">
      <alignment vertical="center"/>
    </xf>
    <xf numFmtId="0" fontId="21" fillId="6" borderId="34" xfId="0" applyFont="1" applyFill="1" applyBorder="1" applyAlignment="1">
      <alignment vertical="center"/>
    </xf>
    <xf numFmtId="0" fontId="32" fillId="6" borderId="35" xfId="0" applyFont="1" applyFill="1" applyBorder="1"/>
    <xf numFmtId="0" fontId="32" fillId="6" borderId="36" xfId="0" applyFont="1" applyFill="1" applyBorder="1"/>
    <xf numFmtId="2" fontId="32" fillId="6" borderId="35" xfId="0" applyNumberFormat="1" applyFont="1" applyFill="1" applyBorder="1"/>
    <xf numFmtId="0" fontId="20" fillId="6" borderId="35" xfId="0" applyFont="1" applyFill="1" applyBorder="1"/>
    <xf numFmtId="0" fontId="20" fillId="6" borderId="36" xfId="0" applyFont="1" applyFill="1" applyBorder="1"/>
    <xf numFmtId="0" fontId="33" fillId="6" borderId="35" xfId="0" applyFont="1" applyFill="1" applyBorder="1"/>
    <xf numFmtId="0" fontId="33" fillId="6" borderId="36" xfId="0" applyFont="1" applyFill="1" applyBorder="1"/>
    <xf numFmtId="2" fontId="33" fillId="6" borderId="35" xfId="0" applyNumberFormat="1" applyFont="1" applyFill="1" applyBorder="1"/>
    <xf numFmtId="0" fontId="0" fillId="6" borderId="35" xfId="0" applyFill="1" applyBorder="1"/>
    <xf numFmtId="0" fontId="0" fillId="6" borderId="36" xfId="0" applyFill="1" applyBorder="1"/>
    <xf numFmtId="0" fontId="25" fillId="6" borderId="0" xfId="0" applyFont="1" applyFill="1" applyAlignment="1">
      <alignment vertical="center"/>
    </xf>
    <xf numFmtId="0" fontId="33" fillId="6" borderId="37" xfId="0" applyFont="1" applyFill="1" applyBorder="1"/>
    <xf numFmtId="0" fontId="33" fillId="6" borderId="37" xfId="0" applyNumberFormat="1" applyFont="1" applyFill="1" applyBorder="1"/>
    <xf numFmtId="0" fontId="33" fillId="6" borderId="36" xfId="0" applyNumberFormat="1" applyFont="1" applyFill="1" applyBorder="1"/>
    <xf numFmtId="0" fontId="33" fillId="6" borderId="13" xfId="0" applyFont="1" applyFill="1" applyBorder="1"/>
    <xf numFmtId="0" fontId="33" fillId="6" borderId="13" xfId="0" applyNumberFormat="1" applyFont="1" applyFill="1" applyBorder="1"/>
    <xf numFmtId="2" fontId="33" fillId="6" borderId="38" xfId="0" applyNumberFormat="1" applyFont="1" applyFill="1" applyBorder="1"/>
    <xf numFmtId="0" fontId="33" fillId="6" borderId="39" xfId="0" applyNumberFormat="1" applyFont="1" applyFill="1" applyBorder="1"/>
    <xf numFmtId="0" fontId="33" fillId="6" borderId="38" xfId="0" applyFont="1" applyFill="1" applyBorder="1"/>
    <xf numFmtId="0" fontId="25" fillId="6" borderId="8" xfId="0" applyFont="1" applyFill="1" applyBorder="1" applyAlignment="1">
      <alignment vertical="center"/>
    </xf>
    <xf numFmtId="0" fontId="21" fillId="6" borderId="8" xfId="0" applyFont="1" applyFill="1" applyBorder="1" applyAlignment="1">
      <alignment horizontal="center" vertical="center" wrapText="1"/>
    </xf>
    <xf numFmtId="4" fontId="21" fillId="6" borderId="8" xfId="0" applyNumberFormat="1" applyFont="1" applyFill="1" applyBorder="1" applyAlignment="1">
      <alignment horizontal="right" vertical="center"/>
    </xf>
    <xf numFmtId="166" fontId="21" fillId="6" borderId="8" xfId="0" applyNumberFormat="1" applyFont="1" applyFill="1" applyBorder="1" applyAlignment="1">
      <alignment horizontal="right" vertical="center"/>
    </xf>
    <xf numFmtId="2" fontId="21" fillId="6" borderId="8" xfId="0" applyNumberFormat="1" applyFont="1" applyFill="1" applyBorder="1" applyAlignment="1">
      <alignment horizontal="right" vertical="center"/>
    </xf>
    <xf numFmtId="2" fontId="21" fillId="6" borderId="8" xfId="0" applyNumberFormat="1" applyFont="1" applyFill="1" applyBorder="1" applyAlignment="1">
      <alignment vertical="center"/>
    </xf>
    <xf numFmtId="2" fontId="21" fillId="6" borderId="8" xfId="0" applyNumberFormat="1" applyFont="1" applyFill="1" applyBorder="1" applyAlignment="1">
      <alignment horizontal="center" vertical="center"/>
    </xf>
    <xf numFmtId="2" fontId="31" fillId="6" borderId="8" xfId="0" applyNumberFormat="1" applyFont="1" applyFill="1" applyBorder="1" applyAlignment="1">
      <alignment horizontal="center" vertical="center"/>
    </xf>
    <xf numFmtId="0" fontId="34" fillId="6" borderId="13" xfId="0" applyFont="1" applyFill="1" applyBorder="1"/>
    <xf numFmtId="0" fontId="34" fillId="6" borderId="13" xfId="0" applyNumberFormat="1" applyFont="1" applyFill="1" applyBorder="1"/>
    <xf numFmtId="0" fontId="34" fillId="6" borderId="38" xfId="0" applyFont="1" applyFill="1" applyBorder="1"/>
    <xf numFmtId="0" fontId="34" fillId="6" borderId="39" xfId="0" applyNumberFormat="1" applyFont="1" applyFill="1" applyBorder="1"/>
    <xf numFmtId="4" fontId="21" fillId="6" borderId="0" xfId="0" applyNumberFormat="1" applyFont="1" applyFill="1" applyBorder="1" applyAlignment="1">
      <alignment vertical="center"/>
    </xf>
    <xf numFmtId="0" fontId="33" fillId="6" borderId="0" xfId="0" applyFont="1" applyFill="1" applyBorder="1"/>
    <xf numFmtId="0" fontId="33" fillId="6" borderId="0" xfId="0" applyNumberFormat="1" applyFont="1" applyFill="1" applyBorder="1"/>
    <xf numFmtId="0" fontId="21" fillId="6" borderId="41" xfId="0" applyFont="1" applyFill="1" applyBorder="1" applyAlignment="1">
      <alignment horizontal="center" vertical="center"/>
    </xf>
    <xf numFmtId="4" fontId="21" fillId="6" borderId="42" xfId="0" applyNumberFormat="1" applyFont="1" applyFill="1" applyBorder="1" applyAlignment="1">
      <alignment vertical="center"/>
    </xf>
    <xf numFmtId="0" fontId="21" fillId="6" borderId="42" xfId="0" applyFont="1" applyFill="1" applyBorder="1" applyAlignment="1">
      <alignment vertical="center"/>
    </xf>
    <xf numFmtId="167" fontId="21" fillId="6" borderId="42" xfId="0" applyNumberFormat="1" applyFont="1" applyFill="1" applyBorder="1" applyAlignment="1">
      <alignment vertical="center"/>
    </xf>
    <xf numFmtId="0" fontId="21" fillId="6" borderId="43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0" fontId="33" fillId="6" borderId="5" xfId="0" applyFont="1" applyFill="1" applyBorder="1"/>
    <xf numFmtId="0" fontId="33" fillId="6" borderId="5" xfId="0" applyNumberFormat="1" applyFont="1" applyFill="1" applyBorder="1"/>
    <xf numFmtId="0" fontId="33" fillId="6" borderId="8" xfId="0" applyFont="1" applyFill="1" applyBorder="1"/>
    <xf numFmtId="0" fontId="33" fillId="6" borderId="8" xfId="0" applyNumberFormat="1" applyFont="1" applyFill="1" applyBorder="1"/>
    <xf numFmtId="2" fontId="33" fillId="6" borderId="0" xfId="0" applyNumberFormat="1" applyFont="1" applyFill="1" applyBorder="1"/>
    <xf numFmtId="2" fontId="21" fillId="6" borderId="8" xfId="0" applyNumberFormat="1" applyFont="1" applyFill="1" applyBorder="1" applyAlignment="1">
      <alignment horizontal="right" vertical="center" wrapText="1"/>
    </xf>
    <xf numFmtId="0" fontId="0" fillId="6" borderId="8" xfId="0" applyFill="1" applyBorder="1"/>
    <xf numFmtId="167" fontId="2" fillId="0" borderId="8" xfId="0" applyNumberFormat="1" applyFont="1" applyBorder="1"/>
    <xf numFmtId="0" fontId="16" fillId="0" borderId="22" xfId="0" applyNumberFormat="1" applyFont="1" applyFill="1" applyBorder="1" applyAlignment="1">
      <alignment horizontal="center" vertical="center"/>
    </xf>
    <xf numFmtId="0" fontId="16" fillId="0" borderId="24" xfId="0" applyNumberFormat="1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 vertical="center"/>
    </xf>
    <xf numFmtId="0" fontId="16" fillId="0" borderId="27" xfId="0" applyNumberFormat="1" applyFont="1" applyFill="1" applyBorder="1" applyAlignment="1">
      <alignment horizontal="center" vertical="center"/>
    </xf>
    <xf numFmtId="167" fontId="3" fillId="0" borderId="8" xfId="0" applyNumberFormat="1" applyFont="1" applyBorder="1"/>
    <xf numFmtId="167" fontId="0" fillId="0" borderId="0" xfId="0" applyNumberFormat="1"/>
    <xf numFmtId="165" fontId="0" fillId="0" borderId="8" xfId="0" applyNumberFormat="1" applyBorder="1"/>
    <xf numFmtId="165" fontId="2" fillId="0" borderId="8" xfId="0" applyNumberFormat="1" applyFont="1" applyBorder="1"/>
    <xf numFmtId="0" fontId="46" fillId="0" borderId="0" xfId="1" applyFont="1" applyBorder="1"/>
    <xf numFmtId="0" fontId="5" fillId="0" borderId="0" xfId="1"/>
    <xf numFmtId="0" fontId="46" fillId="0" borderId="8" xfId="1" applyFont="1" applyFill="1" applyBorder="1" applyAlignment="1">
      <alignment horizontal="center" vertical="center" wrapText="1"/>
    </xf>
    <xf numFmtId="0" fontId="46" fillId="0" borderId="46" xfId="1" applyFont="1" applyBorder="1"/>
    <xf numFmtId="0" fontId="50" fillId="0" borderId="47" xfId="1" applyFont="1" applyBorder="1"/>
    <xf numFmtId="0" fontId="46" fillId="0" borderId="47" xfId="1" applyFont="1" applyBorder="1"/>
    <xf numFmtId="0" fontId="46" fillId="0" borderId="48" xfId="1" applyFont="1" applyBorder="1"/>
    <xf numFmtId="0" fontId="46" fillId="0" borderId="40" xfId="1" applyFont="1" applyBorder="1"/>
    <xf numFmtId="0" fontId="45" fillId="0" borderId="0" xfId="1" applyFont="1" applyBorder="1"/>
    <xf numFmtId="0" fontId="45" fillId="0" borderId="0" xfId="1" applyFont="1" applyBorder="1" applyAlignment="1"/>
    <xf numFmtId="2" fontId="53" fillId="0" borderId="0" xfId="1" applyNumberFormat="1" applyFont="1" applyBorder="1"/>
    <xf numFmtId="167" fontId="45" fillId="0" borderId="34" xfId="1" applyNumberFormat="1" applyFont="1" applyBorder="1" applyAlignment="1">
      <alignment horizontal="center"/>
    </xf>
    <xf numFmtId="0" fontId="51" fillId="0" borderId="0" xfId="1" applyFont="1" applyBorder="1"/>
    <xf numFmtId="167" fontId="51" fillId="0" borderId="34" xfId="1" applyNumberFormat="1" applyFont="1" applyBorder="1" applyAlignment="1">
      <alignment horizontal="center"/>
    </xf>
    <xf numFmtId="165" fontId="49" fillId="0" borderId="8" xfId="1" applyNumberFormat="1" applyFont="1" applyBorder="1"/>
    <xf numFmtId="0" fontId="49" fillId="0" borderId="8" xfId="1" applyFont="1" applyBorder="1"/>
    <xf numFmtId="0" fontId="46" fillId="0" borderId="0" xfId="1" applyNumberFormat="1" applyFont="1" applyFill="1" applyBorder="1" applyAlignment="1">
      <alignment horizontal="center"/>
    </xf>
    <xf numFmtId="4" fontId="46" fillId="0" borderId="0" xfId="1" applyNumberFormat="1" applyFont="1" applyFill="1" applyBorder="1" applyAlignment="1"/>
    <xf numFmtId="0" fontId="44" fillId="0" borderId="10" xfId="1" applyFont="1" applyFill="1" applyBorder="1" applyAlignment="1">
      <alignment horizontal="center" vertical="center" wrapText="1"/>
    </xf>
    <xf numFmtId="0" fontId="44" fillId="0" borderId="12" xfId="1" applyFont="1" applyFill="1" applyBorder="1" applyAlignment="1">
      <alignment horizontal="center" vertical="center" wrapText="1"/>
    </xf>
    <xf numFmtId="0" fontId="45" fillId="0" borderId="4" xfId="1" applyFont="1" applyBorder="1" applyAlignment="1">
      <alignment horizontal="center" vertical="center"/>
    </xf>
    <xf numFmtId="4" fontId="46" fillId="0" borderId="6" xfId="1" applyNumberFormat="1" applyFont="1" applyFill="1" applyBorder="1" applyAlignment="1"/>
    <xf numFmtId="0" fontId="45" fillId="0" borderId="7" xfId="1" applyFont="1" applyBorder="1" applyAlignment="1">
      <alignment horizontal="center" vertical="center"/>
    </xf>
    <xf numFmtId="4" fontId="46" fillId="0" borderId="9" xfId="1" applyNumberFormat="1" applyFont="1" applyFill="1" applyBorder="1" applyAlignment="1"/>
    <xf numFmtId="0" fontId="45" fillId="0" borderId="10" xfId="1" applyFont="1" applyBorder="1" applyAlignment="1">
      <alignment horizontal="center" vertical="center"/>
    </xf>
    <xf numFmtId="0" fontId="46" fillId="0" borderId="0" xfId="1" applyFont="1" applyBorder="1" applyAlignment="1"/>
    <xf numFmtId="0" fontId="38" fillId="0" borderId="0" xfId="1" applyNumberFormat="1" applyFont="1" applyFill="1" applyBorder="1" applyAlignment="1">
      <alignment vertical="center"/>
    </xf>
    <xf numFmtId="0" fontId="46" fillId="0" borderId="46" xfId="1" applyFont="1" applyBorder="1" applyAlignment="1"/>
    <xf numFmtId="0" fontId="50" fillId="0" borderId="47" xfId="1" applyFont="1" applyBorder="1" applyAlignment="1"/>
    <xf numFmtId="0" fontId="46" fillId="0" borderId="47" xfId="1" applyFont="1" applyBorder="1" applyAlignment="1"/>
    <xf numFmtId="0" fontId="46" fillId="0" borderId="48" xfId="1" applyFont="1" applyBorder="1" applyAlignment="1"/>
    <xf numFmtId="0" fontId="46" fillId="0" borderId="40" xfId="1" applyFont="1" applyBorder="1" applyAlignment="1"/>
    <xf numFmtId="0" fontId="50" fillId="0" borderId="0" xfId="1" applyFont="1" applyBorder="1" applyAlignment="1"/>
    <xf numFmtId="165" fontId="46" fillId="0" borderId="0" xfId="1" applyNumberFormat="1" applyFont="1" applyBorder="1" applyAlignment="1"/>
    <xf numFmtId="0" fontId="46" fillId="0" borderId="34" xfId="1" applyFont="1" applyBorder="1" applyAlignment="1"/>
    <xf numFmtId="2" fontId="45" fillId="0" borderId="0" xfId="1" applyNumberFormat="1" applyFont="1" applyBorder="1" applyAlignment="1"/>
    <xf numFmtId="165" fontId="49" fillId="0" borderId="8" xfId="1" applyNumberFormat="1" applyFont="1" applyBorder="1" applyAlignment="1"/>
    <xf numFmtId="0" fontId="49" fillId="0" borderId="8" xfId="1" applyFont="1" applyBorder="1" applyAlignment="1"/>
    <xf numFmtId="0" fontId="44" fillId="0" borderId="0" xfId="1" applyFont="1" applyFill="1" applyBorder="1" applyAlignment="1">
      <alignment horizontal="center" vertical="center"/>
    </xf>
    <xf numFmtId="0" fontId="44" fillId="0" borderId="72" xfId="1" applyFont="1" applyFill="1" applyBorder="1" applyAlignment="1">
      <alignment horizontal="center" vertical="center" wrapText="1"/>
    </xf>
    <xf numFmtId="0" fontId="44" fillId="0" borderId="74" xfId="1" applyFont="1" applyFill="1" applyBorder="1" applyAlignment="1">
      <alignment horizontal="center" vertical="center" wrapText="1"/>
    </xf>
    <xf numFmtId="0" fontId="44" fillId="0" borderId="0" xfId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" fontId="16" fillId="0" borderId="8" xfId="0" applyNumberFormat="1" applyFont="1" applyFill="1" applyBorder="1" applyAlignment="1">
      <alignment vertical="center"/>
    </xf>
    <xf numFmtId="166" fontId="16" fillId="0" borderId="8" xfId="0" applyNumberFormat="1" applyFont="1" applyFill="1" applyBorder="1" applyAlignment="1">
      <alignment vertical="center"/>
    </xf>
    <xf numFmtId="0" fontId="16" fillId="0" borderId="8" xfId="0" applyNumberFormat="1" applyFont="1" applyFill="1" applyBorder="1" applyAlignment="1">
      <alignment horizontal="center" vertical="center"/>
    </xf>
    <xf numFmtId="166" fontId="16" fillId="0" borderId="8" xfId="0" applyNumberFormat="1" applyFont="1" applyFill="1" applyBorder="1" applyAlignment="1">
      <alignment horizontal="right" vertical="center"/>
    </xf>
    <xf numFmtId="4" fontId="16" fillId="0" borderId="8" xfId="0" applyNumberFormat="1" applyFont="1" applyFill="1" applyBorder="1" applyAlignment="1">
      <alignment horizontal="right" vertical="center"/>
    </xf>
    <xf numFmtId="4" fontId="13" fillId="0" borderId="8" xfId="0" applyNumberFormat="1" applyFont="1" applyFill="1" applyBorder="1" applyAlignment="1">
      <alignment vertical="center"/>
    </xf>
    <xf numFmtId="0" fontId="4" fillId="0" borderId="0" xfId="0" applyFont="1"/>
    <xf numFmtId="0" fontId="3" fillId="0" borderId="37" xfId="0" applyFont="1" applyBorder="1"/>
    <xf numFmtId="0" fontId="3" fillId="0" borderId="13" xfId="0" applyFont="1" applyBorder="1" applyAlignment="1">
      <alignment horizontal="left" vertical="center"/>
    </xf>
    <xf numFmtId="2" fontId="3" fillId="0" borderId="37" xfId="0" applyNumberFormat="1" applyFont="1" applyBorder="1"/>
    <xf numFmtId="0" fontId="3" fillId="0" borderId="37" xfId="0" applyFont="1" applyBorder="1" applyAlignment="1">
      <alignment horizontal="center" vertical="center"/>
    </xf>
    <xf numFmtId="4" fontId="3" fillId="0" borderId="37" xfId="0" applyNumberFormat="1" applyFont="1" applyBorder="1"/>
    <xf numFmtId="3" fontId="3" fillId="0" borderId="37" xfId="0" applyNumberFormat="1" applyFont="1" applyBorder="1"/>
    <xf numFmtId="0" fontId="3" fillId="0" borderId="75" xfId="0" applyFont="1" applyBorder="1"/>
    <xf numFmtId="0" fontId="3" fillId="0" borderId="76" xfId="0" applyFont="1" applyBorder="1"/>
    <xf numFmtId="0" fontId="3" fillId="0" borderId="76" xfId="0" applyFont="1" applyBorder="1" applyAlignment="1">
      <alignment horizontal="center" vertical="center"/>
    </xf>
    <xf numFmtId="165" fontId="3" fillId="0" borderId="76" xfId="0" applyNumberFormat="1" applyFont="1" applyBorder="1"/>
    <xf numFmtId="165" fontId="3" fillId="0" borderId="77" xfId="0" applyNumberFormat="1" applyFont="1" applyBorder="1"/>
    <xf numFmtId="0" fontId="3" fillId="0" borderId="7" xfId="0" applyFont="1" applyBorder="1"/>
    <xf numFmtId="165" fontId="3" fillId="0" borderId="9" xfId="0" applyNumberFormat="1" applyFont="1" applyBorder="1"/>
    <xf numFmtId="0" fontId="3" fillId="0" borderId="9" xfId="0" applyFont="1" applyBorder="1" applyAlignment="1">
      <alignment horizontal="right"/>
    </xf>
    <xf numFmtId="0" fontId="4" fillId="0" borderId="11" xfId="0" applyFont="1" applyBorder="1"/>
    <xf numFmtId="0" fontId="4" fillId="0" borderId="11" xfId="0" applyFont="1" applyBorder="1" applyAlignment="1">
      <alignment horizontal="center" vertical="center"/>
    </xf>
    <xf numFmtId="165" fontId="4" fillId="0" borderId="11" xfId="0" applyNumberFormat="1" applyFont="1" applyBorder="1"/>
    <xf numFmtId="165" fontId="4" fillId="0" borderId="12" xfId="0" applyNumberFormat="1" applyFont="1" applyBorder="1"/>
    <xf numFmtId="0" fontId="46" fillId="0" borderId="8" xfId="0" applyFont="1" applyFill="1" applyBorder="1" applyAlignment="1">
      <alignment horizontal="center" vertical="center" wrapText="1"/>
    </xf>
    <xf numFmtId="0" fontId="49" fillId="0" borderId="8" xfId="0" applyFont="1" applyFill="1" applyBorder="1" applyAlignment="1">
      <alignment horizontal="center" vertical="center" wrapText="1"/>
    </xf>
    <xf numFmtId="0" fontId="45" fillId="0" borderId="0" xfId="0" applyFont="1" applyBorder="1" applyAlignment="1"/>
    <xf numFmtId="0" fontId="49" fillId="0" borderId="46" xfId="0" applyFont="1" applyBorder="1" applyAlignment="1">
      <alignment horizontal="center"/>
    </xf>
    <xf numFmtId="0" fontId="49" fillId="0" borderId="47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6" fillId="0" borderId="46" xfId="0" applyFont="1" applyBorder="1"/>
    <xf numFmtId="0" fontId="50" fillId="0" borderId="47" xfId="0" applyFont="1" applyBorder="1"/>
    <xf numFmtId="0" fontId="46" fillId="0" borderId="47" xfId="0" applyFont="1" applyBorder="1"/>
    <xf numFmtId="0" fontId="46" fillId="0" borderId="48" xfId="0" applyFont="1" applyBorder="1"/>
    <xf numFmtId="0" fontId="46" fillId="0" borderId="40" xfId="0" applyFont="1" applyBorder="1"/>
    <xf numFmtId="0" fontId="45" fillId="0" borderId="0" xfId="0" applyFont="1" applyBorder="1"/>
    <xf numFmtId="2" fontId="53" fillId="0" borderId="0" xfId="0" applyNumberFormat="1" applyFont="1" applyBorder="1"/>
    <xf numFmtId="167" fontId="51" fillId="0" borderId="34" xfId="0" applyNumberFormat="1" applyFont="1" applyBorder="1" applyAlignment="1">
      <alignment horizontal="center"/>
    </xf>
    <xf numFmtId="165" fontId="49" fillId="0" borderId="8" xfId="0" applyNumberFormat="1" applyFont="1" applyBorder="1"/>
    <xf numFmtId="0" fontId="49" fillId="0" borderId="8" xfId="0" applyFont="1" applyBorder="1"/>
    <xf numFmtId="165" fontId="49" fillId="0" borderId="47" xfId="0" applyNumberFormat="1" applyFont="1" applyBorder="1"/>
    <xf numFmtId="0" fontId="49" fillId="0" borderId="48" xfId="0" applyFont="1" applyBorder="1"/>
    <xf numFmtId="165" fontId="49" fillId="0" borderId="0" xfId="0" applyNumberFormat="1" applyFont="1" applyBorder="1"/>
    <xf numFmtId="0" fontId="49" fillId="0" borderId="0" xfId="0" applyFont="1" applyBorder="1"/>
    <xf numFmtId="165" fontId="40" fillId="0" borderId="8" xfId="0" applyNumberFormat="1" applyFont="1" applyBorder="1"/>
    <xf numFmtId="2" fontId="53" fillId="0" borderId="0" xfId="0" applyNumberFormat="1" applyFont="1" applyFill="1" applyBorder="1"/>
    <xf numFmtId="0" fontId="3" fillId="0" borderId="3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79" xfId="0" applyFont="1" applyBorder="1" applyAlignment="1">
      <alignment horizontal="left"/>
    </xf>
    <xf numFmtId="0" fontId="49" fillId="0" borderId="8" xfId="1" applyFont="1" applyFill="1" applyBorder="1" applyAlignment="1">
      <alignment horizontal="center" vertical="center" wrapText="1"/>
    </xf>
    <xf numFmtId="1" fontId="5" fillId="0" borderId="0" xfId="1" applyNumberFormat="1"/>
    <xf numFmtId="0" fontId="43" fillId="0" borderId="42" xfId="0" applyFont="1" applyBorder="1" applyAlignment="1"/>
    <xf numFmtId="0" fontId="54" fillId="0" borderId="0" xfId="19" applyBorder="1"/>
    <xf numFmtId="0" fontId="46" fillId="0" borderId="0" xfId="19" applyFont="1" applyBorder="1" applyAlignment="1"/>
    <xf numFmtId="0" fontId="46" fillId="0" borderId="8" xfId="19" applyFont="1" applyFill="1" applyBorder="1" applyAlignment="1">
      <alignment horizontal="center" vertical="center" wrapText="1"/>
    </xf>
    <xf numFmtId="0" fontId="49" fillId="0" borderId="8" xfId="19" applyFont="1" applyFill="1" applyBorder="1" applyAlignment="1">
      <alignment horizontal="center" vertical="center" wrapText="1"/>
    </xf>
    <xf numFmtId="0" fontId="46" fillId="0" borderId="46" xfId="19" applyFont="1" applyBorder="1" applyAlignment="1"/>
    <xf numFmtId="0" fontId="50" fillId="0" borderId="47" xfId="19" applyFont="1" applyBorder="1" applyAlignment="1"/>
    <xf numFmtId="0" fontId="46" fillId="0" borderId="47" xfId="19" applyFont="1" applyBorder="1" applyAlignment="1"/>
    <xf numFmtId="0" fontId="46" fillId="0" borderId="48" xfId="19" applyFont="1" applyBorder="1" applyAlignment="1"/>
    <xf numFmtId="0" fontId="46" fillId="0" borderId="40" xfId="19" applyFont="1" applyBorder="1" applyAlignment="1"/>
    <xf numFmtId="167" fontId="46" fillId="0" borderId="0" xfId="19" applyNumberFormat="1" applyFont="1" applyBorder="1" applyAlignment="1"/>
    <xf numFmtId="0" fontId="46" fillId="0" borderId="34" xfId="19" applyFont="1" applyBorder="1" applyAlignment="1"/>
    <xf numFmtId="165" fontId="49" fillId="0" borderId="8" xfId="19" applyNumberFormat="1" applyFont="1" applyBorder="1" applyAlignment="1"/>
    <xf numFmtId="0" fontId="49" fillId="0" borderId="8" xfId="19" applyFont="1" applyBorder="1" applyAlignment="1"/>
    <xf numFmtId="0" fontId="46" fillId="0" borderId="0" xfId="19" applyNumberFormat="1" applyFont="1" applyFill="1" applyBorder="1" applyAlignment="1">
      <alignment horizontal="left"/>
    </xf>
    <xf numFmtId="4" fontId="46" fillId="0" borderId="0" xfId="19" applyNumberFormat="1" applyFont="1" applyFill="1" applyBorder="1" applyAlignment="1"/>
    <xf numFmtId="4" fontId="46" fillId="0" borderId="0" xfId="19" applyNumberFormat="1" applyFont="1" applyFill="1" applyBorder="1" applyAlignment="1">
      <alignment horizontal="right"/>
    </xf>
    <xf numFmtId="0" fontId="44" fillId="0" borderId="72" xfId="19" applyFont="1" applyFill="1" applyBorder="1" applyAlignment="1">
      <alignment horizontal="center" vertical="center" wrapText="1"/>
    </xf>
    <xf numFmtId="0" fontId="44" fillId="0" borderId="74" xfId="19" applyFont="1" applyFill="1" applyBorder="1" applyAlignment="1">
      <alignment horizontal="center" vertical="center" wrapText="1"/>
    </xf>
    <xf numFmtId="0" fontId="45" fillId="0" borderId="75" xfId="19" applyFont="1" applyBorder="1" applyAlignment="1">
      <alignment horizontal="center" vertical="center"/>
    </xf>
    <xf numFmtId="4" fontId="46" fillId="0" borderId="77" xfId="19" applyNumberFormat="1" applyFont="1" applyFill="1" applyBorder="1" applyAlignment="1"/>
    <xf numFmtId="0" fontId="45" fillId="0" borderId="4" xfId="19" applyFont="1" applyBorder="1" applyAlignment="1">
      <alignment horizontal="center" vertical="center"/>
    </xf>
    <xf numFmtId="4" fontId="46" fillId="0" borderId="6" xfId="19" applyNumberFormat="1" applyFont="1" applyFill="1" applyBorder="1" applyAlignment="1"/>
    <xf numFmtId="0" fontId="45" fillId="0" borderId="7" xfId="19" applyFont="1" applyBorder="1" applyAlignment="1">
      <alignment horizontal="center" vertical="center"/>
    </xf>
    <xf numFmtId="4" fontId="46" fillId="0" borderId="9" xfId="19" applyNumberFormat="1" applyFont="1" applyFill="1" applyBorder="1" applyAlignment="1"/>
    <xf numFmtId="0" fontId="45" fillId="0" borderId="10" xfId="19" applyFont="1" applyBorder="1" applyAlignment="1">
      <alignment horizontal="center" vertical="center"/>
    </xf>
    <xf numFmtId="4" fontId="46" fillId="0" borderId="12" xfId="19" applyNumberFormat="1" applyFont="1" applyFill="1" applyBorder="1" applyAlignment="1"/>
    <xf numFmtId="0" fontId="3" fillId="0" borderId="8" xfId="0" applyFont="1" applyBorder="1" applyAlignment="1">
      <alignment horizontal="left" vertical="center"/>
    </xf>
    <xf numFmtId="2" fontId="3" fillId="0" borderId="0" xfId="0" applyNumberFormat="1" applyFont="1"/>
    <xf numFmtId="0" fontId="3" fillId="0" borderId="5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9" fillId="0" borderId="8" xfId="19" applyFont="1" applyFill="1" applyBorder="1" applyAlignment="1">
      <alignment horizontal="center" vertical="center" wrapText="1"/>
    </xf>
    <xf numFmtId="0" fontId="45" fillId="0" borderId="28" xfId="19" applyFont="1" applyBorder="1" applyAlignment="1">
      <alignment horizontal="left" vertical="center" wrapText="1"/>
    </xf>
    <xf numFmtId="0" fontId="49" fillId="0" borderId="8" xfId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54" fillId="0" borderId="0" xfId="19"/>
    <xf numFmtId="165" fontId="46" fillId="0" borderId="0" xfId="19" applyNumberFormat="1" applyFont="1" applyBorder="1" applyAlignment="1"/>
    <xf numFmtId="2" fontId="46" fillId="0" borderId="0" xfId="19" applyNumberFormat="1" applyFont="1" applyBorder="1" applyAlignment="1"/>
    <xf numFmtId="0" fontId="45" fillId="0" borderId="0" xfId="19" applyFont="1" applyBorder="1" applyAlignment="1"/>
    <xf numFmtId="167" fontId="45" fillId="0" borderId="34" xfId="19" applyNumberFormat="1" applyFont="1" applyBorder="1" applyAlignment="1">
      <alignment horizontal="center"/>
    </xf>
    <xf numFmtId="0" fontId="49" fillId="0" borderId="46" xfId="19" applyFont="1" applyBorder="1" applyAlignment="1">
      <alignment horizontal="center"/>
    </xf>
    <xf numFmtId="0" fontId="49" fillId="0" borderId="47" xfId="19" applyFont="1" applyBorder="1" applyAlignment="1">
      <alignment horizontal="center"/>
    </xf>
    <xf numFmtId="0" fontId="49" fillId="0" borderId="0" xfId="19" applyFont="1" applyBorder="1" applyAlignment="1">
      <alignment horizontal="center"/>
    </xf>
    <xf numFmtId="165" fontId="49" fillId="0" borderId="0" xfId="19" applyNumberFormat="1" applyFont="1" applyBorder="1" applyAlignment="1"/>
    <xf numFmtId="0" fontId="49" fillId="0" borderId="0" xfId="19" applyFont="1" applyBorder="1" applyAlignment="1"/>
    <xf numFmtId="165" fontId="40" fillId="0" borderId="8" xfId="19" applyNumberFormat="1" applyFont="1" applyBorder="1" applyAlignment="1"/>
    <xf numFmtId="0" fontId="46" fillId="0" borderId="0" xfId="19" applyNumberFormat="1" applyFont="1" applyFill="1" applyBorder="1" applyAlignment="1">
      <alignment horizontal="center"/>
    </xf>
    <xf numFmtId="0" fontId="40" fillId="0" borderId="0" xfId="19" applyNumberFormat="1" applyFont="1" applyFill="1" applyBorder="1" applyAlignment="1"/>
    <xf numFmtId="1" fontId="14" fillId="0" borderId="0" xfId="19" applyNumberFormat="1" applyFont="1" applyFill="1" applyBorder="1" applyAlignment="1"/>
    <xf numFmtId="0" fontId="14" fillId="0" borderId="0" xfId="19" applyNumberFormat="1" applyFont="1" applyFill="1" applyBorder="1" applyAlignment="1"/>
    <xf numFmtId="0" fontId="40" fillId="0" borderId="0" xfId="19" applyNumberFormat="1" applyFont="1" applyFill="1" applyBorder="1" applyAlignment="1">
      <alignment horizontal="left"/>
    </xf>
    <xf numFmtId="167" fontId="40" fillId="0" borderId="0" xfId="19" applyNumberFormat="1" applyFont="1" applyFill="1" applyBorder="1" applyAlignment="1"/>
    <xf numFmtId="2" fontId="40" fillId="0" borderId="0" xfId="19" applyNumberFormat="1" applyFont="1" applyFill="1" applyBorder="1" applyAlignment="1"/>
    <xf numFmtId="0" fontId="54" fillId="0" borderId="0" xfId="19" applyAlignment="1">
      <alignment vertical="center"/>
    </xf>
    <xf numFmtId="165" fontId="46" fillId="0" borderId="0" xfId="0" applyNumberFormat="1" applyFont="1" applyBorder="1" applyAlignment="1"/>
    <xf numFmtId="0" fontId="44" fillId="0" borderId="72" xfId="0" applyFont="1" applyFill="1" applyBorder="1" applyAlignment="1">
      <alignment horizontal="center" vertical="center" wrapText="1"/>
    </xf>
    <xf numFmtId="0" fontId="44" fillId="0" borderId="74" xfId="0" applyFont="1" applyFill="1" applyBorder="1" applyAlignment="1">
      <alignment horizontal="center" vertical="center" wrapText="1"/>
    </xf>
    <xf numFmtId="0" fontId="46" fillId="0" borderId="0" xfId="19" applyFont="1" applyBorder="1"/>
    <xf numFmtId="0" fontId="46" fillId="0" borderId="46" xfId="19" applyFont="1" applyBorder="1"/>
    <xf numFmtId="0" fontId="50" fillId="0" borderId="47" xfId="19" applyFont="1" applyBorder="1"/>
    <xf numFmtId="0" fontId="46" fillId="0" borderId="47" xfId="19" applyFont="1" applyBorder="1"/>
    <xf numFmtId="0" fontId="46" fillId="0" borderId="48" xfId="19" applyFont="1" applyBorder="1"/>
    <xf numFmtId="0" fontId="5" fillId="0" borderId="0" xfId="19" applyFont="1"/>
    <xf numFmtId="0" fontId="46" fillId="0" borderId="40" xfId="19" applyFont="1" applyBorder="1"/>
    <xf numFmtId="0" fontId="45" fillId="0" borderId="0" xfId="19" applyFont="1" applyBorder="1"/>
    <xf numFmtId="2" fontId="53" fillId="0" borderId="0" xfId="19" applyNumberFormat="1" applyFont="1" applyBorder="1"/>
    <xf numFmtId="0" fontId="51" fillId="0" borderId="0" xfId="19" applyFont="1" applyBorder="1"/>
    <xf numFmtId="167" fontId="51" fillId="0" borderId="34" xfId="19" applyNumberFormat="1" applyFont="1" applyBorder="1" applyAlignment="1">
      <alignment horizontal="center"/>
    </xf>
    <xf numFmtId="2" fontId="54" fillId="0" borderId="0" xfId="19" applyNumberFormat="1"/>
    <xf numFmtId="165" fontId="38" fillId="0" borderId="0" xfId="19" applyNumberFormat="1" applyFont="1"/>
    <xf numFmtId="165" fontId="49" fillId="0" borderId="8" xfId="19" applyNumberFormat="1" applyFont="1" applyBorder="1"/>
    <xf numFmtId="0" fontId="49" fillId="0" borderId="8" xfId="19" applyFont="1" applyBorder="1"/>
    <xf numFmtId="165" fontId="49" fillId="0" borderId="47" xfId="19" applyNumberFormat="1" applyFont="1" applyBorder="1"/>
    <xf numFmtId="0" fontId="49" fillId="0" borderId="48" xfId="19" applyFont="1" applyBorder="1"/>
    <xf numFmtId="165" fontId="49" fillId="0" borderId="0" xfId="19" applyNumberFormat="1" applyFont="1" applyBorder="1"/>
    <xf numFmtId="0" fontId="49" fillId="0" borderId="0" xfId="19" applyFont="1" applyBorder="1"/>
    <xf numFmtId="165" fontId="45" fillId="0" borderId="0" xfId="19" applyNumberFormat="1" applyFont="1" applyBorder="1"/>
    <xf numFmtId="165" fontId="40" fillId="0" borderId="8" xfId="19" applyNumberFormat="1" applyFont="1" applyBorder="1"/>
    <xf numFmtId="0" fontId="44" fillId="0" borderId="10" xfId="19" applyFont="1" applyFill="1" applyBorder="1" applyAlignment="1">
      <alignment horizontal="center" vertical="center" wrapText="1"/>
    </xf>
    <xf numFmtId="0" fontId="44" fillId="0" borderId="12" xfId="19" applyFont="1" applyFill="1" applyBorder="1" applyAlignment="1">
      <alignment horizontal="center" vertical="center" wrapText="1"/>
    </xf>
    <xf numFmtId="4" fontId="40" fillId="0" borderId="12" xfId="19" applyNumberFormat="1" applyFont="1" applyFill="1" applyBorder="1" applyAlignment="1"/>
    <xf numFmtId="168" fontId="46" fillId="0" borderId="9" xfId="19" applyNumberFormat="1" applyFont="1" applyFill="1" applyBorder="1" applyAlignment="1"/>
    <xf numFmtId="0" fontId="45" fillId="0" borderId="45" xfId="19" applyFont="1" applyBorder="1" applyAlignment="1">
      <alignment horizontal="left" vertical="center" wrapText="1"/>
    </xf>
    <xf numFmtId="4" fontId="40" fillId="0" borderId="9" xfId="19" applyNumberFormat="1" applyFont="1" applyFill="1" applyBorder="1" applyAlignment="1"/>
    <xf numFmtId="3" fontId="40" fillId="0" borderId="12" xfId="19" applyNumberFormat="1" applyFont="1" applyFill="1" applyBorder="1" applyAlignment="1"/>
    <xf numFmtId="4" fontId="40" fillId="0" borderId="9" xfId="0" applyNumberFormat="1" applyFont="1" applyFill="1" applyBorder="1" applyAlignment="1"/>
    <xf numFmtId="4" fontId="40" fillId="0" borderId="12" xfId="0" applyNumberFormat="1" applyFont="1" applyFill="1" applyBorder="1" applyAlignment="1"/>
    <xf numFmtId="0" fontId="50" fillId="0" borderId="0" xfId="1" applyFont="1" applyBorder="1"/>
    <xf numFmtId="2" fontId="46" fillId="0" borderId="0" xfId="1" applyNumberFormat="1" applyFont="1" applyBorder="1"/>
    <xf numFmtId="0" fontId="46" fillId="0" borderId="34" xfId="1" applyFont="1" applyBorder="1"/>
    <xf numFmtId="2" fontId="52" fillId="0" borderId="0" xfId="1" applyNumberFormat="1" applyFont="1" applyBorder="1"/>
    <xf numFmtId="0" fontId="46" fillId="0" borderId="40" xfId="1" applyNumberFormat="1" applyFont="1" applyFill="1" applyBorder="1" applyAlignment="1">
      <alignment horizontal="center"/>
    </xf>
    <xf numFmtId="2" fontId="53" fillId="0" borderId="0" xfId="18" applyNumberFormat="1" applyFont="1" applyBorder="1"/>
    <xf numFmtId="167" fontId="51" fillId="0" borderId="34" xfId="18" applyNumberFormat="1" applyFont="1" applyBorder="1" applyAlignment="1">
      <alignment horizontal="center"/>
    </xf>
    <xf numFmtId="0" fontId="46" fillId="0" borderId="8" xfId="18" applyFont="1" applyBorder="1"/>
    <xf numFmtId="0" fontId="50" fillId="0" borderId="8" xfId="18" applyFont="1" applyBorder="1"/>
    <xf numFmtId="2" fontId="46" fillId="0" borderId="8" xfId="18" applyNumberFormat="1" applyFont="1" applyBorder="1"/>
    <xf numFmtId="0" fontId="5" fillId="0" borderId="8" xfId="18" applyFont="1" applyBorder="1"/>
    <xf numFmtId="2" fontId="5" fillId="0" borderId="0" xfId="1" applyNumberFormat="1"/>
    <xf numFmtId="4" fontId="46" fillId="0" borderId="12" xfId="1" applyNumberFormat="1" applyFont="1" applyFill="1" applyBorder="1" applyAlignment="1"/>
    <xf numFmtId="0" fontId="5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1" fontId="3" fillId="0" borderId="8" xfId="0" applyNumberFormat="1" applyFont="1" applyBorder="1"/>
    <xf numFmtId="172" fontId="3" fillId="0" borderId="8" xfId="0" applyNumberFormat="1" applyFont="1" applyBorder="1"/>
    <xf numFmtId="0" fontId="3" fillId="0" borderId="8" xfId="0" applyFont="1" applyBorder="1" applyAlignment="1"/>
    <xf numFmtId="0" fontId="3" fillId="0" borderId="0" xfId="0" applyFont="1" applyAlignment="1"/>
    <xf numFmtId="0" fontId="4" fillId="0" borderId="8" xfId="0" applyFont="1" applyBorder="1" applyAlignment="1"/>
    <xf numFmtId="0" fontId="3" fillId="0" borderId="8" xfId="0" applyFont="1" applyBorder="1" applyAlignment="1">
      <alignment horizontal="left"/>
    </xf>
    <xf numFmtId="1" fontId="4" fillId="0" borderId="8" xfId="0" applyNumberFormat="1" applyFont="1" applyBorder="1"/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right"/>
    </xf>
    <xf numFmtId="0" fontId="40" fillId="0" borderId="0" xfId="19" applyFont="1" applyBorder="1"/>
    <xf numFmtId="0" fontId="3" fillId="0" borderId="44" xfId="0" applyFont="1" applyBorder="1"/>
    <xf numFmtId="0" fontId="4" fillId="0" borderId="44" xfId="0" applyFont="1" applyBorder="1"/>
    <xf numFmtId="0" fontId="3" fillId="0" borderId="44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 wrapText="1"/>
    </xf>
    <xf numFmtId="9" fontId="3" fillId="0" borderId="8" xfId="0" applyNumberFormat="1" applyFont="1" applyBorder="1"/>
    <xf numFmtId="17" fontId="43" fillId="0" borderId="42" xfId="0" applyNumberFormat="1" applyFont="1" applyBorder="1" applyAlignment="1">
      <alignment horizontal="left"/>
    </xf>
    <xf numFmtId="0" fontId="43" fillId="0" borderId="42" xfId="0" applyFont="1" applyBorder="1" applyAlignment="1">
      <alignment horizontal="left"/>
    </xf>
    <xf numFmtId="0" fontId="3" fillId="0" borderId="3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28" xfId="0" applyFont="1" applyBorder="1" applyAlignment="1">
      <alignment horizontal="left"/>
    </xf>
    <xf numFmtId="0" fontId="4" fillId="0" borderId="45" xfId="0" applyFont="1" applyBorder="1" applyAlignment="1">
      <alignment horizontal="left"/>
    </xf>
    <xf numFmtId="0" fontId="4" fillId="0" borderId="44" xfId="0" applyFont="1" applyBorder="1" applyAlignment="1">
      <alignment horizontal="left"/>
    </xf>
    <xf numFmtId="0" fontId="45" fillId="0" borderId="8" xfId="19" applyFont="1" applyBorder="1" applyAlignment="1">
      <alignment horizontal="left" vertical="center" wrapText="1"/>
    </xf>
    <xf numFmtId="0" fontId="45" fillId="0" borderId="28" xfId="19" applyFont="1" applyBorder="1" applyAlignment="1">
      <alignment horizontal="left" vertical="center" wrapText="1"/>
    </xf>
    <xf numFmtId="0" fontId="45" fillId="0" borderId="11" xfId="19" applyFont="1" applyBorder="1" applyAlignment="1">
      <alignment horizontal="left" vertical="center" wrapText="1"/>
    </xf>
    <xf numFmtId="0" fontId="45" fillId="0" borderId="71" xfId="19" applyFont="1" applyBorder="1" applyAlignment="1">
      <alignment horizontal="left" vertical="center" wrapText="1"/>
    </xf>
    <xf numFmtId="0" fontId="49" fillId="0" borderId="8" xfId="19" applyFont="1" applyFill="1" applyBorder="1" applyAlignment="1">
      <alignment horizontal="left"/>
    </xf>
    <xf numFmtId="0" fontId="49" fillId="0" borderId="28" xfId="19" applyFont="1" applyBorder="1" applyAlignment="1">
      <alignment horizontal="center"/>
    </xf>
    <xf numFmtId="0" fontId="49" fillId="0" borderId="45" xfId="19" applyFont="1" applyBorder="1" applyAlignment="1">
      <alignment horizontal="center"/>
    </xf>
    <xf numFmtId="0" fontId="49" fillId="0" borderId="44" xfId="19" applyFont="1" applyBorder="1" applyAlignment="1">
      <alignment horizontal="center"/>
    </xf>
    <xf numFmtId="0" fontId="44" fillId="0" borderId="50" xfId="19" applyFont="1" applyFill="1" applyBorder="1" applyAlignment="1">
      <alignment horizontal="center" vertical="center"/>
    </xf>
    <xf numFmtId="0" fontId="44" fillId="0" borderId="51" xfId="19" applyFont="1" applyFill="1" applyBorder="1" applyAlignment="1">
      <alignment horizontal="center" vertical="center"/>
    </xf>
    <xf numFmtId="0" fontId="44" fillId="0" borderId="52" xfId="19" applyFont="1" applyFill="1" applyBorder="1" applyAlignment="1">
      <alignment horizontal="center" vertical="center"/>
    </xf>
    <xf numFmtId="0" fontId="44" fillId="0" borderId="73" xfId="19" applyFont="1" applyFill="1" applyBorder="1" applyAlignment="1">
      <alignment horizontal="center" vertical="center" wrapText="1"/>
    </xf>
    <xf numFmtId="0" fontId="45" fillId="0" borderId="76" xfId="19" applyFont="1" applyBorder="1" applyAlignment="1">
      <alignment horizontal="left" vertical="center" wrapText="1"/>
    </xf>
    <xf numFmtId="0" fontId="45" fillId="0" borderId="80" xfId="19" applyFont="1" applyBorder="1" applyAlignment="1">
      <alignment horizontal="left" vertical="center" wrapText="1"/>
    </xf>
    <xf numFmtId="0" fontId="48" fillId="0" borderId="8" xfId="19" applyFont="1" applyFill="1" applyBorder="1" applyAlignment="1">
      <alignment horizontal="center" vertical="center"/>
    </xf>
    <xf numFmtId="0" fontId="49" fillId="0" borderId="8" xfId="19" applyFont="1" applyBorder="1" applyAlignment="1">
      <alignment horizontal="center"/>
    </xf>
    <xf numFmtId="0" fontId="49" fillId="0" borderId="8" xfId="19" applyFont="1" applyFill="1" applyBorder="1" applyAlignment="1">
      <alignment horizontal="center" vertical="center" wrapText="1"/>
    </xf>
    <xf numFmtId="0" fontId="49" fillId="0" borderId="8" xfId="19" applyFont="1" applyFill="1" applyBorder="1" applyAlignment="1">
      <alignment horizontal="left" vertical="center" wrapText="1"/>
    </xf>
    <xf numFmtId="0" fontId="38" fillId="0" borderId="8" xfId="0" applyNumberFormat="1" applyFont="1" applyFill="1" applyBorder="1" applyAlignment="1">
      <alignment horizontal="right" vertical="center"/>
    </xf>
    <xf numFmtId="0" fontId="38" fillId="0" borderId="8" xfId="0" applyNumberFormat="1" applyFont="1" applyFill="1" applyBorder="1" applyAlignment="1">
      <alignment horizontal="right"/>
    </xf>
    <xf numFmtId="3" fontId="42" fillId="0" borderId="50" xfId="0" applyNumberFormat="1" applyFont="1" applyFill="1" applyBorder="1" applyAlignment="1">
      <alignment horizontal="center"/>
    </xf>
    <xf numFmtId="3" fontId="42" fillId="0" borderId="51" xfId="0" applyNumberFormat="1" applyFont="1" applyFill="1" applyBorder="1" applyAlignment="1">
      <alignment horizontal="center"/>
    </xf>
    <xf numFmtId="3" fontId="42" fillId="0" borderId="52" xfId="0" applyNumberFormat="1" applyFont="1" applyFill="1" applyBorder="1" applyAlignment="1">
      <alignment horizontal="center"/>
    </xf>
    <xf numFmtId="0" fontId="16" fillId="0" borderId="22" xfId="0" applyNumberFormat="1" applyFont="1" applyFill="1" applyBorder="1" applyAlignment="1">
      <alignment horizontal="center" vertical="center" wrapText="1"/>
    </xf>
    <xf numFmtId="0" fontId="16" fillId="0" borderId="24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>
      <alignment horizontal="center" vertical="center" wrapText="1"/>
    </xf>
    <xf numFmtId="0" fontId="16" fillId="0" borderId="37" xfId="0" applyNumberFormat="1" applyFont="1" applyFill="1" applyBorder="1" applyAlignment="1">
      <alignment horizontal="center" vertical="center" wrapText="1"/>
    </xf>
    <xf numFmtId="0" fontId="16" fillId="0" borderId="13" xfId="0" applyNumberFormat="1" applyFont="1" applyFill="1" applyBorder="1" applyAlignment="1">
      <alignment horizontal="center" vertical="center" wrapText="1"/>
    </xf>
    <xf numFmtId="0" fontId="16" fillId="0" borderId="5" xfId="0" applyNumberFormat="1" applyFont="1" applyFill="1" applyBorder="1" applyAlignment="1">
      <alignment horizontal="center" vertical="center" wrapText="1"/>
    </xf>
    <xf numFmtId="3" fontId="0" fillId="0" borderId="37" xfId="0" applyNumberFormat="1" applyFont="1" applyFill="1" applyBorder="1" applyAlignment="1">
      <alignment horizontal="center" vertical="center"/>
    </xf>
    <xf numFmtId="3" fontId="0" fillId="0" borderId="13" xfId="0" applyNumberFormat="1" applyFont="1" applyFill="1" applyBorder="1" applyAlignment="1">
      <alignment horizontal="center" vertical="center"/>
    </xf>
    <xf numFmtId="3" fontId="0" fillId="0" borderId="5" xfId="0" applyNumberFormat="1" applyFont="1" applyFill="1" applyBorder="1" applyAlignment="1">
      <alignment horizontal="center" vertical="center"/>
    </xf>
    <xf numFmtId="0" fontId="0" fillId="0" borderId="37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22" xfId="0" applyNumberFormat="1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0" fillId="0" borderId="25" xfId="0" applyNumberFormat="1" applyFont="1" applyFill="1" applyBorder="1" applyAlignment="1">
      <alignment horizontal="center" vertical="center"/>
    </xf>
    <xf numFmtId="0" fontId="16" fillId="0" borderId="67" xfId="0" applyNumberFormat="1" applyFont="1" applyFill="1" applyBorder="1" applyAlignment="1">
      <alignment horizontal="center" vertical="center" wrapText="1"/>
    </xf>
    <xf numFmtId="2" fontId="0" fillId="0" borderId="46" xfId="0" applyNumberFormat="1" applyFont="1" applyFill="1" applyBorder="1" applyAlignment="1">
      <alignment horizontal="center" vertical="center"/>
    </xf>
    <xf numFmtId="0" fontId="0" fillId="0" borderId="48" xfId="0" applyBorder="1"/>
    <xf numFmtId="0" fontId="0" fillId="0" borderId="40" xfId="0" applyBorder="1"/>
    <xf numFmtId="0" fontId="0" fillId="0" borderId="34" xfId="0" applyBorder="1"/>
    <xf numFmtId="0" fontId="0" fillId="0" borderId="41" xfId="0" applyBorder="1"/>
    <xf numFmtId="0" fontId="0" fillId="0" borderId="43" xfId="0" applyBorder="1"/>
    <xf numFmtId="0" fontId="16" fillId="0" borderId="22" xfId="0" applyNumberFormat="1" applyFont="1" applyFill="1" applyBorder="1" applyAlignment="1">
      <alignment horizontal="center" vertical="center"/>
    </xf>
    <xf numFmtId="0" fontId="16" fillId="0" borderId="24" xfId="0" applyNumberFormat="1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 vertical="center"/>
    </xf>
    <xf numFmtId="3" fontId="15" fillId="0" borderId="57" xfId="13" applyNumberFormat="1" applyFont="1" applyFill="1" applyBorder="1" applyAlignment="1">
      <alignment horizontal="center" vertical="center" wrapText="1"/>
    </xf>
    <xf numFmtId="3" fontId="15" fillId="0" borderId="27" xfId="13" applyNumberFormat="1" applyFont="1" applyFill="1" applyBorder="1" applyAlignment="1">
      <alignment horizontal="center" vertical="center" wrapText="1"/>
    </xf>
    <xf numFmtId="3" fontId="15" fillId="0" borderId="58" xfId="13" applyNumberFormat="1" applyFont="1" applyFill="1" applyBorder="1" applyAlignment="1">
      <alignment horizontal="center" vertical="center" wrapText="1"/>
    </xf>
    <xf numFmtId="3" fontId="15" fillId="0" borderId="63" xfId="13" applyNumberFormat="1" applyFont="1" applyFill="1" applyBorder="1" applyAlignment="1">
      <alignment horizontal="center" vertical="center" wrapText="1"/>
    </xf>
    <xf numFmtId="0" fontId="38" fillId="0" borderId="53" xfId="0" applyNumberFormat="1" applyFont="1" applyFill="1" applyBorder="1" applyAlignment="1">
      <alignment horizontal="center" vertical="center" wrapText="1"/>
    </xf>
    <xf numFmtId="0" fontId="38" fillId="0" borderId="59" xfId="0" applyNumberFormat="1" applyFont="1" applyFill="1" applyBorder="1" applyAlignment="1">
      <alignment horizontal="center" vertical="center" wrapText="1"/>
    </xf>
    <xf numFmtId="0" fontId="38" fillId="0" borderId="54" xfId="0" applyNumberFormat="1" applyFont="1" applyFill="1" applyBorder="1" applyAlignment="1">
      <alignment horizontal="center" vertical="center" wrapText="1"/>
    </xf>
    <xf numFmtId="0" fontId="38" fillId="0" borderId="60" xfId="0" applyNumberFormat="1" applyFont="1" applyFill="1" applyBorder="1" applyAlignment="1">
      <alignment horizontal="center" vertical="center" wrapText="1"/>
    </xf>
    <xf numFmtId="0" fontId="38" fillId="0" borderId="55" xfId="0" applyNumberFormat="1" applyFont="1" applyFill="1" applyBorder="1" applyAlignment="1">
      <alignment horizontal="center" vertical="center" wrapText="1"/>
    </xf>
    <xf numFmtId="0" fontId="38" fillId="0" borderId="61" xfId="0" applyNumberFormat="1" applyFont="1" applyFill="1" applyBorder="1" applyAlignment="1">
      <alignment horizontal="center" vertical="center" wrapText="1"/>
    </xf>
    <xf numFmtId="3" fontId="15" fillId="0" borderId="56" xfId="13" applyNumberFormat="1" applyFont="1" applyFill="1" applyBorder="1" applyAlignment="1">
      <alignment horizontal="center" vertical="center" wrapText="1"/>
    </xf>
    <xf numFmtId="3" fontId="15" fillId="0" borderId="62" xfId="13" applyNumberFormat="1" applyFont="1" applyFill="1" applyBorder="1" applyAlignment="1">
      <alignment horizontal="center" vertical="center" wrapText="1"/>
    </xf>
    <xf numFmtId="0" fontId="40" fillId="0" borderId="53" xfId="0" applyNumberFormat="1" applyFont="1" applyFill="1" applyBorder="1" applyAlignment="1">
      <alignment horizontal="center" vertical="center" wrapText="1"/>
    </xf>
    <xf numFmtId="0" fontId="40" fillId="0" borderId="59" xfId="0" applyNumberFormat="1" applyFont="1" applyFill="1" applyBorder="1" applyAlignment="1">
      <alignment horizontal="center" vertical="center" wrapText="1"/>
    </xf>
    <xf numFmtId="4" fontId="38" fillId="2" borderId="8" xfId="0" applyNumberFormat="1" applyFont="1" applyFill="1" applyBorder="1" applyAlignment="1">
      <alignment horizontal="center"/>
    </xf>
    <xf numFmtId="4" fontId="38" fillId="0" borderId="0" xfId="0" applyNumberFormat="1" applyFont="1" applyFill="1" applyBorder="1" applyAlignment="1">
      <alignment horizontal="center"/>
    </xf>
    <xf numFmtId="0" fontId="39" fillId="0" borderId="14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 vertical="center"/>
    </xf>
    <xf numFmtId="0" fontId="0" fillId="0" borderId="20" xfId="0" applyNumberFormat="1" applyFont="1" applyFill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center" vertical="center"/>
    </xf>
    <xf numFmtId="0" fontId="38" fillId="0" borderId="50" xfId="0" applyNumberFormat="1" applyFont="1" applyFill="1" applyBorder="1" applyAlignment="1">
      <alignment horizontal="center"/>
    </xf>
    <xf numFmtId="0" fontId="38" fillId="0" borderId="51" xfId="0" applyNumberFormat="1" applyFont="1" applyFill="1" applyBorder="1" applyAlignment="1">
      <alignment horizontal="center"/>
    </xf>
    <xf numFmtId="0" fontId="38" fillId="0" borderId="52" xfId="0" applyNumberFormat="1" applyFont="1" applyFill="1" applyBorder="1" applyAlignment="1">
      <alignment horizontal="center"/>
    </xf>
    <xf numFmtId="3" fontId="38" fillId="0" borderId="14" xfId="0" applyNumberFormat="1" applyFont="1" applyFill="1" applyBorder="1" applyAlignment="1">
      <alignment horizontal="center"/>
    </xf>
    <xf numFmtId="3" fontId="38" fillId="0" borderId="15" xfId="0" applyNumberFormat="1" applyFont="1" applyFill="1" applyBorder="1" applyAlignment="1">
      <alignment horizontal="center"/>
    </xf>
    <xf numFmtId="3" fontId="38" fillId="0" borderId="16" xfId="0" applyNumberFormat="1" applyFont="1" applyFill="1" applyBorder="1" applyAlignment="1">
      <alignment horizontal="center"/>
    </xf>
    <xf numFmtId="0" fontId="11" fillId="0" borderId="8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3" fillId="0" borderId="8" xfId="0" applyNumberFormat="1" applyFont="1" applyFill="1" applyBorder="1" applyAlignment="1">
      <alignment horizontal="center" vertical="center"/>
    </xf>
    <xf numFmtId="4" fontId="13" fillId="0" borderId="8" xfId="0" applyNumberFormat="1" applyFont="1" applyFill="1" applyBorder="1" applyAlignment="1">
      <alignment horizontal="center" vertical="center"/>
    </xf>
    <xf numFmtId="0" fontId="13" fillId="0" borderId="8" xfId="0" applyNumberFormat="1" applyFont="1" applyFill="1" applyBorder="1" applyAlignment="1">
      <alignment horizontal="center" vertical="center" wrapText="1"/>
    </xf>
    <xf numFmtId="4" fontId="14" fillId="0" borderId="8" xfId="0" applyNumberFormat="1" applyFont="1" applyFill="1" applyBorder="1" applyAlignment="1">
      <alignment horizontal="center" vertical="center" wrapText="1"/>
    </xf>
    <xf numFmtId="166" fontId="13" fillId="0" borderId="8" xfId="0" applyNumberFormat="1" applyFont="1" applyFill="1" applyBorder="1" applyAlignment="1">
      <alignment horizontal="center" vertical="center" wrapText="1"/>
    </xf>
    <xf numFmtId="4" fontId="13" fillId="0" borderId="8" xfId="0" applyNumberFormat="1" applyFont="1" applyFill="1" applyBorder="1" applyAlignment="1">
      <alignment horizontal="center" vertical="center" wrapText="1"/>
    </xf>
    <xf numFmtId="4" fontId="13" fillId="0" borderId="8" xfId="0" applyNumberFormat="1" applyFont="1" applyFill="1" applyBorder="1" applyAlignment="1">
      <alignment horizontal="right" vertical="center" wrapText="1"/>
    </xf>
    <xf numFmtId="4" fontId="15" fillId="0" borderId="8" xfId="13" applyNumberFormat="1" applyFont="1" applyFill="1" applyBorder="1" applyAlignment="1">
      <alignment horizontal="center" vertical="center" wrapText="1"/>
    </xf>
    <xf numFmtId="0" fontId="18" fillId="0" borderId="8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0" fontId="16" fillId="0" borderId="27" xfId="0" applyNumberFormat="1" applyFont="1" applyFill="1" applyBorder="1" applyAlignment="1">
      <alignment horizontal="center" vertical="center"/>
    </xf>
    <xf numFmtId="0" fontId="16" fillId="0" borderId="27" xfId="0" applyNumberFormat="1" applyFont="1" applyFill="1" applyBorder="1" applyAlignment="1">
      <alignment horizontal="center" vertical="center" wrapText="1"/>
    </xf>
    <xf numFmtId="0" fontId="16" fillId="0" borderId="37" xfId="0" applyNumberFormat="1" applyFont="1" applyFill="1" applyBorder="1" applyAlignment="1">
      <alignment horizontal="center" vertical="center"/>
    </xf>
    <xf numFmtId="0" fontId="16" fillId="0" borderId="13" xfId="0" applyNumberFormat="1" applyFont="1" applyFill="1" applyBorder="1" applyAlignment="1">
      <alignment horizontal="center" vertical="center"/>
    </xf>
    <xf numFmtId="0" fontId="16" fillId="0" borderId="5" xfId="0" applyNumberFormat="1" applyFont="1" applyFill="1" applyBorder="1" applyAlignment="1">
      <alignment horizontal="center" vertical="center"/>
    </xf>
    <xf numFmtId="0" fontId="16" fillId="0" borderId="26" xfId="0" applyNumberFormat="1" applyFont="1" applyFill="1" applyBorder="1" applyAlignment="1">
      <alignment horizontal="center" vertical="center"/>
    </xf>
    <xf numFmtId="0" fontId="16" fillId="0" borderId="26" xfId="0" applyNumberFormat="1" applyFont="1" applyFill="1" applyBorder="1" applyAlignment="1">
      <alignment horizontal="center" vertical="center" wrapText="1"/>
    </xf>
    <xf numFmtId="0" fontId="16" fillId="0" borderId="23" xfId="0" applyNumberFormat="1" applyFont="1" applyFill="1" applyBorder="1" applyAlignment="1">
      <alignment horizontal="center" vertical="center" wrapText="1"/>
    </xf>
    <xf numFmtId="0" fontId="16" fillId="0" borderId="23" xfId="0" applyNumberFormat="1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 wrapText="1"/>
    </xf>
    <xf numFmtId="0" fontId="45" fillId="0" borderId="8" xfId="1" applyFont="1" applyBorder="1" applyAlignment="1">
      <alignment horizontal="left" vertical="center" wrapText="1"/>
    </xf>
    <xf numFmtId="0" fontId="45" fillId="0" borderId="28" xfId="1" applyFont="1" applyBorder="1" applyAlignment="1">
      <alignment horizontal="left" vertical="center" wrapText="1"/>
    </xf>
    <xf numFmtId="0" fontId="49" fillId="0" borderId="8" xfId="1" applyFont="1" applyFill="1" applyBorder="1" applyAlignment="1">
      <alignment horizontal="left"/>
    </xf>
    <xf numFmtId="0" fontId="49" fillId="0" borderId="8" xfId="1" applyFont="1" applyBorder="1" applyAlignment="1">
      <alignment horizontal="center"/>
    </xf>
    <xf numFmtId="0" fontId="44" fillId="0" borderId="50" xfId="1" applyFont="1" applyFill="1" applyBorder="1" applyAlignment="1">
      <alignment horizontal="center" vertical="center"/>
    </xf>
    <xf numFmtId="0" fontId="44" fillId="0" borderId="51" xfId="1" applyFont="1" applyFill="1" applyBorder="1" applyAlignment="1">
      <alignment horizontal="center" vertical="center"/>
    </xf>
    <xf numFmtId="0" fontId="44" fillId="0" borderId="52" xfId="1" applyFont="1" applyFill="1" applyBorder="1" applyAlignment="1">
      <alignment horizontal="center" vertical="center"/>
    </xf>
    <xf numFmtId="0" fontId="44" fillId="0" borderId="73" xfId="1" applyFont="1" applyFill="1" applyBorder="1" applyAlignment="1">
      <alignment horizontal="center" vertical="center" wrapText="1"/>
    </xf>
    <xf numFmtId="0" fontId="45" fillId="0" borderId="5" xfId="1" applyFont="1" applyBorder="1" applyAlignment="1">
      <alignment horizontal="left" vertical="center" wrapText="1"/>
    </xf>
    <xf numFmtId="0" fontId="45" fillId="0" borderId="41" xfId="1" applyFont="1" applyBorder="1" applyAlignment="1">
      <alignment horizontal="left" vertical="center" wrapText="1"/>
    </xf>
    <xf numFmtId="0" fontId="48" fillId="0" borderId="8" xfId="1" applyFont="1" applyFill="1" applyBorder="1" applyAlignment="1">
      <alignment horizontal="center" vertical="center"/>
    </xf>
    <xf numFmtId="0" fontId="49" fillId="0" borderId="8" xfId="1" applyFont="1" applyFill="1" applyBorder="1" applyAlignment="1">
      <alignment horizontal="center" vertical="center" wrapText="1"/>
    </xf>
    <xf numFmtId="0" fontId="49" fillId="0" borderId="8" xfId="1" applyFont="1" applyFill="1" applyBorder="1" applyAlignment="1">
      <alignment horizontal="left" vertical="center" wrapText="1"/>
    </xf>
    <xf numFmtId="0" fontId="49" fillId="0" borderId="28" xfId="1" applyFont="1" applyFill="1" applyBorder="1" applyAlignment="1">
      <alignment horizontal="center" vertical="center" wrapText="1"/>
    </xf>
    <xf numFmtId="0" fontId="49" fillId="0" borderId="45" xfId="1" applyFont="1" applyFill="1" applyBorder="1" applyAlignment="1">
      <alignment horizontal="center" vertical="center" wrapText="1"/>
    </xf>
    <xf numFmtId="0" fontId="49" fillId="0" borderId="28" xfId="19" applyFont="1" applyFill="1" applyBorder="1" applyAlignment="1">
      <alignment horizontal="center" vertical="center" wrapText="1"/>
    </xf>
    <xf numFmtId="0" fontId="49" fillId="0" borderId="45" xfId="19" applyFont="1" applyFill="1" applyBorder="1" applyAlignment="1">
      <alignment horizontal="center" vertical="center" wrapText="1"/>
    </xf>
    <xf numFmtId="0" fontId="49" fillId="0" borderId="44" xfId="19" applyFont="1" applyFill="1" applyBorder="1" applyAlignment="1">
      <alignment horizontal="center" vertical="center" wrapText="1"/>
    </xf>
    <xf numFmtId="0" fontId="44" fillId="0" borderId="50" xfId="0" applyFont="1" applyFill="1" applyBorder="1" applyAlignment="1">
      <alignment horizontal="center" vertical="center"/>
    </xf>
    <xf numFmtId="0" fontId="44" fillId="0" borderId="51" xfId="0" applyFont="1" applyFill="1" applyBorder="1" applyAlignment="1">
      <alignment horizontal="center" vertical="center"/>
    </xf>
    <xf numFmtId="0" fontId="44" fillId="0" borderId="52" xfId="0" applyFont="1" applyFill="1" applyBorder="1" applyAlignment="1">
      <alignment horizontal="center" vertical="center"/>
    </xf>
    <xf numFmtId="0" fontId="44" fillId="0" borderId="73" xfId="0" applyFont="1" applyFill="1" applyBorder="1" applyAlignment="1">
      <alignment horizontal="center" vertical="center" wrapText="1"/>
    </xf>
    <xf numFmtId="0" fontId="45" fillId="0" borderId="5" xfId="0" applyFont="1" applyBorder="1" applyAlignment="1">
      <alignment horizontal="left" vertical="center" wrapText="1"/>
    </xf>
    <xf numFmtId="0" fontId="45" fillId="0" borderId="41" xfId="0" applyFont="1" applyBorder="1" applyAlignment="1">
      <alignment horizontal="left" vertical="center" wrapText="1"/>
    </xf>
    <xf numFmtId="0" fontId="45" fillId="0" borderId="8" xfId="0" applyFont="1" applyBorder="1" applyAlignment="1">
      <alignment horizontal="left" vertical="center" wrapText="1"/>
    </xf>
    <xf numFmtId="0" fontId="45" fillId="0" borderId="28" xfId="0" applyFont="1" applyBorder="1" applyAlignment="1">
      <alignment horizontal="left" vertical="center" wrapText="1"/>
    </xf>
    <xf numFmtId="0" fontId="45" fillId="0" borderId="5" xfId="19" applyFont="1" applyBorder="1" applyAlignment="1">
      <alignment horizontal="left" vertical="center" wrapText="1"/>
    </xf>
    <xf numFmtId="0" fontId="45" fillId="0" borderId="41" xfId="19" applyFont="1" applyBorder="1" applyAlignment="1">
      <alignment horizontal="left" vertical="center" wrapText="1"/>
    </xf>
    <xf numFmtId="0" fontId="44" fillId="0" borderId="55" xfId="19" applyFont="1" applyFill="1" applyBorder="1" applyAlignment="1">
      <alignment horizontal="center" vertical="center"/>
    </xf>
    <xf numFmtId="0" fontId="44" fillId="0" borderId="69" xfId="19" applyFont="1" applyFill="1" applyBorder="1" applyAlignment="1">
      <alignment horizontal="center" vertical="center"/>
    </xf>
    <xf numFmtId="0" fontId="44" fillId="0" borderId="70" xfId="19" applyFont="1" applyFill="1" applyBorder="1" applyAlignment="1">
      <alignment horizontal="center" vertical="center"/>
    </xf>
    <xf numFmtId="0" fontId="44" fillId="0" borderId="11" xfId="19" applyFont="1" applyFill="1" applyBorder="1" applyAlignment="1">
      <alignment horizontal="center" vertical="center" wrapText="1"/>
    </xf>
    <xf numFmtId="0" fontId="45" fillId="0" borderId="44" xfId="19" applyFont="1" applyBorder="1" applyAlignment="1">
      <alignment horizontal="left" vertical="center" wrapText="1"/>
    </xf>
    <xf numFmtId="0" fontId="45" fillId="0" borderId="11" xfId="1" applyFont="1" applyBorder="1" applyAlignment="1">
      <alignment horizontal="left" vertical="center" wrapText="1"/>
    </xf>
    <xf numFmtId="0" fontId="45" fillId="0" borderId="71" xfId="1" applyFont="1" applyBorder="1" applyAlignment="1">
      <alignment horizontal="left" vertical="center" wrapText="1"/>
    </xf>
    <xf numFmtId="0" fontId="49" fillId="0" borderId="8" xfId="18" applyFont="1" applyFill="1" applyBorder="1" applyAlignment="1">
      <alignment horizontal="left"/>
    </xf>
    <xf numFmtId="0" fontId="44" fillId="0" borderId="55" xfId="1" applyFont="1" applyFill="1" applyBorder="1" applyAlignment="1">
      <alignment horizontal="center" vertical="center"/>
    </xf>
    <xf numFmtId="0" fontId="44" fillId="0" borderId="69" xfId="1" applyFont="1" applyFill="1" applyBorder="1" applyAlignment="1">
      <alignment horizontal="center" vertical="center"/>
    </xf>
    <xf numFmtId="0" fontId="44" fillId="0" borderId="70" xfId="1" applyFont="1" applyFill="1" applyBorder="1" applyAlignment="1">
      <alignment horizontal="center" vertical="center"/>
    </xf>
    <xf numFmtId="0" fontId="44" fillId="0" borderId="11" xfId="1" applyFont="1" applyFill="1" applyBorder="1" applyAlignment="1">
      <alignment horizontal="center" vertical="center" wrapText="1"/>
    </xf>
    <xf numFmtId="0" fontId="35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Alignment="1">
      <alignment horizontal="center" vertical="center" wrapText="1"/>
    </xf>
    <xf numFmtId="166" fontId="25" fillId="0" borderId="8" xfId="0" applyNumberFormat="1" applyFont="1" applyFill="1" applyBorder="1" applyAlignment="1">
      <alignment horizontal="right" vertical="center"/>
    </xf>
    <xf numFmtId="0" fontId="21" fillId="0" borderId="8" xfId="0" applyFont="1" applyFill="1" applyBorder="1" applyAlignment="1">
      <alignment horizontal="right" vertical="center"/>
    </xf>
    <xf numFmtId="0" fontId="25" fillId="0" borderId="8" xfId="0" applyFont="1" applyFill="1" applyBorder="1" applyAlignment="1">
      <alignment horizontal="right" vertical="center"/>
    </xf>
    <xf numFmtId="2" fontId="25" fillId="0" borderId="28" xfId="0" applyNumberFormat="1" applyFont="1" applyFill="1" applyBorder="1" applyAlignment="1">
      <alignment horizontal="center" vertical="center"/>
    </xf>
    <xf numFmtId="2" fontId="25" fillId="0" borderId="45" xfId="0" applyNumberFormat="1" applyFont="1" applyFill="1" applyBorder="1" applyAlignment="1">
      <alignment horizontal="center" vertical="center"/>
    </xf>
    <xf numFmtId="2" fontId="25" fillId="0" borderId="44" xfId="0" applyNumberFormat="1" applyFont="1" applyFill="1" applyBorder="1" applyAlignment="1">
      <alignment horizontal="center" vertical="center"/>
    </xf>
    <xf numFmtId="0" fontId="26" fillId="6" borderId="46" xfId="0" applyFont="1" applyFill="1" applyBorder="1" applyAlignment="1">
      <alignment horizontal="center" vertical="top"/>
    </xf>
    <xf numFmtId="0" fontId="26" fillId="6" borderId="47" xfId="0" applyFont="1" applyFill="1" applyBorder="1" applyAlignment="1">
      <alignment horizontal="center" vertical="top"/>
    </xf>
    <xf numFmtId="0" fontId="21" fillId="6" borderId="8" xfId="0" applyFont="1" applyFill="1" applyBorder="1" applyAlignment="1">
      <alignment horizontal="center" vertical="center"/>
    </xf>
    <xf numFmtId="0" fontId="21" fillId="6" borderId="28" xfId="0" applyFont="1" applyFill="1" applyBorder="1" applyAlignment="1">
      <alignment horizontal="center" vertical="center" shrinkToFit="1"/>
    </xf>
    <xf numFmtId="0" fontId="21" fillId="6" borderId="45" xfId="0" applyFont="1" applyFill="1" applyBorder="1" applyAlignment="1">
      <alignment horizontal="center" vertical="center" shrinkToFit="1"/>
    </xf>
    <xf numFmtId="0" fontId="25" fillId="0" borderId="5" xfId="0" applyFont="1" applyFill="1" applyBorder="1" applyAlignment="1">
      <alignment horizontal="right" vertical="center"/>
    </xf>
    <xf numFmtId="2" fontId="22" fillId="3" borderId="28" xfId="0" applyNumberFormat="1" applyFont="1" applyFill="1" applyBorder="1" applyAlignment="1">
      <alignment horizontal="center" vertical="center"/>
    </xf>
    <xf numFmtId="2" fontId="22" fillId="3" borderId="45" xfId="0" applyNumberFormat="1" applyFont="1" applyFill="1" applyBorder="1" applyAlignment="1">
      <alignment horizontal="center" vertical="center"/>
    </xf>
    <xf numFmtId="2" fontId="22" fillId="3" borderId="44" xfId="0" applyNumberFormat="1" applyFont="1" applyFill="1" applyBorder="1" applyAlignment="1">
      <alignment horizontal="center" vertical="center"/>
    </xf>
    <xf numFmtId="0" fontId="25" fillId="0" borderId="8" xfId="0" applyNumberFormat="1" applyFont="1" applyFill="1" applyBorder="1" applyAlignment="1">
      <alignment horizontal="center" vertical="top" wrapText="1"/>
    </xf>
    <xf numFmtId="0" fontId="25" fillId="0" borderId="8" xfId="0" applyNumberFormat="1" applyFont="1" applyFill="1" applyBorder="1" applyAlignment="1">
      <alignment horizontal="center" vertical="top"/>
    </xf>
    <xf numFmtId="0" fontId="25" fillId="0" borderId="8" xfId="0" applyFont="1" applyFill="1" applyBorder="1" applyAlignment="1">
      <alignment horizontal="center" vertical="center"/>
    </xf>
    <xf numFmtId="0" fontId="25" fillId="0" borderId="28" xfId="0" applyFont="1" applyFill="1" applyBorder="1" applyAlignment="1">
      <alignment horizontal="center" vertical="center"/>
    </xf>
    <xf numFmtId="0" fontId="25" fillId="0" borderId="45" xfId="0" applyFont="1" applyFill="1" applyBorder="1" applyAlignment="1">
      <alignment horizontal="center" vertical="center"/>
    </xf>
    <xf numFmtId="0" fontId="25" fillId="0" borderId="44" xfId="0" applyFont="1" applyFill="1" applyBorder="1" applyAlignment="1">
      <alignment horizontal="center" vertical="center"/>
    </xf>
    <xf numFmtId="0" fontId="22" fillId="3" borderId="28" xfId="0" applyFont="1" applyFill="1" applyBorder="1" applyAlignment="1">
      <alignment horizontal="right" vertical="center"/>
    </xf>
    <xf numFmtId="0" fontId="22" fillId="3" borderId="45" xfId="0" applyFont="1" applyFill="1" applyBorder="1" applyAlignment="1">
      <alignment horizontal="right" vertical="center"/>
    </xf>
    <xf numFmtId="0" fontId="22" fillId="3" borderId="44" xfId="0" applyFont="1" applyFill="1" applyBorder="1" applyAlignment="1">
      <alignment horizontal="right" vertical="center"/>
    </xf>
    <xf numFmtId="166" fontId="22" fillId="3" borderId="28" xfId="0" applyNumberFormat="1" applyFont="1" applyFill="1" applyBorder="1" applyAlignment="1">
      <alignment horizontal="right" vertical="center"/>
    </xf>
    <xf numFmtId="166" fontId="22" fillId="3" borderId="44" xfId="0" applyNumberFormat="1" applyFont="1" applyFill="1" applyBorder="1" applyAlignment="1">
      <alignment horizontal="right" vertical="center"/>
    </xf>
    <xf numFmtId="0" fontId="23" fillId="3" borderId="28" xfId="0" applyFont="1" applyFill="1" applyBorder="1" applyAlignment="1">
      <alignment horizontal="right" vertical="center"/>
    </xf>
    <xf numFmtId="0" fontId="23" fillId="3" borderId="45" xfId="0" applyFont="1" applyFill="1" applyBorder="1" applyAlignment="1">
      <alignment horizontal="right" vertical="center"/>
    </xf>
    <xf numFmtId="0" fontId="23" fillId="3" borderId="44" xfId="0" applyFont="1" applyFill="1" applyBorder="1" applyAlignment="1">
      <alignment horizontal="right" vertical="center"/>
    </xf>
    <xf numFmtId="0" fontId="21" fillId="0" borderId="28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center" vertical="center" shrinkToFit="1"/>
    </xf>
    <xf numFmtId="0" fontId="21" fillId="0" borderId="31" xfId="0" applyFont="1" applyFill="1" applyBorder="1" applyAlignment="1">
      <alignment horizontal="center" vertical="center" shrinkToFit="1"/>
    </xf>
    <xf numFmtId="0" fontId="22" fillId="3" borderId="23" xfId="0" applyNumberFormat="1" applyFont="1" applyFill="1" applyBorder="1" applyAlignment="1">
      <alignment horizontal="center" vertical="top" wrapText="1"/>
    </xf>
    <xf numFmtId="0" fontId="22" fillId="3" borderId="5" xfId="0" applyNumberFormat="1" applyFont="1" applyFill="1" applyBorder="1" applyAlignment="1">
      <alignment horizontal="center" vertical="top" wrapText="1"/>
    </xf>
    <xf numFmtId="0" fontId="22" fillId="3" borderId="28" xfId="0" applyFont="1" applyFill="1" applyBorder="1" applyAlignment="1">
      <alignment horizontal="center" vertical="center"/>
    </xf>
    <xf numFmtId="0" fontId="22" fillId="3" borderId="31" xfId="0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/>
    </xf>
    <xf numFmtId="2" fontId="22" fillId="3" borderId="31" xfId="0" applyNumberFormat="1" applyFont="1" applyFill="1" applyBorder="1" applyAlignment="1">
      <alignment horizontal="center" vertical="center"/>
    </xf>
    <xf numFmtId="2" fontId="22" fillId="3" borderId="30" xfId="0" applyNumberFormat="1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top"/>
    </xf>
    <xf numFmtId="0" fontId="26" fillId="0" borderId="31" xfId="0" applyFont="1" applyFill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2" fillId="3" borderId="8" xfId="0" applyFont="1" applyFill="1" applyBorder="1" applyAlignment="1">
      <alignment horizontal="right" vertical="center"/>
    </xf>
    <xf numFmtId="0" fontId="21" fillId="5" borderId="8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 shrinkToFit="1"/>
    </xf>
    <xf numFmtId="0" fontId="21" fillId="5" borderId="45" xfId="0" applyFont="1" applyFill="1" applyBorder="1" applyAlignment="1">
      <alignment horizontal="center" vertical="center" shrinkToFit="1"/>
    </xf>
    <xf numFmtId="166" fontId="22" fillId="3" borderId="8" xfId="0" applyNumberFormat="1" applyFont="1" applyFill="1" applyBorder="1" applyAlignment="1">
      <alignment horizontal="right" vertical="center"/>
    </xf>
    <xf numFmtId="0" fontId="22" fillId="3" borderId="5" xfId="0" applyFont="1" applyFill="1" applyBorder="1" applyAlignment="1">
      <alignment horizontal="right" vertical="center"/>
    </xf>
    <xf numFmtId="0" fontId="23" fillId="3" borderId="8" xfId="0" applyFont="1" applyFill="1" applyBorder="1" applyAlignment="1">
      <alignment horizontal="right" vertical="center"/>
    </xf>
    <xf numFmtId="0" fontId="26" fillId="0" borderId="46" xfId="0" applyFont="1" applyFill="1" applyBorder="1" applyAlignment="1">
      <alignment horizontal="center" vertical="top"/>
    </xf>
    <xf numFmtId="0" fontId="26" fillId="0" borderId="47" xfId="0" applyFont="1" applyFill="1" applyBorder="1" applyAlignment="1">
      <alignment horizontal="center" vertical="top"/>
    </xf>
    <xf numFmtId="0" fontId="22" fillId="3" borderId="8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44" xfId="0" applyFont="1" applyFill="1" applyBorder="1" applyAlignment="1">
      <alignment horizontal="center" vertical="center"/>
    </xf>
    <xf numFmtId="0" fontId="22" fillId="3" borderId="8" xfId="0" applyNumberFormat="1" applyFont="1" applyFill="1" applyBorder="1" applyAlignment="1">
      <alignment horizontal="center" vertical="top" wrapText="1"/>
    </xf>
    <xf numFmtId="0" fontId="22" fillId="3" borderId="8" xfId="0" applyNumberFormat="1" applyFont="1" applyFill="1" applyBorder="1" applyAlignment="1">
      <alignment horizontal="center" vertical="top"/>
    </xf>
    <xf numFmtId="0" fontId="21" fillId="0" borderId="8" xfId="0" applyFont="1" applyFill="1" applyBorder="1" applyAlignment="1">
      <alignment horizontal="center" vertical="center"/>
    </xf>
    <xf numFmtId="0" fontId="21" fillId="0" borderId="45" xfId="0" applyFont="1" applyFill="1" applyBorder="1" applyAlignment="1">
      <alignment horizontal="center" vertical="center" shrinkToFit="1"/>
    </xf>
    <xf numFmtId="0" fontId="44" fillId="0" borderId="40" xfId="0" applyFont="1" applyFill="1" applyBorder="1" applyAlignment="1">
      <alignment horizontal="center" vertical="center" wrapText="1"/>
    </xf>
    <xf numFmtId="0" fontId="44" fillId="0" borderId="34" xfId="0" applyFont="1" applyFill="1" applyBorder="1" applyAlignment="1">
      <alignment horizontal="center" vertical="center" wrapText="1"/>
    </xf>
    <xf numFmtId="0" fontId="45" fillId="0" borderId="11" xfId="0" applyFont="1" applyBorder="1" applyAlignment="1">
      <alignment horizontal="left" vertical="center" wrapText="1"/>
    </xf>
    <xf numFmtId="0" fontId="45" fillId="0" borderId="71" xfId="0" applyFont="1" applyBorder="1" applyAlignment="1">
      <alignment horizontal="left" vertical="center" wrapText="1"/>
    </xf>
    <xf numFmtId="0" fontId="49" fillId="0" borderId="8" xfId="0" applyFont="1" applyBorder="1" applyAlignment="1">
      <alignment horizontal="center"/>
    </xf>
    <xf numFmtId="0" fontId="44" fillId="0" borderId="55" xfId="0" applyFont="1" applyFill="1" applyBorder="1" applyAlignment="1">
      <alignment horizontal="center" vertical="center"/>
    </xf>
    <xf numFmtId="0" fontId="44" fillId="0" borderId="69" xfId="0" applyFont="1" applyFill="1" applyBorder="1" applyAlignment="1">
      <alignment horizontal="center" vertical="center"/>
    </xf>
    <xf numFmtId="0" fontId="44" fillId="0" borderId="70" xfId="0" applyFont="1" applyFill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 wrapText="1"/>
    </xf>
    <xf numFmtId="0" fontId="49" fillId="0" borderId="8" xfId="0" applyFont="1" applyFill="1" applyBorder="1" applyAlignment="1">
      <alignment horizontal="left"/>
    </xf>
    <xf numFmtId="0" fontId="49" fillId="0" borderId="8" xfId="0" applyFont="1" applyFill="1" applyBorder="1" applyAlignment="1">
      <alignment horizontal="center" vertical="center" wrapText="1"/>
    </xf>
    <xf numFmtId="0" fontId="49" fillId="0" borderId="8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78" xfId="0" applyFont="1" applyBorder="1" applyAlignment="1">
      <alignment horizontal="left"/>
    </xf>
    <xf numFmtId="0" fontId="4" fillId="0" borderId="79" xfId="0" applyFont="1" applyBorder="1" applyAlignment="1">
      <alignment horizontal="left"/>
    </xf>
    <xf numFmtId="0" fontId="3" fillId="0" borderId="8" xfId="0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6" borderId="0" xfId="0" applyFont="1" applyFill="1"/>
    <xf numFmtId="165" fontId="3" fillId="6" borderId="8" xfId="0" applyNumberFormat="1" applyFont="1" applyFill="1" applyBorder="1"/>
    <xf numFmtId="0" fontId="3" fillId="6" borderId="8" xfId="0" applyFont="1" applyFill="1" applyBorder="1"/>
  </cellXfs>
  <cellStyles count="20">
    <cellStyle name="Comma 2" xfId="4"/>
    <cellStyle name="Comma 2 2" xfId="5"/>
    <cellStyle name="Comma 2 3" xfId="6"/>
    <cellStyle name="Comma 3" xfId="7"/>
    <cellStyle name="Comma 3 2" xfId="15"/>
    <cellStyle name="Comma 4" xfId="16"/>
    <cellStyle name="Comma 5" xfId="17"/>
    <cellStyle name="Excel Built-in Normal" xfId="8"/>
    <cellStyle name="Normal" xfId="0" builtinId="0"/>
    <cellStyle name="Normal 2" xfId="3"/>
    <cellStyle name="Normal 2 2" xfId="1"/>
    <cellStyle name="Normal 2 2 2" xfId="2"/>
    <cellStyle name="Normal 3" xfId="9"/>
    <cellStyle name="Normal 4" xfId="10"/>
    <cellStyle name="Normal 4 2" xfId="11"/>
    <cellStyle name="Normal 5" xfId="12"/>
    <cellStyle name="Normal 6" xfId="14"/>
    <cellStyle name="Normal 6 2" xfId="18"/>
    <cellStyle name="Normal 7" xfId="19"/>
    <cellStyle name="Normal_Revised RCC - A Wing Superstructure Revised" xfId="13"/>
  </cellStyles>
  <dxfs count="1133"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  <dxf>
      <font>
        <sz val="10.5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indexed="10"/>
      </font>
    </dxf>
    <dxf>
      <font>
        <color indexed="10"/>
      </font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ont>
        <sz val="10.5"/>
      </font>
      <fill>
        <patternFill patternType="solid">
          <fgColor indexed="42"/>
          <bgColor indexed="64"/>
        </patternFill>
      </fill>
    </dxf>
    <dxf>
      <fill>
        <patternFill patternType="solid">
          <bgColor indexed="42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 val="0"/>
      </font>
    </dxf>
    <dxf>
      <font>
        <b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%20Bank/Woods%20-II/RCC/All%20qty.(A+B+C%20,Wood-II)-final1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%20Bank/Woods%20-II/Finishing/Monitoring%20WOOD%20A.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ivil/Desktop/Reena231/Woods/Requirment/Steel/Summary%20(Site%20requirment%20no-7)%20(Oct%202014-Jan,2015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/Downloads/Material%20Record%20From%20Jan-14%20To%20Dec-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%20Bank/Woods%20-II/Finishing/Monitor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/Downloads/Supply%20Regi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...."/>
      <sheetName val="Sheet4"/>
      <sheetName val="Pile"/>
      <sheetName val="Pile cap-A wing"/>
      <sheetName val="Pod. PILE cap A wing"/>
      <sheetName val="Pile cap-B wing"/>
      <sheetName val="Pile cap (Podium side)"/>
      <sheetName val="Pod. PC-B wing"/>
      <sheetName val="Pile cap-C wing"/>
      <sheetName val="Pod. PC- C wing"/>
      <sheetName val="Tie Beam A wing"/>
      <sheetName val="Tie Beams B wing"/>
      <sheetName val="Plinth beam (Podium side)"/>
      <sheetName val="Tie Beam C wing"/>
      <sheetName val="Podium tie beam A,B,C"/>
      <sheetName val="1st podium Beam"/>
      <sheetName val="1st podium slab"/>
      <sheetName val="Typical floor beam"/>
      <sheetName val="Typical floor slab"/>
      <sheetName val="Shop Loft"/>
      <sheetName val="Staircase"/>
      <sheetName val="Column (old)"/>
      <sheetName val="Final Column"/>
      <sheetName val="Final Column (With pod)"/>
      <sheetName val="podium column"/>
      <sheetName val="Podium clmn summary"/>
      <sheetName val="Summary(Wing-A) "/>
      <sheetName val="Summary(Wing-B)"/>
      <sheetName val="Sheet6"/>
      <sheetName val="Sheet1"/>
      <sheetName val="Summary(Wing-C)"/>
      <sheetName val="final summary"/>
      <sheetName val="Total Area"/>
      <sheetName val="Total Area Podiu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9">
          <cell r="D29">
            <v>170.67512546947586</v>
          </cell>
        </row>
        <row r="32">
          <cell r="D32">
            <v>170.67512546947586</v>
          </cell>
        </row>
        <row r="50">
          <cell r="D50">
            <v>99.198560000000015</v>
          </cell>
        </row>
        <row r="51">
          <cell r="D51">
            <v>96.52621000000002</v>
          </cell>
        </row>
      </sheetData>
      <sheetData sheetId="27"/>
      <sheetData sheetId="28"/>
      <sheetData sheetId="29"/>
      <sheetData sheetId="30">
        <row r="29">
          <cell r="D29">
            <v>70.624502270000036</v>
          </cell>
        </row>
      </sheetData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avation"/>
      <sheetName val="Brick Work 150mm (2)"/>
      <sheetName val="Brick Work 100mm (2)"/>
      <sheetName val="Internal Plaster"/>
      <sheetName val="Celing Plaster"/>
      <sheetName val="Balcony Ceiling"/>
      <sheetName val="External plaster"/>
      <sheetName val="Electric Points"/>
      <sheetName val="Frames"/>
      <sheetName val="Flooring"/>
      <sheetName val="Fabrication"/>
      <sheetName val="Summary - Materials"/>
      <sheetName val="Waterproofing"/>
      <sheetName val="PCC"/>
      <sheetName val="Internal paint"/>
      <sheetName val="Lintel"/>
      <sheetName val="chiken mesh"/>
      <sheetName val="Material"/>
      <sheetName val="Labour"/>
      <sheetName val="Sheet1"/>
      <sheetName val="misc"/>
      <sheetName val="patli"/>
      <sheetName val="UG tank"/>
      <sheetName val="RCC QTY"/>
      <sheetName val="One sheet"/>
      <sheetName val="External paint"/>
      <sheetName val="ceiling paint"/>
      <sheetName val="Area statement"/>
      <sheetName val="overall details"/>
      <sheetName val=" Contract Labour"/>
      <sheetName val="Per Sqft Rate"/>
      <sheetName val="Labour (2)"/>
      <sheetName val="CEMENT (5)"/>
      <sheetName val="C.SAND"/>
      <sheetName val="Bricks 6&quot;"/>
      <sheetName val="Metal-1"/>
      <sheetName val="Metal-2"/>
      <sheetName val="River Sand"/>
      <sheetName val="Blocks"/>
      <sheetName val="Sheet3"/>
      <sheetName val="Sheet2"/>
    </sheetNames>
    <sheetDataSet>
      <sheetData sheetId="0"/>
      <sheetData sheetId="1">
        <row r="126">
          <cell r="H126">
            <v>64.443360000000013</v>
          </cell>
        </row>
        <row r="132">
          <cell r="E132">
            <v>64.443360000000013</v>
          </cell>
        </row>
      </sheetData>
      <sheetData sheetId="2">
        <row r="59">
          <cell r="H59">
            <v>19.244520000000001</v>
          </cell>
        </row>
        <row r="65">
          <cell r="E65">
            <v>19.244520000000001</v>
          </cell>
        </row>
        <row r="95">
          <cell r="H95">
            <v>83.524650000000037</v>
          </cell>
        </row>
      </sheetData>
      <sheetData sheetId="3">
        <row r="72">
          <cell r="G72">
            <v>1573.1812999999997</v>
          </cell>
        </row>
      </sheetData>
      <sheetData sheetId="4">
        <row r="35">
          <cell r="F35">
            <v>566.49540000000002</v>
          </cell>
        </row>
      </sheetData>
      <sheetData sheetId="5">
        <row r="26">
          <cell r="F26">
            <v>85.706000000000003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Summary (Qty by us) (2)"/>
      <sheetName val="Summary (Qty by us)"/>
      <sheetName val="As per Less"/>
      <sheetName val="Req. from site."/>
      <sheetName val="Req. from site. (2)"/>
      <sheetName val="Podium Beam"/>
      <sheetName val="Podium Slab"/>
      <sheetName val="podium column"/>
      <sheetName val="1st podium slab"/>
      <sheetName val="1st podium Beam"/>
    </sheetNames>
    <sheetDataSet>
      <sheetData sheetId="0"/>
      <sheetData sheetId="1"/>
      <sheetData sheetId="2"/>
      <sheetData sheetId="3"/>
      <sheetData sheetId="4"/>
      <sheetData sheetId="5"/>
      <sheetData sheetId="6">
        <row r="303">
          <cell r="AC303">
            <v>2.1180839506172839</v>
          </cell>
          <cell r="AD303">
            <v>1.2606543209876542</v>
          </cell>
          <cell r="AE303">
            <v>5.7693333333333326E-2</v>
          </cell>
          <cell r="AF303">
            <v>1.8583695802469138</v>
          </cell>
          <cell r="AG303">
            <v>0.78313827160493843</v>
          </cell>
          <cell r="AH303">
            <v>8.0475434027777784</v>
          </cell>
          <cell r="AI303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 SAND"/>
      <sheetName val="C SAND"/>
      <sheetName val="METAL 1"/>
      <sheetName val="METAL 2"/>
      <sheetName val="METAL IV"/>
      <sheetName val="CEMENT RECD."/>
      <sheetName val="CEMENT TRANSFER"/>
      <sheetName val="RUBBLE"/>
      <sheetName val="4&quot; BRICKS"/>
      <sheetName val="6&quot; BRICKS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G2">
            <v>4420</v>
          </cell>
        </row>
      </sheetData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avation"/>
      <sheetName val="Brick Work 150mm"/>
      <sheetName val="Brick Work 100mm"/>
      <sheetName val="Brick work"/>
      <sheetName val="Complete Flooring (2)"/>
      <sheetName val="Complete Flooring"/>
      <sheetName val="Room Flooring"/>
      <sheetName val="Toilet flooring"/>
      <sheetName val="Common passage &amp; Staircase (2)"/>
      <sheetName val="Skirting-Room Only"/>
      <sheetName val="Passage &amp; staircase skirting"/>
      <sheetName val="Skirting.-Total"/>
      <sheetName val="Skirting Staircase &amp; Common"/>
      <sheetName val="Dado"/>
      <sheetName val="Internal paint"/>
      <sheetName val="Internal Plaster."/>
      <sheetName val="Ceiling Plaster 3"/>
      <sheetName val="Ceiling Plaster"/>
      <sheetName val="External plaster"/>
      <sheetName val="Door"/>
      <sheetName val="Windows"/>
      <sheetName val="Water Proofing-Brickbat"/>
      <sheetName val="Water Proofing-Basecoat."/>
      <sheetName val="Miscellanous"/>
      <sheetName val="Summary-Materials A-wing"/>
      <sheetName val="One sheet"/>
      <sheetName val="Material-A wing"/>
      <sheetName val="Labour-A wing"/>
      <sheetName val="Abstract"/>
      <sheetName val="Fab work-Rolling Shutter"/>
      <sheetName val="Fab Work-balcony glass Railing"/>
      <sheetName val="Sheet1"/>
    </sheetNames>
    <sheetDataSet>
      <sheetData sheetId="0">
        <row r="17">
          <cell r="F17">
            <v>915.14014285714279</v>
          </cell>
        </row>
      </sheetData>
      <sheetData sheetId="1">
        <row r="126">
          <cell r="H126">
            <v>62.828009999999999</v>
          </cell>
        </row>
      </sheetData>
      <sheetData sheetId="2">
        <row r="59">
          <cell r="H59">
            <v>18.82892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MENT RECD."/>
      <sheetName val="CEMENT TRANSFER"/>
      <sheetName val="C SAND"/>
      <sheetName val="METAL 1"/>
      <sheetName val="METAL 2"/>
      <sheetName val="R SAND"/>
      <sheetName val="4&quot; BRICKS"/>
      <sheetName val="6&quot; BRICK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10900</v>
          </cell>
        </row>
        <row r="3">
          <cell r="C3">
            <v>127.15028001000005</v>
          </cell>
        </row>
        <row r="4">
          <cell r="C4">
            <v>41.48598501</v>
          </cell>
        </row>
        <row r="5">
          <cell r="C5">
            <v>69.104343390000011</v>
          </cell>
        </row>
        <row r="6">
          <cell r="C6">
            <v>317.73320442299996</v>
          </cell>
        </row>
        <row r="7">
          <cell r="C7">
            <v>59944</v>
          </cell>
        </row>
        <row r="8">
          <cell r="C8">
            <v>67966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ocuments%20and%20Settings/civil/Desktop/Reena231/Woods/Reconciliation/Quantity%20used/All%20qty.(A+B+C%20,Wood-II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Documents%20and%20Settings/civil/Desktop/Reena231/Woods/Reconciliation/Quantity%20used/All%20qty.(A+B+C%20,Wood-II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254.471609953704" createdVersion="3" refreshedVersion="3" minRefreshableVersion="3" recordCount="27">
  <cacheSource type="worksheet">
    <worksheetSource ref="AZ197:BH224" sheet="1st podium slab" r:id="rId2"/>
  </cacheSource>
  <cacheFields count="9">
    <cacheField name="TYPE" numFmtId="0">
      <sharedItems containsBlank="1" count="26">
        <s v="RS1"/>
        <s v="RS2"/>
        <s v="RS3"/>
        <s v="RS4"/>
        <s v="S1"/>
        <s v="S2"/>
        <s v="S3"/>
        <s v="S4"/>
        <s v="S5"/>
        <s v="S6"/>
        <s v="S7"/>
        <s v="S8"/>
        <s v="S9"/>
        <s v="S10"/>
        <s v="S11"/>
        <s v="S12"/>
        <s v="S13"/>
        <s v="S14"/>
        <s v="S15"/>
        <s v="S16"/>
        <s v="S17"/>
        <s v="S18"/>
        <s v="S19"/>
        <s v="S20"/>
        <s v="S21"/>
        <m/>
      </sharedItems>
    </cacheField>
    <cacheField name="DEPTH" numFmtId="0">
      <sharedItems containsString="0" containsBlank="1" containsNumber="1" minValue="0.115" maxValue="0.22500000000000001"/>
    </cacheField>
    <cacheField name="M DIA" numFmtId="0">
      <sharedItems containsString="0" containsBlank="1" containsNumber="1" containsInteger="1" minValue="8" maxValue="12"/>
    </cacheField>
    <cacheField name="M SPACING" numFmtId="0">
      <sharedItems containsString="0" containsBlank="1" containsNumber="1" minValue="8.5000000000000006E-2" maxValue="0.75"/>
    </cacheField>
    <cacheField name="D DIA" numFmtId="0">
      <sharedItems containsString="0" containsBlank="1" containsNumber="1" containsInteger="1" minValue="8" maxValue="10"/>
    </cacheField>
    <cacheField name="D SPACING" numFmtId="0">
      <sharedItems containsString="0" containsBlank="1" containsNumber="1" minValue="8.5000000000000006E-2" maxValue="0.2"/>
    </cacheField>
    <cacheField name="bent up bars main" numFmtId="166">
      <sharedItems containsString="0" containsBlank="1" containsNumber="1" minValue="4.8300000000000003E-2" maxValue="9.4500000000000001E-2"/>
    </cacheField>
    <cacheField name="bent up bars Dist" numFmtId="0">
      <sharedItems containsString="0" containsBlank="1" containsNumber="1" minValue="5.2499999999999998E-2" maxValue="9.4500000000000001E-2"/>
    </cacheField>
    <cacheField name="Remark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1249.475899305558" createdVersion="3" refreshedVersion="3" minRefreshableVersion="3" recordCount="27">
  <cacheSource type="worksheet">
    <worksheetSource ref="AZ13:BH40" sheet="1st podium slab" r:id="rId2"/>
  </cacheSource>
  <cacheFields count="9">
    <cacheField name="TYPE" numFmtId="0">
      <sharedItems containsBlank="1" count="26">
        <s v="RS1"/>
        <s v="RS2"/>
        <s v="RS3"/>
        <s v="RS4"/>
        <s v="S1"/>
        <s v="S2"/>
        <s v="S3"/>
        <s v="S4"/>
        <s v="S5"/>
        <s v="S6"/>
        <s v="S7"/>
        <s v="S8"/>
        <s v="S9"/>
        <s v="S10"/>
        <s v="S11"/>
        <s v="S12"/>
        <s v="S13"/>
        <s v="S14"/>
        <s v="S15"/>
        <s v="S16"/>
        <s v="S17"/>
        <s v="S18"/>
        <s v="S19"/>
        <s v="S20"/>
        <s v="S21"/>
        <m/>
      </sharedItems>
    </cacheField>
    <cacheField name="DEPTH" numFmtId="0">
      <sharedItems containsString="0" containsBlank="1" containsNumber="1" minValue="0.115" maxValue="0.22500000000000001"/>
    </cacheField>
    <cacheField name="M DIA" numFmtId="0">
      <sharedItems containsString="0" containsBlank="1" containsNumber="1" containsInteger="1" minValue="8" maxValue="12"/>
    </cacheField>
    <cacheField name="M SPACING" numFmtId="0">
      <sharedItems containsString="0" containsBlank="1" containsNumber="1" minValue="8.5000000000000006E-2" maxValue="0.75"/>
    </cacheField>
    <cacheField name="D DIA" numFmtId="0">
      <sharedItems containsString="0" containsBlank="1" containsNumber="1" containsInteger="1" minValue="8" maxValue="10"/>
    </cacheField>
    <cacheField name="D SPACING" numFmtId="0">
      <sharedItems containsString="0" containsBlank="1" containsNumber="1" minValue="8.5000000000000006E-2" maxValue="0.2"/>
    </cacheField>
    <cacheField name="bent up bars main" numFmtId="166">
      <sharedItems containsString="0" containsBlank="1" containsNumber="1" minValue="4.8300000000000003E-2" maxValue="9.4500000000000001E-2"/>
    </cacheField>
    <cacheField name="bent up bars Dist" numFmtId="0">
      <sharedItems containsString="0" containsBlank="1" containsNumber="1" minValue="5.2499999999999998E-2" maxValue="9.4500000000000001E-2"/>
    </cacheField>
    <cacheField name="Remark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n v="0.2"/>
    <n v="12"/>
    <n v="0.1"/>
    <n v="8"/>
    <n v="0.12"/>
    <n v="8.4000000000000005E-2"/>
    <n v="8.4000000000000005E-2"/>
    <n v="1"/>
  </r>
  <r>
    <x v="1"/>
    <n v="0.22500000000000001"/>
    <n v="12"/>
    <n v="0.09"/>
    <n v="10"/>
    <n v="0.15"/>
    <n v="9.4500000000000001E-2"/>
    <n v="9.4500000000000001E-2"/>
    <n v="1"/>
  </r>
  <r>
    <x v="2"/>
    <n v="0.2"/>
    <n v="12"/>
    <n v="0.1"/>
    <n v="10"/>
    <n v="0.2"/>
    <n v="8.4000000000000005E-2"/>
    <n v="8.4000000000000005E-2"/>
    <n v="1"/>
  </r>
  <r>
    <x v="3"/>
    <n v="0.17499999999999999"/>
    <n v="12"/>
    <n v="0.1"/>
    <n v="8"/>
    <n v="0.16"/>
    <n v="7.3499999999999996E-2"/>
    <n v="7.3499999999999996E-2"/>
    <n v="1"/>
  </r>
  <r>
    <x v="4"/>
    <n v="0.16500000000000001"/>
    <n v="10"/>
    <n v="0.1"/>
    <n v="10"/>
    <n v="0.1"/>
    <n v="6.93E-2"/>
    <n v="6.93E-2"/>
    <n v="1"/>
  </r>
  <r>
    <x v="5"/>
    <n v="0.17499999999999999"/>
    <n v="10"/>
    <n v="0.09"/>
    <n v="10"/>
    <n v="0.1"/>
    <n v="7.3499999999999996E-2"/>
    <n v="7.3499999999999996E-2"/>
    <n v="1"/>
  </r>
  <r>
    <x v="6"/>
    <n v="0.17499999999999999"/>
    <n v="10"/>
    <n v="0.09"/>
    <n v="10"/>
    <n v="0.1"/>
    <n v="7.3499999999999996E-2"/>
    <n v="7.3499999999999996E-2"/>
    <n v="1"/>
  </r>
  <r>
    <x v="7"/>
    <n v="0.17499999999999999"/>
    <n v="10"/>
    <n v="0.09"/>
    <n v="10"/>
    <n v="0.1"/>
    <n v="7.3499999999999996E-2"/>
    <n v="7.3499999999999996E-2"/>
    <n v="1"/>
  </r>
  <r>
    <x v="8"/>
    <n v="0.13"/>
    <n v="8"/>
    <n v="8.5000000000000006E-2"/>
    <n v="8"/>
    <n v="0.12"/>
    <n v="5.4600000000000003E-2"/>
    <n v="5.4600000000000003E-2"/>
    <n v="1"/>
  </r>
  <r>
    <x v="9"/>
    <n v="0.13"/>
    <n v="8"/>
    <n v="0.1"/>
    <n v="8"/>
    <n v="0.12"/>
    <n v="5.4600000000000003E-2"/>
    <n v="5.4600000000000003E-2"/>
    <n v="1"/>
  </r>
  <r>
    <x v="10"/>
    <n v="0.125"/>
    <n v="8"/>
    <n v="0.115"/>
    <n v="8"/>
    <n v="0.15"/>
    <n v="5.2499999999999998E-2"/>
    <n v="5.2499999999999998E-2"/>
    <n v="1"/>
  </r>
  <r>
    <x v="11"/>
    <n v="0.14000000000000001"/>
    <n v="10"/>
    <n v="0.1"/>
    <n v="8"/>
    <n v="0.15"/>
    <n v="5.8800000000000005E-2"/>
    <n v="5.8800000000000005E-2"/>
    <n v="1"/>
  </r>
  <r>
    <x v="12"/>
    <n v="0.14000000000000001"/>
    <n v="10"/>
    <n v="0.1"/>
    <n v="10"/>
    <n v="0.12"/>
    <n v="5.8800000000000005E-2"/>
    <n v="5.8800000000000005E-2"/>
    <n v="1"/>
  </r>
  <r>
    <x v="13"/>
    <n v="0.13"/>
    <n v="8"/>
    <n v="0.1"/>
    <n v="8"/>
    <n v="0.18"/>
    <n v="5.4600000000000003E-2"/>
    <n v="5.4600000000000003E-2"/>
    <n v="1"/>
  </r>
  <r>
    <x v="14"/>
    <n v="0.115"/>
    <n v="8"/>
    <n v="0.125"/>
    <n v="8"/>
    <n v="0.17499999999999999"/>
    <n v="4.8300000000000003E-2"/>
    <m/>
    <n v="1"/>
  </r>
  <r>
    <x v="15"/>
    <n v="0.125"/>
    <n v="8"/>
    <n v="0.1"/>
    <n v="8"/>
    <n v="0.1"/>
    <n v="5.2499999999999998E-2"/>
    <n v="5.2499999999999998E-2"/>
    <n v="1"/>
  </r>
  <r>
    <x v="16"/>
    <n v="0.15"/>
    <n v="10"/>
    <n v="8.5000000000000006E-2"/>
    <n v="10"/>
    <n v="0.125"/>
    <n v="6.3E-2"/>
    <n v="6.3E-2"/>
    <n v="1"/>
  </r>
  <r>
    <x v="17"/>
    <n v="0.16500000000000001"/>
    <n v="10"/>
    <n v="0.115"/>
    <n v="8"/>
    <n v="0.115"/>
    <n v="6.93E-2"/>
    <n v="6.93E-2"/>
    <n v="1"/>
  </r>
  <r>
    <x v="18"/>
    <n v="0.15"/>
    <n v="12"/>
    <n v="0.1"/>
    <n v="8"/>
    <n v="0.15"/>
    <n v="6.3E-2"/>
    <m/>
    <n v="1"/>
  </r>
  <r>
    <x v="19"/>
    <n v="0.15"/>
    <n v="10"/>
    <n v="0.1"/>
    <n v="8"/>
    <n v="0.12"/>
    <n v="6.3E-2"/>
    <n v="6.3E-2"/>
    <n v="1"/>
  </r>
  <r>
    <x v="20"/>
    <n v="0.15"/>
    <n v="10"/>
    <n v="0.09"/>
    <n v="8"/>
    <n v="0.1"/>
    <n v="6.3E-2"/>
    <n v="6.3E-2"/>
    <n v="1"/>
  </r>
  <r>
    <x v="21"/>
    <n v="0.16500000000000001"/>
    <n v="10"/>
    <n v="9.5000000000000001E-2"/>
    <n v="8"/>
    <n v="0.1"/>
    <n v="6.93E-2"/>
    <n v="6.93E-2"/>
    <n v="1"/>
  </r>
  <r>
    <x v="22"/>
    <n v="0.16"/>
    <n v="10"/>
    <n v="0.1"/>
    <n v="10"/>
    <n v="0.1"/>
    <n v="6.7199999999999996E-2"/>
    <n v="6.7199999999999996E-2"/>
    <n v="1"/>
  </r>
  <r>
    <x v="23"/>
    <n v="0.17499999999999999"/>
    <n v="10"/>
    <n v="0.75"/>
    <n v="10"/>
    <n v="8.5000000000000006E-2"/>
    <n v="7.3499999999999996E-2"/>
    <n v="7.3499999999999996E-2"/>
    <n v="1"/>
  </r>
  <r>
    <x v="24"/>
    <n v="0.12"/>
    <n v="10"/>
    <n v="0.125"/>
    <n v="8"/>
    <n v="0.2"/>
    <n v="5.0399999999999993E-2"/>
    <m/>
    <n v="1"/>
  </r>
  <r>
    <x v="25"/>
    <m/>
    <m/>
    <m/>
    <m/>
    <m/>
    <m/>
    <m/>
    <m/>
  </r>
  <r>
    <x v="25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n v="0.2"/>
    <n v="12"/>
    <n v="0.1"/>
    <n v="8"/>
    <n v="0.12"/>
    <n v="8.4000000000000005E-2"/>
    <n v="8.4000000000000005E-2"/>
    <n v="1"/>
  </r>
  <r>
    <x v="1"/>
    <n v="0.22500000000000001"/>
    <n v="12"/>
    <n v="0.09"/>
    <n v="10"/>
    <n v="0.15"/>
    <n v="9.4500000000000001E-2"/>
    <n v="9.4500000000000001E-2"/>
    <n v="1"/>
  </r>
  <r>
    <x v="2"/>
    <n v="0.2"/>
    <n v="12"/>
    <n v="0.1"/>
    <n v="10"/>
    <n v="0.2"/>
    <n v="8.4000000000000005E-2"/>
    <n v="8.4000000000000005E-2"/>
    <n v="1"/>
  </r>
  <r>
    <x v="3"/>
    <n v="0.17499999999999999"/>
    <n v="12"/>
    <n v="0.1"/>
    <n v="8"/>
    <n v="0.16"/>
    <n v="7.3499999999999996E-2"/>
    <n v="7.3499999999999996E-2"/>
    <n v="1"/>
  </r>
  <r>
    <x v="4"/>
    <n v="0.16500000000000001"/>
    <n v="10"/>
    <n v="0.1"/>
    <n v="10"/>
    <n v="0.1"/>
    <n v="6.93E-2"/>
    <n v="6.93E-2"/>
    <n v="1"/>
  </r>
  <r>
    <x v="5"/>
    <n v="0.17499999999999999"/>
    <n v="10"/>
    <n v="0.09"/>
    <n v="10"/>
    <n v="0.1"/>
    <n v="7.3499999999999996E-2"/>
    <n v="7.3499999999999996E-2"/>
    <n v="1"/>
  </r>
  <r>
    <x v="6"/>
    <n v="0.17499999999999999"/>
    <n v="10"/>
    <n v="0.09"/>
    <n v="10"/>
    <n v="0.1"/>
    <n v="7.3499999999999996E-2"/>
    <n v="7.3499999999999996E-2"/>
    <n v="1"/>
  </r>
  <r>
    <x v="7"/>
    <n v="0.17499999999999999"/>
    <n v="10"/>
    <n v="0.09"/>
    <n v="10"/>
    <n v="0.1"/>
    <n v="7.3499999999999996E-2"/>
    <n v="7.3499999999999996E-2"/>
    <n v="1"/>
  </r>
  <r>
    <x v="8"/>
    <n v="0.13"/>
    <n v="8"/>
    <n v="8.5000000000000006E-2"/>
    <n v="8"/>
    <n v="0.12"/>
    <n v="5.4600000000000003E-2"/>
    <n v="5.4600000000000003E-2"/>
    <n v="1"/>
  </r>
  <r>
    <x v="9"/>
    <n v="0.13"/>
    <n v="8"/>
    <n v="0.1"/>
    <n v="8"/>
    <n v="0.12"/>
    <n v="5.4600000000000003E-2"/>
    <n v="5.4600000000000003E-2"/>
    <n v="1"/>
  </r>
  <r>
    <x v="10"/>
    <n v="0.125"/>
    <n v="8"/>
    <n v="0.115"/>
    <n v="8"/>
    <n v="0.15"/>
    <n v="5.2499999999999998E-2"/>
    <n v="5.2499999999999998E-2"/>
    <n v="1"/>
  </r>
  <r>
    <x v="11"/>
    <n v="0.14000000000000001"/>
    <n v="10"/>
    <n v="0.1"/>
    <n v="8"/>
    <n v="0.15"/>
    <n v="5.8800000000000005E-2"/>
    <n v="5.8800000000000005E-2"/>
    <n v="1"/>
  </r>
  <r>
    <x v="12"/>
    <n v="0.14000000000000001"/>
    <n v="10"/>
    <n v="0.1"/>
    <n v="10"/>
    <n v="0.12"/>
    <n v="5.8800000000000005E-2"/>
    <n v="5.8800000000000005E-2"/>
    <n v="1"/>
  </r>
  <r>
    <x v="13"/>
    <n v="0.13"/>
    <n v="8"/>
    <n v="0.1"/>
    <n v="8"/>
    <n v="0.18"/>
    <n v="5.4600000000000003E-2"/>
    <n v="5.4600000000000003E-2"/>
    <n v="1"/>
  </r>
  <r>
    <x v="14"/>
    <n v="0.115"/>
    <n v="8"/>
    <n v="0.125"/>
    <n v="8"/>
    <n v="0.17499999999999999"/>
    <n v="4.8300000000000003E-2"/>
    <m/>
    <n v="1"/>
  </r>
  <r>
    <x v="15"/>
    <n v="0.125"/>
    <n v="8"/>
    <n v="0.1"/>
    <n v="8"/>
    <n v="0.1"/>
    <n v="5.2499999999999998E-2"/>
    <n v="5.2499999999999998E-2"/>
    <n v="1"/>
  </r>
  <r>
    <x v="16"/>
    <n v="0.15"/>
    <n v="10"/>
    <n v="8.5000000000000006E-2"/>
    <n v="10"/>
    <n v="0.125"/>
    <n v="6.3E-2"/>
    <n v="6.3E-2"/>
    <n v="1"/>
  </r>
  <r>
    <x v="17"/>
    <n v="0.16500000000000001"/>
    <n v="10"/>
    <n v="0.115"/>
    <n v="8"/>
    <n v="0.115"/>
    <n v="6.93E-2"/>
    <n v="6.93E-2"/>
    <n v="1"/>
  </r>
  <r>
    <x v="18"/>
    <n v="0.15"/>
    <n v="12"/>
    <n v="0.1"/>
    <n v="8"/>
    <n v="0.15"/>
    <n v="6.3E-2"/>
    <m/>
    <n v="1"/>
  </r>
  <r>
    <x v="19"/>
    <n v="0.15"/>
    <n v="10"/>
    <n v="0.1"/>
    <n v="8"/>
    <n v="0.12"/>
    <n v="6.3E-2"/>
    <n v="6.3E-2"/>
    <n v="1"/>
  </r>
  <r>
    <x v="20"/>
    <n v="0.15"/>
    <n v="10"/>
    <n v="0.09"/>
    <n v="8"/>
    <n v="0.1"/>
    <n v="6.3E-2"/>
    <n v="6.3E-2"/>
    <n v="1"/>
  </r>
  <r>
    <x v="21"/>
    <n v="0.16500000000000001"/>
    <n v="10"/>
    <n v="9.5000000000000001E-2"/>
    <n v="8"/>
    <n v="0.1"/>
    <n v="6.93E-2"/>
    <n v="6.93E-2"/>
    <n v="1"/>
  </r>
  <r>
    <x v="22"/>
    <n v="0.16"/>
    <n v="10"/>
    <n v="0.1"/>
    <n v="10"/>
    <n v="0.1"/>
    <n v="6.7199999999999996E-2"/>
    <n v="6.7199999999999996E-2"/>
    <n v="1"/>
  </r>
  <r>
    <x v="23"/>
    <n v="0.17499999999999999"/>
    <n v="10"/>
    <n v="0.75"/>
    <n v="10"/>
    <n v="8.5000000000000006E-2"/>
    <n v="7.3499999999999996E-2"/>
    <n v="7.3499999999999996E-2"/>
    <n v="1"/>
  </r>
  <r>
    <x v="24"/>
    <n v="0.12"/>
    <n v="10"/>
    <n v="0.125"/>
    <n v="8"/>
    <n v="0.2"/>
    <n v="5.0399999999999993E-2"/>
    <m/>
    <n v="1"/>
  </r>
  <r>
    <x v="25"/>
    <m/>
    <m/>
    <m/>
    <m/>
    <m/>
    <m/>
    <m/>
    <m/>
  </r>
  <r>
    <x v="2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1" cacheId="1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K209:BL237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EPTH" fld="1" baseField="0" baseItem="0"/>
  </dataFields>
  <formats count="18">
    <format dxfId="868">
      <pivotArea type="all" dataOnly="0" outline="0" fieldPosition="0"/>
    </format>
    <format dxfId="867">
      <pivotArea outline="0" fieldPosition="0">
        <references count="1">
          <reference field="0" count="1" selected="0">
            <x v="0"/>
          </reference>
        </references>
      </pivotArea>
    </format>
    <format dxfId="866">
      <pivotArea dataOnly="0" labelOnly="1" outline="0" fieldPosition="0">
        <references count="1">
          <reference field="0" count="1">
            <x v="0"/>
          </reference>
        </references>
      </pivotArea>
    </format>
    <format dxfId="865">
      <pivotArea outline="0" fieldPosition="0">
        <references count="1">
          <reference field="0" count="1" selected="0">
            <x v="16"/>
          </reference>
        </references>
      </pivotArea>
    </format>
    <format dxfId="864">
      <pivotArea grandRow="1" outline="0" fieldPosition="0"/>
    </format>
    <format dxfId="863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62">
      <pivotArea dataOnly="0" labelOnly="1" outline="0" fieldPosition="0">
        <references count="1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61">
      <pivotArea outline="0" fieldPosition="0"/>
    </format>
    <format dxfId="860">
      <pivotArea dataOnly="0" labelOnly="1" outline="0" fieldPosition="0">
        <references count="1">
          <reference field="0" count="0"/>
        </references>
      </pivotArea>
    </format>
    <format dxfId="859">
      <pivotArea dataOnly="0" labelOnly="1" grandRow="1" outline="0" fieldPosition="0"/>
    </format>
    <format dxfId="858">
      <pivotArea grandRow="1" outline="0" fieldPosition="0"/>
    </format>
    <format dxfId="857">
      <pivotArea dataOnly="0" labelOnly="1" grandRow="1" outline="0" fieldPosition="0"/>
    </format>
    <format dxfId="856">
      <pivotArea outline="0" fieldPosition="0"/>
    </format>
    <format dxfId="855">
      <pivotArea outline="0" fieldPosition="0">
        <references count="1">
          <reference field="0" count="1" selected="0">
            <x v="13"/>
          </reference>
        </references>
      </pivotArea>
    </format>
    <format dxfId="854">
      <pivotArea dataOnly="0" labelOnly="1" outline="0" fieldPosition="0">
        <references count="1">
          <reference field="0" count="1">
            <x v="13"/>
          </reference>
        </references>
      </pivotArea>
    </format>
    <format dxfId="853">
      <pivotArea type="origin" dataOnly="0" labelOnly="1" outline="0" fieldPosition="0"/>
    </format>
    <format dxfId="852">
      <pivotArea type="topRight" dataOnly="0" labelOnly="1" outline="0" fieldPosition="0"/>
    </format>
    <format dxfId="851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Z393:CA421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5"/>
        <item x="17"/>
        <item x="18"/>
        <item x="21"/>
        <item x="22"/>
        <item x="5"/>
        <item x="6"/>
        <item x="7"/>
        <item x="8"/>
        <item x="9"/>
        <item x="10"/>
        <item x="11"/>
        <item x="12"/>
        <item x="14"/>
        <item x="16"/>
        <item x="19"/>
        <item x="25"/>
        <item x="20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nt up bars Dist" fld="7" baseField="0" baseItem="0"/>
  </dataFields>
  <formats count="17">
    <format dxfId="1029">
      <pivotArea type="all" dataOnly="0" outline="0" fieldPosition="0"/>
    </format>
    <format dxfId="1028">
      <pivotArea outline="0" fieldPosition="0">
        <references count="1">
          <reference field="0" count="1" selected="0">
            <x v="0"/>
          </reference>
        </references>
      </pivotArea>
    </format>
    <format dxfId="1027">
      <pivotArea dataOnly="0" labelOnly="1" outline="0" fieldPosition="0">
        <references count="1">
          <reference field="0" count="1">
            <x v="0"/>
          </reference>
        </references>
      </pivotArea>
    </format>
    <format dxfId="1026">
      <pivotArea outline="0" fieldPosition="0">
        <references count="1">
          <reference field="0" count="1" selected="0">
            <x v="18"/>
          </reference>
        </references>
      </pivotArea>
    </format>
    <format dxfId="1025">
      <pivotArea grandRow="1" outline="0" fieldPosition="0"/>
    </format>
    <format dxfId="1024">
      <pivotArea dataOnly="0" labelOnly="1" outline="0" fieldPosition="0">
        <references count="1">
          <reference field="0" count="1">
            <x v="18"/>
          </reference>
        </references>
      </pivotArea>
    </format>
    <format dxfId="1023">
      <pivotArea dataOnly="0" labelOnly="1" grandRow="1" outline="0" fieldPosition="0"/>
    </format>
    <format dxfId="1022">
      <pivotArea outline="0" fieldPosition="0">
        <references count="1">
          <reference field="0" count="12" selected="0">
            <x v="0"/>
            <x v="1"/>
            <x v="3"/>
            <x v="4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021">
      <pivotArea outline="0" fieldPosition="0"/>
    </format>
    <format dxfId="1020">
      <pivotArea dataOnly="0" labelOnly="1" outline="0" fieldPosition="0">
        <references count="1">
          <reference field="0" count="0"/>
        </references>
      </pivotArea>
    </format>
    <format dxfId="1019">
      <pivotArea dataOnly="0" labelOnly="1" grandRow="1" outline="0" fieldPosition="0"/>
    </format>
    <format dxfId="1018">
      <pivotArea outline="0" fieldPosition="0">
        <references count="1">
          <reference field="0" count="1" selected="0">
            <x v="15"/>
          </reference>
        </references>
      </pivotArea>
    </format>
    <format dxfId="1017">
      <pivotArea dataOnly="0" labelOnly="1" outline="0" fieldPosition="0">
        <references count="1">
          <reference field="0" count="1">
            <x v="15"/>
          </reference>
        </references>
      </pivotArea>
    </format>
    <format dxfId="1016">
      <pivotArea type="origin" dataOnly="0" labelOnly="1" outline="0" fieldPosition="0"/>
    </format>
    <format dxfId="1015">
      <pivotArea type="topRight" dataOnly="0" labelOnly="1" outline="0" fieldPosition="0"/>
    </format>
    <format dxfId="1014">
      <pivotArea type="all" dataOnly="0" outline="0" fieldPosition="0"/>
    </format>
    <format dxfId="1013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7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W393:BX421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4"/>
        <item x="15"/>
        <item x="16"/>
        <item x="17"/>
        <item x="5"/>
        <item x="6"/>
        <item x="7"/>
        <item x="8"/>
        <item x="9"/>
        <item x="10"/>
        <item x="11"/>
        <item x="12"/>
        <item x="25"/>
        <item x="18"/>
        <item x="19"/>
        <item x="20"/>
        <item x="0"/>
        <item x="1"/>
        <item x="2"/>
        <item x="3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 DIA" fld="4" baseField="0" baseItem="0"/>
  </dataFields>
  <formats count="14">
    <format dxfId="1043">
      <pivotArea outline="0" fieldPosition="0">
        <references count="1">
          <reference field="0" count="1" selected="0">
            <x v="16"/>
          </reference>
        </references>
      </pivotArea>
    </format>
    <format dxfId="1042">
      <pivotArea grandRow="1" outline="0" fieldPosition="0"/>
    </format>
    <format dxfId="1041">
      <pivotArea dataOnly="0" labelOnly="1" outline="0" fieldPosition="0">
        <references count="1">
          <reference field="0" count="1">
            <x v="16"/>
          </reference>
        </references>
      </pivotArea>
    </format>
    <format dxfId="1040">
      <pivotArea dataOnly="0" labelOnly="1" grandRow="1" outline="0" fieldPosition="0"/>
    </format>
    <format dxfId="1039">
      <pivotArea outline="0" fieldPosition="0">
        <references count="1">
          <reference field="0" count="12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38">
      <pivotArea outline="0" fieldPosition="0"/>
    </format>
    <format dxfId="1037">
      <pivotArea dataOnly="0" labelOnly="1" outline="0" fieldPosition="0">
        <references count="1">
          <reference field="0" count="0"/>
        </references>
      </pivotArea>
    </format>
    <format dxfId="1036">
      <pivotArea dataOnly="0" labelOnly="1" grandRow="1" outline="0" fieldPosition="0"/>
    </format>
    <format dxfId="1035">
      <pivotArea outline="0" fieldPosition="0">
        <references count="1">
          <reference field="0" count="1" selected="0">
            <x v="13"/>
          </reference>
        </references>
      </pivotArea>
    </format>
    <format dxfId="1034">
      <pivotArea dataOnly="0" labelOnly="1" outline="0" fieldPosition="0">
        <references count="1">
          <reference field="0" count="1">
            <x v="13"/>
          </reference>
        </references>
      </pivotArea>
    </format>
    <format dxfId="1033">
      <pivotArea type="origin" dataOnly="0" labelOnly="1" outline="0" fieldPosition="0"/>
    </format>
    <format dxfId="1032">
      <pivotArea type="topRight" dataOnly="0" labelOnly="1" outline="0" fieldPosition="0"/>
    </format>
    <format dxfId="1031">
      <pivotArea type="all" dataOnly="0" outline="0" fieldPosition="0"/>
    </format>
    <format dxfId="103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4" cacheId="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CF209:CG237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4"/>
        <item x="15"/>
        <item x="16"/>
        <item x="17"/>
        <item x="18"/>
        <item x="19"/>
        <item x="5"/>
        <item x="6"/>
        <item x="7"/>
        <item x="8"/>
        <item x="9"/>
        <item x="10"/>
        <item x="11"/>
        <item x="12"/>
        <item x="25"/>
        <item x="20"/>
        <item x="0"/>
        <item x="1"/>
        <item x="2"/>
        <item x="3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7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Remark" fld="8" baseField="0" baseItem="0"/>
  </dataFields>
  <formats count="15">
    <format dxfId="1058">
      <pivotArea outline="0" fieldPosition="0">
        <references count="1">
          <reference field="0" count="1" selected="0">
            <x v="0"/>
          </reference>
        </references>
      </pivotArea>
    </format>
    <format dxfId="1057">
      <pivotArea dataOnly="0" labelOnly="1" outline="0" fieldPosition="0">
        <references count="1">
          <reference field="0" count="1">
            <x v="0"/>
          </reference>
        </references>
      </pivotArea>
    </format>
    <format dxfId="1056">
      <pivotArea outline="0" fieldPosition="0">
        <references count="1">
          <reference field="0" count="1" selected="0">
            <x v="16"/>
          </reference>
        </references>
      </pivotArea>
    </format>
    <format dxfId="1055">
      <pivotArea grandRow="1" outline="0" fieldPosition="0"/>
    </format>
    <format dxfId="1054">
      <pivotArea dataOnly="0" labelOnly="1" outline="0" fieldPosition="0">
        <references count="1">
          <reference field="0" count="1">
            <x v="16"/>
          </reference>
        </references>
      </pivotArea>
    </format>
    <format dxfId="1053">
      <pivotArea dataOnly="0" labelOnly="1" grandRow="1" outline="0" fieldPosition="0"/>
    </format>
    <format dxfId="1052">
      <pivotArea outline="0" fieldPosition="0">
        <references count="1">
          <reference field="0" count="12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51">
      <pivotArea outline="0" fieldPosition="0"/>
    </format>
    <format dxfId="1050">
      <pivotArea dataOnly="0" labelOnly="1" outline="0" fieldPosition="0">
        <references count="1">
          <reference field="0" count="0"/>
        </references>
      </pivotArea>
    </format>
    <format dxfId="1049">
      <pivotArea dataOnly="0" labelOnly="1" grandRow="1" outline="0" fieldPosition="0"/>
    </format>
    <format dxfId="1048">
      <pivotArea outline="0" fieldPosition="0">
        <references count="1">
          <reference field="0" count="1" selected="0">
            <x v="13"/>
          </reference>
        </references>
      </pivotArea>
    </format>
    <format dxfId="1047">
      <pivotArea dataOnly="0" labelOnly="1" outline="0" fieldPosition="0">
        <references count="1">
          <reference field="0" count="1">
            <x v="13"/>
          </reference>
        </references>
      </pivotArea>
    </format>
    <format dxfId="1046">
      <pivotArea type="origin" dataOnly="0" labelOnly="1" outline="0" fieldPosition="0"/>
    </format>
    <format dxfId="1045">
      <pivotArea type="topRight" dataOnly="0" labelOnly="1" outline="0" fieldPosition="0"/>
    </format>
    <format dxfId="104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13" cacheId="0" dataOnRows="1" applyNumberFormats="0" applyBorderFormats="0" applyFontFormats="0" applyPatternFormats="0" applyAlignmentFormats="0" applyWidthHeightFormats="1" dataCaption="Data" updatedVersion="3" showItems="0" showMultipleLabel="0" showMemberPropertyTips="0" useAutoFormatting="1" itemPrintTitles="1" indent="0" compact="0" compactData="0" gridDropZones="1">
  <location ref="BT393:BU421" firstHeaderRow="2" firstDataRow="2" firstDataCol="1"/>
  <pivotFields count="9">
    <pivotField axis="axisRow" compact="0" outline="0" subtotalTop="0" showAll="0" includeNewItemsInFilter="1">
      <items count="27">
        <item x="5"/>
        <item x="6"/>
        <item x="7"/>
        <item x="8"/>
        <item x="9"/>
        <item x="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7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nt up bars main" fld="6" baseField="0" baseItem="0"/>
  </dataFields>
  <formats count="17">
    <format dxfId="1075">
      <pivotArea type="all" dataOnly="0" outline="0" fieldPosition="0"/>
    </format>
    <format dxfId="1074">
      <pivotArea outline="0" fieldPosition="0">
        <references count="1">
          <reference field="0" count="1" selected="0">
            <x v="0"/>
          </reference>
        </references>
      </pivotArea>
    </format>
    <format dxfId="1073">
      <pivotArea dataOnly="0" labelOnly="1" outline="0" fieldPosition="0">
        <references count="1">
          <reference field="0" count="1">
            <x v="0"/>
          </reference>
        </references>
      </pivotArea>
    </format>
    <format dxfId="1072">
      <pivotArea outline="0" fieldPosition="0">
        <references count="1">
          <reference field="0" count="1" selected="0">
            <x v="18"/>
          </reference>
        </references>
      </pivotArea>
    </format>
    <format dxfId="1071">
      <pivotArea grandRow="1" outline="0" fieldPosition="0"/>
    </format>
    <format dxfId="1070">
      <pivotArea dataOnly="0" labelOnly="1" outline="0" fieldPosition="0">
        <references count="1">
          <reference field="0" count="1">
            <x v="18"/>
          </reference>
        </references>
      </pivotArea>
    </format>
    <format dxfId="1069">
      <pivotArea dataOnly="0" labelOnly="1" grandRow="1" outline="0" fieldPosition="0"/>
    </format>
    <format dxfId="1068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</reference>
        </references>
      </pivotArea>
    </format>
    <format dxfId="1067">
      <pivotArea outline="0" fieldPosition="0"/>
    </format>
    <format dxfId="1066">
      <pivotArea dataOnly="0" labelOnly="1" outline="0" fieldPosition="0">
        <references count="1">
          <reference field="0" count="0"/>
        </references>
      </pivotArea>
    </format>
    <format dxfId="1065">
      <pivotArea dataOnly="0" labelOnly="1" grandRow="1" outline="0" fieldPosition="0"/>
    </format>
    <format dxfId="1064">
      <pivotArea outline="0" fieldPosition="0">
        <references count="1">
          <reference field="0" count="1" selected="0">
            <x v="13"/>
          </reference>
        </references>
      </pivotArea>
    </format>
    <format dxfId="1063">
      <pivotArea dataOnly="0" labelOnly="1" outline="0" fieldPosition="0">
        <references count="1">
          <reference field="0" count="1">
            <x v="13"/>
          </reference>
        </references>
      </pivotArea>
    </format>
    <format dxfId="1062">
      <pivotArea type="origin" dataOnly="0" labelOnly="1" outline="0" fieldPosition="0"/>
    </format>
    <format dxfId="1061">
      <pivotArea type="topRight" dataOnly="0" labelOnly="1" outline="0" fieldPosition="0"/>
    </format>
    <format dxfId="1060">
      <pivotArea type="all" dataOnly="0" outline="0" fieldPosition="0"/>
    </format>
    <format dxfId="1059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19" cacheId="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Z209:CA237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5"/>
        <item x="17"/>
        <item x="18"/>
        <item x="21"/>
        <item x="22"/>
        <item x="5"/>
        <item x="6"/>
        <item x="7"/>
        <item x="8"/>
        <item x="9"/>
        <item x="10"/>
        <item x="11"/>
        <item x="12"/>
        <item x="14"/>
        <item x="16"/>
        <item x="19"/>
        <item x="25"/>
        <item x="20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nt up bars Dist" fld="7" baseField="0" baseItem="0"/>
  </dataFields>
  <formats count="16">
    <format dxfId="1091">
      <pivotArea type="all" dataOnly="0" outline="0" fieldPosition="0"/>
    </format>
    <format dxfId="1090">
      <pivotArea outline="0" fieldPosition="0">
        <references count="1">
          <reference field="0" count="1" selected="0">
            <x v="0"/>
          </reference>
        </references>
      </pivotArea>
    </format>
    <format dxfId="1089">
      <pivotArea dataOnly="0" labelOnly="1" outline="0" fieldPosition="0">
        <references count="1">
          <reference field="0" count="1">
            <x v="0"/>
          </reference>
        </references>
      </pivotArea>
    </format>
    <format dxfId="1088">
      <pivotArea outline="0" fieldPosition="0">
        <references count="1">
          <reference field="0" count="1" selected="0">
            <x v="18"/>
          </reference>
        </references>
      </pivotArea>
    </format>
    <format dxfId="1087">
      <pivotArea grandRow="1" outline="0" fieldPosition="0"/>
    </format>
    <format dxfId="1086">
      <pivotArea dataOnly="0" labelOnly="1" outline="0" fieldPosition="0">
        <references count="1">
          <reference field="0" count="1">
            <x v="18"/>
          </reference>
        </references>
      </pivotArea>
    </format>
    <format dxfId="1085">
      <pivotArea dataOnly="0" labelOnly="1" grandRow="1" outline="0" fieldPosition="0"/>
    </format>
    <format dxfId="1084">
      <pivotArea outline="0" fieldPosition="0">
        <references count="1">
          <reference field="0" count="12" selected="0">
            <x v="0"/>
            <x v="1"/>
            <x v="3"/>
            <x v="4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083">
      <pivotArea outline="0" fieldPosition="0"/>
    </format>
    <format dxfId="1082">
      <pivotArea dataOnly="0" labelOnly="1" outline="0" fieldPosition="0">
        <references count="1">
          <reference field="0" count="0"/>
        </references>
      </pivotArea>
    </format>
    <format dxfId="1081">
      <pivotArea dataOnly="0" labelOnly="1" grandRow="1" outline="0" fieldPosition="0"/>
    </format>
    <format dxfId="1080">
      <pivotArea outline="0" fieldPosition="0">
        <references count="1">
          <reference field="0" count="1" selected="0">
            <x v="15"/>
          </reference>
        </references>
      </pivotArea>
    </format>
    <format dxfId="1079">
      <pivotArea dataOnly="0" labelOnly="1" outline="0" fieldPosition="0">
        <references count="1">
          <reference field="0" count="1">
            <x v="15"/>
          </reference>
        </references>
      </pivotArea>
    </format>
    <format dxfId="1078">
      <pivotArea type="origin" dataOnly="0" labelOnly="1" outline="0" fieldPosition="0"/>
    </format>
    <format dxfId="1077">
      <pivotArea type="topRight" dataOnly="0" labelOnly="1" outline="0" fieldPosition="0"/>
    </format>
    <format dxfId="1076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2" cacheId="1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Q209:BR237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M SPACING" fld="3" baseField="0" baseItem="0"/>
  </dataFields>
  <formats count="25">
    <format dxfId="1116">
      <pivotArea type="origin" dataOnly="0" labelOnly="1" outline="0" fieldPosition="0"/>
    </format>
    <format dxfId="1115">
      <pivotArea field="0" type="button" dataOnly="0" labelOnly="1" outline="0" axis="axisRow" fieldPosition="0"/>
    </format>
    <format dxfId="1114">
      <pivotArea dataOnly="0" labelOnly="1" outline="0" fieldPosition="0">
        <references count="1">
          <reference field="0" count="1">
            <x v="0"/>
          </reference>
        </references>
      </pivotArea>
    </format>
    <format dxfId="1113">
      <pivotArea dataOnly="0" labelOnly="1" outline="0" fieldPosition="0">
        <references count="1">
          <reference field="0" count="1">
            <x v="1"/>
          </reference>
        </references>
      </pivotArea>
    </format>
    <format dxfId="1112">
      <pivotArea dataOnly="0" labelOnly="1" outline="0" fieldPosition="0">
        <references count="1">
          <reference field="0" count="1">
            <x v="2"/>
          </reference>
        </references>
      </pivotArea>
    </format>
    <format dxfId="1111">
      <pivotArea dataOnly="0" labelOnly="1" outline="0" fieldPosition="0">
        <references count="1">
          <reference field="0" count="1">
            <x v="3"/>
          </reference>
        </references>
      </pivotArea>
    </format>
    <format dxfId="1110">
      <pivotArea dataOnly="0" labelOnly="1" outline="0" fieldPosition="0">
        <references count="1">
          <reference field="0" count="1">
            <x v="4"/>
          </reference>
        </references>
      </pivotArea>
    </format>
    <format dxfId="1109">
      <pivotArea dataOnly="0" labelOnly="1" outline="0" fieldPosition="0">
        <references count="1">
          <reference field="0" count="1">
            <x v="5"/>
          </reference>
        </references>
      </pivotArea>
    </format>
    <format dxfId="1108">
      <pivotArea dataOnly="0" labelOnly="1" grandRow="1" outline="0" fieldPosition="0"/>
    </format>
    <format dxfId="1107">
      <pivotArea type="all" dataOnly="0" outline="0" fieldPosition="0"/>
    </format>
    <format dxfId="1106">
      <pivotArea outline="0" fieldPosition="0">
        <references count="1">
          <reference field="0" count="1" selected="0">
            <x v="0"/>
          </reference>
        </references>
      </pivotArea>
    </format>
    <format dxfId="1105">
      <pivotArea dataOnly="0" labelOnly="1" outline="0" fieldPosition="0">
        <references count="1">
          <reference field="0" count="1">
            <x v="0"/>
          </reference>
        </references>
      </pivotArea>
    </format>
    <format dxfId="1104">
      <pivotArea outline="0" fieldPosition="0">
        <references count="1">
          <reference field="0" count="1" selected="0">
            <x v="16"/>
          </reference>
        </references>
      </pivotArea>
    </format>
    <format dxfId="1103">
      <pivotArea grandRow="1" outline="0" fieldPosition="0"/>
    </format>
    <format dxfId="1102">
      <pivotArea dataOnly="0" labelOnly="1" outline="0" fieldPosition="0">
        <references count="1">
          <reference field="0" count="1">
            <x v="16"/>
          </reference>
        </references>
      </pivotArea>
    </format>
    <format dxfId="1101">
      <pivotArea dataOnly="0" labelOnly="1" grandRow="1" outline="0" fieldPosition="0"/>
    </format>
    <format dxfId="1100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99">
      <pivotArea outline="0" fieldPosition="0"/>
    </format>
    <format dxfId="1098">
      <pivotArea dataOnly="0" labelOnly="1" outline="0" fieldPosition="0">
        <references count="1">
          <reference field="0" count="0"/>
        </references>
      </pivotArea>
    </format>
    <format dxfId="1097">
      <pivotArea dataOnly="0" labelOnly="1" grandRow="1" outline="0" fieldPosition="0"/>
    </format>
    <format dxfId="1096">
      <pivotArea outline="0" fieldPosition="0">
        <references count="1">
          <reference field="0" count="1" selected="0">
            <x v="13"/>
          </reference>
        </references>
      </pivotArea>
    </format>
    <format dxfId="1095">
      <pivotArea dataOnly="0" labelOnly="1" outline="0" fieldPosition="0">
        <references count="1">
          <reference field="0" count="1">
            <x v="13"/>
          </reference>
        </references>
      </pivotArea>
    </format>
    <format dxfId="1094">
      <pivotArea type="origin" dataOnly="0" labelOnly="1" outline="0" fieldPosition="0"/>
    </format>
    <format dxfId="1093">
      <pivotArea type="topRight" dataOnly="0" labelOnly="1" outline="0" fieldPosition="0"/>
    </format>
    <format dxfId="1092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CF393:CG421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4"/>
        <item x="15"/>
        <item x="16"/>
        <item x="17"/>
        <item x="18"/>
        <item x="19"/>
        <item x="5"/>
        <item x="6"/>
        <item x="7"/>
        <item x="8"/>
        <item x="9"/>
        <item x="10"/>
        <item x="11"/>
        <item x="12"/>
        <item x="25"/>
        <item x="20"/>
        <item x="0"/>
        <item x="1"/>
        <item x="2"/>
        <item x="3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7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Remark" fld="8" baseField="0" baseItem="0"/>
  </dataFields>
  <formats count="16">
    <format dxfId="1132">
      <pivotArea outline="0" fieldPosition="0">
        <references count="1">
          <reference field="0" count="1" selected="0">
            <x v="0"/>
          </reference>
        </references>
      </pivotArea>
    </format>
    <format dxfId="1131">
      <pivotArea dataOnly="0" labelOnly="1" outline="0" fieldPosition="0">
        <references count="1">
          <reference field="0" count="1">
            <x v="0"/>
          </reference>
        </references>
      </pivotArea>
    </format>
    <format dxfId="1130">
      <pivotArea outline="0" fieldPosition="0">
        <references count="1">
          <reference field="0" count="1" selected="0">
            <x v="16"/>
          </reference>
        </references>
      </pivotArea>
    </format>
    <format dxfId="1129">
      <pivotArea grandRow="1" outline="0" fieldPosition="0"/>
    </format>
    <format dxfId="1128">
      <pivotArea dataOnly="0" labelOnly="1" outline="0" fieldPosition="0">
        <references count="1">
          <reference field="0" count="1">
            <x v="16"/>
          </reference>
        </references>
      </pivotArea>
    </format>
    <format dxfId="1127">
      <pivotArea dataOnly="0" labelOnly="1" grandRow="1" outline="0" fieldPosition="0"/>
    </format>
    <format dxfId="1126">
      <pivotArea outline="0" fieldPosition="0">
        <references count="1">
          <reference field="0" count="12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25">
      <pivotArea outline="0" fieldPosition="0"/>
    </format>
    <format dxfId="1124">
      <pivotArea dataOnly="0" labelOnly="1" outline="0" fieldPosition="0">
        <references count="1">
          <reference field="0" count="0"/>
        </references>
      </pivotArea>
    </format>
    <format dxfId="1123">
      <pivotArea dataOnly="0" labelOnly="1" grandRow="1" outline="0" fieldPosition="0"/>
    </format>
    <format dxfId="1122">
      <pivotArea outline="0" fieldPosition="0">
        <references count="1">
          <reference field="0" count="1" selected="0">
            <x v="13"/>
          </reference>
        </references>
      </pivotArea>
    </format>
    <format dxfId="1121">
      <pivotArea dataOnly="0" labelOnly="1" outline="0" fieldPosition="0">
        <references count="1">
          <reference field="0" count="1">
            <x v="13"/>
          </reference>
        </references>
      </pivotArea>
    </format>
    <format dxfId="1120">
      <pivotArea type="origin" dataOnly="0" labelOnly="1" outline="0" fieldPosition="0"/>
    </format>
    <format dxfId="1119">
      <pivotArea type="topRight" dataOnly="0" labelOnly="1" outline="0" fieldPosition="0"/>
    </format>
    <format dxfId="1118">
      <pivotArea type="all" dataOnly="0" outline="0" fieldPosition="0"/>
    </format>
    <format dxfId="1117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Items="0" showMultipleLabel="0" showMemberPropertyTips="0" useAutoFormatting="1" itemPrintTitles="1" indent="0" compact="0" compactData="0" gridDropZones="1">
  <location ref="CC353:CD381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 SPACING" fld="5" baseField="0" baseItem="0"/>
  </dataFields>
  <formats count="71">
    <format dxfId="70">
      <pivotArea type="all" dataOnly="0" outline="0" fieldPosition="0"/>
    </format>
    <format dxfId="69">
      <pivotArea outline="0" fieldPosition="0">
        <references count="1">
          <reference field="0" count="1" selected="0">
            <x v="0"/>
          </reference>
        </references>
      </pivotArea>
    </format>
    <format dxfId="68">
      <pivotArea dataOnly="0" labelOnly="1" outline="0" fieldPosition="0">
        <references count="1">
          <reference field="0" count="1">
            <x v="0"/>
          </reference>
        </references>
      </pivotArea>
    </format>
    <format dxfId="67">
      <pivotArea outline="0" fieldPosition="0">
        <references count="1">
          <reference field="0" count="1" selected="0">
            <x v="16"/>
          </reference>
        </references>
      </pivotArea>
    </format>
    <format dxfId="66">
      <pivotArea grandRow="1" outline="0" fieldPosition="0"/>
    </format>
    <format dxfId="65">
      <pivotArea dataOnly="0" labelOnly="1" outline="0" fieldPosition="0">
        <references count="1">
          <reference field="0" count="1">
            <x v="16"/>
          </reference>
        </references>
      </pivotArea>
    </format>
    <format dxfId="64">
      <pivotArea dataOnly="0" labelOnly="1" grandRow="1" outline="0" fieldPosition="0"/>
    </format>
    <format dxfId="63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/>
    </format>
    <format dxfId="61">
      <pivotArea dataOnly="0" labelOnly="1" outline="0" fieldPosition="0">
        <references count="1">
          <reference field="0" count="0"/>
        </references>
      </pivotArea>
    </format>
    <format dxfId="60">
      <pivotArea dataOnly="0" labelOnly="1" grandRow="1" outline="0" fieldPosition="0"/>
    </format>
    <format dxfId="59">
      <pivotArea outline="0" fieldPosition="0">
        <references count="1">
          <reference field="0" count="1" selected="0">
            <x v="13"/>
          </reference>
        </references>
      </pivotArea>
    </format>
    <format dxfId="58">
      <pivotArea dataOnly="0" labelOnly="1" outline="0" fieldPosition="0">
        <references count="1">
          <reference field="0" count="1">
            <x v="13"/>
          </reference>
        </references>
      </pivotArea>
    </format>
    <format dxfId="57">
      <pivotArea type="origin" dataOnly="0" labelOnly="1" outline="0" fieldPosition="0"/>
    </format>
    <format dxfId="56">
      <pivotArea type="topRight" dataOnly="0" labelOnly="1" outline="0" fieldPosition="0"/>
    </format>
    <format dxfId="55">
      <pivotArea type="all" dataOnly="0" outline="0" fieldPosition="0"/>
    </format>
    <format dxfId="54">
      <pivotArea type="origin" dataOnly="0" labelOnly="1" outline="0" fieldPosition="0"/>
    </format>
    <format dxfId="53">
      <pivotArea type="topRight" dataOnly="0" labelOnly="1" outline="0" fieldPosition="0"/>
    </format>
    <format dxfId="52">
      <pivotArea field="0" type="button" dataOnly="0" labelOnly="1" outline="0" axis="axisRow" fieldPosition="0"/>
    </format>
    <format dxfId="51">
      <pivotArea outline="0" fieldPosition="0">
        <references count="1">
          <reference field="0" count="1" selected="0">
            <x v="0"/>
          </reference>
        </references>
      </pivotArea>
    </format>
    <format dxfId="50">
      <pivotArea dataOnly="0" labelOnly="1" outline="0" fieldPosition="0">
        <references count="1">
          <reference field="0" count="1">
            <x v="0"/>
          </reference>
        </references>
      </pivotArea>
    </format>
    <format dxfId="49">
      <pivotArea outline="0" fieldPosition="0">
        <references count="1">
          <reference field="0" count="1" selected="0">
            <x v="1"/>
          </reference>
        </references>
      </pivotArea>
    </format>
    <format dxfId="48">
      <pivotArea dataOnly="0" labelOnly="1" outline="0" fieldPosition="0">
        <references count="1">
          <reference field="0" count="1">
            <x v="1"/>
          </reference>
        </references>
      </pivotArea>
    </format>
    <format dxfId="47">
      <pivotArea outline="0" fieldPosition="0">
        <references count="1">
          <reference field="0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0" count="1">
            <x v="2"/>
          </reference>
        </references>
      </pivotArea>
    </format>
    <format dxfId="45">
      <pivotArea outline="0" fieldPosition="0">
        <references count="1">
          <reference field="0" count="1" selected="0">
            <x v="3"/>
          </reference>
        </references>
      </pivotArea>
    </format>
    <format dxfId="44">
      <pivotArea dataOnly="0" labelOnly="1" outline="0" fieldPosition="0">
        <references count="1">
          <reference field="0" count="1">
            <x v="3"/>
          </reference>
        </references>
      </pivotArea>
    </format>
    <format dxfId="43">
      <pivotArea outline="0" fieldPosition="0">
        <references count="1">
          <reference field="0" count="1" selected="0">
            <x v="4"/>
          </reference>
        </references>
      </pivotArea>
    </format>
    <format dxfId="42">
      <pivotArea dataOnly="0" labelOnly="1" outline="0" fieldPosition="0">
        <references count="1">
          <reference field="0" count="1">
            <x v="4"/>
          </reference>
        </references>
      </pivotArea>
    </format>
    <format dxfId="41">
      <pivotArea outline="0" fieldPosition="0">
        <references count="1">
          <reference field="0" count="1" selected="0">
            <x v="6"/>
          </reference>
        </references>
      </pivotArea>
    </format>
    <format dxfId="40">
      <pivotArea dataOnly="0" labelOnly="1" outline="0" fieldPosition="0">
        <references count="1">
          <reference field="0" count="1">
            <x v="6"/>
          </reference>
        </references>
      </pivotArea>
    </format>
    <format dxfId="39">
      <pivotArea outline="0" fieldPosition="0">
        <references count="1">
          <reference field="0" count="1" selected="0">
            <x v="7"/>
          </reference>
        </references>
      </pivotArea>
    </format>
    <format dxfId="38">
      <pivotArea dataOnly="0" labelOnly="1" outline="0" fieldPosition="0">
        <references count="1">
          <reference field="0" count="1">
            <x v="7"/>
          </reference>
        </references>
      </pivotArea>
    </format>
    <format dxfId="37">
      <pivotArea outline="0" fieldPosition="0">
        <references count="1">
          <reference field="0" count="1" selected="0">
            <x v="8"/>
          </reference>
        </references>
      </pivotArea>
    </format>
    <format dxfId="36">
      <pivotArea dataOnly="0" labelOnly="1" outline="0" fieldPosition="0">
        <references count="1">
          <reference field="0" count="1">
            <x v="8"/>
          </reference>
        </references>
      </pivotArea>
    </format>
    <format dxfId="35">
      <pivotArea outline="0" fieldPosition="0">
        <references count="1">
          <reference field="0" count="1" selected="0">
            <x v="9"/>
          </reference>
        </references>
      </pivotArea>
    </format>
    <format dxfId="34">
      <pivotArea dataOnly="0" labelOnly="1" outline="0" fieldPosition="0">
        <references count="1">
          <reference field="0" count="1">
            <x v="9"/>
          </reference>
        </references>
      </pivotArea>
    </format>
    <format dxfId="33">
      <pivotArea outline="0" fieldPosition="0">
        <references count="1">
          <reference field="0" count="1" selected="0">
            <x v="10"/>
          </reference>
        </references>
      </pivotArea>
    </format>
    <format dxfId="32">
      <pivotArea dataOnly="0" labelOnly="1" outline="0" fieldPosition="0">
        <references count="1">
          <reference field="0" count="1">
            <x v="10"/>
          </reference>
        </references>
      </pivotArea>
    </format>
    <format dxfId="31">
      <pivotArea outline="0" fieldPosition="0">
        <references count="1">
          <reference field="0" count="1" selected="0">
            <x v="11"/>
          </reference>
        </references>
      </pivotArea>
    </format>
    <format dxfId="30">
      <pivotArea dataOnly="0" labelOnly="1" outline="0" fieldPosition="0">
        <references count="1">
          <reference field="0" count="1">
            <x v="11"/>
          </reference>
        </references>
      </pivotArea>
    </format>
    <format dxfId="29">
      <pivotArea outline="0" fieldPosition="0">
        <references count="1">
          <reference field="0" count="1" selected="0">
            <x v="12"/>
          </reference>
        </references>
      </pivotArea>
    </format>
    <format dxfId="28">
      <pivotArea dataOnly="0" labelOnly="1" outline="0" fieldPosition="0">
        <references count="1">
          <reference field="0" count="1">
            <x v="12"/>
          </reference>
        </references>
      </pivotArea>
    </format>
    <format dxfId="27">
      <pivotArea outline="0" fieldPosition="0">
        <references count="1">
          <reference field="0" count="1" selected="0">
            <x v="13"/>
          </reference>
        </references>
      </pivotArea>
    </format>
    <format dxfId="26">
      <pivotArea dataOnly="0" labelOnly="1" outline="0" fieldPosition="0">
        <references count="1">
          <reference field="0" count="1">
            <x v="13"/>
          </reference>
        </references>
      </pivotArea>
    </format>
    <format dxfId="25">
      <pivotArea outline="0" fieldPosition="0">
        <references count="1">
          <reference field="0" count="1" selected="0">
            <x v="14"/>
          </reference>
        </references>
      </pivotArea>
    </format>
    <format dxfId="24">
      <pivotArea dataOnly="0" labelOnly="1" outline="0" fieldPosition="0">
        <references count="1">
          <reference field="0" count="1">
            <x v="14"/>
          </reference>
        </references>
      </pivotArea>
    </format>
    <format dxfId="23">
      <pivotArea outline="0" fieldPosition="0">
        <references count="1">
          <reference field="0" count="1" selected="0">
            <x v="15"/>
          </reference>
        </references>
      </pivotArea>
    </format>
    <format dxfId="22">
      <pivotArea dataOnly="0" labelOnly="1" outline="0" fieldPosition="0">
        <references count="1">
          <reference field="0" count="1">
            <x v="15"/>
          </reference>
        </references>
      </pivotArea>
    </format>
    <format dxfId="21">
      <pivotArea outline="0" fieldPosition="0">
        <references count="1">
          <reference field="0" count="1" selected="0">
            <x v="16"/>
          </reference>
        </references>
      </pivotArea>
    </format>
    <format dxfId="20">
      <pivotArea dataOnly="0" labelOnly="1" outline="0" fieldPosition="0">
        <references count="1">
          <reference field="0" count="1">
            <x v="16"/>
          </reference>
        </references>
      </pivotArea>
    </format>
    <format dxfId="19">
      <pivotArea outline="0" fieldPosition="0">
        <references count="1">
          <reference field="0" count="1" selected="0">
            <x v="17"/>
          </reference>
        </references>
      </pivotArea>
    </format>
    <format dxfId="18">
      <pivotArea dataOnly="0" labelOnly="1" outline="0" fieldPosition="0">
        <references count="1">
          <reference field="0" count="1">
            <x v="17"/>
          </reference>
        </references>
      </pivotArea>
    </format>
    <format dxfId="17">
      <pivotArea outline="0" fieldPosition="0">
        <references count="1">
          <reference field="0" count="1" selected="0">
            <x v="18"/>
          </reference>
        </references>
      </pivotArea>
    </format>
    <format dxfId="16">
      <pivotArea dataOnly="0" labelOnly="1" outline="0" fieldPosition="0">
        <references count="1">
          <reference field="0" count="1">
            <x v="18"/>
          </reference>
        </references>
      </pivotArea>
    </format>
    <format dxfId="15">
      <pivotArea outline="0" fieldPosition="0">
        <references count="1">
          <reference field="0" count="1" selected="0">
            <x v="19"/>
          </reference>
        </references>
      </pivotArea>
    </format>
    <format dxfId="14">
      <pivotArea dataOnly="0" labelOnly="1" outline="0" fieldPosition="0">
        <references count="1">
          <reference field="0" count="1">
            <x v="19"/>
          </reference>
        </references>
      </pivotArea>
    </format>
    <format dxfId="13">
      <pivotArea outline="0" fieldPosition="0">
        <references count="1">
          <reference field="0" count="1" selected="0">
            <x v="20"/>
          </reference>
        </references>
      </pivotArea>
    </format>
    <format dxfId="12">
      <pivotArea dataOnly="0" labelOnly="1" outline="0" fieldPosition="0">
        <references count="1">
          <reference field="0" count="1">
            <x v="20"/>
          </reference>
        </references>
      </pivotArea>
    </format>
    <format dxfId="11">
      <pivotArea outline="0" fieldPosition="0">
        <references count="1">
          <reference field="0" count="1" selected="0">
            <x v="21"/>
          </reference>
        </references>
      </pivotArea>
    </format>
    <format dxfId="10">
      <pivotArea dataOnly="0" labelOnly="1" outline="0" fieldPosition="0">
        <references count="1">
          <reference field="0" count="1">
            <x v="21"/>
          </reference>
        </references>
      </pivotArea>
    </format>
    <format dxfId="9">
      <pivotArea outline="0" fieldPosition="0">
        <references count="1">
          <reference field="0" count="1" selected="0">
            <x v="22"/>
          </reference>
        </references>
      </pivotArea>
    </format>
    <format dxfId="8">
      <pivotArea dataOnly="0" labelOnly="1" outline="0" fieldPosition="0">
        <references count="1">
          <reference field="0" count="1">
            <x v="22"/>
          </reference>
        </references>
      </pivotArea>
    </format>
    <format dxfId="7">
      <pivotArea outline="0" fieldPosition="0">
        <references count="1">
          <reference field="0" count="1" selected="0">
            <x v="23"/>
          </reference>
        </references>
      </pivotArea>
    </format>
    <format dxfId="6">
      <pivotArea dataOnly="0" labelOnly="1" outline="0" fieldPosition="0">
        <references count="1">
          <reference field="0" count="1">
            <x v="23"/>
          </reference>
        </references>
      </pivotArea>
    </format>
    <format dxfId="5">
      <pivotArea outline="0" fieldPosition="0">
        <references count="1">
          <reference field="0" count="1" selected="0">
            <x v="24"/>
          </reference>
        </references>
      </pivotArea>
    </format>
    <format dxfId="4">
      <pivotArea dataOnly="0" labelOnly="1" outline="0" fieldPosition="0">
        <references count="1">
          <reference field="0" count="1">
            <x v="24"/>
          </reference>
        </references>
      </pivotArea>
    </format>
    <format dxfId="3">
      <pivotArea outline="0" fieldPosition="0">
        <references count="1">
          <reference field="0" count="1" selected="0">
            <x v="25"/>
          </reference>
        </references>
      </pivotArea>
    </format>
    <format dxfId="2">
      <pivotArea dataOnly="0" labelOnly="1" outline="0" fieldPosition="0">
        <references count="1">
          <reference field="0" count="1">
            <x v="25"/>
          </reference>
        </references>
      </pivotArea>
    </format>
    <format dxfId="1">
      <pivotArea grandRow="1" outline="0" fieldPosition="0"/>
    </format>
    <format dxfId="0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W353:BX381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4"/>
        <item x="15"/>
        <item x="16"/>
        <item x="17"/>
        <item x="5"/>
        <item x="6"/>
        <item x="7"/>
        <item x="8"/>
        <item x="9"/>
        <item x="10"/>
        <item x="11"/>
        <item x="12"/>
        <item x="25"/>
        <item x="18"/>
        <item x="19"/>
        <item x="20"/>
        <item x="0"/>
        <item x="1"/>
        <item x="2"/>
        <item x="3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 DIA" fld="4" baseField="0" baseItem="0"/>
  </dataFields>
  <formats count="68">
    <format dxfId="138">
      <pivotArea outline="0" fieldPosition="0">
        <references count="1">
          <reference field="0" count="1" selected="0">
            <x v="16"/>
          </reference>
        </references>
      </pivotArea>
    </format>
    <format dxfId="137">
      <pivotArea grandRow="1" outline="0" fieldPosition="0"/>
    </format>
    <format dxfId="136">
      <pivotArea dataOnly="0" labelOnly="1" outline="0" fieldPosition="0">
        <references count="1">
          <reference field="0" count="1">
            <x v="16"/>
          </reference>
        </references>
      </pivotArea>
    </format>
    <format dxfId="135">
      <pivotArea dataOnly="0" labelOnly="1" grandRow="1" outline="0" fieldPosition="0"/>
    </format>
    <format dxfId="134">
      <pivotArea outline="0" fieldPosition="0">
        <references count="1">
          <reference field="0" count="12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3">
      <pivotArea outline="0" fieldPosition="0"/>
    </format>
    <format dxfId="132">
      <pivotArea dataOnly="0" labelOnly="1" outline="0" fieldPosition="0">
        <references count="1">
          <reference field="0" count="0"/>
        </references>
      </pivotArea>
    </format>
    <format dxfId="131">
      <pivotArea dataOnly="0" labelOnly="1" grandRow="1" outline="0" fieldPosition="0"/>
    </format>
    <format dxfId="130">
      <pivotArea outline="0" fieldPosition="0">
        <references count="1">
          <reference field="0" count="1" selected="0">
            <x v="13"/>
          </reference>
        </references>
      </pivotArea>
    </format>
    <format dxfId="129">
      <pivotArea dataOnly="0" labelOnly="1" outline="0" fieldPosition="0">
        <references count="1">
          <reference field="0" count="1">
            <x v="13"/>
          </reference>
        </references>
      </pivotArea>
    </format>
    <format dxfId="128">
      <pivotArea type="origin" dataOnly="0" labelOnly="1" outline="0" fieldPosition="0"/>
    </format>
    <format dxfId="127">
      <pivotArea type="topRight" dataOnly="0" labelOnly="1" outline="0" fieldPosition="0"/>
    </format>
    <format dxfId="126">
      <pivotArea type="all" dataOnly="0" outline="0" fieldPosition="0"/>
    </format>
    <format dxfId="125">
      <pivotArea type="origin" dataOnly="0" labelOnly="1" outline="0" fieldPosition="0"/>
    </format>
    <format dxfId="124">
      <pivotArea type="topRight" dataOnly="0" labelOnly="1" outline="0" fieldPosition="0"/>
    </format>
    <format dxfId="123">
      <pivotArea field="0" type="button" dataOnly="0" labelOnly="1" outline="0" axis="axisRow" fieldPosition="0"/>
    </format>
    <format dxfId="122">
      <pivotArea outline="0" fieldPosition="0">
        <references count="1">
          <reference field="0" count="1" selected="0">
            <x v="0"/>
          </reference>
        </references>
      </pivotArea>
    </format>
    <format dxfId="121">
      <pivotArea dataOnly="0" labelOnly="1" outline="0" fieldPosition="0">
        <references count="1">
          <reference field="0" count="1">
            <x v="0"/>
          </reference>
        </references>
      </pivotArea>
    </format>
    <format dxfId="120">
      <pivotArea outline="0" fieldPosition="0">
        <references count="1">
          <reference field="0" count="1" selected="0">
            <x v="1"/>
          </reference>
        </references>
      </pivotArea>
    </format>
    <format dxfId="119">
      <pivotArea dataOnly="0" labelOnly="1" outline="0" fieldPosition="0">
        <references count="1">
          <reference field="0" count="1">
            <x v="1"/>
          </reference>
        </references>
      </pivotArea>
    </format>
    <format dxfId="118">
      <pivotArea outline="0" fieldPosition="0">
        <references count="1">
          <reference field="0" count="1" selected="0">
            <x v="2"/>
          </reference>
        </references>
      </pivotArea>
    </format>
    <format dxfId="117">
      <pivotArea dataOnly="0" labelOnly="1" outline="0" fieldPosition="0">
        <references count="1">
          <reference field="0" count="1">
            <x v="2"/>
          </reference>
        </references>
      </pivotArea>
    </format>
    <format dxfId="116">
      <pivotArea outline="0" fieldPosition="0">
        <references count="1">
          <reference field="0" count="1" selected="0">
            <x v="3"/>
          </reference>
        </references>
      </pivotArea>
    </format>
    <format dxfId="115">
      <pivotArea dataOnly="0" labelOnly="1" outline="0" fieldPosition="0">
        <references count="1">
          <reference field="0" count="1">
            <x v="3"/>
          </reference>
        </references>
      </pivotArea>
    </format>
    <format dxfId="114">
      <pivotArea outline="0" fieldPosition="0">
        <references count="1">
          <reference field="0" count="1" selected="0">
            <x v="4"/>
          </reference>
        </references>
      </pivotArea>
    </format>
    <format dxfId="113">
      <pivotArea dataOnly="0" labelOnly="1" outline="0" fieldPosition="0">
        <references count="1">
          <reference field="0" count="1">
            <x v="4"/>
          </reference>
        </references>
      </pivotArea>
    </format>
    <format dxfId="112">
      <pivotArea outline="0" fieldPosition="0">
        <references count="1">
          <reference field="0" count="1" selected="0">
            <x v="6"/>
          </reference>
        </references>
      </pivotArea>
    </format>
    <format dxfId="111">
      <pivotArea dataOnly="0" labelOnly="1" outline="0" fieldPosition="0">
        <references count="1">
          <reference field="0" count="1">
            <x v="6"/>
          </reference>
        </references>
      </pivotArea>
    </format>
    <format dxfId="110">
      <pivotArea outline="0" fieldPosition="0">
        <references count="1">
          <reference field="0" count="1" selected="0">
            <x v="7"/>
          </reference>
        </references>
      </pivotArea>
    </format>
    <format dxfId="109">
      <pivotArea dataOnly="0" labelOnly="1" outline="0" fieldPosition="0">
        <references count="1">
          <reference field="0" count="1">
            <x v="7"/>
          </reference>
        </references>
      </pivotArea>
    </format>
    <format dxfId="108">
      <pivotArea outline="0" fieldPosition="0">
        <references count="1">
          <reference field="0" count="1" selected="0">
            <x v="8"/>
          </reference>
        </references>
      </pivotArea>
    </format>
    <format dxfId="107">
      <pivotArea dataOnly="0" labelOnly="1" outline="0" fieldPosition="0">
        <references count="1">
          <reference field="0" count="1">
            <x v="8"/>
          </reference>
        </references>
      </pivotArea>
    </format>
    <format dxfId="106">
      <pivotArea outline="0" fieldPosition="0">
        <references count="1">
          <reference field="0" count="1" selected="0">
            <x v="9"/>
          </reference>
        </references>
      </pivotArea>
    </format>
    <format dxfId="105">
      <pivotArea dataOnly="0" labelOnly="1" outline="0" fieldPosition="0">
        <references count="1">
          <reference field="0" count="1">
            <x v="9"/>
          </reference>
        </references>
      </pivotArea>
    </format>
    <format dxfId="104">
      <pivotArea outline="0" fieldPosition="0">
        <references count="1">
          <reference field="0" count="1" selected="0">
            <x v="10"/>
          </reference>
        </references>
      </pivotArea>
    </format>
    <format dxfId="103">
      <pivotArea dataOnly="0" labelOnly="1" outline="0" fieldPosition="0">
        <references count="1">
          <reference field="0" count="1">
            <x v="10"/>
          </reference>
        </references>
      </pivotArea>
    </format>
    <format dxfId="102">
      <pivotArea outline="0" fieldPosition="0">
        <references count="1">
          <reference field="0" count="1" selected="0">
            <x v="11"/>
          </reference>
        </references>
      </pivotArea>
    </format>
    <format dxfId="101">
      <pivotArea dataOnly="0" labelOnly="1" outline="0" fieldPosition="0">
        <references count="1">
          <reference field="0" count="1">
            <x v="11"/>
          </reference>
        </references>
      </pivotArea>
    </format>
    <format dxfId="100">
      <pivotArea outline="0" fieldPosition="0">
        <references count="1">
          <reference field="0" count="1" selected="0">
            <x v="12"/>
          </reference>
        </references>
      </pivotArea>
    </format>
    <format dxfId="99">
      <pivotArea dataOnly="0" labelOnly="1" outline="0" fieldPosition="0">
        <references count="1">
          <reference field="0" count="1">
            <x v="12"/>
          </reference>
        </references>
      </pivotArea>
    </format>
    <format dxfId="98">
      <pivotArea outline="0" fieldPosition="0">
        <references count="1">
          <reference field="0" count="1" selected="0">
            <x v="13"/>
          </reference>
        </references>
      </pivotArea>
    </format>
    <format dxfId="97">
      <pivotArea dataOnly="0" labelOnly="1" outline="0" fieldPosition="0">
        <references count="1">
          <reference field="0" count="1">
            <x v="13"/>
          </reference>
        </references>
      </pivotArea>
    </format>
    <format dxfId="96">
      <pivotArea outline="0" fieldPosition="0">
        <references count="1">
          <reference field="0" count="1" selected="0">
            <x v="14"/>
          </reference>
        </references>
      </pivotArea>
    </format>
    <format dxfId="95">
      <pivotArea dataOnly="0" labelOnly="1" outline="0" fieldPosition="0">
        <references count="1">
          <reference field="0" count="1">
            <x v="14"/>
          </reference>
        </references>
      </pivotArea>
    </format>
    <format dxfId="94">
      <pivotArea outline="0" fieldPosition="0">
        <references count="1">
          <reference field="0" count="1" selected="0">
            <x v="15"/>
          </reference>
        </references>
      </pivotArea>
    </format>
    <format dxfId="93">
      <pivotArea dataOnly="0" labelOnly="1" outline="0" fieldPosition="0">
        <references count="1">
          <reference field="0" count="1">
            <x v="15"/>
          </reference>
        </references>
      </pivotArea>
    </format>
    <format dxfId="92">
      <pivotArea outline="0" fieldPosition="0">
        <references count="1">
          <reference field="0" count="1" selected="0">
            <x v="16"/>
          </reference>
        </references>
      </pivotArea>
    </format>
    <format dxfId="91">
      <pivotArea dataOnly="0" labelOnly="1" outline="0" fieldPosition="0">
        <references count="1">
          <reference field="0" count="1">
            <x v="16"/>
          </reference>
        </references>
      </pivotArea>
    </format>
    <format dxfId="90">
      <pivotArea outline="0" fieldPosition="0">
        <references count="1">
          <reference field="0" count="1" selected="0">
            <x v="17"/>
          </reference>
        </references>
      </pivotArea>
    </format>
    <format dxfId="89">
      <pivotArea dataOnly="0" labelOnly="1" outline="0" fieldPosition="0">
        <references count="1">
          <reference field="0" count="1">
            <x v="17"/>
          </reference>
        </references>
      </pivotArea>
    </format>
    <format dxfId="88">
      <pivotArea outline="0" fieldPosition="0">
        <references count="1">
          <reference field="0" count="1" selected="0">
            <x v="18"/>
          </reference>
        </references>
      </pivotArea>
    </format>
    <format dxfId="87">
      <pivotArea dataOnly="0" labelOnly="1" outline="0" fieldPosition="0">
        <references count="1">
          <reference field="0" count="1">
            <x v="18"/>
          </reference>
        </references>
      </pivotArea>
    </format>
    <format dxfId="86">
      <pivotArea outline="0" fieldPosition="0">
        <references count="1">
          <reference field="0" count="1" selected="0">
            <x v="19"/>
          </reference>
        </references>
      </pivotArea>
    </format>
    <format dxfId="85">
      <pivotArea dataOnly="0" labelOnly="1" outline="0" fieldPosition="0">
        <references count="1">
          <reference field="0" count="1">
            <x v="19"/>
          </reference>
        </references>
      </pivotArea>
    </format>
    <format dxfId="84">
      <pivotArea outline="0" fieldPosition="0">
        <references count="1">
          <reference field="0" count="1" selected="0">
            <x v="20"/>
          </reference>
        </references>
      </pivotArea>
    </format>
    <format dxfId="83">
      <pivotArea dataOnly="0" labelOnly="1" outline="0" fieldPosition="0">
        <references count="1">
          <reference field="0" count="1">
            <x v="20"/>
          </reference>
        </references>
      </pivotArea>
    </format>
    <format dxfId="82">
      <pivotArea outline="0" fieldPosition="0">
        <references count="1">
          <reference field="0" count="1" selected="0">
            <x v="21"/>
          </reference>
        </references>
      </pivotArea>
    </format>
    <format dxfId="81">
      <pivotArea dataOnly="0" labelOnly="1" outline="0" fieldPosition="0">
        <references count="1">
          <reference field="0" count="1">
            <x v="21"/>
          </reference>
        </references>
      </pivotArea>
    </format>
    <format dxfId="80">
      <pivotArea outline="0" fieldPosition="0">
        <references count="1">
          <reference field="0" count="1" selected="0">
            <x v="22"/>
          </reference>
        </references>
      </pivotArea>
    </format>
    <format dxfId="79">
      <pivotArea dataOnly="0" labelOnly="1" outline="0" fieldPosition="0">
        <references count="1">
          <reference field="0" count="1">
            <x v="22"/>
          </reference>
        </references>
      </pivotArea>
    </format>
    <format dxfId="78">
      <pivotArea outline="0" fieldPosition="0">
        <references count="1">
          <reference field="0" count="1" selected="0">
            <x v="23"/>
          </reference>
        </references>
      </pivotArea>
    </format>
    <format dxfId="77">
      <pivotArea dataOnly="0" labelOnly="1" outline="0" fieldPosition="0">
        <references count="1">
          <reference field="0" count="1">
            <x v="23"/>
          </reference>
        </references>
      </pivotArea>
    </format>
    <format dxfId="76">
      <pivotArea outline="0" fieldPosition="0">
        <references count="1">
          <reference field="0" count="1" selected="0">
            <x v="24"/>
          </reference>
        </references>
      </pivotArea>
    </format>
    <format dxfId="75">
      <pivotArea dataOnly="0" labelOnly="1" outline="0" fieldPosition="0">
        <references count="1">
          <reference field="0" count="1">
            <x v="24"/>
          </reference>
        </references>
      </pivotArea>
    </format>
    <format dxfId="74">
      <pivotArea outline="0" fieldPosition="0">
        <references count="1">
          <reference field="0" count="1" selected="0">
            <x v="25"/>
          </reference>
        </references>
      </pivotArea>
    </format>
    <format dxfId="73">
      <pivotArea dataOnly="0" labelOnly="1" outline="0" fieldPosition="0">
        <references count="1">
          <reference field="0" count="1">
            <x v="25"/>
          </reference>
        </references>
      </pivotArea>
    </format>
    <format dxfId="72">
      <pivotArea grandRow="1" outline="0" fieldPosition="0"/>
    </format>
    <format dxfId="71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8" cacheId="1" dataOnRows="1" applyNumberFormats="0" applyBorderFormats="0" applyFontFormats="0" applyPatternFormats="0" applyAlignmentFormats="0" applyWidthHeightFormats="1" dataCaption="Data" updatedVersion="3" showItems="0" showMultipleLabel="0" showMemberPropertyTips="0" useAutoFormatting="1" itemPrintTitles="1" indent="0" compact="0" compactData="0" gridDropZones="1">
  <location ref="CC14:CD42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 SPACING" fld="5" baseField="0" baseItem="0"/>
  </dataFields>
  <formats count="16">
    <format dxfId="154">
      <pivotArea type="all" dataOnly="0" outline="0" fieldPosition="0"/>
    </format>
    <format dxfId="153">
      <pivotArea outline="0" fieldPosition="0">
        <references count="1">
          <reference field="0" count="1" selected="0">
            <x v="0"/>
          </reference>
        </references>
      </pivotArea>
    </format>
    <format dxfId="152">
      <pivotArea dataOnly="0" labelOnly="1" outline="0" fieldPosition="0">
        <references count="1">
          <reference field="0" count="1">
            <x v="0"/>
          </reference>
        </references>
      </pivotArea>
    </format>
    <format dxfId="151">
      <pivotArea outline="0" fieldPosition="0">
        <references count="1">
          <reference field="0" count="1" selected="0">
            <x v="16"/>
          </reference>
        </references>
      </pivotArea>
    </format>
    <format dxfId="150">
      <pivotArea grandRow="1" outline="0" fieldPosition="0"/>
    </format>
    <format dxfId="149">
      <pivotArea dataOnly="0" labelOnly="1" outline="0" fieldPosition="0">
        <references count="1">
          <reference field="0" count="1">
            <x v="16"/>
          </reference>
        </references>
      </pivotArea>
    </format>
    <format dxfId="148">
      <pivotArea dataOnly="0" labelOnly="1" grandRow="1" outline="0" fieldPosition="0"/>
    </format>
    <format dxfId="147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6">
      <pivotArea outline="0" fieldPosition="0"/>
    </format>
    <format dxfId="145">
      <pivotArea dataOnly="0" labelOnly="1" outline="0" fieldPosition="0">
        <references count="1">
          <reference field="0" count="0"/>
        </references>
      </pivotArea>
    </format>
    <format dxfId="144">
      <pivotArea dataOnly="0" labelOnly="1" grandRow="1" outline="0" fieldPosition="0"/>
    </format>
    <format dxfId="143">
      <pivotArea outline="0" fieldPosition="0">
        <references count="1">
          <reference field="0" count="1" selected="0">
            <x v="13"/>
          </reference>
        </references>
      </pivotArea>
    </format>
    <format dxfId="142">
      <pivotArea dataOnly="0" labelOnly="1" outline="0" fieldPosition="0">
        <references count="1">
          <reference field="0" count="1">
            <x v="13"/>
          </reference>
        </references>
      </pivotArea>
    </format>
    <format dxfId="141">
      <pivotArea type="origin" dataOnly="0" labelOnly="1" outline="0" fieldPosition="0"/>
    </format>
    <format dxfId="140">
      <pivotArea type="topRight" dataOnly="0" labelOnly="1" outline="0" fieldPosition="0"/>
    </format>
    <format dxfId="139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Q393:BR421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M SPACING" fld="3" baseField="0" baseItem="0"/>
  </dataFields>
  <formats count="26">
    <format dxfId="894">
      <pivotArea type="origin" dataOnly="0" labelOnly="1" outline="0" fieldPosition="0"/>
    </format>
    <format dxfId="893">
      <pivotArea field="0" type="button" dataOnly="0" labelOnly="1" outline="0" axis="axisRow" fieldPosition="0"/>
    </format>
    <format dxfId="892">
      <pivotArea dataOnly="0" labelOnly="1" outline="0" fieldPosition="0">
        <references count="1">
          <reference field="0" count="1">
            <x v="0"/>
          </reference>
        </references>
      </pivotArea>
    </format>
    <format dxfId="891">
      <pivotArea dataOnly="0" labelOnly="1" outline="0" fieldPosition="0">
        <references count="1">
          <reference field="0" count="1">
            <x v="1"/>
          </reference>
        </references>
      </pivotArea>
    </format>
    <format dxfId="890">
      <pivotArea dataOnly="0" labelOnly="1" outline="0" fieldPosition="0">
        <references count="1">
          <reference field="0" count="1">
            <x v="2"/>
          </reference>
        </references>
      </pivotArea>
    </format>
    <format dxfId="889">
      <pivotArea dataOnly="0" labelOnly="1" outline="0" fieldPosition="0">
        <references count="1">
          <reference field="0" count="1">
            <x v="3"/>
          </reference>
        </references>
      </pivotArea>
    </format>
    <format dxfId="888">
      <pivotArea dataOnly="0" labelOnly="1" outline="0" fieldPosition="0">
        <references count="1">
          <reference field="0" count="1">
            <x v="4"/>
          </reference>
        </references>
      </pivotArea>
    </format>
    <format dxfId="887">
      <pivotArea dataOnly="0" labelOnly="1" outline="0" fieldPosition="0">
        <references count="1">
          <reference field="0" count="1">
            <x v="5"/>
          </reference>
        </references>
      </pivotArea>
    </format>
    <format dxfId="886">
      <pivotArea dataOnly="0" labelOnly="1" grandRow="1" outline="0" fieldPosition="0"/>
    </format>
    <format dxfId="885">
      <pivotArea type="all" dataOnly="0" outline="0" fieldPosition="0"/>
    </format>
    <format dxfId="884">
      <pivotArea outline="0" fieldPosition="0">
        <references count="1">
          <reference field="0" count="1" selected="0">
            <x v="0"/>
          </reference>
        </references>
      </pivotArea>
    </format>
    <format dxfId="883">
      <pivotArea dataOnly="0" labelOnly="1" outline="0" fieldPosition="0">
        <references count="1">
          <reference field="0" count="1">
            <x v="0"/>
          </reference>
        </references>
      </pivotArea>
    </format>
    <format dxfId="882">
      <pivotArea outline="0" fieldPosition="0">
        <references count="1">
          <reference field="0" count="1" selected="0">
            <x v="16"/>
          </reference>
        </references>
      </pivotArea>
    </format>
    <format dxfId="881">
      <pivotArea grandRow="1" outline="0" fieldPosition="0"/>
    </format>
    <format dxfId="880">
      <pivotArea dataOnly="0" labelOnly="1" outline="0" fieldPosition="0">
        <references count="1">
          <reference field="0" count="1">
            <x v="16"/>
          </reference>
        </references>
      </pivotArea>
    </format>
    <format dxfId="879">
      <pivotArea dataOnly="0" labelOnly="1" grandRow="1" outline="0" fieldPosition="0"/>
    </format>
    <format dxfId="878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77">
      <pivotArea outline="0" fieldPosition="0"/>
    </format>
    <format dxfId="876">
      <pivotArea dataOnly="0" labelOnly="1" outline="0" fieldPosition="0">
        <references count="1">
          <reference field="0" count="0"/>
        </references>
      </pivotArea>
    </format>
    <format dxfId="875">
      <pivotArea dataOnly="0" labelOnly="1" grandRow="1" outline="0" fieldPosition="0"/>
    </format>
    <format dxfId="874">
      <pivotArea outline="0" fieldPosition="0">
        <references count="1">
          <reference field="0" count="1" selected="0">
            <x v="13"/>
          </reference>
        </references>
      </pivotArea>
    </format>
    <format dxfId="873">
      <pivotArea dataOnly="0" labelOnly="1" outline="0" fieldPosition="0">
        <references count="1">
          <reference field="0" count="1">
            <x v="13"/>
          </reference>
        </references>
      </pivotArea>
    </format>
    <format dxfId="872">
      <pivotArea type="origin" dataOnly="0" labelOnly="1" outline="0" fieldPosition="0"/>
    </format>
    <format dxfId="871">
      <pivotArea type="topRight" dataOnly="0" labelOnly="1" outline="0" fieldPosition="0"/>
    </format>
    <format dxfId="870">
      <pivotArea type="all" dataOnly="0" outline="0" fieldPosition="0"/>
    </format>
    <format dxfId="869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12" cacheId="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CF14:CG42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4"/>
        <item x="15"/>
        <item x="16"/>
        <item x="17"/>
        <item x="18"/>
        <item x="19"/>
        <item x="5"/>
        <item x="6"/>
        <item x="7"/>
        <item x="8"/>
        <item x="9"/>
        <item x="10"/>
        <item x="11"/>
        <item x="12"/>
        <item x="25"/>
        <item x="20"/>
        <item x="0"/>
        <item x="1"/>
        <item x="2"/>
        <item x="3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7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Remark" fld="8" baseField="0" baseItem="0"/>
  </dataFields>
  <formats count="15">
    <format dxfId="169">
      <pivotArea outline="0" fieldPosition="0">
        <references count="1">
          <reference field="0" count="1" selected="0">
            <x v="0"/>
          </reference>
        </references>
      </pivotArea>
    </format>
    <format dxfId="168">
      <pivotArea dataOnly="0" labelOnly="1" outline="0" fieldPosition="0">
        <references count="1">
          <reference field="0" count="1">
            <x v="0"/>
          </reference>
        </references>
      </pivotArea>
    </format>
    <format dxfId="167">
      <pivotArea outline="0" fieldPosition="0">
        <references count="1">
          <reference field="0" count="1" selected="0">
            <x v="16"/>
          </reference>
        </references>
      </pivotArea>
    </format>
    <format dxfId="166">
      <pivotArea grandRow="1" outline="0" fieldPosition="0"/>
    </format>
    <format dxfId="165">
      <pivotArea dataOnly="0" labelOnly="1" outline="0" fieldPosition="0">
        <references count="1">
          <reference field="0" count="1">
            <x v="16"/>
          </reference>
        </references>
      </pivotArea>
    </format>
    <format dxfId="164">
      <pivotArea dataOnly="0" labelOnly="1" grandRow="1" outline="0" fieldPosition="0"/>
    </format>
    <format dxfId="163">
      <pivotArea outline="0" fieldPosition="0">
        <references count="1">
          <reference field="0" count="12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62">
      <pivotArea outline="0" fieldPosition="0"/>
    </format>
    <format dxfId="161">
      <pivotArea dataOnly="0" labelOnly="1" outline="0" fieldPosition="0">
        <references count="1">
          <reference field="0" count="0"/>
        </references>
      </pivotArea>
    </format>
    <format dxfId="160">
      <pivotArea dataOnly="0" labelOnly="1" grandRow="1" outline="0" fieldPosition="0"/>
    </format>
    <format dxfId="159">
      <pivotArea outline="0" fieldPosition="0">
        <references count="1">
          <reference field="0" count="1" selected="0">
            <x v="13"/>
          </reference>
        </references>
      </pivotArea>
    </format>
    <format dxfId="158">
      <pivotArea dataOnly="0" labelOnly="1" outline="0" fieldPosition="0">
        <references count="1">
          <reference field="0" count="1">
            <x v="13"/>
          </reference>
        </references>
      </pivotArea>
    </format>
    <format dxfId="157">
      <pivotArea type="origin" dataOnly="0" labelOnly="1" outline="0" fieldPosition="0"/>
    </format>
    <format dxfId="156">
      <pivotArea type="topRight" dataOnly="0" labelOnly="1" outline="0" fieldPosition="0"/>
    </format>
    <format dxfId="155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22" cacheId="0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Q353:BR381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M SPACING" fld="3" baseField="0" baseItem="0"/>
  </dataFields>
  <formats count="80">
    <format dxfId="249">
      <pivotArea type="origin" dataOnly="0" labelOnly="1" outline="0" fieldPosition="0"/>
    </format>
    <format dxfId="248">
      <pivotArea field="0" type="button" dataOnly="0" labelOnly="1" outline="0" axis="axisRow" fieldPosition="0"/>
    </format>
    <format dxfId="247">
      <pivotArea dataOnly="0" labelOnly="1" outline="0" fieldPosition="0">
        <references count="1">
          <reference field="0" count="1">
            <x v="0"/>
          </reference>
        </references>
      </pivotArea>
    </format>
    <format dxfId="246">
      <pivotArea dataOnly="0" labelOnly="1" outline="0" fieldPosition="0">
        <references count="1">
          <reference field="0" count="1">
            <x v="1"/>
          </reference>
        </references>
      </pivotArea>
    </format>
    <format dxfId="245">
      <pivotArea dataOnly="0" labelOnly="1" outline="0" fieldPosition="0">
        <references count="1">
          <reference field="0" count="1">
            <x v="2"/>
          </reference>
        </references>
      </pivotArea>
    </format>
    <format dxfId="244">
      <pivotArea dataOnly="0" labelOnly="1" outline="0" fieldPosition="0">
        <references count="1">
          <reference field="0" count="1">
            <x v="3"/>
          </reference>
        </references>
      </pivotArea>
    </format>
    <format dxfId="243">
      <pivotArea dataOnly="0" labelOnly="1" outline="0" fieldPosition="0">
        <references count="1">
          <reference field="0" count="1">
            <x v="4"/>
          </reference>
        </references>
      </pivotArea>
    </format>
    <format dxfId="242">
      <pivotArea dataOnly="0" labelOnly="1" outline="0" fieldPosition="0">
        <references count="1">
          <reference field="0" count="1">
            <x v="5"/>
          </reference>
        </references>
      </pivotArea>
    </format>
    <format dxfId="241">
      <pivotArea dataOnly="0" labelOnly="1" grandRow="1" outline="0" fieldPosition="0"/>
    </format>
    <format dxfId="240">
      <pivotArea type="all" dataOnly="0" outline="0" fieldPosition="0"/>
    </format>
    <format dxfId="239">
      <pivotArea outline="0" fieldPosition="0">
        <references count="1">
          <reference field="0" count="1" selected="0">
            <x v="0"/>
          </reference>
        </references>
      </pivotArea>
    </format>
    <format dxfId="238">
      <pivotArea dataOnly="0" labelOnly="1" outline="0" fieldPosition="0">
        <references count="1">
          <reference field="0" count="1">
            <x v="0"/>
          </reference>
        </references>
      </pivotArea>
    </format>
    <format dxfId="237">
      <pivotArea outline="0" fieldPosition="0">
        <references count="1">
          <reference field="0" count="1" selected="0">
            <x v="16"/>
          </reference>
        </references>
      </pivotArea>
    </format>
    <format dxfId="236">
      <pivotArea grandRow="1" outline="0" fieldPosition="0"/>
    </format>
    <format dxfId="235">
      <pivotArea dataOnly="0" labelOnly="1" outline="0" fieldPosition="0">
        <references count="1">
          <reference field="0" count="1">
            <x v="16"/>
          </reference>
        </references>
      </pivotArea>
    </format>
    <format dxfId="234">
      <pivotArea dataOnly="0" labelOnly="1" grandRow="1" outline="0" fieldPosition="0"/>
    </format>
    <format dxfId="233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32">
      <pivotArea outline="0" fieldPosition="0"/>
    </format>
    <format dxfId="231">
      <pivotArea dataOnly="0" labelOnly="1" outline="0" fieldPosition="0">
        <references count="1">
          <reference field="0" count="0"/>
        </references>
      </pivotArea>
    </format>
    <format dxfId="230">
      <pivotArea dataOnly="0" labelOnly="1" grandRow="1" outline="0" fieldPosition="0"/>
    </format>
    <format dxfId="229">
      <pivotArea outline="0" fieldPosition="0">
        <references count="1">
          <reference field="0" count="1" selected="0">
            <x v="13"/>
          </reference>
        </references>
      </pivotArea>
    </format>
    <format dxfId="228">
      <pivotArea dataOnly="0" labelOnly="1" outline="0" fieldPosition="0">
        <references count="1">
          <reference field="0" count="1">
            <x v="13"/>
          </reference>
        </references>
      </pivotArea>
    </format>
    <format dxfId="227">
      <pivotArea type="origin" dataOnly="0" labelOnly="1" outline="0" fieldPosition="0"/>
    </format>
    <format dxfId="226">
      <pivotArea type="topRight" dataOnly="0" labelOnly="1" outline="0" fieldPosition="0"/>
    </format>
    <format dxfId="225">
      <pivotArea type="all" dataOnly="0" outline="0" fieldPosition="0"/>
    </format>
    <format dxfId="224">
      <pivotArea type="origin" dataOnly="0" labelOnly="1" outline="0" fieldPosition="0"/>
    </format>
    <format dxfId="223">
      <pivotArea type="topRight" dataOnly="0" labelOnly="1" outline="0" fieldPosition="0"/>
    </format>
    <format dxfId="222">
      <pivotArea field="0" type="button" dataOnly="0" labelOnly="1" outline="0" axis="axisRow" fieldPosition="0"/>
    </format>
    <format dxfId="221">
      <pivotArea outline="0" fieldPosition="0">
        <references count="1">
          <reference field="0" count="1" selected="0">
            <x v="0"/>
          </reference>
        </references>
      </pivotArea>
    </format>
    <format dxfId="220">
      <pivotArea dataOnly="0" labelOnly="1" outline="0" fieldPosition="0">
        <references count="1">
          <reference field="0" count="1">
            <x v="0"/>
          </reference>
        </references>
      </pivotArea>
    </format>
    <format dxfId="219">
      <pivotArea outline="0" fieldPosition="0">
        <references count="1">
          <reference field="0" count="1" selected="0">
            <x v="1"/>
          </reference>
        </references>
      </pivotArea>
    </format>
    <format dxfId="218">
      <pivotArea dataOnly="0" labelOnly="1" outline="0" fieldPosition="0">
        <references count="1">
          <reference field="0" count="1">
            <x v="1"/>
          </reference>
        </references>
      </pivotArea>
    </format>
    <format dxfId="217">
      <pivotArea outline="0" fieldPosition="0">
        <references count="1">
          <reference field="0" count="1" selected="0">
            <x v="2"/>
          </reference>
        </references>
      </pivotArea>
    </format>
    <format dxfId="216">
      <pivotArea dataOnly="0" labelOnly="1" outline="0" fieldPosition="0">
        <references count="1">
          <reference field="0" count="1">
            <x v="2"/>
          </reference>
        </references>
      </pivotArea>
    </format>
    <format dxfId="215">
      <pivotArea outline="0" fieldPosition="0">
        <references count="1">
          <reference field="0" count="1" selected="0">
            <x v="3"/>
          </reference>
        </references>
      </pivotArea>
    </format>
    <format dxfId="214">
      <pivotArea dataOnly="0" labelOnly="1" outline="0" fieldPosition="0">
        <references count="1">
          <reference field="0" count="1">
            <x v="3"/>
          </reference>
        </references>
      </pivotArea>
    </format>
    <format dxfId="213">
      <pivotArea outline="0" fieldPosition="0">
        <references count="1">
          <reference field="0" count="1" selected="0">
            <x v="4"/>
          </reference>
        </references>
      </pivotArea>
    </format>
    <format dxfId="212">
      <pivotArea dataOnly="0" labelOnly="1" outline="0" fieldPosition="0">
        <references count="1">
          <reference field="0" count="1">
            <x v="4"/>
          </reference>
        </references>
      </pivotArea>
    </format>
    <format dxfId="211">
      <pivotArea outline="0" fieldPosition="0">
        <references count="1">
          <reference field="0" count="1" selected="0">
            <x v="6"/>
          </reference>
        </references>
      </pivotArea>
    </format>
    <format dxfId="210">
      <pivotArea dataOnly="0" labelOnly="1" outline="0" fieldPosition="0">
        <references count="1">
          <reference field="0" count="1">
            <x v="6"/>
          </reference>
        </references>
      </pivotArea>
    </format>
    <format dxfId="209">
      <pivotArea outline="0" fieldPosition="0">
        <references count="1">
          <reference field="0" count="1" selected="0">
            <x v="7"/>
          </reference>
        </references>
      </pivotArea>
    </format>
    <format dxfId="208">
      <pivotArea dataOnly="0" labelOnly="1" outline="0" fieldPosition="0">
        <references count="1">
          <reference field="0" count="1">
            <x v="7"/>
          </reference>
        </references>
      </pivotArea>
    </format>
    <format dxfId="207">
      <pivotArea outline="0" fieldPosition="0">
        <references count="1">
          <reference field="0" count="1" selected="0">
            <x v="8"/>
          </reference>
        </references>
      </pivotArea>
    </format>
    <format dxfId="206">
      <pivotArea dataOnly="0" labelOnly="1" outline="0" fieldPosition="0">
        <references count="1">
          <reference field="0" count="1">
            <x v="8"/>
          </reference>
        </references>
      </pivotArea>
    </format>
    <format dxfId="205">
      <pivotArea outline="0" fieldPosition="0">
        <references count="1">
          <reference field="0" count="1" selected="0">
            <x v="9"/>
          </reference>
        </references>
      </pivotArea>
    </format>
    <format dxfId="204">
      <pivotArea dataOnly="0" labelOnly="1" outline="0" fieldPosition="0">
        <references count="1">
          <reference field="0" count="1">
            <x v="9"/>
          </reference>
        </references>
      </pivotArea>
    </format>
    <format dxfId="203">
      <pivotArea outline="0" fieldPosition="0">
        <references count="1">
          <reference field="0" count="1" selected="0">
            <x v="10"/>
          </reference>
        </references>
      </pivotArea>
    </format>
    <format dxfId="202">
      <pivotArea dataOnly="0" labelOnly="1" outline="0" fieldPosition="0">
        <references count="1">
          <reference field="0" count="1">
            <x v="10"/>
          </reference>
        </references>
      </pivotArea>
    </format>
    <format dxfId="201">
      <pivotArea outline="0" fieldPosition="0">
        <references count="1">
          <reference field="0" count="1" selected="0">
            <x v="11"/>
          </reference>
        </references>
      </pivotArea>
    </format>
    <format dxfId="200">
      <pivotArea dataOnly="0" labelOnly="1" outline="0" fieldPosition="0">
        <references count="1">
          <reference field="0" count="1">
            <x v="11"/>
          </reference>
        </references>
      </pivotArea>
    </format>
    <format dxfId="199">
      <pivotArea outline="0" fieldPosition="0">
        <references count="1">
          <reference field="0" count="1" selected="0">
            <x v="12"/>
          </reference>
        </references>
      </pivotArea>
    </format>
    <format dxfId="198">
      <pivotArea dataOnly="0" labelOnly="1" outline="0" fieldPosition="0">
        <references count="1">
          <reference field="0" count="1">
            <x v="12"/>
          </reference>
        </references>
      </pivotArea>
    </format>
    <format dxfId="197">
      <pivotArea outline="0" fieldPosition="0">
        <references count="1">
          <reference field="0" count="1" selected="0">
            <x v="13"/>
          </reference>
        </references>
      </pivotArea>
    </format>
    <format dxfId="196">
      <pivotArea dataOnly="0" labelOnly="1" outline="0" fieldPosition="0">
        <references count="1">
          <reference field="0" count="1">
            <x v="13"/>
          </reference>
        </references>
      </pivotArea>
    </format>
    <format dxfId="195">
      <pivotArea outline="0" fieldPosition="0">
        <references count="1">
          <reference field="0" count="1" selected="0">
            <x v="14"/>
          </reference>
        </references>
      </pivotArea>
    </format>
    <format dxfId="194">
      <pivotArea dataOnly="0" labelOnly="1" outline="0" fieldPosition="0">
        <references count="1">
          <reference field="0" count="1">
            <x v="14"/>
          </reference>
        </references>
      </pivotArea>
    </format>
    <format dxfId="193">
      <pivotArea outline="0" fieldPosition="0">
        <references count="1">
          <reference field="0" count="1" selected="0">
            <x v="15"/>
          </reference>
        </references>
      </pivotArea>
    </format>
    <format dxfId="192">
      <pivotArea dataOnly="0" labelOnly="1" outline="0" fieldPosition="0">
        <references count="1">
          <reference field="0" count="1">
            <x v="15"/>
          </reference>
        </references>
      </pivotArea>
    </format>
    <format dxfId="191">
      <pivotArea outline="0" fieldPosition="0">
        <references count="1">
          <reference field="0" count="1" selected="0">
            <x v="16"/>
          </reference>
        </references>
      </pivotArea>
    </format>
    <format dxfId="190">
      <pivotArea dataOnly="0" labelOnly="1" outline="0" fieldPosition="0">
        <references count="1">
          <reference field="0" count="1">
            <x v="16"/>
          </reference>
        </references>
      </pivotArea>
    </format>
    <format dxfId="189">
      <pivotArea outline="0" fieldPosition="0">
        <references count="1">
          <reference field="0" count="1" selected="0">
            <x v="17"/>
          </reference>
        </references>
      </pivotArea>
    </format>
    <format dxfId="188">
      <pivotArea dataOnly="0" labelOnly="1" outline="0" fieldPosition="0">
        <references count="1">
          <reference field="0" count="1">
            <x v="17"/>
          </reference>
        </references>
      </pivotArea>
    </format>
    <format dxfId="187">
      <pivotArea outline="0" fieldPosition="0">
        <references count="1">
          <reference field="0" count="1" selected="0">
            <x v="18"/>
          </reference>
        </references>
      </pivotArea>
    </format>
    <format dxfId="186">
      <pivotArea dataOnly="0" labelOnly="1" outline="0" fieldPosition="0">
        <references count="1">
          <reference field="0" count="1">
            <x v="18"/>
          </reference>
        </references>
      </pivotArea>
    </format>
    <format dxfId="185">
      <pivotArea outline="0" fieldPosition="0">
        <references count="1">
          <reference field="0" count="1" selected="0">
            <x v="19"/>
          </reference>
        </references>
      </pivotArea>
    </format>
    <format dxfId="184">
      <pivotArea dataOnly="0" labelOnly="1" outline="0" fieldPosition="0">
        <references count="1">
          <reference field="0" count="1">
            <x v="19"/>
          </reference>
        </references>
      </pivotArea>
    </format>
    <format dxfId="183">
      <pivotArea outline="0" fieldPosition="0">
        <references count="1">
          <reference field="0" count="1" selected="0">
            <x v="20"/>
          </reference>
        </references>
      </pivotArea>
    </format>
    <format dxfId="182">
      <pivotArea dataOnly="0" labelOnly="1" outline="0" fieldPosition="0">
        <references count="1">
          <reference field="0" count="1">
            <x v="20"/>
          </reference>
        </references>
      </pivotArea>
    </format>
    <format dxfId="181">
      <pivotArea outline="0" fieldPosition="0">
        <references count="1">
          <reference field="0" count="1" selected="0">
            <x v="21"/>
          </reference>
        </references>
      </pivotArea>
    </format>
    <format dxfId="180">
      <pivotArea dataOnly="0" labelOnly="1" outline="0" fieldPosition="0">
        <references count="1">
          <reference field="0" count="1">
            <x v="21"/>
          </reference>
        </references>
      </pivotArea>
    </format>
    <format dxfId="179">
      <pivotArea outline="0" fieldPosition="0">
        <references count="1">
          <reference field="0" count="1" selected="0">
            <x v="22"/>
          </reference>
        </references>
      </pivotArea>
    </format>
    <format dxfId="178">
      <pivotArea dataOnly="0" labelOnly="1" outline="0" fieldPosition="0">
        <references count="1">
          <reference field="0" count="1">
            <x v="22"/>
          </reference>
        </references>
      </pivotArea>
    </format>
    <format dxfId="177">
      <pivotArea outline="0" fieldPosition="0">
        <references count="1">
          <reference field="0" count="1" selected="0">
            <x v="23"/>
          </reference>
        </references>
      </pivotArea>
    </format>
    <format dxfId="176">
      <pivotArea dataOnly="0" labelOnly="1" outline="0" fieldPosition="0">
        <references count="1">
          <reference field="0" count="1">
            <x v="23"/>
          </reference>
        </references>
      </pivotArea>
    </format>
    <format dxfId="175">
      <pivotArea outline="0" fieldPosition="0">
        <references count="1">
          <reference field="0" count="1" selected="0">
            <x v="24"/>
          </reference>
        </references>
      </pivotArea>
    </format>
    <format dxfId="174">
      <pivotArea dataOnly="0" labelOnly="1" outline="0" fieldPosition="0">
        <references count="1">
          <reference field="0" count="1">
            <x v="24"/>
          </reference>
        </references>
      </pivotArea>
    </format>
    <format dxfId="173">
      <pivotArea outline="0" fieldPosition="0">
        <references count="1">
          <reference field="0" count="1" selected="0">
            <x v="25"/>
          </reference>
        </references>
      </pivotArea>
    </format>
    <format dxfId="172">
      <pivotArea dataOnly="0" labelOnly="1" outline="0" fieldPosition="0">
        <references count="1">
          <reference field="0" count="1">
            <x v="25"/>
          </reference>
        </references>
      </pivotArea>
    </format>
    <format dxfId="171">
      <pivotArea grandRow="1" outline="0" fieldPosition="0"/>
    </format>
    <format dxfId="170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14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Z198:CA226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5"/>
        <item x="17"/>
        <item x="18"/>
        <item x="21"/>
        <item x="22"/>
        <item x="5"/>
        <item x="6"/>
        <item x="7"/>
        <item x="8"/>
        <item x="9"/>
        <item x="10"/>
        <item x="11"/>
        <item x="12"/>
        <item x="14"/>
        <item x="16"/>
        <item x="19"/>
        <item x="25"/>
        <item x="20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nt up bars Dist" fld="7" baseField="0" baseItem="0"/>
  </dataFields>
  <formats count="16">
    <format dxfId="265">
      <pivotArea type="all" dataOnly="0" outline="0" fieldPosition="0"/>
    </format>
    <format dxfId="264">
      <pivotArea outline="0" fieldPosition="0">
        <references count="1">
          <reference field="0" count="1" selected="0">
            <x v="0"/>
          </reference>
        </references>
      </pivotArea>
    </format>
    <format dxfId="263">
      <pivotArea dataOnly="0" labelOnly="1" outline="0" fieldPosition="0">
        <references count="1">
          <reference field="0" count="1">
            <x v="0"/>
          </reference>
        </references>
      </pivotArea>
    </format>
    <format dxfId="262">
      <pivotArea outline="0" fieldPosition="0">
        <references count="1">
          <reference field="0" count="1" selected="0">
            <x v="18"/>
          </reference>
        </references>
      </pivotArea>
    </format>
    <format dxfId="261">
      <pivotArea grandRow="1" outline="0" fieldPosition="0"/>
    </format>
    <format dxfId="260">
      <pivotArea dataOnly="0" labelOnly="1" outline="0" fieldPosition="0">
        <references count="1">
          <reference field="0" count="1">
            <x v="18"/>
          </reference>
        </references>
      </pivotArea>
    </format>
    <format dxfId="259">
      <pivotArea dataOnly="0" labelOnly="1" grandRow="1" outline="0" fieldPosition="0"/>
    </format>
    <format dxfId="258">
      <pivotArea outline="0" fieldPosition="0">
        <references count="1">
          <reference field="0" count="12" selected="0">
            <x v="0"/>
            <x v="1"/>
            <x v="3"/>
            <x v="4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57">
      <pivotArea outline="0" fieldPosition="0"/>
    </format>
    <format dxfId="256">
      <pivotArea dataOnly="0" labelOnly="1" outline="0" fieldPosition="0">
        <references count="1">
          <reference field="0" count="0"/>
        </references>
      </pivotArea>
    </format>
    <format dxfId="255">
      <pivotArea dataOnly="0" labelOnly="1" grandRow="1" outline="0" fieldPosition="0"/>
    </format>
    <format dxfId="254">
      <pivotArea outline="0" fieldPosition="0">
        <references count="1">
          <reference field="0" count="1" selected="0">
            <x v="15"/>
          </reference>
        </references>
      </pivotArea>
    </format>
    <format dxfId="253">
      <pivotArea dataOnly="0" labelOnly="1" outline="0" fieldPosition="0">
        <references count="1">
          <reference field="0" count="1">
            <x v="15"/>
          </reference>
        </references>
      </pivotArea>
    </format>
    <format dxfId="252">
      <pivotArea type="origin" dataOnly="0" labelOnly="1" outline="0" fieldPosition="0"/>
    </format>
    <format dxfId="251">
      <pivotArea type="topRight" dataOnly="0" labelOnly="1" outline="0" fieldPosition="0"/>
    </format>
    <format dxfId="25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13" cacheId="1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N14:BO42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M DIA" fld="2" baseField="0" baseItem="0"/>
  </dataFields>
  <formats count="18">
    <format dxfId="283">
      <pivotArea type="all" dataOnly="0" outline="0" fieldPosition="0"/>
    </format>
    <format dxfId="282">
      <pivotArea outline="0" fieldPosition="0">
        <references count="1">
          <reference field="0" count="1" selected="0">
            <x v="0"/>
          </reference>
        </references>
      </pivotArea>
    </format>
    <format dxfId="281">
      <pivotArea dataOnly="0" labelOnly="1" outline="0" fieldPosition="0">
        <references count="1">
          <reference field="0" count="1">
            <x v="0"/>
          </reference>
        </references>
      </pivotArea>
    </format>
    <format dxfId="280">
      <pivotArea outline="0" fieldPosition="0">
        <references count="1">
          <reference field="0" count="1" selected="0">
            <x v="16"/>
          </reference>
        </references>
      </pivotArea>
    </format>
    <format dxfId="279">
      <pivotArea grandRow="1" outline="0" fieldPosition="0"/>
    </format>
    <format dxfId="278">
      <pivotArea dataOnly="0" labelOnly="1" grandRow="1" outline="0" fieldPosition="0"/>
    </format>
    <format dxfId="277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76">
      <pivotArea dataOnly="0" outline="0" fieldPosition="0">
        <references count="1">
          <reference field="0" count="0"/>
        </references>
      </pivotArea>
    </format>
    <format dxfId="275">
      <pivotArea grandRow="1" outline="0" fieldPosition="0"/>
    </format>
    <format dxfId="274">
      <pivotArea dataOnly="0" labelOnly="1" grandRow="1" outline="0" fieldPosition="0"/>
    </format>
    <format dxfId="273">
      <pivotArea outline="0" fieldPosition="0"/>
    </format>
    <format dxfId="272">
      <pivotArea dataOnly="0" labelOnly="1" outline="0" fieldPosition="0">
        <references count="1">
          <reference field="0" count="0"/>
        </references>
      </pivotArea>
    </format>
    <format dxfId="271">
      <pivotArea dataOnly="0" labelOnly="1" grandRow="1" outline="0" fieldPosition="0"/>
    </format>
    <format dxfId="270">
      <pivotArea outline="0" fieldPosition="0">
        <references count="1">
          <reference field="0" count="1" selected="0">
            <x v="13"/>
          </reference>
        </references>
      </pivotArea>
    </format>
    <format dxfId="269">
      <pivotArea dataOnly="0" labelOnly="1" outline="0" fieldPosition="0">
        <references count="1">
          <reference field="0" count="1">
            <x v="13"/>
          </reference>
        </references>
      </pivotArea>
    </format>
    <format dxfId="268">
      <pivotArea type="origin" dataOnly="0" labelOnly="1" outline="0" fieldPosition="0"/>
    </format>
    <format dxfId="267">
      <pivotArea type="topRight" dataOnly="0" labelOnly="1" outline="0" fieldPosition="0"/>
    </format>
    <format dxfId="266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N198:BO226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M DIA" fld="2" baseField="0" baseItem="0"/>
  </dataFields>
  <formats count="18">
    <format dxfId="301">
      <pivotArea type="all" dataOnly="0" outline="0" fieldPosition="0"/>
    </format>
    <format dxfId="300">
      <pivotArea outline="0" fieldPosition="0">
        <references count="1">
          <reference field="0" count="1" selected="0">
            <x v="0"/>
          </reference>
        </references>
      </pivotArea>
    </format>
    <format dxfId="299">
      <pivotArea dataOnly="0" labelOnly="1" outline="0" fieldPosition="0">
        <references count="1">
          <reference field="0" count="1">
            <x v="0"/>
          </reference>
        </references>
      </pivotArea>
    </format>
    <format dxfId="298">
      <pivotArea outline="0" fieldPosition="0">
        <references count="1">
          <reference field="0" count="1" selected="0">
            <x v="16"/>
          </reference>
        </references>
      </pivotArea>
    </format>
    <format dxfId="297">
      <pivotArea grandRow="1" outline="0" fieldPosition="0"/>
    </format>
    <format dxfId="296">
      <pivotArea dataOnly="0" labelOnly="1" grandRow="1" outline="0" fieldPosition="0"/>
    </format>
    <format dxfId="295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94">
      <pivotArea dataOnly="0" outline="0" fieldPosition="0">
        <references count="1">
          <reference field="0" count="0"/>
        </references>
      </pivotArea>
    </format>
    <format dxfId="293">
      <pivotArea grandRow="1" outline="0" fieldPosition="0"/>
    </format>
    <format dxfId="292">
      <pivotArea dataOnly="0" labelOnly="1" grandRow="1" outline="0" fieldPosition="0"/>
    </format>
    <format dxfId="291">
      <pivotArea outline="0" fieldPosition="0"/>
    </format>
    <format dxfId="290">
      <pivotArea dataOnly="0" labelOnly="1" outline="0" fieldPosition="0">
        <references count="1">
          <reference field="0" count="0"/>
        </references>
      </pivotArea>
    </format>
    <format dxfId="289">
      <pivotArea dataOnly="0" labelOnly="1" grandRow="1" outline="0" fieldPosition="0"/>
    </format>
    <format dxfId="288">
      <pivotArea outline="0" fieldPosition="0">
        <references count="1">
          <reference field="0" count="1" selected="0">
            <x v="13"/>
          </reference>
        </references>
      </pivotArea>
    </format>
    <format dxfId="287">
      <pivotArea dataOnly="0" labelOnly="1" outline="0" fieldPosition="0">
        <references count="1">
          <reference field="0" count="1">
            <x v="13"/>
          </reference>
        </references>
      </pivotArea>
    </format>
    <format dxfId="286">
      <pivotArea type="origin" dataOnly="0" labelOnly="1" outline="0" fieldPosition="0"/>
    </format>
    <format dxfId="285">
      <pivotArea type="topRight" dataOnly="0" labelOnly="1" outline="0" fieldPosition="0"/>
    </format>
    <format dxfId="28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21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W198:BX226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4"/>
        <item x="15"/>
        <item x="16"/>
        <item x="17"/>
        <item x="5"/>
        <item x="6"/>
        <item x="7"/>
        <item x="8"/>
        <item x="9"/>
        <item x="10"/>
        <item x="11"/>
        <item x="12"/>
        <item x="25"/>
        <item x="18"/>
        <item x="19"/>
        <item x="20"/>
        <item x="0"/>
        <item x="1"/>
        <item x="2"/>
        <item x="3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 DIA" fld="4" baseField="0" baseItem="0"/>
  </dataFields>
  <formats count="13">
    <format dxfId="314">
      <pivotArea outline="0" fieldPosition="0">
        <references count="1">
          <reference field="0" count="1" selected="0">
            <x v="16"/>
          </reference>
        </references>
      </pivotArea>
    </format>
    <format dxfId="313">
      <pivotArea grandRow="1" outline="0" fieldPosition="0"/>
    </format>
    <format dxfId="312">
      <pivotArea dataOnly="0" labelOnly="1" outline="0" fieldPosition="0">
        <references count="1">
          <reference field="0" count="1">
            <x v="16"/>
          </reference>
        </references>
      </pivotArea>
    </format>
    <format dxfId="311">
      <pivotArea dataOnly="0" labelOnly="1" grandRow="1" outline="0" fieldPosition="0"/>
    </format>
    <format dxfId="310">
      <pivotArea outline="0" fieldPosition="0">
        <references count="1">
          <reference field="0" count="12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09">
      <pivotArea outline="0" fieldPosition="0"/>
    </format>
    <format dxfId="308">
      <pivotArea dataOnly="0" labelOnly="1" outline="0" fieldPosition="0">
        <references count="1">
          <reference field="0" count="0"/>
        </references>
      </pivotArea>
    </format>
    <format dxfId="307">
      <pivotArea dataOnly="0" labelOnly="1" grandRow="1" outline="0" fieldPosition="0"/>
    </format>
    <format dxfId="306">
      <pivotArea outline="0" fieldPosition="0">
        <references count="1">
          <reference field="0" count="1" selected="0">
            <x v="13"/>
          </reference>
        </references>
      </pivotArea>
    </format>
    <format dxfId="305">
      <pivotArea dataOnly="0" labelOnly="1" outline="0" fieldPosition="0">
        <references count="1">
          <reference field="0" count="1">
            <x v="13"/>
          </reference>
        </references>
      </pivotArea>
    </format>
    <format dxfId="304">
      <pivotArea type="origin" dataOnly="0" labelOnly="1" outline="0" fieldPosition="0"/>
    </format>
    <format dxfId="303">
      <pivotArea type="topRight" dataOnly="0" labelOnly="1" outline="0" fieldPosition="0"/>
    </format>
    <format dxfId="302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11" cacheId="0" dataOnRows="1" applyNumberFormats="0" applyBorderFormats="0" applyFontFormats="0" applyPatternFormats="0" applyAlignmentFormats="0" applyWidthHeightFormats="1" dataCaption="Data" updatedVersion="3" showItems="0" showMultipleLabel="0" showMemberPropertyTips="0" useAutoFormatting="1" itemPrintTitles="1" indent="0" compact="0" compactData="0" gridDropZones="1">
  <location ref="BT198:BU226" firstHeaderRow="2" firstDataRow="2" firstDataCol="1"/>
  <pivotFields count="9">
    <pivotField axis="axisRow" compact="0" outline="0" subtotalTop="0" showAll="0" includeNewItemsInFilter="1">
      <items count="27">
        <item x="5"/>
        <item x="6"/>
        <item x="7"/>
        <item x="8"/>
        <item x="9"/>
        <item x="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7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nt up bars main" fld="6" baseField="0" baseItem="0"/>
  </dataFields>
  <formats count="16">
    <format dxfId="330">
      <pivotArea type="all" dataOnly="0" outline="0" fieldPosition="0"/>
    </format>
    <format dxfId="329">
      <pivotArea outline="0" fieldPosition="0">
        <references count="1">
          <reference field="0" count="1" selected="0">
            <x v="0"/>
          </reference>
        </references>
      </pivotArea>
    </format>
    <format dxfId="328">
      <pivotArea dataOnly="0" labelOnly="1" outline="0" fieldPosition="0">
        <references count="1">
          <reference field="0" count="1">
            <x v="0"/>
          </reference>
        </references>
      </pivotArea>
    </format>
    <format dxfId="327">
      <pivotArea outline="0" fieldPosition="0">
        <references count="1">
          <reference field="0" count="1" selected="0">
            <x v="18"/>
          </reference>
        </references>
      </pivotArea>
    </format>
    <format dxfId="326">
      <pivotArea grandRow="1" outline="0" fieldPosition="0"/>
    </format>
    <format dxfId="325">
      <pivotArea dataOnly="0" labelOnly="1" outline="0" fieldPosition="0">
        <references count="1">
          <reference field="0" count="1">
            <x v="18"/>
          </reference>
        </references>
      </pivotArea>
    </format>
    <format dxfId="324">
      <pivotArea dataOnly="0" labelOnly="1" grandRow="1" outline="0" fieldPosition="0"/>
    </format>
    <format dxfId="323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</reference>
        </references>
      </pivotArea>
    </format>
    <format dxfId="322">
      <pivotArea outline="0" fieldPosition="0"/>
    </format>
    <format dxfId="321">
      <pivotArea dataOnly="0" labelOnly="1" outline="0" fieldPosition="0">
        <references count="1">
          <reference field="0" count="0"/>
        </references>
      </pivotArea>
    </format>
    <format dxfId="320">
      <pivotArea dataOnly="0" labelOnly="1" grandRow="1" outline="0" fieldPosition="0"/>
    </format>
    <format dxfId="319">
      <pivotArea outline="0" fieldPosition="0">
        <references count="1">
          <reference field="0" count="1" selected="0">
            <x v="13"/>
          </reference>
        </references>
      </pivotArea>
    </format>
    <format dxfId="318">
      <pivotArea dataOnly="0" labelOnly="1" outline="0" fieldPosition="0">
        <references count="1">
          <reference field="0" count="1">
            <x v="13"/>
          </reference>
        </references>
      </pivotArea>
    </format>
    <format dxfId="317">
      <pivotArea type="origin" dataOnly="0" labelOnly="1" outline="0" fieldPosition="0"/>
    </format>
    <format dxfId="316">
      <pivotArea type="topRight" dataOnly="0" labelOnly="1" outline="0" fieldPosition="0"/>
    </format>
    <format dxfId="315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16" cacheId="0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Q198:BR226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M SPACING" fld="3" baseField="0" baseItem="0"/>
  </dataFields>
  <formats count="25">
    <format dxfId="355">
      <pivotArea type="origin" dataOnly="0" labelOnly="1" outline="0" fieldPosition="0"/>
    </format>
    <format dxfId="354">
      <pivotArea field="0" type="button" dataOnly="0" labelOnly="1" outline="0" axis="axisRow" fieldPosition="0"/>
    </format>
    <format dxfId="353">
      <pivotArea dataOnly="0" labelOnly="1" outline="0" fieldPosition="0">
        <references count="1">
          <reference field="0" count="1">
            <x v="0"/>
          </reference>
        </references>
      </pivotArea>
    </format>
    <format dxfId="352">
      <pivotArea dataOnly="0" labelOnly="1" outline="0" fieldPosition="0">
        <references count="1">
          <reference field="0" count="1">
            <x v="1"/>
          </reference>
        </references>
      </pivotArea>
    </format>
    <format dxfId="351">
      <pivotArea dataOnly="0" labelOnly="1" outline="0" fieldPosition="0">
        <references count="1">
          <reference field="0" count="1">
            <x v="2"/>
          </reference>
        </references>
      </pivotArea>
    </format>
    <format dxfId="350">
      <pivotArea dataOnly="0" labelOnly="1" outline="0" fieldPosition="0">
        <references count="1">
          <reference field="0" count="1">
            <x v="3"/>
          </reference>
        </references>
      </pivotArea>
    </format>
    <format dxfId="349">
      <pivotArea dataOnly="0" labelOnly="1" outline="0" fieldPosition="0">
        <references count="1">
          <reference field="0" count="1">
            <x v="4"/>
          </reference>
        </references>
      </pivotArea>
    </format>
    <format dxfId="348">
      <pivotArea dataOnly="0" labelOnly="1" outline="0" fieldPosition="0">
        <references count="1">
          <reference field="0" count="1">
            <x v="5"/>
          </reference>
        </references>
      </pivotArea>
    </format>
    <format dxfId="347">
      <pivotArea dataOnly="0" labelOnly="1" grandRow="1" outline="0" fieldPosition="0"/>
    </format>
    <format dxfId="346">
      <pivotArea type="all" dataOnly="0" outline="0" fieldPosition="0"/>
    </format>
    <format dxfId="345">
      <pivotArea outline="0" fieldPosition="0">
        <references count="1">
          <reference field="0" count="1" selected="0">
            <x v="0"/>
          </reference>
        </references>
      </pivotArea>
    </format>
    <format dxfId="344">
      <pivotArea dataOnly="0" labelOnly="1" outline="0" fieldPosition="0">
        <references count="1">
          <reference field="0" count="1">
            <x v="0"/>
          </reference>
        </references>
      </pivotArea>
    </format>
    <format dxfId="343">
      <pivotArea outline="0" fieldPosition="0">
        <references count="1">
          <reference field="0" count="1" selected="0">
            <x v="16"/>
          </reference>
        </references>
      </pivotArea>
    </format>
    <format dxfId="342">
      <pivotArea grandRow="1" outline="0" fieldPosition="0"/>
    </format>
    <format dxfId="341">
      <pivotArea dataOnly="0" labelOnly="1" outline="0" fieldPosition="0">
        <references count="1">
          <reference field="0" count="1">
            <x v="16"/>
          </reference>
        </references>
      </pivotArea>
    </format>
    <format dxfId="340">
      <pivotArea dataOnly="0" labelOnly="1" grandRow="1" outline="0" fieldPosition="0"/>
    </format>
    <format dxfId="339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38">
      <pivotArea outline="0" fieldPosition="0"/>
    </format>
    <format dxfId="337">
      <pivotArea dataOnly="0" labelOnly="1" outline="0" fieldPosition="0">
        <references count="1">
          <reference field="0" count="0"/>
        </references>
      </pivotArea>
    </format>
    <format dxfId="336">
      <pivotArea dataOnly="0" labelOnly="1" grandRow="1" outline="0" fieldPosition="0"/>
    </format>
    <format dxfId="335">
      <pivotArea outline="0" fieldPosition="0">
        <references count="1">
          <reference field="0" count="1" selected="0">
            <x v="13"/>
          </reference>
        </references>
      </pivotArea>
    </format>
    <format dxfId="334">
      <pivotArea dataOnly="0" labelOnly="1" outline="0" fieldPosition="0">
        <references count="1">
          <reference field="0" count="1">
            <x v="13"/>
          </reference>
        </references>
      </pivotArea>
    </format>
    <format dxfId="333">
      <pivotArea type="origin" dataOnly="0" labelOnly="1" outline="0" fieldPosition="0"/>
    </format>
    <format dxfId="332">
      <pivotArea type="topRight" dataOnly="0" labelOnly="1" outline="0" fieldPosition="0"/>
    </format>
    <format dxfId="331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Q14:BR42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M SPACING" fld="3" baseField="0" baseItem="0"/>
  </dataFields>
  <formats count="25">
    <format dxfId="380">
      <pivotArea type="origin" dataOnly="0" labelOnly="1" outline="0" fieldPosition="0"/>
    </format>
    <format dxfId="379">
      <pivotArea field="0" type="button" dataOnly="0" labelOnly="1" outline="0" axis="axisRow" fieldPosition="0"/>
    </format>
    <format dxfId="378">
      <pivotArea dataOnly="0" labelOnly="1" outline="0" fieldPosition="0">
        <references count="1">
          <reference field="0" count="1">
            <x v="0"/>
          </reference>
        </references>
      </pivotArea>
    </format>
    <format dxfId="377">
      <pivotArea dataOnly="0" labelOnly="1" outline="0" fieldPosition="0">
        <references count="1">
          <reference field="0" count="1">
            <x v="1"/>
          </reference>
        </references>
      </pivotArea>
    </format>
    <format dxfId="376">
      <pivotArea dataOnly="0" labelOnly="1" outline="0" fieldPosition="0">
        <references count="1">
          <reference field="0" count="1">
            <x v="2"/>
          </reference>
        </references>
      </pivotArea>
    </format>
    <format dxfId="375">
      <pivotArea dataOnly="0" labelOnly="1" outline="0" fieldPosition="0">
        <references count="1">
          <reference field="0" count="1">
            <x v="3"/>
          </reference>
        </references>
      </pivotArea>
    </format>
    <format dxfId="374">
      <pivotArea dataOnly="0" labelOnly="1" outline="0" fieldPosition="0">
        <references count="1">
          <reference field="0" count="1">
            <x v="4"/>
          </reference>
        </references>
      </pivotArea>
    </format>
    <format dxfId="373">
      <pivotArea dataOnly="0" labelOnly="1" outline="0" fieldPosition="0">
        <references count="1">
          <reference field="0" count="1">
            <x v="5"/>
          </reference>
        </references>
      </pivotArea>
    </format>
    <format dxfId="372">
      <pivotArea dataOnly="0" labelOnly="1" grandRow="1" outline="0" fieldPosition="0"/>
    </format>
    <format dxfId="371">
      <pivotArea type="all" dataOnly="0" outline="0" fieldPosition="0"/>
    </format>
    <format dxfId="370">
      <pivotArea outline="0" fieldPosition="0">
        <references count="1">
          <reference field="0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0" count="1">
            <x v="0"/>
          </reference>
        </references>
      </pivotArea>
    </format>
    <format dxfId="368">
      <pivotArea outline="0" fieldPosition="0">
        <references count="1">
          <reference field="0" count="1" selected="0">
            <x v="16"/>
          </reference>
        </references>
      </pivotArea>
    </format>
    <format dxfId="367">
      <pivotArea grandRow="1" outline="0" fieldPosition="0"/>
    </format>
    <format dxfId="366">
      <pivotArea dataOnly="0" labelOnly="1" outline="0" fieldPosition="0">
        <references count="1">
          <reference field="0" count="1">
            <x v="16"/>
          </reference>
        </references>
      </pivotArea>
    </format>
    <format dxfId="365">
      <pivotArea dataOnly="0" labelOnly="1" grandRow="1" outline="0" fieldPosition="0"/>
    </format>
    <format dxfId="364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63">
      <pivotArea outline="0" fieldPosition="0"/>
    </format>
    <format dxfId="362">
      <pivotArea dataOnly="0" labelOnly="1" outline="0" fieldPosition="0">
        <references count="1">
          <reference field="0" count="0"/>
        </references>
      </pivotArea>
    </format>
    <format dxfId="361">
      <pivotArea dataOnly="0" labelOnly="1" grandRow="1" outline="0" fieldPosition="0"/>
    </format>
    <format dxfId="360">
      <pivotArea outline="0" fieldPosition="0">
        <references count="1">
          <reference field="0" count="1" selected="0">
            <x v="13"/>
          </reference>
        </references>
      </pivotArea>
    </format>
    <format dxfId="359">
      <pivotArea dataOnly="0" labelOnly="1" outline="0" fieldPosition="0">
        <references count="1">
          <reference field="0" count="1">
            <x v="13"/>
          </reference>
        </references>
      </pivotArea>
    </format>
    <format dxfId="358">
      <pivotArea type="origin" dataOnly="0" labelOnly="1" outline="0" fieldPosition="0"/>
    </format>
    <format dxfId="357">
      <pivotArea type="topRight" dataOnly="0" labelOnly="1" outline="0" fieldPosition="0"/>
    </format>
    <format dxfId="356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17" cacheId="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W14:BX42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4"/>
        <item x="15"/>
        <item x="16"/>
        <item x="17"/>
        <item x="5"/>
        <item x="6"/>
        <item x="7"/>
        <item x="8"/>
        <item x="9"/>
        <item x="10"/>
        <item x="11"/>
        <item x="12"/>
        <item x="25"/>
        <item x="18"/>
        <item x="19"/>
        <item x="20"/>
        <item x="0"/>
        <item x="1"/>
        <item x="2"/>
        <item x="3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 DIA" fld="4" baseField="0" baseItem="0"/>
  </dataFields>
  <formats count="13">
    <format dxfId="393">
      <pivotArea outline="0" fieldPosition="0">
        <references count="1">
          <reference field="0" count="1" selected="0">
            <x v="16"/>
          </reference>
        </references>
      </pivotArea>
    </format>
    <format dxfId="392">
      <pivotArea grandRow="1" outline="0" fieldPosition="0"/>
    </format>
    <format dxfId="391">
      <pivotArea dataOnly="0" labelOnly="1" outline="0" fieldPosition="0">
        <references count="1">
          <reference field="0" count="1">
            <x v="16"/>
          </reference>
        </references>
      </pivotArea>
    </format>
    <format dxfId="390">
      <pivotArea dataOnly="0" labelOnly="1" grandRow="1" outline="0" fieldPosition="0"/>
    </format>
    <format dxfId="389">
      <pivotArea outline="0" fieldPosition="0">
        <references count="1">
          <reference field="0" count="12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88">
      <pivotArea outline="0" fieldPosition="0"/>
    </format>
    <format dxfId="387">
      <pivotArea dataOnly="0" labelOnly="1" outline="0" fieldPosition="0">
        <references count="1">
          <reference field="0" count="0"/>
        </references>
      </pivotArea>
    </format>
    <format dxfId="386">
      <pivotArea dataOnly="0" labelOnly="1" grandRow="1" outline="0" fieldPosition="0"/>
    </format>
    <format dxfId="385">
      <pivotArea outline="0" fieldPosition="0">
        <references count="1">
          <reference field="0" count="1" selected="0">
            <x v="13"/>
          </reference>
        </references>
      </pivotArea>
    </format>
    <format dxfId="384">
      <pivotArea dataOnly="0" labelOnly="1" outline="0" fieldPosition="0">
        <references count="1">
          <reference field="0" count="1">
            <x v="13"/>
          </reference>
        </references>
      </pivotArea>
    </format>
    <format dxfId="383">
      <pivotArea type="origin" dataOnly="0" labelOnly="1" outline="0" fieldPosition="0"/>
    </format>
    <format dxfId="382">
      <pivotArea type="topRight" dataOnly="0" labelOnly="1" outline="0" fieldPosition="0"/>
    </format>
    <format dxfId="381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1" cacheId="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W209:BX237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4"/>
        <item x="15"/>
        <item x="16"/>
        <item x="17"/>
        <item x="5"/>
        <item x="6"/>
        <item x="7"/>
        <item x="8"/>
        <item x="9"/>
        <item x="10"/>
        <item x="11"/>
        <item x="12"/>
        <item x="25"/>
        <item x="18"/>
        <item x="19"/>
        <item x="20"/>
        <item x="0"/>
        <item x="1"/>
        <item x="2"/>
        <item x="3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 DIA" fld="4" baseField="0" baseItem="0"/>
  </dataFields>
  <formats count="13">
    <format dxfId="907">
      <pivotArea outline="0" fieldPosition="0">
        <references count="1">
          <reference field="0" count="1" selected="0">
            <x v="16"/>
          </reference>
        </references>
      </pivotArea>
    </format>
    <format dxfId="906">
      <pivotArea grandRow="1" outline="0" fieldPosition="0"/>
    </format>
    <format dxfId="905">
      <pivotArea dataOnly="0" labelOnly="1" outline="0" fieldPosition="0">
        <references count="1">
          <reference field="0" count="1">
            <x v="16"/>
          </reference>
        </references>
      </pivotArea>
    </format>
    <format dxfId="904">
      <pivotArea dataOnly="0" labelOnly="1" grandRow="1" outline="0" fieldPosition="0"/>
    </format>
    <format dxfId="903">
      <pivotArea outline="0" fieldPosition="0">
        <references count="1">
          <reference field="0" count="12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02">
      <pivotArea outline="0" fieldPosition="0"/>
    </format>
    <format dxfId="901">
      <pivotArea dataOnly="0" labelOnly="1" outline="0" fieldPosition="0">
        <references count="1">
          <reference field="0" count="0"/>
        </references>
      </pivotArea>
    </format>
    <format dxfId="900">
      <pivotArea dataOnly="0" labelOnly="1" grandRow="1" outline="0" fieldPosition="0"/>
    </format>
    <format dxfId="899">
      <pivotArea outline="0" fieldPosition="0">
        <references count="1">
          <reference field="0" count="1" selected="0">
            <x v="13"/>
          </reference>
        </references>
      </pivotArea>
    </format>
    <format dxfId="898">
      <pivotArea dataOnly="0" labelOnly="1" outline="0" fieldPosition="0">
        <references count="1">
          <reference field="0" count="1">
            <x v="13"/>
          </reference>
        </references>
      </pivotArea>
    </format>
    <format dxfId="897">
      <pivotArea type="origin" dataOnly="0" labelOnly="1" outline="0" fieldPosition="0"/>
    </format>
    <format dxfId="896">
      <pivotArea type="topRight" dataOnly="0" labelOnly="1" outline="0" fieldPosition="0"/>
    </format>
    <format dxfId="895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18" cacheId="0" dataOnRows="1" applyNumberFormats="0" applyBorderFormats="0" applyFontFormats="0" applyPatternFormats="0" applyAlignmentFormats="0" applyWidthHeightFormats="1" dataCaption="Data" updatedVersion="3" showItems="0" showMultipleLabel="0" showMemberPropertyTips="0" useAutoFormatting="1" itemPrintTitles="1" indent="0" compact="0" compactData="0" gridDropZones="1">
  <location ref="CC198:CD226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 SPACING" fld="5" baseField="0" baseItem="0"/>
  </dataFields>
  <formats count="16">
    <format dxfId="409">
      <pivotArea type="all" dataOnly="0" outline="0" fieldPosition="0"/>
    </format>
    <format dxfId="408">
      <pivotArea outline="0" fieldPosition="0">
        <references count="1">
          <reference field="0" count="1" selected="0">
            <x v="0"/>
          </reference>
        </references>
      </pivotArea>
    </format>
    <format dxfId="407">
      <pivotArea dataOnly="0" labelOnly="1" outline="0" fieldPosition="0">
        <references count="1">
          <reference field="0" count="1">
            <x v="0"/>
          </reference>
        </references>
      </pivotArea>
    </format>
    <format dxfId="406">
      <pivotArea outline="0" fieldPosition="0">
        <references count="1">
          <reference field="0" count="1" selected="0">
            <x v="16"/>
          </reference>
        </references>
      </pivotArea>
    </format>
    <format dxfId="405">
      <pivotArea grandRow="1" outline="0" fieldPosition="0"/>
    </format>
    <format dxfId="404">
      <pivotArea dataOnly="0" labelOnly="1" outline="0" fieldPosition="0">
        <references count="1">
          <reference field="0" count="1">
            <x v="16"/>
          </reference>
        </references>
      </pivotArea>
    </format>
    <format dxfId="403">
      <pivotArea dataOnly="0" labelOnly="1" grandRow="1" outline="0" fieldPosition="0"/>
    </format>
    <format dxfId="402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01">
      <pivotArea outline="0" fieldPosition="0"/>
    </format>
    <format dxfId="400">
      <pivotArea dataOnly="0" labelOnly="1" outline="0" fieldPosition="0">
        <references count="1">
          <reference field="0" count="0"/>
        </references>
      </pivotArea>
    </format>
    <format dxfId="399">
      <pivotArea dataOnly="0" labelOnly="1" grandRow="1" outline="0" fieldPosition="0"/>
    </format>
    <format dxfId="398">
      <pivotArea outline="0" fieldPosition="0">
        <references count="1">
          <reference field="0" count="1" selected="0">
            <x v="13"/>
          </reference>
        </references>
      </pivotArea>
    </format>
    <format dxfId="397">
      <pivotArea dataOnly="0" labelOnly="1" outline="0" fieldPosition="0">
        <references count="1">
          <reference field="0" count="1">
            <x v="13"/>
          </reference>
        </references>
      </pivotArea>
    </format>
    <format dxfId="396">
      <pivotArea type="origin" dataOnly="0" labelOnly="1" outline="0" fieldPosition="0"/>
    </format>
    <format dxfId="395">
      <pivotArea type="topRight" dataOnly="0" labelOnly="1" outline="0" fieldPosition="0"/>
    </format>
    <format dxfId="39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20" cacheId="0" dataOnRows="1" applyNumberFormats="0" applyBorderFormats="0" applyFontFormats="0" applyPatternFormats="0" applyAlignmentFormats="0" applyWidthHeightFormats="1" dataCaption="Data" updatedVersion="3" showItems="0" showMultipleLabel="0" showMemberPropertyTips="0" useAutoFormatting="1" itemPrintTitles="1" indent="0" compact="0" compactData="0" gridDropZones="1">
  <location ref="BT353:BU381" firstHeaderRow="2" firstDataRow="2" firstDataCol="1"/>
  <pivotFields count="9">
    <pivotField axis="axisRow" compact="0" outline="0" subtotalTop="0" showAll="0" includeNewItemsInFilter="1">
      <items count="27">
        <item x="5"/>
        <item x="6"/>
        <item x="7"/>
        <item x="8"/>
        <item x="9"/>
        <item x="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7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nt up bars main" fld="6" baseField="0" baseItem="0"/>
  </dataFields>
  <formats count="71">
    <format dxfId="480">
      <pivotArea type="all" dataOnly="0" outline="0" fieldPosition="0"/>
    </format>
    <format dxfId="479">
      <pivotArea outline="0" fieldPosition="0">
        <references count="1">
          <reference field="0" count="1" selected="0">
            <x v="0"/>
          </reference>
        </references>
      </pivotArea>
    </format>
    <format dxfId="478">
      <pivotArea dataOnly="0" labelOnly="1" outline="0" fieldPosition="0">
        <references count="1">
          <reference field="0" count="1">
            <x v="0"/>
          </reference>
        </references>
      </pivotArea>
    </format>
    <format dxfId="477">
      <pivotArea outline="0" fieldPosition="0">
        <references count="1">
          <reference field="0" count="1" selected="0">
            <x v="18"/>
          </reference>
        </references>
      </pivotArea>
    </format>
    <format dxfId="476">
      <pivotArea grandRow="1" outline="0" fieldPosition="0"/>
    </format>
    <format dxfId="475">
      <pivotArea dataOnly="0" labelOnly="1" outline="0" fieldPosition="0">
        <references count="1">
          <reference field="0" count="1">
            <x v="18"/>
          </reference>
        </references>
      </pivotArea>
    </format>
    <format dxfId="474">
      <pivotArea dataOnly="0" labelOnly="1" grandRow="1" outline="0" fieldPosition="0"/>
    </format>
    <format dxfId="473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</reference>
        </references>
      </pivotArea>
    </format>
    <format dxfId="472">
      <pivotArea outline="0" fieldPosition="0"/>
    </format>
    <format dxfId="471">
      <pivotArea dataOnly="0" labelOnly="1" outline="0" fieldPosition="0">
        <references count="1">
          <reference field="0" count="0"/>
        </references>
      </pivotArea>
    </format>
    <format dxfId="470">
      <pivotArea dataOnly="0" labelOnly="1" grandRow="1" outline="0" fieldPosition="0"/>
    </format>
    <format dxfId="469">
      <pivotArea outline="0" fieldPosition="0">
        <references count="1">
          <reference field="0" count="1" selected="0">
            <x v="13"/>
          </reference>
        </references>
      </pivotArea>
    </format>
    <format dxfId="468">
      <pivotArea dataOnly="0" labelOnly="1" outline="0" fieldPosition="0">
        <references count="1">
          <reference field="0" count="1">
            <x v="13"/>
          </reference>
        </references>
      </pivotArea>
    </format>
    <format dxfId="467">
      <pivotArea type="origin" dataOnly="0" labelOnly="1" outline="0" fieldPosition="0"/>
    </format>
    <format dxfId="466">
      <pivotArea type="topRight" dataOnly="0" labelOnly="1" outline="0" fieldPosition="0"/>
    </format>
    <format dxfId="465">
      <pivotArea type="all" dataOnly="0" outline="0" fieldPosition="0"/>
    </format>
    <format dxfId="464">
      <pivotArea type="origin" dataOnly="0" labelOnly="1" outline="0" fieldPosition="0"/>
    </format>
    <format dxfId="463">
      <pivotArea type="topRight" dataOnly="0" labelOnly="1" outline="0" fieldPosition="0"/>
    </format>
    <format dxfId="462">
      <pivotArea field="0" type="button" dataOnly="0" labelOnly="1" outline="0" axis="axisRow" fieldPosition="0"/>
    </format>
    <format dxfId="461">
      <pivotArea outline="0" fieldPosition="0">
        <references count="1">
          <reference field="0" count="1" selected="0">
            <x v="0"/>
          </reference>
        </references>
      </pivotArea>
    </format>
    <format dxfId="460">
      <pivotArea dataOnly="0" labelOnly="1" outline="0" fieldPosition="0">
        <references count="1">
          <reference field="0" count="1">
            <x v="0"/>
          </reference>
        </references>
      </pivotArea>
    </format>
    <format dxfId="459">
      <pivotArea outline="0" fieldPosition="0">
        <references count="1">
          <reference field="0" count="1" selected="0">
            <x v="1"/>
          </reference>
        </references>
      </pivotArea>
    </format>
    <format dxfId="458">
      <pivotArea dataOnly="0" labelOnly="1" outline="0" fieldPosition="0">
        <references count="1">
          <reference field="0" count="1">
            <x v="1"/>
          </reference>
        </references>
      </pivotArea>
    </format>
    <format dxfId="457">
      <pivotArea outline="0" fieldPosition="0">
        <references count="1">
          <reference field="0" count="1" selected="0">
            <x v="2"/>
          </reference>
        </references>
      </pivotArea>
    </format>
    <format dxfId="456">
      <pivotArea dataOnly="0" labelOnly="1" outline="0" fieldPosition="0">
        <references count="1">
          <reference field="0" count="1">
            <x v="2"/>
          </reference>
        </references>
      </pivotArea>
    </format>
    <format dxfId="455">
      <pivotArea outline="0" fieldPosition="0">
        <references count="1">
          <reference field="0" count="1" selected="0">
            <x v="3"/>
          </reference>
        </references>
      </pivotArea>
    </format>
    <format dxfId="454">
      <pivotArea dataOnly="0" labelOnly="1" outline="0" fieldPosition="0">
        <references count="1">
          <reference field="0" count="1">
            <x v="3"/>
          </reference>
        </references>
      </pivotArea>
    </format>
    <format dxfId="453">
      <pivotArea outline="0" fieldPosition="0">
        <references count="1">
          <reference field="0" count="1" selected="0">
            <x v="4"/>
          </reference>
        </references>
      </pivotArea>
    </format>
    <format dxfId="452">
      <pivotArea dataOnly="0" labelOnly="1" outline="0" fieldPosition="0">
        <references count="1">
          <reference field="0" count="1">
            <x v="4"/>
          </reference>
        </references>
      </pivotArea>
    </format>
    <format dxfId="451">
      <pivotArea outline="0" fieldPosition="0">
        <references count="1">
          <reference field="0" count="1" selected="0">
            <x v="6"/>
          </reference>
        </references>
      </pivotArea>
    </format>
    <format dxfId="450">
      <pivotArea dataOnly="0" labelOnly="1" outline="0" fieldPosition="0">
        <references count="1">
          <reference field="0" count="1">
            <x v="6"/>
          </reference>
        </references>
      </pivotArea>
    </format>
    <format dxfId="449">
      <pivotArea outline="0" fieldPosition="0">
        <references count="1">
          <reference field="0" count="1" selected="0">
            <x v="7"/>
          </reference>
        </references>
      </pivotArea>
    </format>
    <format dxfId="448">
      <pivotArea dataOnly="0" labelOnly="1" outline="0" fieldPosition="0">
        <references count="1">
          <reference field="0" count="1">
            <x v="7"/>
          </reference>
        </references>
      </pivotArea>
    </format>
    <format dxfId="447">
      <pivotArea outline="0" fieldPosition="0">
        <references count="1">
          <reference field="0" count="1" selected="0">
            <x v="8"/>
          </reference>
        </references>
      </pivotArea>
    </format>
    <format dxfId="446">
      <pivotArea dataOnly="0" labelOnly="1" outline="0" fieldPosition="0">
        <references count="1">
          <reference field="0" count="1">
            <x v="8"/>
          </reference>
        </references>
      </pivotArea>
    </format>
    <format dxfId="445">
      <pivotArea outline="0" fieldPosition="0">
        <references count="1">
          <reference field="0" count="1" selected="0">
            <x v="9"/>
          </reference>
        </references>
      </pivotArea>
    </format>
    <format dxfId="444">
      <pivotArea dataOnly="0" labelOnly="1" outline="0" fieldPosition="0">
        <references count="1">
          <reference field="0" count="1">
            <x v="9"/>
          </reference>
        </references>
      </pivotArea>
    </format>
    <format dxfId="443">
      <pivotArea outline="0" fieldPosition="0">
        <references count="1">
          <reference field="0" count="1" selected="0">
            <x v="10"/>
          </reference>
        </references>
      </pivotArea>
    </format>
    <format dxfId="442">
      <pivotArea dataOnly="0" labelOnly="1" outline="0" fieldPosition="0">
        <references count="1">
          <reference field="0" count="1">
            <x v="10"/>
          </reference>
        </references>
      </pivotArea>
    </format>
    <format dxfId="441">
      <pivotArea outline="0" fieldPosition="0">
        <references count="1">
          <reference field="0" count="1" selected="0">
            <x v="11"/>
          </reference>
        </references>
      </pivotArea>
    </format>
    <format dxfId="440">
      <pivotArea dataOnly="0" labelOnly="1" outline="0" fieldPosition="0">
        <references count="1">
          <reference field="0" count="1">
            <x v="11"/>
          </reference>
        </references>
      </pivotArea>
    </format>
    <format dxfId="439">
      <pivotArea outline="0" fieldPosition="0">
        <references count="1">
          <reference field="0" count="1" selected="0">
            <x v="12"/>
          </reference>
        </references>
      </pivotArea>
    </format>
    <format dxfId="438">
      <pivotArea dataOnly="0" labelOnly="1" outline="0" fieldPosition="0">
        <references count="1">
          <reference field="0" count="1">
            <x v="12"/>
          </reference>
        </references>
      </pivotArea>
    </format>
    <format dxfId="437">
      <pivotArea outline="0" fieldPosition="0">
        <references count="1">
          <reference field="0" count="1" selected="0">
            <x v="13"/>
          </reference>
        </references>
      </pivotArea>
    </format>
    <format dxfId="436">
      <pivotArea dataOnly="0" labelOnly="1" outline="0" fieldPosition="0">
        <references count="1">
          <reference field="0" count="1">
            <x v="13"/>
          </reference>
        </references>
      </pivotArea>
    </format>
    <format dxfId="435">
      <pivotArea outline="0" fieldPosition="0">
        <references count="1">
          <reference field="0" count="1" selected="0">
            <x v="14"/>
          </reference>
        </references>
      </pivotArea>
    </format>
    <format dxfId="434">
      <pivotArea dataOnly="0" labelOnly="1" outline="0" fieldPosition="0">
        <references count="1">
          <reference field="0" count="1">
            <x v="14"/>
          </reference>
        </references>
      </pivotArea>
    </format>
    <format dxfId="433">
      <pivotArea outline="0" fieldPosition="0">
        <references count="1">
          <reference field="0" count="1" selected="0">
            <x v="15"/>
          </reference>
        </references>
      </pivotArea>
    </format>
    <format dxfId="432">
      <pivotArea dataOnly="0" labelOnly="1" outline="0" fieldPosition="0">
        <references count="1">
          <reference field="0" count="1">
            <x v="15"/>
          </reference>
        </references>
      </pivotArea>
    </format>
    <format dxfId="431">
      <pivotArea outline="0" fieldPosition="0">
        <references count="1">
          <reference field="0" count="1" selected="0">
            <x v="16"/>
          </reference>
        </references>
      </pivotArea>
    </format>
    <format dxfId="430">
      <pivotArea dataOnly="0" labelOnly="1" outline="0" fieldPosition="0">
        <references count="1">
          <reference field="0" count="1">
            <x v="16"/>
          </reference>
        </references>
      </pivotArea>
    </format>
    <format dxfId="429">
      <pivotArea outline="0" fieldPosition="0">
        <references count="1">
          <reference field="0" count="1" selected="0">
            <x v="17"/>
          </reference>
        </references>
      </pivotArea>
    </format>
    <format dxfId="428">
      <pivotArea dataOnly="0" labelOnly="1" outline="0" fieldPosition="0">
        <references count="1">
          <reference field="0" count="1">
            <x v="17"/>
          </reference>
        </references>
      </pivotArea>
    </format>
    <format dxfId="427">
      <pivotArea outline="0" fieldPosition="0">
        <references count="1">
          <reference field="0" count="1" selected="0">
            <x v="18"/>
          </reference>
        </references>
      </pivotArea>
    </format>
    <format dxfId="426">
      <pivotArea dataOnly="0" labelOnly="1" outline="0" fieldPosition="0">
        <references count="1">
          <reference field="0" count="1">
            <x v="18"/>
          </reference>
        </references>
      </pivotArea>
    </format>
    <format dxfId="425">
      <pivotArea outline="0" fieldPosition="0">
        <references count="1">
          <reference field="0" count="1" selected="0">
            <x v="19"/>
          </reference>
        </references>
      </pivotArea>
    </format>
    <format dxfId="424">
      <pivotArea dataOnly="0" labelOnly="1" outline="0" fieldPosition="0">
        <references count="1">
          <reference field="0" count="1">
            <x v="19"/>
          </reference>
        </references>
      </pivotArea>
    </format>
    <format dxfId="423">
      <pivotArea outline="0" fieldPosition="0">
        <references count="1">
          <reference field="0" count="1" selected="0">
            <x v="20"/>
          </reference>
        </references>
      </pivotArea>
    </format>
    <format dxfId="422">
      <pivotArea dataOnly="0" labelOnly="1" outline="0" fieldPosition="0">
        <references count="1">
          <reference field="0" count="1">
            <x v="20"/>
          </reference>
        </references>
      </pivotArea>
    </format>
    <format dxfId="421">
      <pivotArea outline="0" fieldPosition="0">
        <references count="1">
          <reference field="0" count="1" selected="0">
            <x v="21"/>
          </reference>
        </references>
      </pivotArea>
    </format>
    <format dxfId="420">
      <pivotArea dataOnly="0" labelOnly="1" outline="0" fieldPosition="0">
        <references count="1">
          <reference field="0" count="1">
            <x v="21"/>
          </reference>
        </references>
      </pivotArea>
    </format>
    <format dxfId="419">
      <pivotArea outline="0" fieldPosition="0">
        <references count="1">
          <reference field="0" count="1" selected="0">
            <x v="22"/>
          </reference>
        </references>
      </pivotArea>
    </format>
    <format dxfId="418">
      <pivotArea dataOnly="0" labelOnly="1" outline="0" fieldPosition="0">
        <references count="1">
          <reference field="0" count="1">
            <x v="22"/>
          </reference>
        </references>
      </pivotArea>
    </format>
    <format dxfId="417">
      <pivotArea outline="0" fieldPosition="0">
        <references count="1">
          <reference field="0" count="1" selected="0">
            <x v="23"/>
          </reference>
        </references>
      </pivotArea>
    </format>
    <format dxfId="416">
      <pivotArea dataOnly="0" labelOnly="1" outline="0" fieldPosition="0">
        <references count="1">
          <reference field="0" count="1">
            <x v="23"/>
          </reference>
        </references>
      </pivotArea>
    </format>
    <format dxfId="415">
      <pivotArea outline="0" fieldPosition="0">
        <references count="1">
          <reference field="0" count="1" selected="0">
            <x v="24"/>
          </reference>
        </references>
      </pivotArea>
    </format>
    <format dxfId="414">
      <pivotArea dataOnly="0" labelOnly="1" outline="0" fieldPosition="0">
        <references count="1">
          <reference field="0" count="1">
            <x v="24"/>
          </reference>
        </references>
      </pivotArea>
    </format>
    <format dxfId="413">
      <pivotArea outline="0" fieldPosition="0">
        <references count="1">
          <reference field="0" count="1" selected="0">
            <x v="25"/>
          </reference>
        </references>
      </pivotArea>
    </format>
    <format dxfId="412">
      <pivotArea dataOnly="0" labelOnly="1" outline="0" fieldPosition="0">
        <references count="1">
          <reference field="0" count="1">
            <x v="25"/>
          </reference>
        </references>
      </pivotArea>
    </format>
    <format dxfId="411">
      <pivotArea grandRow="1" outline="0" fieldPosition="0"/>
    </format>
    <format dxfId="410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23" cacheId="0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K353:BL381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EPTH" fld="1" baseField="0" baseItem="0"/>
  </dataFields>
  <formats count="73">
    <format dxfId="553">
      <pivotArea type="all" dataOnly="0" outline="0" fieldPosition="0"/>
    </format>
    <format dxfId="552">
      <pivotArea outline="0" fieldPosition="0">
        <references count="1">
          <reference field="0" count="1" selected="0">
            <x v="0"/>
          </reference>
        </references>
      </pivotArea>
    </format>
    <format dxfId="551">
      <pivotArea dataOnly="0" labelOnly="1" outline="0" fieldPosition="0">
        <references count="1">
          <reference field="0" count="1">
            <x v="0"/>
          </reference>
        </references>
      </pivotArea>
    </format>
    <format dxfId="550">
      <pivotArea outline="0" fieldPosition="0">
        <references count="1">
          <reference field="0" count="1" selected="0">
            <x v="16"/>
          </reference>
        </references>
      </pivotArea>
    </format>
    <format dxfId="549">
      <pivotArea grandRow="1" outline="0" fieldPosition="0"/>
    </format>
    <format dxfId="548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47">
      <pivotArea dataOnly="0" labelOnly="1" outline="0" fieldPosition="0">
        <references count="1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46">
      <pivotArea outline="0" fieldPosition="0"/>
    </format>
    <format dxfId="545">
      <pivotArea dataOnly="0" labelOnly="1" outline="0" fieldPosition="0">
        <references count="1">
          <reference field="0" count="0"/>
        </references>
      </pivotArea>
    </format>
    <format dxfId="544">
      <pivotArea dataOnly="0" labelOnly="1" grandRow="1" outline="0" fieldPosition="0"/>
    </format>
    <format dxfId="543">
      <pivotArea grandRow="1" outline="0" fieldPosition="0"/>
    </format>
    <format dxfId="542">
      <pivotArea dataOnly="0" labelOnly="1" grandRow="1" outline="0" fieldPosition="0"/>
    </format>
    <format dxfId="541">
      <pivotArea outline="0" fieldPosition="0"/>
    </format>
    <format dxfId="540">
      <pivotArea outline="0" fieldPosition="0">
        <references count="1">
          <reference field="0" count="1" selected="0">
            <x v="13"/>
          </reference>
        </references>
      </pivotArea>
    </format>
    <format dxfId="539">
      <pivotArea dataOnly="0" labelOnly="1" outline="0" fieldPosition="0">
        <references count="1">
          <reference field="0" count="1">
            <x v="13"/>
          </reference>
        </references>
      </pivotArea>
    </format>
    <format dxfId="538">
      <pivotArea type="origin" dataOnly="0" labelOnly="1" outline="0" fieldPosition="0"/>
    </format>
    <format dxfId="537">
      <pivotArea type="topRight" dataOnly="0" labelOnly="1" outline="0" fieldPosition="0"/>
    </format>
    <format dxfId="536">
      <pivotArea type="all" dataOnly="0" outline="0" fieldPosition="0"/>
    </format>
    <format dxfId="535">
      <pivotArea type="origin" dataOnly="0" labelOnly="1" outline="0" fieldPosition="0"/>
    </format>
    <format dxfId="534">
      <pivotArea type="topRight" dataOnly="0" labelOnly="1" outline="0" fieldPosition="0"/>
    </format>
    <format dxfId="533">
      <pivotArea field="0" type="button" dataOnly="0" labelOnly="1" outline="0" axis="axisRow" fieldPosition="0"/>
    </format>
    <format dxfId="532">
      <pivotArea outline="0" fieldPosition="0">
        <references count="1">
          <reference field="0" count="1" selected="0">
            <x v="0"/>
          </reference>
        </references>
      </pivotArea>
    </format>
    <format dxfId="531">
      <pivotArea dataOnly="0" labelOnly="1" outline="0" fieldPosition="0">
        <references count="1">
          <reference field="0" count="1">
            <x v="0"/>
          </reference>
        </references>
      </pivotArea>
    </format>
    <format dxfId="530">
      <pivotArea outline="0" fieldPosition="0">
        <references count="1">
          <reference field="0" count="1" selected="0">
            <x v="1"/>
          </reference>
        </references>
      </pivotArea>
    </format>
    <format dxfId="529">
      <pivotArea dataOnly="0" labelOnly="1" outline="0" fieldPosition="0">
        <references count="1">
          <reference field="0" count="1">
            <x v="1"/>
          </reference>
        </references>
      </pivotArea>
    </format>
    <format dxfId="528">
      <pivotArea outline="0" fieldPosition="0">
        <references count="1">
          <reference field="0" count="1" selected="0">
            <x v="2"/>
          </reference>
        </references>
      </pivotArea>
    </format>
    <format dxfId="527">
      <pivotArea dataOnly="0" labelOnly="1" outline="0" fieldPosition="0">
        <references count="1">
          <reference field="0" count="1">
            <x v="2"/>
          </reference>
        </references>
      </pivotArea>
    </format>
    <format dxfId="526">
      <pivotArea outline="0" fieldPosition="0">
        <references count="1">
          <reference field="0" count="1" selected="0">
            <x v="3"/>
          </reference>
        </references>
      </pivotArea>
    </format>
    <format dxfId="525">
      <pivotArea dataOnly="0" labelOnly="1" outline="0" fieldPosition="0">
        <references count="1">
          <reference field="0" count="1">
            <x v="3"/>
          </reference>
        </references>
      </pivotArea>
    </format>
    <format dxfId="524">
      <pivotArea outline="0" fieldPosition="0">
        <references count="1">
          <reference field="0" count="1" selected="0">
            <x v="4"/>
          </reference>
        </references>
      </pivotArea>
    </format>
    <format dxfId="523">
      <pivotArea dataOnly="0" labelOnly="1" outline="0" fieldPosition="0">
        <references count="1">
          <reference field="0" count="1">
            <x v="4"/>
          </reference>
        </references>
      </pivotArea>
    </format>
    <format dxfId="522">
      <pivotArea outline="0" fieldPosition="0">
        <references count="1">
          <reference field="0" count="1" selected="0">
            <x v="6"/>
          </reference>
        </references>
      </pivotArea>
    </format>
    <format dxfId="521">
      <pivotArea dataOnly="0" labelOnly="1" outline="0" fieldPosition="0">
        <references count="1">
          <reference field="0" count="1">
            <x v="6"/>
          </reference>
        </references>
      </pivotArea>
    </format>
    <format dxfId="520">
      <pivotArea outline="0" fieldPosition="0">
        <references count="1">
          <reference field="0" count="1" selected="0">
            <x v="7"/>
          </reference>
        </references>
      </pivotArea>
    </format>
    <format dxfId="519">
      <pivotArea dataOnly="0" labelOnly="1" outline="0" fieldPosition="0">
        <references count="1">
          <reference field="0" count="1">
            <x v="7"/>
          </reference>
        </references>
      </pivotArea>
    </format>
    <format dxfId="518">
      <pivotArea outline="0" fieldPosition="0">
        <references count="1">
          <reference field="0" count="1" selected="0">
            <x v="8"/>
          </reference>
        </references>
      </pivotArea>
    </format>
    <format dxfId="517">
      <pivotArea dataOnly="0" labelOnly="1" outline="0" fieldPosition="0">
        <references count="1">
          <reference field="0" count="1">
            <x v="8"/>
          </reference>
        </references>
      </pivotArea>
    </format>
    <format dxfId="516">
      <pivotArea outline="0" fieldPosition="0">
        <references count="1">
          <reference field="0" count="1" selected="0">
            <x v="9"/>
          </reference>
        </references>
      </pivotArea>
    </format>
    <format dxfId="515">
      <pivotArea dataOnly="0" labelOnly="1" outline="0" fieldPosition="0">
        <references count="1">
          <reference field="0" count="1">
            <x v="9"/>
          </reference>
        </references>
      </pivotArea>
    </format>
    <format dxfId="514">
      <pivotArea outline="0" fieldPosition="0">
        <references count="1">
          <reference field="0" count="1" selected="0">
            <x v="10"/>
          </reference>
        </references>
      </pivotArea>
    </format>
    <format dxfId="513">
      <pivotArea dataOnly="0" labelOnly="1" outline="0" fieldPosition="0">
        <references count="1">
          <reference field="0" count="1">
            <x v="10"/>
          </reference>
        </references>
      </pivotArea>
    </format>
    <format dxfId="512">
      <pivotArea outline="0" fieldPosition="0">
        <references count="1">
          <reference field="0" count="1" selected="0">
            <x v="11"/>
          </reference>
        </references>
      </pivotArea>
    </format>
    <format dxfId="511">
      <pivotArea dataOnly="0" labelOnly="1" outline="0" fieldPosition="0">
        <references count="1">
          <reference field="0" count="1">
            <x v="11"/>
          </reference>
        </references>
      </pivotArea>
    </format>
    <format dxfId="510">
      <pivotArea outline="0" fieldPosition="0">
        <references count="1">
          <reference field="0" count="1" selected="0">
            <x v="12"/>
          </reference>
        </references>
      </pivotArea>
    </format>
    <format dxfId="509">
      <pivotArea dataOnly="0" labelOnly="1" outline="0" fieldPosition="0">
        <references count="1">
          <reference field="0" count="1">
            <x v="12"/>
          </reference>
        </references>
      </pivotArea>
    </format>
    <format dxfId="508">
      <pivotArea outline="0" fieldPosition="0">
        <references count="1">
          <reference field="0" count="1" selected="0">
            <x v="13"/>
          </reference>
        </references>
      </pivotArea>
    </format>
    <format dxfId="507">
      <pivotArea dataOnly="0" labelOnly="1" outline="0" fieldPosition="0">
        <references count="1">
          <reference field="0" count="1">
            <x v="13"/>
          </reference>
        </references>
      </pivotArea>
    </format>
    <format dxfId="506">
      <pivotArea outline="0" fieldPosition="0">
        <references count="1">
          <reference field="0" count="1" selected="0">
            <x v="14"/>
          </reference>
        </references>
      </pivotArea>
    </format>
    <format dxfId="505">
      <pivotArea dataOnly="0" labelOnly="1" outline="0" fieldPosition="0">
        <references count="1">
          <reference field="0" count="1">
            <x v="14"/>
          </reference>
        </references>
      </pivotArea>
    </format>
    <format dxfId="504">
      <pivotArea outline="0" fieldPosition="0">
        <references count="1">
          <reference field="0" count="1" selected="0">
            <x v="15"/>
          </reference>
        </references>
      </pivotArea>
    </format>
    <format dxfId="503">
      <pivotArea dataOnly="0" labelOnly="1" outline="0" fieldPosition="0">
        <references count="1">
          <reference field="0" count="1">
            <x v="15"/>
          </reference>
        </references>
      </pivotArea>
    </format>
    <format dxfId="502">
      <pivotArea outline="0" fieldPosition="0">
        <references count="1">
          <reference field="0" count="1" selected="0">
            <x v="16"/>
          </reference>
        </references>
      </pivotArea>
    </format>
    <format dxfId="501">
      <pivotArea dataOnly="0" labelOnly="1" outline="0" fieldPosition="0">
        <references count="1">
          <reference field="0" count="1">
            <x v="16"/>
          </reference>
        </references>
      </pivotArea>
    </format>
    <format dxfId="500">
      <pivotArea outline="0" fieldPosition="0">
        <references count="1">
          <reference field="0" count="1" selected="0">
            <x v="17"/>
          </reference>
        </references>
      </pivotArea>
    </format>
    <format dxfId="499">
      <pivotArea dataOnly="0" labelOnly="1" outline="0" fieldPosition="0">
        <references count="1">
          <reference field="0" count="1">
            <x v="17"/>
          </reference>
        </references>
      </pivotArea>
    </format>
    <format dxfId="498">
      <pivotArea outline="0" fieldPosition="0">
        <references count="1">
          <reference field="0" count="1" selected="0">
            <x v="18"/>
          </reference>
        </references>
      </pivotArea>
    </format>
    <format dxfId="497">
      <pivotArea dataOnly="0" labelOnly="1" outline="0" fieldPosition="0">
        <references count="1">
          <reference field="0" count="1">
            <x v="18"/>
          </reference>
        </references>
      </pivotArea>
    </format>
    <format dxfId="496">
      <pivotArea outline="0" fieldPosition="0">
        <references count="1">
          <reference field="0" count="1" selected="0">
            <x v="19"/>
          </reference>
        </references>
      </pivotArea>
    </format>
    <format dxfId="495">
      <pivotArea dataOnly="0" labelOnly="1" outline="0" fieldPosition="0">
        <references count="1">
          <reference field="0" count="1">
            <x v="19"/>
          </reference>
        </references>
      </pivotArea>
    </format>
    <format dxfId="494">
      <pivotArea outline="0" fieldPosition="0">
        <references count="1">
          <reference field="0" count="1" selected="0">
            <x v="20"/>
          </reference>
        </references>
      </pivotArea>
    </format>
    <format dxfId="493">
      <pivotArea dataOnly="0" labelOnly="1" outline="0" fieldPosition="0">
        <references count="1">
          <reference field="0" count="1">
            <x v="20"/>
          </reference>
        </references>
      </pivotArea>
    </format>
    <format dxfId="492">
      <pivotArea outline="0" fieldPosition="0">
        <references count="1">
          <reference field="0" count="1" selected="0">
            <x v="21"/>
          </reference>
        </references>
      </pivotArea>
    </format>
    <format dxfId="491">
      <pivotArea dataOnly="0" labelOnly="1" outline="0" fieldPosition="0">
        <references count="1">
          <reference field="0" count="1">
            <x v="21"/>
          </reference>
        </references>
      </pivotArea>
    </format>
    <format dxfId="490">
      <pivotArea outline="0" fieldPosition="0">
        <references count="1">
          <reference field="0" count="1" selected="0">
            <x v="22"/>
          </reference>
        </references>
      </pivotArea>
    </format>
    <format dxfId="489">
      <pivotArea dataOnly="0" labelOnly="1" outline="0" fieldPosition="0">
        <references count="1">
          <reference field="0" count="1">
            <x v="22"/>
          </reference>
        </references>
      </pivotArea>
    </format>
    <format dxfId="488">
      <pivotArea outline="0" fieldPosition="0">
        <references count="1">
          <reference field="0" count="1" selected="0">
            <x v="23"/>
          </reference>
        </references>
      </pivotArea>
    </format>
    <format dxfId="487">
      <pivotArea dataOnly="0" labelOnly="1" outline="0" fieldPosition="0">
        <references count="1">
          <reference field="0" count="1">
            <x v="23"/>
          </reference>
        </references>
      </pivotArea>
    </format>
    <format dxfId="486">
      <pivotArea outline="0" fieldPosition="0">
        <references count="1">
          <reference field="0" count="1" selected="0">
            <x v="24"/>
          </reference>
        </references>
      </pivotArea>
    </format>
    <format dxfId="485">
      <pivotArea dataOnly="0" labelOnly="1" outline="0" fieldPosition="0">
        <references count="1">
          <reference field="0" count="1">
            <x v="24"/>
          </reference>
        </references>
      </pivotArea>
    </format>
    <format dxfId="484">
      <pivotArea outline="0" fieldPosition="0">
        <references count="1">
          <reference field="0" count="1" selected="0">
            <x v="25"/>
          </reference>
        </references>
      </pivotArea>
    </format>
    <format dxfId="483">
      <pivotArea dataOnly="0" labelOnly="1" outline="0" fieldPosition="0">
        <references count="1">
          <reference field="0" count="1">
            <x v="25"/>
          </reference>
        </references>
      </pivotArea>
    </format>
    <format dxfId="482">
      <pivotArea grandRow="1" outline="0" fieldPosition="0"/>
    </format>
    <format dxfId="481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CF198:CG226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4"/>
        <item x="15"/>
        <item x="16"/>
        <item x="17"/>
        <item x="18"/>
        <item x="19"/>
        <item x="5"/>
        <item x="6"/>
        <item x="7"/>
        <item x="8"/>
        <item x="9"/>
        <item x="10"/>
        <item x="11"/>
        <item x="12"/>
        <item x="25"/>
        <item x="20"/>
        <item x="0"/>
        <item x="1"/>
        <item x="2"/>
        <item x="3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7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Remark" fld="8" baseField="0" baseItem="0"/>
  </dataFields>
  <formats count="15">
    <format dxfId="568">
      <pivotArea outline="0" fieldPosition="0">
        <references count="1">
          <reference field="0" count="1" selected="0">
            <x v="0"/>
          </reference>
        </references>
      </pivotArea>
    </format>
    <format dxfId="567">
      <pivotArea dataOnly="0" labelOnly="1" outline="0" fieldPosition="0">
        <references count="1">
          <reference field="0" count="1">
            <x v="0"/>
          </reference>
        </references>
      </pivotArea>
    </format>
    <format dxfId="566">
      <pivotArea outline="0" fieldPosition="0">
        <references count="1">
          <reference field="0" count="1" selected="0">
            <x v="16"/>
          </reference>
        </references>
      </pivotArea>
    </format>
    <format dxfId="565">
      <pivotArea grandRow="1" outline="0" fieldPosition="0"/>
    </format>
    <format dxfId="564">
      <pivotArea dataOnly="0" labelOnly="1" outline="0" fieldPosition="0">
        <references count="1">
          <reference field="0" count="1">
            <x v="16"/>
          </reference>
        </references>
      </pivotArea>
    </format>
    <format dxfId="563">
      <pivotArea dataOnly="0" labelOnly="1" grandRow="1" outline="0" fieldPosition="0"/>
    </format>
    <format dxfId="562">
      <pivotArea outline="0" fieldPosition="0">
        <references count="1">
          <reference field="0" count="12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61">
      <pivotArea outline="0" fieldPosition="0"/>
    </format>
    <format dxfId="560">
      <pivotArea dataOnly="0" labelOnly="1" outline="0" fieldPosition="0">
        <references count="1">
          <reference field="0" count="0"/>
        </references>
      </pivotArea>
    </format>
    <format dxfId="559">
      <pivotArea dataOnly="0" labelOnly="1" grandRow="1" outline="0" fieldPosition="0"/>
    </format>
    <format dxfId="558">
      <pivotArea outline="0" fieldPosition="0">
        <references count="1">
          <reference field="0" count="1" selected="0">
            <x v="13"/>
          </reference>
        </references>
      </pivotArea>
    </format>
    <format dxfId="557">
      <pivotArea dataOnly="0" labelOnly="1" outline="0" fieldPosition="0">
        <references count="1">
          <reference field="0" count="1">
            <x v="13"/>
          </reference>
        </references>
      </pivotArea>
    </format>
    <format dxfId="556">
      <pivotArea type="origin" dataOnly="0" labelOnly="1" outline="0" fieldPosition="0"/>
    </format>
    <format dxfId="555">
      <pivotArea type="topRight" dataOnly="0" labelOnly="1" outline="0" fieldPosition="0"/>
    </format>
    <format dxfId="55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7" cacheId="1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K14:BL42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EPTH" fld="1" baseField="0" baseItem="0"/>
  </dataFields>
  <formats count="18">
    <format dxfId="586">
      <pivotArea type="all" dataOnly="0" outline="0" fieldPosition="0"/>
    </format>
    <format dxfId="585">
      <pivotArea outline="0" fieldPosition="0">
        <references count="1">
          <reference field="0" count="1" selected="0">
            <x v="0"/>
          </reference>
        </references>
      </pivotArea>
    </format>
    <format dxfId="584">
      <pivotArea dataOnly="0" labelOnly="1" outline="0" fieldPosition="0">
        <references count="1">
          <reference field="0" count="1">
            <x v="0"/>
          </reference>
        </references>
      </pivotArea>
    </format>
    <format dxfId="583">
      <pivotArea outline="0" fieldPosition="0">
        <references count="1">
          <reference field="0" count="1" selected="0">
            <x v="16"/>
          </reference>
        </references>
      </pivotArea>
    </format>
    <format dxfId="582">
      <pivotArea grandRow="1" outline="0" fieldPosition="0"/>
    </format>
    <format dxfId="581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80">
      <pivotArea dataOnly="0" labelOnly="1" outline="0" fieldPosition="0">
        <references count="1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79">
      <pivotArea outline="0" fieldPosition="0"/>
    </format>
    <format dxfId="578">
      <pivotArea dataOnly="0" labelOnly="1" outline="0" fieldPosition="0">
        <references count="1">
          <reference field="0" count="0"/>
        </references>
      </pivotArea>
    </format>
    <format dxfId="577">
      <pivotArea dataOnly="0" labelOnly="1" grandRow="1" outline="0" fieldPosition="0"/>
    </format>
    <format dxfId="576">
      <pivotArea grandRow="1" outline="0" fieldPosition="0"/>
    </format>
    <format dxfId="575">
      <pivotArea dataOnly="0" labelOnly="1" grandRow="1" outline="0" fieldPosition="0"/>
    </format>
    <format dxfId="574">
      <pivotArea outline="0" fieldPosition="0"/>
    </format>
    <format dxfId="573">
      <pivotArea outline="0" fieldPosition="0">
        <references count="1">
          <reference field="0" count="1" selected="0">
            <x v="13"/>
          </reference>
        </references>
      </pivotArea>
    </format>
    <format dxfId="572">
      <pivotArea dataOnly="0" labelOnly="1" outline="0" fieldPosition="0">
        <references count="1">
          <reference field="0" count="1">
            <x v="13"/>
          </reference>
        </references>
      </pivotArea>
    </format>
    <format dxfId="571">
      <pivotArea type="origin" dataOnly="0" labelOnly="1" outline="0" fieldPosition="0"/>
    </format>
    <format dxfId="570">
      <pivotArea type="topRight" dataOnly="0" labelOnly="1" outline="0" fieldPosition="0"/>
    </format>
    <format dxfId="569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24" cacheId="1" dataOnRows="1" applyNumberFormats="0" applyBorderFormats="0" applyFontFormats="0" applyPatternFormats="0" applyAlignmentFormats="0" applyWidthHeightFormats="1" dataCaption="Data" updatedVersion="3" showItems="0" showMultipleLabel="0" showMemberPropertyTips="0" useAutoFormatting="1" itemPrintTitles="1" indent="0" compact="0" compactData="0" gridDropZones="1">
  <location ref="BT14:BU42" firstHeaderRow="2" firstDataRow="2" firstDataCol="1"/>
  <pivotFields count="9">
    <pivotField axis="axisRow" compact="0" outline="0" subtotalTop="0" showAll="0" includeNewItemsInFilter="1">
      <items count="27">
        <item x="5"/>
        <item x="6"/>
        <item x="7"/>
        <item x="8"/>
        <item x="9"/>
        <item x="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7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nt up bars main" fld="6" baseField="0" baseItem="0"/>
  </dataFields>
  <formats count="16">
    <format dxfId="602">
      <pivotArea type="all" dataOnly="0" outline="0" fieldPosition="0"/>
    </format>
    <format dxfId="601">
      <pivotArea outline="0" fieldPosition="0">
        <references count="1">
          <reference field="0" count="1" selected="0">
            <x v="0"/>
          </reference>
        </references>
      </pivotArea>
    </format>
    <format dxfId="600">
      <pivotArea dataOnly="0" labelOnly="1" outline="0" fieldPosition="0">
        <references count="1">
          <reference field="0" count="1">
            <x v="0"/>
          </reference>
        </references>
      </pivotArea>
    </format>
    <format dxfId="599">
      <pivotArea outline="0" fieldPosition="0">
        <references count="1">
          <reference field="0" count="1" selected="0">
            <x v="18"/>
          </reference>
        </references>
      </pivotArea>
    </format>
    <format dxfId="598">
      <pivotArea grandRow="1" outline="0" fieldPosition="0"/>
    </format>
    <format dxfId="597">
      <pivotArea dataOnly="0" labelOnly="1" outline="0" fieldPosition="0">
        <references count="1">
          <reference field="0" count="1">
            <x v="18"/>
          </reference>
        </references>
      </pivotArea>
    </format>
    <format dxfId="596">
      <pivotArea dataOnly="0" labelOnly="1" grandRow="1" outline="0" fieldPosition="0"/>
    </format>
    <format dxfId="595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</reference>
        </references>
      </pivotArea>
    </format>
    <format dxfId="594">
      <pivotArea outline="0" fieldPosition="0"/>
    </format>
    <format dxfId="593">
      <pivotArea dataOnly="0" labelOnly="1" outline="0" fieldPosition="0">
        <references count="1">
          <reference field="0" count="0"/>
        </references>
      </pivotArea>
    </format>
    <format dxfId="592">
      <pivotArea dataOnly="0" labelOnly="1" grandRow="1" outline="0" fieldPosition="0"/>
    </format>
    <format dxfId="591">
      <pivotArea outline="0" fieldPosition="0">
        <references count="1">
          <reference field="0" count="1" selected="0">
            <x v="13"/>
          </reference>
        </references>
      </pivotArea>
    </format>
    <format dxfId="590">
      <pivotArea dataOnly="0" labelOnly="1" outline="0" fieldPosition="0">
        <references count="1">
          <reference field="0" count="1">
            <x v="13"/>
          </reference>
        </references>
      </pivotArea>
    </format>
    <format dxfId="589">
      <pivotArea type="origin" dataOnly="0" labelOnly="1" outline="0" fieldPosition="0"/>
    </format>
    <format dxfId="588">
      <pivotArea type="topRight" dataOnly="0" labelOnly="1" outline="0" fieldPosition="0"/>
    </format>
    <format dxfId="587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Z353:CA381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5"/>
        <item x="17"/>
        <item x="18"/>
        <item x="21"/>
        <item x="22"/>
        <item x="5"/>
        <item x="6"/>
        <item x="7"/>
        <item x="8"/>
        <item x="9"/>
        <item x="10"/>
        <item x="11"/>
        <item x="12"/>
        <item x="14"/>
        <item x="16"/>
        <item x="19"/>
        <item x="25"/>
        <item x="20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nt up bars Dist" fld="7" baseField="0" baseItem="0"/>
  </dataFields>
  <formats count="71">
    <format dxfId="673">
      <pivotArea type="all" dataOnly="0" outline="0" fieldPosition="0"/>
    </format>
    <format dxfId="672">
      <pivotArea outline="0" fieldPosition="0">
        <references count="1">
          <reference field="0" count="1" selected="0">
            <x v="0"/>
          </reference>
        </references>
      </pivotArea>
    </format>
    <format dxfId="671">
      <pivotArea dataOnly="0" labelOnly="1" outline="0" fieldPosition="0">
        <references count="1">
          <reference field="0" count="1">
            <x v="0"/>
          </reference>
        </references>
      </pivotArea>
    </format>
    <format dxfId="670">
      <pivotArea outline="0" fieldPosition="0">
        <references count="1">
          <reference field="0" count="1" selected="0">
            <x v="18"/>
          </reference>
        </references>
      </pivotArea>
    </format>
    <format dxfId="669">
      <pivotArea grandRow="1" outline="0" fieldPosition="0"/>
    </format>
    <format dxfId="668">
      <pivotArea dataOnly="0" labelOnly="1" outline="0" fieldPosition="0">
        <references count="1">
          <reference field="0" count="1">
            <x v="18"/>
          </reference>
        </references>
      </pivotArea>
    </format>
    <format dxfId="667">
      <pivotArea dataOnly="0" labelOnly="1" grandRow="1" outline="0" fieldPosition="0"/>
    </format>
    <format dxfId="666">
      <pivotArea outline="0" fieldPosition="0">
        <references count="1">
          <reference field="0" count="12" selected="0">
            <x v="0"/>
            <x v="1"/>
            <x v="3"/>
            <x v="4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665">
      <pivotArea outline="0" fieldPosition="0"/>
    </format>
    <format dxfId="664">
      <pivotArea dataOnly="0" labelOnly="1" outline="0" fieldPosition="0">
        <references count="1">
          <reference field="0" count="0"/>
        </references>
      </pivotArea>
    </format>
    <format dxfId="663">
      <pivotArea dataOnly="0" labelOnly="1" grandRow="1" outline="0" fieldPosition="0"/>
    </format>
    <format dxfId="662">
      <pivotArea outline="0" fieldPosition="0">
        <references count="1">
          <reference field="0" count="1" selected="0">
            <x v="15"/>
          </reference>
        </references>
      </pivotArea>
    </format>
    <format dxfId="661">
      <pivotArea dataOnly="0" labelOnly="1" outline="0" fieldPosition="0">
        <references count="1">
          <reference field="0" count="1">
            <x v="15"/>
          </reference>
        </references>
      </pivotArea>
    </format>
    <format dxfId="660">
      <pivotArea type="origin" dataOnly="0" labelOnly="1" outline="0" fieldPosition="0"/>
    </format>
    <format dxfId="659">
      <pivotArea type="topRight" dataOnly="0" labelOnly="1" outline="0" fieldPosition="0"/>
    </format>
    <format dxfId="658">
      <pivotArea type="all" dataOnly="0" outline="0" fieldPosition="0"/>
    </format>
    <format dxfId="657">
      <pivotArea type="origin" dataOnly="0" labelOnly="1" outline="0" fieldPosition="0"/>
    </format>
    <format dxfId="656">
      <pivotArea type="topRight" dataOnly="0" labelOnly="1" outline="0" fieldPosition="0"/>
    </format>
    <format dxfId="655">
      <pivotArea field="0" type="button" dataOnly="0" labelOnly="1" outline="0" axis="axisRow" fieldPosition="0"/>
    </format>
    <format dxfId="654">
      <pivotArea outline="0" fieldPosition="0">
        <references count="1">
          <reference field="0" count="1" selected="0">
            <x v="0"/>
          </reference>
        </references>
      </pivotArea>
    </format>
    <format dxfId="653">
      <pivotArea dataOnly="0" labelOnly="1" outline="0" fieldPosition="0">
        <references count="1">
          <reference field="0" count="1">
            <x v="0"/>
          </reference>
        </references>
      </pivotArea>
    </format>
    <format dxfId="652">
      <pivotArea outline="0" fieldPosition="0">
        <references count="1">
          <reference field="0" count="1" selected="0">
            <x v="1"/>
          </reference>
        </references>
      </pivotArea>
    </format>
    <format dxfId="651">
      <pivotArea dataOnly="0" labelOnly="1" outline="0" fieldPosition="0">
        <references count="1">
          <reference field="0" count="1">
            <x v="1"/>
          </reference>
        </references>
      </pivotArea>
    </format>
    <format dxfId="650">
      <pivotArea outline="0" fieldPosition="0">
        <references count="1">
          <reference field="0" count="1" selected="0">
            <x v="2"/>
          </reference>
        </references>
      </pivotArea>
    </format>
    <format dxfId="649">
      <pivotArea dataOnly="0" labelOnly="1" outline="0" fieldPosition="0">
        <references count="1">
          <reference field="0" count="1">
            <x v="2"/>
          </reference>
        </references>
      </pivotArea>
    </format>
    <format dxfId="648">
      <pivotArea outline="0" fieldPosition="0">
        <references count="1">
          <reference field="0" count="1" selected="0">
            <x v="3"/>
          </reference>
        </references>
      </pivotArea>
    </format>
    <format dxfId="647">
      <pivotArea dataOnly="0" labelOnly="1" outline="0" fieldPosition="0">
        <references count="1">
          <reference field="0" count="1">
            <x v="3"/>
          </reference>
        </references>
      </pivotArea>
    </format>
    <format dxfId="646">
      <pivotArea outline="0" fieldPosition="0">
        <references count="1">
          <reference field="0" count="1" selected="0">
            <x v="4"/>
          </reference>
        </references>
      </pivotArea>
    </format>
    <format dxfId="645">
      <pivotArea dataOnly="0" labelOnly="1" outline="0" fieldPosition="0">
        <references count="1">
          <reference field="0" count="1">
            <x v="4"/>
          </reference>
        </references>
      </pivotArea>
    </format>
    <format dxfId="644">
      <pivotArea outline="0" fieldPosition="0">
        <references count="1">
          <reference field="0" count="1" selected="0">
            <x v="6"/>
          </reference>
        </references>
      </pivotArea>
    </format>
    <format dxfId="643">
      <pivotArea dataOnly="0" labelOnly="1" outline="0" fieldPosition="0">
        <references count="1">
          <reference field="0" count="1">
            <x v="6"/>
          </reference>
        </references>
      </pivotArea>
    </format>
    <format dxfId="642">
      <pivotArea outline="0" fieldPosition="0">
        <references count="1">
          <reference field="0" count="1" selected="0">
            <x v="7"/>
          </reference>
        </references>
      </pivotArea>
    </format>
    <format dxfId="641">
      <pivotArea dataOnly="0" labelOnly="1" outline="0" fieldPosition="0">
        <references count="1">
          <reference field="0" count="1">
            <x v="7"/>
          </reference>
        </references>
      </pivotArea>
    </format>
    <format dxfId="640">
      <pivotArea outline="0" fieldPosition="0">
        <references count="1">
          <reference field="0" count="1" selected="0">
            <x v="8"/>
          </reference>
        </references>
      </pivotArea>
    </format>
    <format dxfId="639">
      <pivotArea dataOnly="0" labelOnly="1" outline="0" fieldPosition="0">
        <references count="1">
          <reference field="0" count="1">
            <x v="8"/>
          </reference>
        </references>
      </pivotArea>
    </format>
    <format dxfId="638">
      <pivotArea outline="0" fieldPosition="0">
        <references count="1">
          <reference field="0" count="1" selected="0">
            <x v="9"/>
          </reference>
        </references>
      </pivotArea>
    </format>
    <format dxfId="637">
      <pivotArea dataOnly="0" labelOnly="1" outline="0" fieldPosition="0">
        <references count="1">
          <reference field="0" count="1">
            <x v="9"/>
          </reference>
        </references>
      </pivotArea>
    </format>
    <format dxfId="636">
      <pivotArea outline="0" fieldPosition="0">
        <references count="1">
          <reference field="0" count="1" selected="0">
            <x v="10"/>
          </reference>
        </references>
      </pivotArea>
    </format>
    <format dxfId="635">
      <pivotArea dataOnly="0" labelOnly="1" outline="0" fieldPosition="0">
        <references count="1">
          <reference field="0" count="1">
            <x v="10"/>
          </reference>
        </references>
      </pivotArea>
    </format>
    <format dxfId="634">
      <pivotArea outline="0" fieldPosition="0">
        <references count="1">
          <reference field="0" count="1" selected="0">
            <x v="11"/>
          </reference>
        </references>
      </pivotArea>
    </format>
    <format dxfId="633">
      <pivotArea dataOnly="0" labelOnly="1" outline="0" fieldPosition="0">
        <references count="1">
          <reference field="0" count="1">
            <x v="11"/>
          </reference>
        </references>
      </pivotArea>
    </format>
    <format dxfId="632">
      <pivotArea outline="0" fieldPosition="0">
        <references count="1">
          <reference field="0" count="1" selected="0">
            <x v="12"/>
          </reference>
        </references>
      </pivotArea>
    </format>
    <format dxfId="631">
      <pivotArea dataOnly="0" labelOnly="1" outline="0" fieldPosition="0">
        <references count="1">
          <reference field="0" count="1">
            <x v="12"/>
          </reference>
        </references>
      </pivotArea>
    </format>
    <format dxfId="630">
      <pivotArea outline="0" fieldPosition="0">
        <references count="1">
          <reference field="0" count="1" selected="0">
            <x v="13"/>
          </reference>
        </references>
      </pivotArea>
    </format>
    <format dxfId="629">
      <pivotArea dataOnly="0" labelOnly="1" outline="0" fieldPosition="0">
        <references count="1">
          <reference field="0" count="1">
            <x v="13"/>
          </reference>
        </references>
      </pivotArea>
    </format>
    <format dxfId="628">
      <pivotArea outline="0" fieldPosition="0">
        <references count="1">
          <reference field="0" count="1" selected="0">
            <x v="14"/>
          </reference>
        </references>
      </pivotArea>
    </format>
    <format dxfId="627">
      <pivotArea dataOnly="0" labelOnly="1" outline="0" fieldPosition="0">
        <references count="1">
          <reference field="0" count="1">
            <x v="14"/>
          </reference>
        </references>
      </pivotArea>
    </format>
    <format dxfId="626">
      <pivotArea outline="0" fieldPosition="0">
        <references count="1">
          <reference field="0" count="1" selected="0">
            <x v="15"/>
          </reference>
        </references>
      </pivotArea>
    </format>
    <format dxfId="625">
      <pivotArea dataOnly="0" labelOnly="1" outline="0" fieldPosition="0">
        <references count="1">
          <reference field="0" count="1">
            <x v="15"/>
          </reference>
        </references>
      </pivotArea>
    </format>
    <format dxfId="624">
      <pivotArea outline="0" fieldPosition="0">
        <references count="1">
          <reference field="0" count="1" selected="0">
            <x v="16"/>
          </reference>
        </references>
      </pivotArea>
    </format>
    <format dxfId="623">
      <pivotArea dataOnly="0" labelOnly="1" outline="0" fieldPosition="0">
        <references count="1">
          <reference field="0" count="1">
            <x v="16"/>
          </reference>
        </references>
      </pivotArea>
    </format>
    <format dxfId="622">
      <pivotArea outline="0" fieldPosition="0">
        <references count="1">
          <reference field="0" count="1" selected="0">
            <x v="17"/>
          </reference>
        </references>
      </pivotArea>
    </format>
    <format dxfId="621">
      <pivotArea dataOnly="0" labelOnly="1" outline="0" fieldPosition="0">
        <references count="1">
          <reference field="0" count="1">
            <x v="17"/>
          </reference>
        </references>
      </pivotArea>
    </format>
    <format dxfId="620">
      <pivotArea outline="0" fieldPosition="0">
        <references count="1">
          <reference field="0" count="1" selected="0">
            <x v="18"/>
          </reference>
        </references>
      </pivotArea>
    </format>
    <format dxfId="619">
      <pivotArea dataOnly="0" labelOnly="1" outline="0" fieldPosition="0">
        <references count="1">
          <reference field="0" count="1">
            <x v="18"/>
          </reference>
        </references>
      </pivotArea>
    </format>
    <format dxfId="618">
      <pivotArea outline="0" fieldPosition="0">
        <references count="1">
          <reference field="0" count="1" selected="0">
            <x v="19"/>
          </reference>
        </references>
      </pivotArea>
    </format>
    <format dxfId="617">
      <pivotArea dataOnly="0" labelOnly="1" outline="0" fieldPosition="0">
        <references count="1">
          <reference field="0" count="1">
            <x v="19"/>
          </reference>
        </references>
      </pivotArea>
    </format>
    <format dxfId="616">
      <pivotArea outline="0" fieldPosition="0">
        <references count="1">
          <reference field="0" count="1" selected="0">
            <x v="20"/>
          </reference>
        </references>
      </pivotArea>
    </format>
    <format dxfId="615">
      <pivotArea dataOnly="0" labelOnly="1" outline="0" fieldPosition="0">
        <references count="1">
          <reference field="0" count="1">
            <x v="20"/>
          </reference>
        </references>
      </pivotArea>
    </format>
    <format dxfId="614">
      <pivotArea outline="0" fieldPosition="0">
        <references count="1">
          <reference field="0" count="1" selected="0">
            <x v="21"/>
          </reference>
        </references>
      </pivotArea>
    </format>
    <format dxfId="613">
      <pivotArea dataOnly="0" labelOnly="1" outline="0" fieldPosition="0">
        <references count="1">
          <reference field="0" count="1">
            <x v="21"/>
          </reference>
        </references>
      </pivotArea>
    </format>
    <format dxfId="612">
      <pivotArea outline="0" fieldPosition="0">
        <references count="1">
          <reference field="0" count="1" selected="0">
            <x v="22"/>
          </reference>
        </references>
      </pivotArea>
    </format>
    <format dxfId="611">
      <pivotArea dataOnly="0" labelOnly="1" outline="0" fieldPosition="0">
        <references count="1">
          <reference field="0" count="1">
            <x v="22"/>
          </reference>
        </references>
      </pivotArea>
    </format>
    <format dxfId="610">
      <pivotArea outline="0" fieldPosition="0">
        <references count="1">
          <reference field="0" count="1" selected="0">
            <x v="23"/>
          </reference>
        </references>
      </pivotArea>
    </format>
    <format dxfId="609">
      <pivotArea dataOnly="0" labelOnly="1" outline="0" fieldPosition="0">
        <references count="1">
          <reference field="0" count="1">
            <x v="23"/>
          </reference>
        </references>
      </pivotArea>
    </format>
    <format dxfId="608">
      <pivotArea outline="0" fieldPosition="0">
        <references count="1">
          <reference field="0" count="1" selected="0">
            <x v="24"/>
          </reference>
        </references>
      </pivotArea>
    </format>
    <format dxfId="607">
      <pivotArea dataOnly="0" labelOnly="1" outline="0" fieldPosition="0">
        <references count="1">
          <reference field="0" count="1">
            <x v="24"/>
          </reference>
        </references>
      </pivotArea>
    </format>
    <format dxfId="606">
      <pivotArea outline="0" fieldPosition="0">
        <references count="1">
          <reference field="0" count="1" selected="0">
            <x v="25"/>
          </reference>
        </references>
      </pivotArea>
    </format>
    <format dxfId="605">
      <pivotArea dataOnly="0" labelOnly="1" outline="0" fieldPosition="0">
        <references count="1">
          <reference field="0" count="1">
            <x v="25"/>
          </reference>
        </references>
      </pivotArea>
    </format>
    <format dxfId="604">
      <pivotArea grandRow="1" outline="0" fieldPosition="0"/>
    </format>
    <format dxfId="603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K198:BL226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EPTH" fld="1" baseField="0" baseItem="0"/>
  </dataFields>
  <formats count="18">
    <format dxfId="691">
      <pivotArea type="all" dataOnly="0" outline="0" fieldPosition="0"/>
    </format>
    <format dxfId="690">
      <pivotArea outline="0" fieldPosition="0">
        <references count="1">
          <reference field="0" count="1" selected="0">
            <x v="0"/>
          </reference>
        </references>
      </pivotArea>
    </format>
    <format dxfId="689">
      <pivotArea dataOnly="0" labelOnly="1" outline="0" fieldPosition="0">
        <references count="1">
          <reference field="0" count="1">
            <x v="0"/>
          </reference>
        </references>
      </pivotArea>
    </format>
    <format dxfId="688">
      <pivotArea outline="0" fieldPosition="0">
        <references count="1">
          <reference field="0" count="1" selected="0">
            <x v="16"/>
          </reference>
        </references>
      </pivotArea>
    </format>
    <format dxfId="687">
      <pivotArea grandRow="1" outline="0" fieldPosition="0"/>
    </format>
    <format dxfId="686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85">
      <pivotArea dataOnly="0" labelOnly="1" outline="0" fieldPosition="0">
        <references count="1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84">
      <pivotArea outline="0" fieldPosition="0"/>
    </format>
    <format dxfId="683">
      <pivotArea dataOnly="0" labelOnly="1" outline="0" fieldPosition="0">
        <references count="1">
          <reference field="0" count="0"/>
        </references>
      </pivotArea>
    </format>
    <format dxfId="682">
      <pivotArea dataOnly="0" labelOnly="1" grandRow="1" outline="0" fieldPosition="0"/>
    </format>
    <format dxfId="681">
      <pivotArea grandRow="1" outline="0" fieldPosition="0"/>
    </format>
    <format dxfId="680">
      <pivotArea dataOnly="0" labelOnly="1" grandRow="1" outline="0" fieldPosition="0"/>
    </format>
    <format dxfId="679">
      <pivotArea outline="0" fieldPosition="0"/>
    </format>
    <format dxfId="678">
      <pivotArea outline="0" fieldPosition="0">
        <references count="1">
          <reference field="0" count="1" selected="0">
            <x v="13"/>
          </reference>
        </references>
      </pivotArea>
    </format>
    <format dxfId="677">
      <pivotArea dataOnly="0" labelOnly="1" outline="0" fieldPosition="0">
        <references count="1">
          <reference field="0" count="1">
            <x v="13"/>
          </reference>
        </references>
      </pivotArea>
    </format>
    <format dxfId="676">
      <pivotArea type="origin" dataOnly="0" labelOnly="1" outline="0" fieldPosition="0"/>
    </format>
    <format dxfId="675">
      <pivotArea type="topRight" dataOnly="0" labelOnly="1" outline="0" fieldPosition="0"/>
    </format>
    <format dxfId="67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N353:BO381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M DIA" fld="2" baseField="0" baseItem="0"/>
  </dataFields>
  <formats count="73">
    <format dxfId="764">
      <pivotArea type="all" dataOnly="0" outline="0" fieldPosition="0"/>
    </format>
    <format dxfId="763">
      <pivotArea outline="0" fieldPosition="0">
        <references count="1">
          <reference field="0" count="1" selected="0">
            <x v="0"/>
          </reference>
        </references>
      </pivotArea>
    </format>
    <format dxfId="762">
      <pivotArea dataOnly="0" labelOnly="1" outline="0" fieldPosition="0">
        <references count="1">
          <reference field="0" count="1">
            <x v="0"/>
          </reference>
        </references>
      </pivotArea>
    </format>
    <format dxfId="761">
      <pivotArea outline="0" fieldPosition="0">
        <references count="1">
          <reference field="0" count="1" selected="0">
            <x v="16"/>
          </reference>
        </references>
      </pivotArea>
    </format>
    <format dxfId="760">
      <pivotArea grandRow="1" outline="0" fieldPosition="0"/>
    </format>
    <format dxfId="759">
      <pivotArea dataOnly="0" labelOnly="1" grandRow="1" outline="0" fieldPosition="0"/>
    </format>
    <format dxfId="758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57">
      <pivotArea dataOnly="0" outline="0" fieldPosition="0">
        <references count="1">
          <reference field="0" count="0"/>
        </references>
      </pivotArea>
    </format>
    <format dxfId="756">
      <pivotArea grandRow="1" outline="0" fieldPosition="0"/>
    </format>
    <format dxfId="755">
      <pivotArea dataOnly="0" labelOnly="1" grandRow="1" outline="0" fieldPosition="0"/>
    </format>
    <format dxfId="754">
      <pivotArea outline="0" fieldPosition="0"/>
    </format>
    <format dxfId="753">
      <pivotArea dataOnly="0" labelOnly="1" outline="0" fieldPosition="0">
        <references count="1">
          <reference field="0" count="0"/>
        </references>
      </pivotArea>
    </format>
    <format dxfId="752">
      <pivotArea dataOnly="0" labelOnly="1" grandRow="1" outline="0" fieldPosition="0"/>
    </format>
    <format dxfId="751">
      <pivotArea outline="0" fieldPosition="0">
        <references count="1">
          <reference field="0" count="1" selected="0">
            <x v="13"/>
          </reference>
        </references>
      </pivotArea>
    </format>
    <format dxfId="750">
      <pivotArea dataOnly="0" labelOnly="1" outline="0" fieldPosition="0">
        <references count="1">
          <reference field="0" count="1">
            <x v="13"/>
          </reference>
        </references>
      </pivotArea>
    </format>
    <format dxfId="749">
      <pivotArea type="origin" dataOnly="0" labelOnly="1" outline="0" fieldPosition="0"/>
    </format>
    <format dxfId="748">
      <pivotArea type="topRight" dataOnly="0" labelOnly="1" outline="0" fieldPosition="0"/>
    </format>
    <format dxfId="747">
      <pivotArea type="all" dataOnly="0" outline="0" fieldPosition="0"/>
    </format>
    <format dxfId="746">
      <pivotArea type="origin" dataOnly="0" labelOnly="1" outline="0" fieldPosition="0"/>
    </format>
    <format dxfId="745">
      <pivotArea type="topRight" dataOnly="0" labelOnly="1" outline="0" fieldPosition="0"/>
    </format>
    <format dxfId="744">
      <pivotArea field="0" type="button" dataOnly="0" labelOnly="1" outline="0" axis="axisRow" fieldPosition="0"/>
    </format>
    <format dxfId="743">
      <pivotArea outline="0" fieldPosition="0">
        <references count="1">
          <reference field="0" count="1" selected="0">
            <x v="0"/>
          </reference>
        </references>
      </pivotArea>
    </format>
    <format dxfId="742">
      <pivotArea dataOnly="0" labelOnly="1" outline="0" fieldPosition="0">
        <references count="1">
          <reference field="0" count="1">
            <x v="0"/>
          </reference>
        </references>
      </pivotArea>
    </format>
    <format dxfId="741">
      <pivotArea outline="0" fieldPosition="0">
        <references count="1">
          <reference field="0" count="1" selected="0">
            <x v="1"/>
          </reference>
        </references>
      </pivotArea>
    </format>
    <format dxfId="740">
      <pivotArea dataOnly="0" labelOnly="1" outline="0" fieldPosition="0">
        <references count="1">
          <reference field="0" count="1">
            <x v="1"/>
          </reference>
        </references>
      </pivotArea>
    </format>
    <format dxfId="739">
      <pivotArea outline="0" fieldPosition="0">
        <references count="1">
          <reference field="0" count="1" selected="0">
            <x v="2"/>
          </reference>
        </references>
      </pivotArea>
    </format>
    <format dxfId="738">
      <pivotArea dataOnly="0" labelOnly="1" outline="0" fieldPosition="0">
        <references count="1">
          <reference field="0" count="1">
            <x v="2"/>
          </reference>
        </references>
      </pivotArea>
    </format>
    <format dxfId="737">
      <pivotArea outline="0" fieldPosition="0">
        <references count="1">
          <reference field="0" count="1" selected="0">
            <x v="3"/>
          </reference>
        </references>
      </pivotArea>
    </format>
    <format dxfId="736">
      <pivotArea dataOnly="0" labelOnly="1" outline="0" fieldPosition="0">
        <references count="1">
          <reference field="0" count="1">
            <x v="3"/>
          </reference>
        </references>
      </pivotArea>
    </format>
    <format dxfId="735">
      <pivotArea outline="0" fieldPosition="0">
        <references count="1">
          <reference field="0" count="1" selected="0">
            <x v="4"/>
          </reference>
        </references>
      </pivotArea>
    </format>
    <format dxfId="734">
      <pivotArea dataOnly="0" labelOnly="1" outline="0" fieldPosition="0">
        <references count="1">
          <reference field="0" count="1">
            <x v="4"/>
          </reference>
        </references>
      </pivotArea>
    </format>
    <format dxfId="733">
      <pivotArea outline="0" fieldPosition="0">
        <references count="1">
          <reference field="0" count="1" selected="0">
            <x v="6"/>
          </reference>
        </references>
      </pivotArea>
    </format>
    <format dxfId="732">
      <pivotArea dataOnly="0" labelOnly="1" outline="0" fieldPosition="0">
        <references count="1">
          <reference field="0" count="1">
            <x v="6"/>
          </reference>
        </references>
      </pivotArea>
    </format>
    <format dxfId="731">
      <pivotArea outline="0" fieldPosition="0">
        <references count="1">
          <reference field="0" count="1" selected="0">
            <x v="7"/>
          </reference>
        </references>
      </pivotArea>
    </format>
    <format dxfId="730">
      <pivotArea dataOnly="0" labelOnly="1" outline="0" fieldPosition="0">
        <references count="1">
          <reference field="0" count="1">
            <x v="7"/>
          </reference>
        </references>
      </pivotArea>
    </format>
    <format dxfId="729">
      <pivotArea outline="0" fieldPosition="0">
        <references count="1">
          <reference field="0" count="1" selected="0">
            <x v="8"/>
          </reference>
        </references>
      </pivotArea>
    </format>
    <format dxfId="728">
      <pivotArea dataOnly="0" labelOnly="1" outline="0" fieldPosition="0">
        <references count="1">
          <reference field="0" count="1">
            <x v="8"/>
          </reference>
        </references>
      </pivotArea>
    </format>
    <format dxfId="727">
      <pivotArea outline="0" fieldPosition="0">
        <references count="1">
          <reference field="0" count="1" selected="0">
            <x v="9"/>
          </reference>
        </references>
      </pivotArea>
    </format>
    <format dxfId="726">
      <pivotArea dataOnly="0" labelOnly="1" outline="0" fieldPosition="0">
        <references count="1">
          <reference field="0" count="1">
            <x v="9"/>
          </reference>
        </references>
      </pivotArea>
    </format>
    <format dxfId="725">
      <pivotArea outline="0" fieldPosition="0">
        <references count="1">
          <reference field="0" count="1" selected="0">
            <x v="10"/>
          </reference>
        </references>
      </pivotArea>
    </format>
    <format dxfId="724">
      <pivotArea dataOnly="0" labelOnly="1" outline="0" fieldPosition="0">
        <references count="1">
          <reference field="0" count="1">
            <x v="10"/>
          </reference>
        </references>
      </pivotArea>
    </format>
    <format dxfId="723">
      <pivotArea outline="0" fieldPosition="0">
        <references count="1">
          <reference field="0" count="1" selected="0">
            <x v="11"/>
          </reference>
        </references>
      </pivotArea>
    </format>
    <format dxfId="722">
      <pivotArea dataOnly="0" labelOnly="1" outline="0" fieldPosition="0">
        <references count="1">
          <reference field="0" count="1">
            <x v="11"/>
          </reference>
        </references>
      </pivotArea>
    </format>
    <format dxfId="721">
      <pivotArea outline="0" fieldPosition="0">
        <references count="1">
          <reference field="0" count="1" selected="0">
            <x v="12"/>
          </reference>
        </references>
      </pivotArea>
    </format>
    <format dxfId="720">
      <pivotArea dataOnly="0" labelOnly="1" outline="0" fieldPosition="0">
        <references count="1">
          <reference field="0" count="1">
            <x v="12"/>
          </reference>
        </references>
      </pivotArea>
    </format>
    <format dxfId="719">
      <pivotArea outline="0" fieldPosition="0">
        <references count="1">
          <reference field="0" count="1" selected="0">
            <x v="13"/>
          </reference>
        </references>
      </pivotArea>
    </format>
    <format dxfId="718">
      <pivotArea dataOnly="0" labelOnly="1" outline="0" fieldPosition="0">
        <references count="1">
          <reference field="0" count="1">
            <x v="13"/>
          </reference>
        </references>
      </pivotArea>
    </format>
    <format dxfId="717">
      <pivotArea outline="0" fieldPosition="0">
        <references count="1">
          <reference field="0" count="1" selected="0">
            <x v="14"/>
          </reference>
        </references>
      </pivotArea>
    </format>
    <format dxfId="716">
      <pivotArea dataOnly="0" labelOnly="1" outline="0" fieldPosition="0">
        <references count="1">
          <reference field="0" count="1">
            <x v="14"/>
          </reference>
        </references>
      </pivotArea>
    </format>
    <format dxfId="715">
      <pivotArea outline="0" fieldPosition="0">
        <references count="1">
          <reference field="0" count="1" selected="0">
            <x v="15"/>
          </reference>
        </references>
      </pivotArea>
    </format>
    <format dxfId="714">
      <pivotArea dataOnly="0" labelOnly="1" outline="0" fieldPosition="0">
        <references count="1">
          <reference field="0" count="1">
            <x v="15"/>
          </reference>
        </references>
      </pivotArea>
    </format>
    <format dxfId="713">
      <pivotArea outline="0" fieldPosition="0">
        <references count="1">
          <reference field="0" count="1" selected="0">
            <x v="16"/>
          </reference>
        </references>
      </pivotArea>
    </format>
    <format dxfId="712">
      <pivotArea dataOnly="0" labelOnly="1" outline="0" fieldPosition="0">
        <references count="1">
          <reference field="0" count="1">
            <x v="16"/>
          </reference>
        </references>
      </pivotArea>
    </format>
    <format dxfId="711">
      <pivotArea outline="0" fieldPosition="0">
        <references count="1">
          <reference field="0" count="1" selected="0">
            <x v="17"/>
          </reference>
        </references>
      </pivotArea>
    </format>
    <format dxfId="710">
      <pivotArea dataOnly="0" labelOnly="1" outline="0" fieldPosition="0">
        <references count="1">
          <reference field="0" count="1">
            <x v="17"/>
          </reference>
        </references>
      </pivotArea>
    </format>
    <format dxfId="709">
      <pivotArea outline="0" fieldPosition="0">
        <references count="1">
          <reference field="0" count="1" selected="0">
            <x v="18"/>
          </reference>
        </references>
      </pivotArea>
    </format>
    <format dxfId="708">
      <pivotArea dataOnly="0" labelOnly="1" outline="0" fieldPosition="0">
        <references count="1">
          <reference field="0" count="1">
            <x v="18"/>
          </reference>
        </references>
      </pivotArea>
    </format>
    <format dxfId="707">
      <pivotArea outline="0" fieldPosition="0">
        <references count="1">
          <reference field="0" count="1" selected="0">
            <x v="19"/>
          </reference>
        </references>
      </pivotArea>
    </format>
    <format dxfId="706">
      <pivotArea dataOnly="0" labelOnly="1" outline="0" fieldPosition="0">
        <references count="1">
          <reference field="0" count="1">
            <x v="19"/>
          </reference>
        </references>
      </pivotArea>
    </format>
    <format dxfId="705">
      <pivotArea outline="0" fieldPosition="0">
        <references count="1">
          <reference field="0" count="1" selected="0">
            <x v="20"/>
          </reference>
        </references>
      </pivotArea>
    </format>
    <format dxfId="704">
      <pivotArea dataOnly="0" labelOnly="1" outline="0" fieldPosition="0">
        <references count="1">
          <reference field="0" count="1">
            <x v="20"/>
          </reference>
        </references>
      </pivotArea>
    </format>
    <format dxfId="703">
      <pivotArea outline="0" fieldPosition="0">
        <references count="1">
          <reference field="0" count="1" selected="0">
            <x v="21"/>
          </reference>
        </references>
      </pivotArea>
    </format>
    <format dxfId="702">
      <pivotArea dataOnly="0" labelOnly="1" outline="0" fieldPosition="0">
        <references count="1">
          <reference field="0" count="1">
            <x v="21"/>
          </reference>
        </references>
      </pivotArea>
    </format>
    <format dxfId="701">
      <pivotArea outline="0" fieldPosition="0">
        <references count="1">
          <reference field="0" count="1" selected="0">
            <x v="22"/>
          </reference>
        </references>
      </pivotArea>
    </format>
    <format dxfId="700">
      <pivotArea dataOnly="0" labelOnly="1" outline="0" fieldPosition="0">
        <references count="1">
          <reference field="0" count="1">
            <x v="22"/>
          </reference>
        </references>
      </pivotArea>
    </format>
    <format dxfId="699">
      <pivotArea outline="0" fieldPosition="0">
        <references count="1">
          <reference field="0" count="1" selected="0">
            <x v="23"/>
          </reference>
        </references>
      </pivotArea>
    </format>
    <format dxfId="698">
      <pivotArea dataOnly="0" labelOnly="1" outline="0" fieldPosition="0">
        <references count="1">
          <reference field="0" count="1">
            <x v="23"/>
          </reference>
        </references>
      </pivotArea>
    </format>
    <format dxfId="697">
      <pivotArea outline="0" fieldPosition="0">
        <references count="1">
          <reference field="0" count="1" selected="0">
            <x v="24"/>
          </reference>
        </references>
      </pivotArea>
    </format>
    <format dxfId="696">
      <pivotArea dataOnly="0" labelOnly="1" outline="0" fieldPosition="0">
        <references count="1">
          <reference field="0" count="1">
            <x v="24"/>
          </reference>
        </references>
      </pivotArea>
    </format>
    <format dxfId="695">
      <pivotArea outline="0" fieldPosition="0">
        <references count="1">
          <reference field="0" count="1" selected="0">
            <x v="25"/>
          </reference>
        </references>
      </pivotArea>
    </format>
    <format dxfId="694">
      <pivotArea dataOnly="0" labelOnly="1" outline="0" fieldPosition="0">
        <references count="1">
          <reference field="0" count="1">
            <x v="25"/>
          </reference>
        </references>
      </pivotArea>
    </format>
    <format dxfId="693">
      <pivotArea grandRow="1" outline="0" fieldPosition="0"/>
    </format>
    <format dxfId="692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39.xml><?xml version="1.0" encoding="utf-8"?>
<pivotTableDefinition xmlns="http://schemas.openxmlformats.org/spreadsheetml/2006/main" name="PivotTable19" cacheId="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Z14:CA42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5"/>
        <item x="17"/>
        <item x="18"/>
        <item x="21"/>
        <item x="22"/>
        <item x="5"/>
        <item x="6"/>
        <item x="7"/>
        <item x="8"/>
        <item x="9"/>
        <item x="10"/>
        <item x="11"/>
        <item x="12"/>
        <item x="14"/>
        <item x="16"/>
        <item x="19"/>
        <item x="25"/>
        <item x="20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nt up bars Dist" fld="7" baseField="0" baseItem="0"/>
  </dataFields>
  <formats count="16">
    <format dxfId="780">
      <pivotArea type="all" dataOnly="0" outline="0" fieldPosition="0"/>
    </format>
    <format dxfId="779">
      <pivotArea outline="0" fieldPosition="0">
        <references count="1">
          <reference field="0" count="1" selected="0">
            <x v="0"/>
          </reference>
        </references>
      </pivotArea>
    </format>
    <format dxfId="778">
      <pivotArea dataOnly="0" labelOnly="1" outline="0" fieldPosition="0">
        <references count="1">
          <reference field="0" count="1">
            <x v="0"/>
          </reference>
        </references>
      </pivotArea>
    </format>
    <format dxfId="777">
      <pivotArea outline="0" fieldPosition="0">
        <references count="1">
          <reference field="0" count="1" selected="0">
            <x v="18"/>
          </reference>
        </references>
      </pivotArea>
    </format>
    <format dxfId="776">
      <pivotArea grandRow="1" outline="0" fieldPosition="0"/>
    </format>
    <format dxfId="775">
      <pivotArea dataOnly="0" labelOnly="1" outline="0" fieldPosition="0">
        <references count="1">
          <reference field="0" count="1">
            <x v="18"/>
          </reference>
        </references>
      </pivotArea>
    </format>
    <format dxfId="774">
      <pivotArea dataOnly="0" labelOnly="1" grandRow="1" outline="0" fieldPosition="0"/>
    </format>
    <format dxfId="773">
      <pivotArea outline="0" fieldPosition="0">
        <references count="1">
          <reference field="0" count="12" selected="0">
            <x v="0"/>
            <x v="1"/>
            <x v="3"/>
            <x v="4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772">
      <pivotArea outline="0" fieldPosition="0"/>
    </format>
    <format dxfId="771">
      <pivotArea dataOnly="0" labelOnly="1" outline="0" fieldPosition="0">
        <references count="1">
          <reference field="0" count="0"/>
        </references>
      </pivotArea>
    </format>
    <format dxfId="770">
      <pivotArea dataOnly="0" labelOnly="1" grandRow="1" outline="0" fieldPosition="0"/>
    </format>
    <format dxfId="769">
      <pivotArea outline="0" fieldPosition="0">
        <references count="1">
          <reference field="0" count="1" selected="0">
            <x v="15"/>
          </reference>
        </references>
      </pivotArea>
    </format>
    <format dxfId="768">
      <pivotArea dataOnly="0" labelOnly="1" outline="0" fieldPosition="0">
        <references count="1">
          <reference field="0" count="1">
            <x v="15"/>
          </reference>
        </references>
      </pivotArea>
    </format>
    <format dxfId="767">
      <pivotArea type="origin" dataOnly="0" labelOnly="1" outline="0" fieldPosition="0"/>
    </format>
    <format dxfId="766">
      <pivotArea type="topRight" dataOnly="0" labelOnly="1" outline="0" fieldPosition="0"/>
    </format>
    <format dxfId="765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0" cacheId="1" dataOnRows="1" applyNumberFormats="0" applyBorderFormats="0" applyFontFormats="0" applyPatternFormats="0" applyAlignmentFormats="0" applyWidthHeightFormats="1" dataCaption="Data" updatedVersion="3" showItems="0" showMultipleLabel="0" showMemberPropertyTips="0" useAutoFormatting="1" itemPrintTitles="1" indent="0" compact="0" compactData="0" gridDropZones="1">
  <location ref="BT209:BU237" firstHeaderRow="2" firstDataRow="2" firstDataCol="1"/>
  <pivotFields count="9">
    <pivotField axis="axisRow" compact="0" outline="0" subtotalTop="0" showAll="0" includeNewItemsInFilter="1">
      <items count="27">
        <item x="5"/>
        <item x="6"/>
        <item x="7"/>
        <item x="8"/>
        <item x="9"/>
        <item x="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7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nt up bars main" fld="6" baseField="0" baseItem="0"/>
  </dataFields>
  <formats count="16">
    <format dxfId="923">
      <pivotArea type="all" dataOnly="0" outline="0" fieldPosition="0"/>
    </format>
    <format dxfId="922">
      <pivotArea outline="0" fieldPosition="0">
        <references count="1">
          <reference field="0" count="1" selected="0">
            <x v="0"/>
          </reference>
        </references>
      </pivotArea>
    </format>
    <format dxfId="921">
      <pivotArea dataOnly="0" labelOnly="1" outline="0" fieldPosition="0">
        <references count="1">
          <reference field="0" count="1">
            <x v="0"/>
          </reference>
        </references>
      </pivotArea>
    </format>
    <format dxfId="920">
      <pivotArea outline="0" fieldPosition="0">
        <references count="1">
          <reference field="0" count="1" selected="0">
            <x v="18"/>
          </reference>
        </references>
      </pivotArea>
    </format>
    <format dxfId="919">
      <pivotArea grandRow="1" outline="0" fieldPosition="0"/>
    </format>
    <format dxfId="918">
      <pivotArea dataOnly="0" labelOnly="1" outline="0" fieldPosition="0">
        <references count="1">
          <reference field="0" count="1">
            <x v="18"/>
          </reference>
        </references>
      </pivotArea>
    </format>
    <format dxfId="917">
      <pivotArea dataOnly="0" labelOnly="1" grandRow="1" outline="0" fieldPosition="0"/>
    </format>
    <format dxfId="916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</reference>
        </references>
      </pivotArea>
    </format>
    <format dxfId="915">
      <pivotArea outline="0" fieldPosition="0"/>
    </format>
    <format dxfId="914">
      <pivotArea dataOnly="0" labelOnly="1" outline="0" fieldPosition="0">
        <references count="1">
          <reference field="0" count="0"/>
        </references>
      </pivotArea>
    </format>
    <format dxfId="913">
      <pivotArea dataOnly="0" labelOnly="1" grandRow="1" outline="0" fieldPosition="0"/>
    </format>
    <format dxfId="912">
      <pivotArea outline="0" fieldPosition="0">
        <references count="1">
          <reference field="0" count="1" selected="0">
            <x v="13"/>
          </reference>
        </references>
      </pivotArea>
    </format>
    <format dxfId="911">
      <pivotArea dataOnly="0" labelOnly="1" outline="0" fieldPosition="0">
        <references count="1">
          <reference field="0" count="1">
            <x v="13"/>
          </reference>
        </references>
      </pivotArea>
    </format>
    <format dxfId="910">
      <pivotArea type="origin" dataOnly="0" labelOnly="1" outline="0" fieldPosition="0"/>
    </format>
    <format dxfId="909">
      <pivotArea type="topRight" dataOnly="0" labelOnly="1" outline="0" fieldPosition="0"/>
    </format>
    <format dxfId="908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40.xml><?xml version="1.0" encoding="utf-8"?>
<pivotTableDefinition xmlns="http://schemas.openxmlformats.org/spreadsheetml/2006/main" name="PivotTable15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CF353:CG381" firstHeaderRow="2" firstDataRow="2" firstDataCol="1"/>
  <pivotFields count="9">
    <pivotField axis="axisRow" compact="0" outline="0" subtotalTop="0" showAll="0" includeNewItemsInFilter="1">
      <items count="27">
        <item x="4"/>
        <item x="13"/>
        <item x="14"/>
        <item x="15"/>
        <item x="16"/>
        <item x="17"/>
        <item x="18"/>
        <item x="19"/>
        <item x="5"/>
        <item x="6"/>
        <item x="7"/>
        <item x="8"/>
        <item x="9"/>
        <item x="10"/>
        <item x="11"/>
        <item x="12"/>
        <item x="25"/>
        <item x="20"/>
        <item x="0"/>
        <item x="1"/>
        <item x="2"/>
        <item x="3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7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Remark" fld="8" baseField="0" baseItem="0"/>
  </dataFields>
  <formats count="70">
    <format dxfId="850">
      <pivotArea outline="0" fieldPosition="0">
        <references count="1">
          <reference field="0" count="1" selected="0">
            <x v="0"/>
          </reference>
        </references>
      </pivotArea>
    </format>
    <format dxfId="849">
      <pivotArea dataOnly="0" labelOnly="1" outline="0" fieldPosition="0">
        <references count="1">
          <reference field="0" count="1">
            <x v="0"/>
          </reference>
        </references>
      </pivotArea>
    </format>
    <format dxfId="848">
      <pivotArea outline="0" fieldPosition="0">
        <references count="1">
          <reference field="0" count="1" selected="0">
            <x v="16"/>
          </reference>
        </references>
      </pivotArea>
    </format>
    <format dxfId="847">
      <pivotArea grandRow="1" outline="0" fieldPosition="0"/>
    </format>
    <format dxfId="846">
      <pivotArea dataOnly="0" labelOnly="1" outline="0" fieldPosition="0">
        <references count="1">
          <reference field="0" count="1">
            <x v="16"/>
          </reference>
        </references>
      </pivotArea>
    </format>
    <format dxfId="845">
      <pivotArea dataOnly="0" labelOnly="1" grandRow="1" outline="0" fieldPosition="0"/>
    </format>
    <format dxfId="844">
      <pivotArea outline="0" fieldPosition="0">
        <references count="1">
          <reference field="0" count="12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843">
      <pivotArea outline="0" fieldPosition="0"/>
    </format>
    <format dxfId="842">
      <pivotArea dataOnly="0" labelOnly="1" outline="0" fieldPosition="0">
        <references count="1">
          <reference field="0" count="0"/>
        </references>
      </pivotArea>
    </format>
    <format dxfId="841">
      <pivotArea dataOnly="0" labelOnly="1" grandRow="1" outline="0" fieldPosition="0"/>
    </format>
    <format dxfId="840">
      <pivotArea outline="0" fieldPosition="0">
        <references count="1">
          <reference field="0" count="1" selected="0">
            <x v="13"/>
          </reference>
        </references>
      </pivotArea>
    </format>
    <format dxfId="839">
      <pivotArea dataOnly="0" labelOnly="1" outline="0" fieldPosition="0">
        <references count="1">
          <reference field="0" count="1">
            <x v="13"/>
          </reference>
        </references>
      </pivotArea>
    </format>
    <format dxfId="838">
      <pivotArea type="origin" dataOnly="0" labelOnly="1" outline="0" fieldPosition="0"/>
    </format>
    <format dxfId="837">
      <pivotArea type="topRight" dataOnly="0" labelOnly="1" outline="0" fieldPosition="0"/>
    </format>
    <format dxfId="836">
      <pivotArea type="all" dataOnly="0" outline="0" fieldPosition="0"/>
    </format>
    <format dxfId="835">
      <pivotArea type="origin" dataOnly="0" labelOnly="1" outline="0" fieldPosition="0"/>
    </format>
    <format dxfId="834">
      <pivotArea type="topRight" dataOnly="0" labelOnly="1" outline="0" fieldPosition="0"/>
    </format>
    <format dxfId="833">
      <pivotArea field="0" type="button" dataOnly="0" labelOnly="1" outline="0" axis="axisRow" fieldPosition="0"/>
    </format>
    <format dxfId="832">
      <pivotArea outline="0" fieldPosition="0">
        <references count="1">
          <reference field="0" count="1" selected="0">
            <x v="0"/>
          </reference>
        </references>
      </pivotArea>
    </format>
    <format dxfId="831">
      <pivotArea dataOnly="0" labelOnly="1" outline="0" fieldPosition="0">
        <references count="1">
          <reference field="0" count="1">
            <x v="0"/>
          </reference>
        </references>
      </pivotArea>
    </format>
    <format dxfId="830">
      <pivotArea outline="0" fieldPosition="0">
        <references count="1">
          <reference field="0" count="1" selected="0">
            <x v="1"/>
          </reference>
        </references>
      </pivotArea>
    </format>
    <format dxfId="829">
      <pivotArea dataOnly="0" labelOnly="1" outline="0" fieldPosition="0">
        <references count="1">
          <reference field="0" count="1">
            <x v="1"/>
          </reference>
        </references>
      </pivotArea>
    </format>
    <format dxfId="828">
      <pivotArea outline="0" fieldPosition="0">
        <references count="1">
          <reference field="0" count="1" selected="0">
            <x v="2"/>
          </reference>
        </references>
      </pivotArea>
    </format>
    <format dxfId="827">
      <pivotArea dataOnly="0" labelOnly="1" outline="0" fieldPosition="0">
        <references count="1">
          <reference field="0" count="1">
            <x v="2"/>
          </reference>
        </references>
      </pivotArea>
    </format>
    <format dxfId="826">
      <pivotArea outline="0" fieldPosition="0">
        <references count="1">
          <reference field="0" count="1" selected="0">
            <x v="3"/>
          </reference>
        </references>
      </pivotArea>
    </format>
    <format dxfId="825">
      <pivotArea dataOnly="0" labelOnly="1" outline="0" fieldPosition="0">
        <references count="1">
          <reference field="0" count="1">
            <x v="3"/>
          </reference>
        </references>
      </pivotArea>
    </format>
    <format dxfId="824">
      <pivotArea outline="0" fieldPosition="0">
        <references count="1">
          <reference field="0" count="1" selected="0">
            <x v="4"/>
          </reference>
        </references>
      </pivotArea>
    </format>
    <format dxfId="823">
      <pivotArea dataOnly="0" labelOnly="1" outline="0" fieldPosition="0">
        <references count="1">
          <reference field="0" count="1">
            <x v="4"/>
          </reference>
        </references>
      </pivotArea>
    </format>
    <format dxfId="822">
      <pivotArea outline="0" fieldPosition="0">
        <references count="1">
          <reference field="0" count="1" selected="0">
            <x v="6"/>
          </reference>
        </references>
      </pivotArea>
    </format>
    <format dxfId="821">
      <pivotArea dataOnly="0" labelOnly="1" outline="0" fieldPosition="0">
        <references count="1">
          <reference field="0" count="1">
            <x v="6"/>
          </reference>
        </references>
      </pivotArea>
    </format>
    <format dxfId="820">
      <pivotArea outline="0" fieldPosition="0">
        <references count="1">
          <reference field="0" count="1" selected="0">
            <x v="7"/>
          </reference>
        </references>
      </pivotArea>
    </format>
    <format dxfId="819">
      <pivotArea dataOnly="0" labelOnly="1" outline="0" fieldPosition="0">
        <references count="1">
          <reference field="0" count="1">
            <x v="7"/>
          </reference>
        </references>
      </pivotArea>
    </format>
    <format dxfId="818">
      <pivotArea outline="0" fieldPosition="0">
        <references count="1">
          <reference field="0" count="1" selected="0">
            <x v="8"/>
          </reference>
        </references>
      </pivotArea>
    </format>
    <format dxfId="817">
      <pivotArea dataOnly="0" labelOnly="1" outline="0" fieldPosition="0">
        <references count="1">
          <reference field="0" count="1">
            <x v="8"/>
          </reference>
        </references>
      </pivotArea>
    </format>
    <format dxfId="816">
      <pivotArea outline="0" fieldPosition="0">
        <references count="1">
          <reference field="0" count="1" selected="0">
            <x v="9"/>
          </reference>
        </references>
      </pivotArea>
    </format>
    <format dxfId="815">
      <pivotArea dataOnly="0" labelOnly="1" outline="0" fieldPosition="0">
        <references count="1">
          <reference field="0" count="1">
            <x v="9"/>
          </reference>
        </references>
      </pivotArea>
    </format>
    <format dxfId="814">
      <pivotArea outline="0" fieldPosition="0">
        <references count="1">
          <reference field="0" count="1" selected="0">
            <x v="10"/>
          </reference>
        </references>
      </pivotArea>
    </format>
    <format dxfId="813">
      <pivotArea dataOnly="0" labelOnly="1" outline="0" fieldPosition="0">
        <references count="1">
          <reference field="0" count="1">
            <x v="10"/>
          </reference>
        </references>
      </pivotArea>
    </format>
    <format dxfId="812">
      <pivotArea outline="0" fieldPosition="0">
        <references count="1">
          <reference field="0" count="1" selected="0">
            <x v="11"/>
          </reference>
        </references>
      </pivotArea>
    </format>
    <format dxfId="811">
      <pivotArea dataOnly="0" labelOnly="1" outline="0" fieldPosition="0">
        <references count="1">
          <reference field="0" count="1">
            <x v="11"/>
          </reference>
        </references>
      </pivotArea>
    </format>
    <format dxfId="810">
      <pivotArea outline="0" fieldPosition="0">
        <references count="1">
          <reference field="0" count="1" selected="0">
            <x v="12"/>
          </reference>
        </references>
      </pivotArea>
    </format>
    <format dxfId="809">
      <pivotArea dataOnly="0" labelOnly="1" outline="0" fieldPosition="0">
        <references count="1">
          <reference field="0" count="1">
            <x v="12"/>
          </reference>
        </references>
      </pivotArea>
    </format>
    <format dxfId="808">
      <pivotArea outline="0" fieldPosition="0">
        <references count="1">
          <reference field="0" count="1" selected="0">
            <x v="13"/>
          </reference>
        </references>
      </pivotArea>
    </format>
    <format dxfId="807">
      <pivotArea dataOnly="0" labelOnly="1" outline="0" fieldPosition="0">
        <references count="1">
          <reference field="0" count="1">
            <x v="13"/>
          </reference>
        </references>
      </pivotArea>
    </format>
    <format dxfId="806">
      <pivotArea outline="0" fieldPosition="0">
        <references count="1">
          <reference field="0" count="1" selected="0">
            <x v="14"/>
          </reference>
        </references>
      </pivotArea>
    </format>
    <format dxfId="805">
      <pivotArea dataOnly="0" labelOnly="1" outline="0" fieldPosition="0">
        <references count="1">
          <reference field="0" count="1">
            <x v="14"/>
          </reference>
        </references>
      </pivotArea>
    </format>
    <format dxfId="804">
      <pivotArea outline="0" fieldPosition="0">
        <references count="1">
          <reference field="0" count="1" selected="0">
            <x v="15"/>
          </reference>
        </references>
      </pivotArea>
    </format>
    <format dxfId="803">
      <pivotArea dataOnly="0" labelOnly="1" outline="0" fieldPosition="0">
        <references count="1">
          <reference field="0" count="1">
            <x v="15"/>
          </reference>
        </references>
      </pivotArea>
    </format>
    <format dxfId="802">
      <pivotArea outline="0" fieldPosition="0">
        <references count="1">
          <reference field="0" count="1" selected="0">
            <x v="16"/>
          </reference>
        </references>
      </pivotArea>
    </format>
    <format dxfId="801">
      <pivotArea dataOnly="0" labelOnly="1" outline="0" fieldPosition="0">
        <references count="1">
          <reference field="0" count="1">
            <x v="16"/>
          </reference>
        </references>
      </pivotArea>
    </format>
    <format dxfId="800">
      <pivotArea outline="0" fieldPosition="0">
        <references count="1">
          <reference field="0" count="1" selected="0">
            <x v="17"/>
          </reference>
        </references>
      </pivotArea>
    </format>
    <format dxfId="799">
      <pivotArea dataOnly="0" labelOnly="1" outline="0" fieldPosition="0">
        <references count="1">
          <reference field="0" count="1">
            <x v="17"/>
          </reference>
        </references>
      </pivotArea>
    </format>
    <format dxfId="798">
      <pivotArea outline="0" fieldPosition="0">
        <references count="1">
          <reference field="0" count="1" selected="0">
            <x v="18"/>
          </reference>
        </references>
      </pivotArea>
    </format>
    <format dxfId="797">
      <pivotArea dataOnly="0" labelOnly="1" outline="0" fieldPosition="0">
        <references count="1">
          <reference field="0" count="1">
            <x v="18"/>
          </reference>
        </references>
      </pivotArea>
    </format>
    <format dxfId="796">
      <pivotArea outline="0" fieldPosition="0">
        <references count="1">
          <reference field="0" count="1" selected="0">
            <x v="19"/>
          </reference>
        </references>
      </pivotArea>
    </format>
    <format dxfId="795">
      <pivotArea dataOnly="0" labelOnly="1" outline="0" fieldPosition="0">
        <references count="1">
          <reference field="0" count="1">
            <x v="19"/>
          </reference>
        </references>
      </pivotArea>
    </format>
    <format dxfId="794">
      <pivotArea outline="0" fieldPosition="0">
        <references count="1">
          <reference field="0" count="1" selected="0">
            <x v="20"/>
          </reference>
        </references>
      </pivotArea>
    </format>
    <format dxfId="793">
      <pivotArea dataOnly="0" labelOnly="1" outline="0" fieldPosition="0">
        <references count="1">
          <reference field="0" count="1">
            <x v="20"/>
          </reference>
        </references>
      </pivotArea>
    </format>
    <format dxfId="792">
      <pivotArea outline="0" fieldPosition="0">
        <references count="1">
          <reference field="0" count="1" selected="0">
            <x v="21"/>
          </reference>
        </references>
      </pivotArea>
    </format>
    <format dxfId="791">
      <pivotArea dataOnly="0" labelOnly="1" outline="0" fieldPosition="0">
        <references count="1">
          <reference field="0" count="1">
            <x v="21"/>
          </reference>
        </references>
      </pivotArea>
    </format>
    <format dxfId="790">
      <pivotArea outline="0" fieldPosition="0">
        <references count="1">
          <reference field="0" count="1" selected="0">
            <x v="22"/>
          </reference>
        </references>
      </pivotArea>
    </format>
    <format dxfId="789">
      <pivotArea dataOnly="0" labelOnly="1" outline="0" fieldPosition="0">
        <references count="1">
          <reference field="0" count="1">
            <x v="22"/>
          </reference>
        </references>
      </pivotArea>
    </format>
    <format dxfId="788">
      <pivotArea outline="0" fieldPosition="0">
        <references count="1">
          <reference field="0" count="1" selected="0">
            <x v="23"/>
          </reference>
        </references>
      </pivotArea>
    </format>
    <format dxfId="787">
      <pivotArea dataOnly="0" labelOnly="1" outline="0" fieldPosition="0">
        <references count="1">
          <reference field="0" count="1">
            <x v="23"/>
          </reference>
        </references>
      </pivotArea>
    </format>
    <format dxfId="786">
      <pivotArea outline="0" fieldPosition="0">
        <references count="1">
          <reference field="0" count="1" selected="0">
            <x v="24"/>
          </reference>
        </references>
      </pivotArea>
    </format>
    <format dxfId="785">
      <pivotArea dataOnly="0" labelOnly="1" outline="0" fieldPosition="0">
        <references count="1">
          <reference field="0" count="1">
            <x v="24"/>
          </reference>
        </references>
      </pivotArea>
    </format>
    <format dxfId="784">
      <pivotArea outline="0" fieldPosition="0">
        <references count="1">
          <reference field="0" count="1" selected="0">
            <x v="25"/>
          </reference>
        </references>
      </pivotArea>
    </format>
    <format dxfId="783">
      <pivotArea dataOnly="0" labelOnly="1" outline="0" fieldPosition="0">
        <references count="1">
          <reference field="0" count="1">
            <x v="25"/>
          </reference>
        </references>
      </pivotArea>
    </format>
    <format dxfId="782">
      <pivotArea grandRow="1" outline="0" fieldPosition="0"/>
    </format>
    <format dxfId="781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9" cacheId="1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N209:BO237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M DIA" fld="2" baseField="0" baseItem="0"/>
  </dataFields>
  <formats count="18">
    <format dxfId="941">
      <pivotArea type="all" dataOnly="0" outline="0" fieldPosition="0"/>
    </format>
    <format dxfId="940">
      <pivotArea outline="0" fieldPosition="0">
        <references count="1">
          <reference field="0" count="1" selected="0">
            <x v="0"/>
          </reference>
        </references>
      </pivotArea>
    </format>
    <format dxfId="939">
      <pivotArea dataOnly="0" labelOnly="1" outline="0" fieldPosition="0">
        <references count="1">
          <reference field="0" count="1">
            <x v="0"/>
          </reference>
        </references>
      </pivotArea>
    </format>
    <format dxfId="938">
      <pivotArea outline="0" fieldPosition="0">
        <references count="1">
          <reference field="0" count="1" selected="0">
            <x v="16"/>
          </reference>
        </references>
      </pivotArea>
    </format>
    <format dxfId="937">
      <pivotArea grandRow="1" outline="0" fieldPosition="0"/>
    </format>
    <format dxfId="936">
      <pivotArea dataOnly="0" labelOnly="1" grandRow="1" outline="0" fieldPosition="0"/>
    </format>
    <format dxfId="935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34">
      <pivotArea dataOnly="0" outline="0" fieldPosition="0">
        <references count="1">
          <reference field="0" count="0"/>
        </references>
      </pivotArea>
    </format>
    <format dxfId="933">
      <pivotArea grandRow="1" outline="0" fieldPosition="0"/>
    </format>
    <format dxfId="932">
      <pivotArea dataOnly="0" labelOnly="1" grandRow="1" outline="0" fieldPosition="0"/>
    </format>
    <format dxfId="931">
      <pivotArea outline="0" fieldPosition="0"/>
    </format>
    <format dxfId="930">
      <pivotArea dataOnly="0" labelOnly="1" outline="0" fieldPosition="0">
        <references count="1">
          <reference field="0" count="0"/>
        </references>
      </pivotArea>
    </format>
    <format dxfId="929">
      <pivotArea dataOnly="0" labelOnly="1" grandRow="1" outline="0" fieldPosition="0"/>
    </format>
    <format dxfId="928">
      <pivotArea outline="0" fieldPosition="0">
        <references count="1">
          <reference field="0" count="1" selected="0">
            <x v="13"/>
          </reference>
        </references>
      </pivotArea>
    </format>
    <format dxfId="927">
      <pivotArea dataOnly="0" labelOnly="1" outline="0" fieldPosition="0">
        <references count="1">
          <reference field="0" count="1">
            <x v="13"/>
          </reference>
        </references>
      </pivotArea>
    </format>
    <format dxfId="926">
      <pivotArea type="origin" dataOnly="0" labelOnly="1" outline="0" fieldPosition="0"/>
    </format>
    <format dxfId="925">
      <pivotArea type="topRight" dataOnly="0" labelOnly="1" outline="0" fieldPosition="0"/>
    </format>
    <format dxfId="92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5" cacheId="0" dataOnRows="1" applyNumberFormats="0" applyBorderFormats="0" applyFontFormats="0" applyPatternFormats="0" applyAlignmentFormats="0" applyWidthHeightFormats="1" dataCaption="Data" updatedVersion="3" showItems="0" showMultipleLabel="0" showMemberPropertyTips="0" useAutoFormatting="1" itemPrintTitles="1" indent="0" compact="0" compactData="0" gridDropZones="1">
  <location ref="CC393:CD421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 SPACING" fld="5" baseField="0" baseItem="0"/>
  </dataFields>
  <formats count="17">
    <format dxfId="958">
      <pivotArea type="all" dataOnly="0" outline="0" fieldPosition="0"/>
    </format>
    <format dxfId="957">
      <pivotArea outline="0" fieldPosition="0">
        <references count="1">
          <reference field="0" count="1" selected="0">
            <x v="0"/>
          </reference>
        </references>
      </pivotArea>
    </format>
    <format dxfId="956">
      <pivotArea dataOnly="0" labelOnly="1" outline="0" fieldPosition="0">
        <references count="1">
          <reference field="0" count="1">
            <x v="0"/>
          </reference>
        </references>
      </pivotArea>
    </format>
    <format dxfId="955">
      <pivotArea outline="0" fieldPosition="0">
        <references count="1">
          <reference field="0" count="1" selected="0">
            <x v="16"/>
          </reference>
        </references>
      </pivotArea>
    </format>
    <format dxfId="954">
      <pivotArea grandRow="1" outline="0" fieldPosition="0"/>
    </format>
    <format dxfId="953">
      <pivotArea dataOnly="0" labelOnly="1" outline="0" fieldPosition="0">
        <references count="1">
          <reference field="0" count="1">
            <x v="16"/>
          </reference>
        </references>
      </pivotArea>
    </format>
    <format dxfId="952">
      <pivotArea dataOnly="0" labelOnly="1" grandRow="1" outline="0" fieldPosition="0"/>
    </format>
    <format dxfId="951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50">
      <pivotArea outline="0" fieldPosition="0"/>
    </format>
    <format dxfId="949">
      <pivotArea dataOnly="0" labelOnly="1" outline="0" fieldPosition="0">
        <references count="1">
          <reference field="0" count="0"/>
        </references>
      </pivotArea>
    </format>
    <format dxfId="948">
      <pivotArea dataOnly="0" labelOnly="1" grandRow="1" outline="0" fieldPosition="0"/>
    </format>
    <format dxfId="947">
      <pivotArea outline="0" fieldPosition="0">
        <references count="1">
          <reference field="0" count="1" selected="0">
            <x v="13"/>
          </reference>
        </references>
      </pivotArea>
    </format>
    <format dxfId="946">
      <pivotArea dataOnly="0" labelOnly="1" outline="0" fieldPosition="0">
        <references count="1">
          <reference field="0" count="1">
            <x v="13"/>
          </reference>
        </references>
      </pivotArea>
    </format>
    <format dxfId="945">
      <pivotArea type="origin" dataOnly="0" labelOnly="1" outline="0" fieldPosition="0"/>
    </format>
    <format dxfId="944">
      <pivotArea type="topRight" dataOnly="0" labelOnly="1" outline="0" fieldPosition="0"/>
    </format>
    <format dxfId="943">
      <pivotArea type="all" dataOnly="0" outline="0" fieldPosition="0"/>
    </format>
    <format dxfId="942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K393:BL421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EPTH" fld="1" baseField="0" baseItem="0"/>
  </dataFields>
  <formats count="19">
    <format dxfId="977">
      <pivotArea type="all" dataOnly="0" outline="0" fieldPosition="0"/>
    </format>
    <format dxfId="976">
      <pivotArea outline="0" fieldPosition="0">
        <references count="1">
          <reference field="0" count="1" selected="0">
            <x v="0"/>
          </reference>
        </references>
      </pivotArea>
    </format>
    <format dxfId="975">
      <pivotArea dataOnly="0" labelOnly="1" outline="0" fieldPosition="0">
        <references count="1">
          <reference field="0" count="1">
            <x v="0"/>
          </reference>
        </references>
      </pivotArea>
    </format>
    <format dxfId="974">
      <pivotArea outline="0" fieldPosition="0">
        <references count="1">
          <reference field="0" count="1" selected="0">
            <x v="16"/>
          </reference>
        </references>
      </pivotArea>
    </format>
    <format dxfId="973">
      <pivotArea grandRow="1" outline="0" fieldPosition="0"/>
    </format>
    <format dxfId="972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71">
      <pivotArea dataOnly="0" labelOnly="1" outline="0" fieldPosition="0">
        <references count="1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70">
      <pivotArea outline="0" fieldPosition="0"/>
    </format>
    <format dxfId="969">
      <pivotArea dataOnly="0" labelOnly="1" outline="0" fieldPosition="0">
        <references count="1">
          <reference field="0" count="0"/>
        </references>
      </pivotArea>
    </format>
    <format dxfId="968">
      <pivotArea dataOnly="0" labelOnly="1" grandRow="1" outline="0" fieldPosition="0"/>
    </format>
    <format dxfId="967">
      <pivotArea grandRow="1" outline="0" fieldPosition="0"/>
    </format>
    <format dxfId="966">
      <pivotArea dataOnly="0" labelOnly="1" grandRow="1" outline="0" fieldPosition="0"/>
    </format>
    <format dxfId="965">
      <pivotArea outline="0" fieldPosition="0"/>
    </format>
    <format dxfId="964">
      <pivotArea outline="0" fieldPosition="0">
        <references count="1">
          <reference field="0" count="1" selected="0">
            <x v="13"/>
          </reference>
        </references>
      </pivotArea>
    </format>
    <format dxfId="963">
      <pivotArea dataOnly="0" labelOnly="1" outline="0" fieldPosition="0">
        <references count="1">
          <reference field="0" count="1">
            <x v="13"/>
          </reference>
        </references>
      </pivotArea>
    </format>
    <format dxfId="962">
      <pivotArea type="origin" dataOnly="0" labelOnly="1" outline="0" fieldPosition="0"/>
    </format>
    <format dxfId="961">
      <pivotArea type="topRight" dataOnly="0" labelOnly="1" outline="0" fieldPosition="0"/>
    </format>
    <format dxfId="960">
      <pivotArea type="all" dataOnly="0" outline="0" fieldPosition="0"/>
    </format>
    <format dxfId="959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2" cacheId="1" dataOnRows="1" applyNumberFormats="0" applyBorderFormats="0" applyFontFormats="0" applyPatternFormats="0" applyAlignmentFormats="0" applyWidthHeightFormats="1" dataCaption="Data" updatedVersion="3" showItems="0" showMultipleLabel="0" showMemberPropertyTips="0" useAutoFormatting="1" itemPrintTitles="1" indent="0" compact="0" compactData="0" gridDropZones="1">
  <location ref="CC209:CD237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 SPACING" fld="5" baseField="0" baseItem="0"/>
  </dataFields>
  <formats count="16">
    <format dxfId="993">
      <pivotArea type="all" dataOnly="0" outline="0" fieldPosition="0"/>
    </format>
    <format dxfId="992">
      <pivotArea outline="0" fieldPosition="0">
        <references count="1">
          <reference field="0" count="1" selected="0">
            <x v="0"/>
          </reference>
        </references>
      </pivotArea>
    </format>
    <format dxfId="991">
      <pivotArea dataOnly="0" labelOnly="1" outline="0" fieldPosition="0">
        <references count="1">
          <reference field="0" count="1">
            <x v="0"/>
          </reference>
        </references>
      </pivotArea>
    </format>
    <format dxfId="990">
      <pivotArea outline="0" fieldPosition="0">
        <references count="1">
          <reference field="0" count="1" selected="0">
            <x v="16"/>
          </reference>
        </references>
      </pivotArea>
    </format>
    <format dxfId="989">
      <pivotArea grandRow="1" outline="0" fieldPosition="0"/>
    </format>
    <format dxfId="988">
      <pivotArea dataOnly="0" labelOnly="1" outline="0" fieldPosition="0">
        <references count="1">
          <reference field="0" count="1">
            <x v="16"/>
          </reference>
        </references>
      </pivotArea>
    </format>
    <format dxfId="987">
      <pivotArea dataOnly="0" labelOnly="1" grandRow="1" outline="0" fieldPosition="0"/>
    </format>
    <format dxfId="986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85">
      <pivotArea outline="0" fieldPosition="0"/>
    </format>
    <format dxfId="984">
      <pivotArea dataOnly="0" labelOnly="1" outline="0" fieldPosition="0">
        <references count="1">
          <reference field="0" count="0"/>
        </references>
      </pivotArea>
    </format>
    <format dxfId="983">
      <pivotArea dataOnly="0" labelOnly="1" grandRow="1" outline="0" fieldPosition="0"/>
    </format>
    <format dxfId="982">
      <pivotArea outline="0" fieldPosition="0">
        <references count="1">
          <reference field="0" count="1" selected="0">
            <x v="13"/>
          </reference>
        </references>
      </pivotArea>
    </format>
    <format dxfId="981">
      <pivotArea dataOnly="0" labelOnly="1" outline="0" fieldPosition="0">
        <references count="1">
          <reference field="0" count="1">
            <x v="13"/>
          </reference>
        </references>
      </pivotArea>
    </format>
    <format dxfId="980">
      <pivotArea type="origin" dataOnly="0" labelOnly="1" outline="0" fieldPosition="0"/>
    </format>
    <format dxfId="979">
      <pivotArea type="topRight" dataOnly="0" labelOnly="1" outline="0" fieldPosition="0"/>
    </format>
    <format dxfId="978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3" cacheId="0" dataOnRows="1" applyNumberFormats="0" applyBorderFormats="0" applyFontFormats="0" applyPatternFormats="0" applyAlignmentFormats="0" applyWidthHeightFormats="1" dataCaption="Data" updatedVersion="3" asteriskTotals="1" showItems="0" showMultipleLabel="0" showMemberPropertyTips="0" useAutoFormatting="1" itemPrintTitles="1" indent="0" compact="0" compactData="0" gridDropZones="1">
  <location ref="BN393:BO421" firstHeaderRow="2" firstDataRow="2" firstDataCol="1"/>
  <pivotFields count="9">
    <pivotField axis="axisRow" compact="0" outline="0" subtotalTop="0" showAll="0" includeNewItemsInFilter="1">
      <items count="27">
        <item x="4"/>
        <item x="5"/>
        <item x="6"/>
        <item x="7"/>
        <item x="8"/>
        <item x="9"/>
        <item x="2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23"/>
        <item x="24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M DIA" fld="2" baseField="0" baseItem="0"/>
  </dataFields>
  <formats count="19">
    <format dxfId="1012">
      <pivotArea type="all" dataOnly="0" outline="0" fieldPosition="0"/>
    </format>
    <format dxfId="1011">
      <pivotArea outline="0" fieldPosition="0">
        <references count="1">
          <reference field="0" count="1" selected="0">
            <x v="0"/>
          </reference>
        </references>
      </pivotArea>
    </format>
    <format dxfId="1010">
      <pivotArea dataOnly="0" labelOnly="1" outline="0" fieldPosition="0">
        <references count="1">
          <reference field="0" count="1">
            <x v="0"/>
          </reference>
        </references>
      </pivotArea>
    </format>
    <format dxfId="1009">
      <pivotArea outline="0" fieldPosition="0">
        <references count="1">
          <reference field="0" count="1" selected="0">
            <x v="16"/>
          </reference>
        </references>
      </pivotArea>
    </format>
    <format dxfId="1008">
      <pivotArea grandRow="1" outline="0" fieldPosition="0"/>
    </format>
    <format dxfId="1007">
      <pivotArea dataOnly="0" labelOnly="1" grandRow="1" outline="0" fieldPosition="0"/>
    </format>
    <format dxfId="1006">
      <pivotArea outline="0" fieldPosition="0">
        <references count="1">
          <reference field="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05">
      <pivotArea dataOnly="0" outline="0" fieldPosition="0">
        <references count="1">
          <reference field="0" count="0"/>
        </references>
      </pivotArea>
    </format>
    <format dxfId="1004">
      <pivotArea grandRow="1" outline="0" fieldPosition="0"/>
    </format>
    <format dxfId="1003">
      <pivotArea dataOnly="0" labelOnly="1" grandRow="1" outline="0" fieldPosition="0"/>
    </format>
    <format dxfId="1002">
      <pivotArea outline="0" fieldPosition="0"/>
    </format>
    <format dxfId="1001">
      <pivotArea dataOnly="0" labelOnly="1" outline="0" fieldPosition="0">
        <references count="1">
          <reference field="0" count="0"/>
        </references>
      </pivotArea>
    </format>
    <format dxfId="1000">
      <pivotArea dataOnly="0" labelOnly="1" grandRow="1" outline="0" fieldPosition="0"/>
    </format>
    <format dxfId="999">
      <pivotArea outline="0" fieldPosition="0">
        <references count="1">
          <reference field="0" count="1" selected="0">
            <x v="13"/>
          </reference>
        </references>
      </pivotArea>
    </format>
    <format dxfId="998">
      <pivotArea dataOnly="0" labelOnly="1" outline="0" fieldPosition="0">
        <references count="1">
          <reference field="0" count="1">
            <x v="13"/>
          </reference>
        </references>
      </pivotArea>
    </format>
    <format dxfId="997">
      <pivotArea type="origin" dataOnly="0" labelOnly="1" outline="0" fieldPosition="0"/>
    </format>
    <format dxfId="996">
      <pivotArea type="topRight" dataOnly="0" labelOnly="1" outline="0" fieldPosition="0"/>
    </format>
    <format dxfId="995">
      <pivotArea type="all" dataOnly="0" outline="0" fieldPosition="0"/>
    </format>
    <format dxfId="994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4.xml"/><Relationship Id="rId13" Type="http://schemas.openxmlformats.org/officeDocument/2006/relationships/pivotTable" Target="../pivotTables/pivotTable29.xml"/><Relationship Id="rId18" Type="http://schemas.openxmlformats.org/officeDocument/2006/relationships/pivotTable" Target="../pivotTables/pivotTable34.xml"/><Relationship Id="rId3" Type="http://schemas.openxmlformats.org/officeDocument/2006/relationships/pivotTable" Target="../pivotTables/pivotTable19.xml"/><Relationship Id="rId21" Type="http://schemas.openxmlformats.org/officeDocument/2006/relationships/pivotTable" Target="../pivotTables/pivotTable37.xml"/><Relationship Id="rId7" Type="http://schemas.openxmlformats.org/officeDocument/2006/relationships/pivotTable" Target="../pivotTables/pivotTable23.xml"/><Relationship Id="rId12" Type="http://schemas.openxmlformats.org/officeDocument/2006/relationships/pivotTable" Target="../pivotTables/pivotTable28.xml"/><Relationship Id="rId17" Type="http://schemas.openxmlformats.org/officeDocument/2006/relationships/pivotTable" Target="../pivotTables/pivotTable33.xml"/><Relationship Id="rId25" Type="http://schemas.openxmlformats.org/officeDocument/2006/relationships/printerSettings" Target="../printerSettings/printerSettings10.bin"/><Relationship Id="rId2" Type="http://schemas.openxmlformats.org/officeDocument/2006/relationships/pivotTable" Target="../pivotTables/pivotTable18.xml"/><Relationship Id="rId16" Type="http://schemas.openxmlformats.org/officeDocument/2006/relationships/pivotTable" Target="../pivotTables/pivotTable32.xml"/><Relationship Id="rId20" Type="http://schemas.openxmlformats.org/officeDocument/2006/relationships/pivotTable" Target="../pivotTables/pivotTable36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11" Type="http://schemas.openxmlformats.org/officeDocument/2006/relationships/pivotTable" Target="../pivotTables/pivotTable27.xml"/><Relationship Id="rId24" Type="http://schemas.openxmlformats.org/officeDocument/2006/relationships/pivotTable" Target="../pivotTables/pivotTable40.xml"/><Relationship Id="rId5" Type="http://schemas.openxmlformats.org/officeDocument/2006/relationships/pivotTable" Target="../pivotTables/pivotTable21.xml"/><Relationship Id="rId15" Type="http://schemas.openxmlformats.org/officeDocument/2006/relationships/pivotTable" Target="../pivotTables/pivotTable31.xml"/><Relationship Id="rId23" Type="http://schemas.openxmlformats.org/officeDocument/2006/relationships/pivotTable" Target="../pivotTables/pivotTable39.xml"/><Relationship Id="rId10" Type="http://schemas.openxmlformats.org/officeDocument/2006/relationships/pivotTable" Target="../pivotTables/pivotTable26.xml"/><Relationship Id="rId19" Type="http://schemas.openxmlformats.org/officeDocument/2006/relationships/pivotTable" Target="../pivotTables/pivotTable35.xml"/><Relationship Id="rId4" Type="http://schemas.openxmlformats.org/officeDocument/2006/relationships/pivotTable" Target="../pivotTables/pivotTable20.xml"/><Relationship Id="rId9" Type="http://schemas.openxmlformats.org/officeDocument/2006/relationships/pivotTable" Target="../pivotTables/pivotTable25.xml"/><Relationship Id="rId14" Type="http://schemas.openxmlformats.org/officeDocument/2006/relationships/pivotTable" Target="../pivotTables/pivotTable30.xml"/><Relationship Id="rId22" Type="http://schemas.openxmlformats.org/officeDocument/2006/relationships/pivotTable" Target="../pivotTables/pivotTable3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16" workbookViewId="0">
      <selection activeCell="B25" sqref="B25"/>
    </sheetView>
  </sheetViews>
  <sheetFormatPr defaultColWidth="9.109375" defaultRowHeight="13.8" x14ac:dyDescent="0.3"/>
  <cols>
    <col min="1" max="1" width="9.109375" style="1"/>
    <col min="2" max="2" width="22.44140625" style="1" customWidth="1"/>
    <col min="3" max="3" width="31.33203125" style="1" customWidth="1"/>
    <col min="4" max="4" width="8.5546875" style="1" customWidth="1"/>
    <col min="5" max="5" width="8.109375" style="16" customWidth="1"/>
    <col min="6" max="12" width="9.5546875" style="1" customWidth="1"/>
    <col min="13" max="13" width="34.6640625" style="1" customWidth="1"/>
    <col min="14" max="14" width="27.5546875" style="1" customWidth="1"/>
    <col min="15" max="16384" width="9.109375" style="1"/>
  </cols>
  <sheetData>
    <row r="1" spans="2:14" ht="14.4" x14ac:dyDescent="0.3">
      <c r="B1" s="542" t="s">
        <v>636</v>
      </c>
    </row>
    <row r="2" spans="2:14" ht="14.4" x14ac:dyDescent="0.3">
      <c r="B2" s="884" t="s">
        <v>857</v>
      </c>
      <c r="C2" s="885"/>
      <c r="D2" s="885"/>
      <c r="E2" s="885"/>
      <c r="F2" s="885"/>
      <c r="G2" s="885"/>
      <c r="H2" s="885"/>
      <c r="I2" s="885"/>
      <c r="J2" s="885"/>
      <c r="K2" s="885"/>
      <c r="L2" s="885"/>
    </row>
    <row r="3" spans="2:14" x14ac:dyDescent="0.3">
      <c r="B3" s="10" t="s">
        <v>618</v>
      </c>
      <c r="C3" s="10" t="s">
        <v>10</v>
      </c>
      <c r="D3" s="10" t="s">
        <v>11</v>
      </c>
      <c r="E3" s="17" t="s">
        <v>12</v>
      </c>
      <c r="F3" s="10" t="s">
        <v>13</v>
      </c>
      <c r="G3" s="10" t="s">
        <v>5</v>
      </c>
      <c r="H3" s="10" t="s">
        <v>6</v>
      </c>
      <c r="I3" s="10" t="s">
        <v>7</v>
      </c>
      <c r="J3" s="10" t="s">
        <v>4</v>
      </c>
      <c r="K3" s="10" t="s">
        <v>8</v>
      </c>
      <c r="L3" s="10" t="s">
        <v>9</v>
      </c>
      <c r="M3" s="10" t="s">
        <v>204</v>
      </c>
    </row>
    <row r="4" spans="2:14" x14ac:dyDescent="0.3">
      <c r="B4" s="10"/>
      <c r="C4" s="10"/>
      <c r="D4" s="10"/>
      <c r="E4" s="17"/>
      <c r="F4" s="10"/>
      <c r="G4" s="10"/>
      <c r="H4" s="10"/>
      <c r="I4" s="10"/>
      <c r="J4" s="10"/>
      <c r="K4" s="10"/>
      <c r="L4" s="10"/>
      <c r="M4" s="10"/>
    </row>
    <row r="5" spans="2:14" ht="18" customHeight="1" x14ac:dyDescent="0.3">
      <c r="B5" s="524" t="s">
        <v>15</v>
      </c>
      <c r="D5" s="10"/>
      <c r="E5" s="17"/>
      <c r="F5" s="10"/>
      <c r="G5" s="10"/>
      <c r="H5" s="10"/>
      <c r="I5" s="10"/>
      <c r="J5" s="10"/>
      <c r="K5" s="10"/>
      <c r="L5" s="10"/>
      <c r="M5" s="10"/>
      <c r="N5" s="560"/>
    </row>
    <row r="6" spans="2:14" x14ac:dyDescent="0.3">
      <c r="B6" s="10"/>
      <c r="C6" s="456" t="s">
        <v>16</v>
      </c>
      <c r="D6" s="10"/>
      <c r="E6" s="17"/>
      <c r="F6" s="10"/>
      <c r="G6" s="10"/>
      <c r="H6" s="10"/>
      <c r="I6" s="10"/>
      <c r="J6" s="10"/>
      <c r="K6" s="10"/>
      <c r="L6" s="10"/>
      <c r="M6" s="96"/>
    </row>
    <row r="7" spans="2:14" x14ac:dyDescent="0.3">
      <c r="B7" s="10"/>
      <c r="C7" s="10" t="s">
        <v>825</v>
      </c>
      <c r="D7" s="455">
        <f>'[1]Summary(Wing-A) '!$D$32/2</f>
        <v>85.337562734737929</v>
      </c>
      <c r="E7" s="17" t="s">
        <v>29</v>
      </c>
      <c r="F7" s="455">
        <f>$D$7*'Mix design'!D35</f>
        <v>708.40216783095389</v>
      </c>
      <c r="G7" s="455">
        <f>$D$7*'Mix design'!E35</f>
        <v>17.245342373676742</v>
      </c>
      <c r="H7" s="455">
        <f>$D$7*'Mix design'!F35</f>
        <v>7.3546313064209636</v>
      </c>
      <c r="I7" s="455">
        <f>$D$7*'Mix design'!G35</f>
        <v>13.948438684591482</v>
      </c>
      <c r="J7" s="10"/>
      <c r="K7" s="10"/>
      <c r="L7" s="10"/>
      <c r="M7" s="10"/>
    </row>
    <row r="8" spans="2:14" x14ac:dyDescent="0.3">
      <c r="B8" s="10"/>
      <c r="C8" s="10"/>
      <c r="D8" s="455"/>
      <c r="E8" s="17"/>
      <c r="F8" s="455"/>
      <c r="G8" s="455"/>
      <c r="H8" s="455"/>
      <c r="I8" s="455"/>
      <c r="J8" s="10"/>
      <c r="K8" s="10"/>
      <c r="L8" s="10"/>
      <c r="M8" s="10"/>
    </row>
    <row r="9" spans="2:14" x14ac:dyDescent="0.3">
      <c r="B9" s="10"/>
      <c r="C9" s="10" t="s">
        <v>822</v>
      </c>
      <c r="D9" s="455">
        <f>'[1]Summary(Wing-A) '!$D$50/2.9*2.2</f>
        <v>75.25408000000003</v>
      </c>
      <c r="E9" s="17" t="s">
        <v>20</v>
      </c>
      <c r="F9" s="96">
        <f>$D$9*'Mix design'!D36</f>
        <v>667.53379123200023</v>
      </c>
      <c r="G9" s="96">
        <f>$D$9*'Mix design'!E36</f>
        <v>15.055557127446534</v>
      </c>
      <c r="H9" s="96">
        <f>$D$9*'Mix design'!F36</f>
        <v>5.9744274315264017</v>
      </c>
      <c r="I9" s="96">
        <f>$D$9*'Mix design'!G36</f>
        <v>12.426809057574916</v>
      </c>
      <c r="J9" s="10"/>
      <c r="K9" s="10"/>
      <c r="L9" s="10"/>
      <c r="M9" s="10"/>
    </row>
    <row r="10" spans="2:14" x14ac:dyDescent="0.3">
      <c r="B10" s="10"/>
      <c r="C10" s="10" t="s">
        <v>822</v>
      </c>
      <c r="D10" s="455">
        <f>'[1]Summary(Wing-A) '!$D$50/2.9*0.7</f>
        <v>23.944480000000006</v>
      </c>
      <c r="E10" s="17" t="s">
        <v>29</v>
      </c>
      <c r="F10" s="96">
        <f>$D$10*'Mix design'!D35</f>
        <v>198.76735397647062</v>
      </c>
      <c r="G10" s="96">
        <f>$D$10*'Mix design'!E35</f>
        <v>4.8387924652032011</v>
      </c>
      <c r="H10" s="96">
        <f>$D$10*'Mix design'!F35</f>
        <v>2.0636026689837181</v>
      </c>
      <c r="I10" s="96">
        <f>$D$10*'Mix design'!G35</f>
        <v>3.9137291997967063</v>
      </c>
      <c r="J10" s="10"/>
      <c r="K10" s="10"/>
      <c r="L10" s="10"/>
      <c r="M10" s="10"/>
    </row>
    <row r="11" spans="2:14" x14ac:dyDescent="0.3">
      <c r="B11" s="10"/>
      <c r="C11" s="10" t="s">
        <v>823</v>
      </c>
      <c r="D11" s="96">
        <f>'[1]Summary(Wing-A) '!$D$32</f>
        <v>170.67512546947586</v>
      </c>
      <c r="E11" s="17" t="s">
        <v>29</v>
      </c>
      <c r="F11" s="96">
        <f>$D$11*'Mix design'!D35</f>
        <v>1416.8043356619078</v>
      </c>
      <c r="G11" s="96">
        <f>$D$11*'Mix design'!E35</f>
        <v>34.490684747353484</v>
      </c>
      <c r="H11" s="96">
        <f>$D$11*'Mix design'!F35</f>
        <v>14.709262612841927</v>
      </c>
      <c r="I11" s="96">
        <f>$D$11*'Mix design'!G35</f>
        <v>27.896877369182963</v>
      </c>
      <c r="J11" s="96"/>
      <c r="K11" s="10"/>
      <c r="L11" s="10"/>
      <c r="M11" s="10"/>
    </row>
    <row r="12" spans="2:14" x14ac:dyDescent="0.3">
      <c r="B12" s="10"/>
      <c r="C12" s="10"/>
      <c r="D12" s="96"/>
      <c r="E12" s="17"/>
      <c r="F12" s="96">
        <f>F11/2</f>
        <v>708.40216783095389</v>
      </c>
      <c r="G12" s="96">
        <f t="shared" ref="G12:I12" si="0">G11/2</f>
        <v>17.245342373676742</v>
      </c>
      <c r="H12" s="96">
        <f t="shared" si="0"/>
        <v>7.3546313064209636</v>
      </c>
      <c r="I12" s="96">
        <f t="shared" si="0"/>
        <v>13.948438684591482</v>
      </c>
      <c r="J12" s="96"/>
      <c r="K12" s="10"/>
      <c r="L12" s="10"/>
      <c r="M12" s="10"/>
    </row>
    <row r="13" spans="2:14" x14ac:dyDescent="0.3">
      <c r="B13" s="10"/>
      <c r="C13" s="10"/>
      <c r="D13" s="96"/>
      <c r="E13" s="17"/>
      <c r="F13" s="96">
        <f>F14+F12</f>
        <v>807.78584481918915</v>
      </c>
      <c r="G13" s="96">
        <f t="shared" ref="G13:I13" si="1">G14+G12</f>
        <v>19.664738606278341</v>
      </c>
      <c r="H13" s="96">
        <f t="shared" si="1"/>
        <v>8.3864326409128225</v>
      </c>
      <c r="I13" s="96">
        <f t="shared" si="1"/>
        <v>15.905303284489834</v>
      </c>
      <c r="J13" s="96"/>
      <c r="K13" s="10"/>
      <c r="L13" s="10"/>
      <c r="M13" s="10"/>
    </row>
    <row r="14" spans="2:14" x14ac:dyDescent="0.3">
      <c r="B14" s="10"/>
      <c r="C14" s="10"/>
      <c r="D14" s="96"/>
      <c r="E14" s="17"/>
      <c r="F14" s="96">
        <f>F10/2</f>
        <v>99.383676988235308</v>
      </c>
      <c r="G14" s="96">
        <f t="shared" ref="G14:I14" si="2">G10/2</f>
        <v>2.4193962326016005</v>
      </c>
      <c r="H14" s="96">
        <f t="shared" si="2"/>
        <v>1.0318013344918591</v>
      </c>
      <c r="I14" s="96">
        <f t="shared" si="2"/>
        <v>1.9568645998983532</v>
      </c>
      <c r="J14" s="96"/>
      <c r="K14" s="10"/>
      <c r="L14" s="10"/>
      <c r="M14" s="10"/>
    </row>
    <row r="15" spans="2:14" x14ac:dyDescent="0.3">
      <c r="B15" s="10"/>
      <c r="C15" s="10" t="s">
        <v>858</v>
      </c>
      <c r="D15" s="97">
        <f>('[1]Summary(Wing-A) '!$D$51)/2.9*2.2</f>
        <v>73.226780000000019</v>
      </c>
      <c r="E15" s="17" t="s">
        <v>20</v>
      </c>
      <c r="F15" s="96">
        <f>$D$15*'Mix design'!D36</f>
        <v>649.55082931200013</v>
      </c>
      <c r="G15" s="96">
        <f>$D$15*'Mix design'!E36</f>
        <v>14.649969404302851</v>
      </c>
      <c r="H15" s="96">
        <f>$D$15*'Mix design'!F36</f>
        <v>5.8134799223424007</v>
      </c>
      <c r="I15" s="96">
        <f>$D$15*'Mix design'!G36</f>
        <v>12.092038238472194</v>
      </c>
      <c r="J15" s="96"/>
      <c r="K15" s="10"/>
      <c r="L15" s="10"/>
      <c r="M15" s="10"/>
    </row>
    <row r="16" spans="2:14" x14ac:dyDescent="0.3">
      <c r="B16" s="10"/>
      <c r="C16" s="10"/>
      <c r="D16" s="97"/>
      <c r="E16" s="17"/>
      <c r="F16" s="96">
        <f>F15/2</f>
        <v>324.77541465600007</v>
      </c>
      <c r="G16" s="96">
        <f t="shared" ref="G16:I16" si="3">G15/2</f>
        <v>7.3249847021514256</v>
      </c>
      <c r="H16" s="96">
        <f t="shared" si="3"/>
        <v>2.9067399611712004</v>
      </c>
      <c r="I16" s="96">
        <f t="shared" si="3"/>
        <v>6.0460191192360968</v>
      </c>
      <c r="J16" s="96"/>
      <c r="K16" s="10"/>
      <c r="L16" s="10"/>
      <c r="M16" s="10"/>
    </row>
    <row r="17" spans="1:13" x14ac:dyDescent="0.3">
      <c r="B17" s="10"/>
      <c r="C17" s="10" t="s">
        <v>859</v>
      </c>
      <c r="D17" s="97">
        <f>('[1]Summary(Wing-A) '!$D$51)/2.9*0.7</f>
        <v>23.299430000000005</v>
      </c>
      <c r="E17" s="17" t="s">
        <v>29</v>
      </c>
      <c r="F17" s="96">
        <f>$D$17*'Mix design'!D35</f>
        <v>193.41268009411769</v>
      </c>
      <c r="G17" s="96">
        <f>$D$17*'Mix design'!E35</f>
        <v>4.7084382842112005</v>
      </c>
      <c r="H17" s="96">
        <f>$D$17*'Mix design'!F35</f>
        <v>2.0080104447371299</v>
      </c>
      <c r="I17" s="96">
        <f>$D$17*'Mix design'!G35</f>
        <v>3.8082956710531768</v>
      </c>
      <c r="J17" s="96"/>
      <c r="K17" s="10"/>
      <c r="L17" s="10"/>
      <c r="M17" s="10"/>
    </row>
    <row r="18" spans="1:13" x14ac:dyDescent="0.3">
      <c r="B18" s="10"/>
      <c r="C18" s="10" t="s">
        <v>824</v>
      </c>
      <c r="D18" s="97">
        <f>'[1]Summary(Wing-A) '!$D$32/2</f>
        <v>85.337562734737929</v>
      </c>
      <c r="E18" s="17" t="s">
        <v>29</v>
      </c>
      <c r="F18" s="96">
        <f>$D$18*'Mix design'!D35</f>
        <v>708.40216783095389</v>
      </c>
      <c r="G18" s="96">
        <f>$D$18*'Mix design'!E35</f>
        <v>17.245342373676742</v>
      </c>
      <c r="H18" s="96">
        <f>$D$18*'Mix design'!F35</f>
        <v>7.3546313064209636</v>
      </c>
      <c r="I18" s="96">
        <f>$D$18*'Mix design'!G35</f>
        <v>13.948438684591482</v>
      </c>
      <c r="J18" s="10"/>
      <c r="K18" s="10"/>
      <c r="L18" s="10"/>
      <c r="M18" s="10"/>
    </row>
    <row r="19" spans="1:13" x14ac:dyDescent="0.3">
      <c r="B19" s="10"/>
      <c r="C19" s="456"/>
      <c r="D19" s="10"/>
      <c r="E19" s="17"/>
      <c r="F19" s="10">
        <f>F17/2</f>
        <v>96.706340047058845</v>
      </c>
      <c r="G19" s="10">
        <f t="shared" ref="G19:I19" si="4">G17/2</f>
        <v>2.3542191421056002</v>
      </c>
      <c r="H19" s="10">
        <f t="shared" si="4"/>
        <v>1.0040052223685649</v>
      </c>
      <c r="I19" s="10">
        <f t="shared" si="4"/>
        <v>1.9041478355265884</v>
      </c>
      <c r="J19" s="10"/>
      <c r="K19" s="10"/>
      <c r="L19" s="10"/>
      <c r="M19" s="10"/>
    </row>
    <row r="20" spans="1:13" x14ac:dyDescent="0.3">
      <c r="B20" s="456" t="s">
        <v>635</v>
      </c>
      <c r="D20" s="10"/>
      <c r="E20" s="17"/>
      <c r="F20" s="96">
        <f>F19+F18</f>
        <v>805.10850787801269</v>
      </c>
      <c r="G20" s="96">
        <f t="shared" ref="G20:I20" si="5">G19+G18</f>
        <v>19.599561515782341</v>
      </c>
      <c r="H20" s="96">
        <f t="shared" si="5"/>
        <v>8.3586365287895283</v>
      </c>
      <c r="I20" s="96">
        <f t="shared" si="5"/>
        <v>15.85258652011807</v>
      </c>
      <c r="J20" s="10"/>
      <c r="K20" s="10"/>
      <c r="L20" s="10"/>
      <c r="M20" s="10"/>
    </row>
    <row r="21" spans="1:13" x14ac:dyDescent="0.3">
      <c r="B21" s="10"/>
      <c r="C21" s="456" t="s">
        <v>16</v>
      </c>
      <c r="D21" s="10"/>
      <c r="E21" s="17"/>
      <c r="F21" s="10"/>
      <c r="G21" s="10"/>
      <c r="H21" s="96"/>
      <c r="I21" s="455"/>
      <c r="J21" s="96"/>
      <c r="K21" s="96"/>
      <c r="L21" s="10"/>
      <c r="M21" s="97">
        <f>F22+F23</f>
        <v>85.047376741440473</v>
      </c>
    </row>
    <row r="22" spans="1:13" x14ac:dyDescent="0.3">
      <c r="B22" s="10"/>
      <c r="C22" s="886" t="s">
        <v>827</v>
      </c>
      <c r="D22" s="455">
        <f>BW!E5*0.8</f>
        <v>51.554688000000013</v>
      </c>
      <c r="E22" s="543">
        <v>4.5138888888888888E-2</v>
      </c>
      <c r="F22" s="97">
        <f>(BW!E8)*0.8</f>
        <v>62.106939480519557</v>
      </c>
      <c r="G22" s="97">
        <f>BW!E11*0.8</f>
        <v>3.8366561864090949</v>
      </c>
      <c r="H22" s="10"/>
      <c r="I22" s="10"/>
      <c r="J22" s="10"/>
      <c r="K22" s="10"/>
      <c r="L22" s="531">
        <f>BW!E12*0.8</f>
        <v>14646.400000000001</v>
      </c>
      <c r="M22" s="531">
        <f>M21*1.03</f>
        <v>87.598798043683686</v>
      </c>
    </row>
    <row r="23" spans="1:13" x14ac:dyDescent="0.3">
      <c r="B23" s="10"/>
      <c r="C23" s="887"/>
      <c r="D23" s="455">
        <f>BW!E17*0.8</f>
        <v>15.395616000000002</v>
      </c>
      <c r="E23" s="543">
        <v>4.5138888888888888E-2</v>
      </c>
      <c r="F23" s="97">
        <f>(BW!E20)*0.8</f>
        <v>22.940437260920909</v>
      </c>
      <c r="G23" s="97">
        <f>BW!E23*0.8</f>
        <v>1.4171455117933889</v>
      </c>
      <c r="H23" s="10"/>
      <c r="I23" s="10"/>
      <c r="J23" s="10"/>
      <c r="K23" s="531">
        <f>BW!E24*0.8</f>
        <v>7952</v>
      </c>
      <c r="L23" s="10"/>
      <c r="M23" s="97">
        <f>G22+G23</f>
        <v>5.2538016982024835</v>
      </c>
    </row>
    <row r="24" spans="1:13" x14ac:dyDescent="0.3">
      <c r="B24" s="10"/>
      <c r="C24" s="886" t="s">
        <v>826</v>
      </c>
      <c r="D24" s="455">
        <f>BW!E5</f>
        <v>64.443360000000013</v>
      </c>
      <c r="E24" s="543">
        <v>4.5138888888888888E-2</v>
      </c>
      <c r="F24" s="97">
        <f>BW!E8</f>
        <v>77.633674350649443</v>
      </c>
      <c r="G24" s="97">
        <f>BW!E11</f>
        <v>4.7958202330113684</v>
      </c>
      <c r="H24" s="10"/>
      <c r="I24" s="10"/>
      <c r="J24" s="10"/>
      <c r="K24" s="10"/>
      <c r="L24" s="531">
        <f>BW!E12</f>
        <v>18308</v>
      </c>
      <c r="M24" s="97">
        <f>M23*1.03</f>
        <v>5.4114157491485582</v>
      </c>
    </row>
    <row r="25" spans="1:13" x14ac:dyDescent="0.3">
      <c r="B25" s="455">
        <f>D24+D25</f>
        <v>83.687880000000007</v>
      </c>
      <c r="C25" s="887"/>
      <c r="D25" s="455">
        <f>BW!E17</f>
        <v>19.244520000000001</v>
      </c>
      <c r="E25" s="543">
        <v>4.5138888888888888E-2</v>
      </c>
      <c r="F25" s="97">
        <f>BW!E20</f>
        <v>28.675546576151135</v>
      </c>
      <c r="G25" s="97">
        <f>BW!E23</f>
        <v>1.771431889741736</v>
      </c>
      <c r="H25" s="10"/>
      <c r="I25" s="10"/>
      <c r="J25" s="10"/>
      <c r="K25" s="531">
        <f>BW!E24</f>
        <v>9940</v>
      </c>
      <c r="L25" s="10"/>
      <c r="M25" s="10">
        <f>K23*1.07</f>
        <v>8508.6400000000012</v>
      </c>
    </row>
    <row r="26" spans="1:13" x14ac:dyDescent="0.3">
      <c r="B26" s="455">
        <f>B25/2.83</f>
        <v>29.571689045936399</v>
      </c>
      <c r="C26" s="791" t="s">
        <v>835</v>
      </c>
      <c r="D26" s="455">
        <f>patli!E15*1.5</f>
        <v>0.15000000000000002</v>
      </c>
      <c r="E26" s="543"/>
      <c r="F26" s="97">
        <f>patli!E26*1.5</f>
        <v>13.5</v>
      </c>
      <c r="G26" s="97">
        <f>patli!E27*1.5</f>
        <v>0.31465332360000003</v>
      </c>
      <c r="H26" s="455">
        <f>patli!E28*1.5</f>
        <v>0.37758398832000001</v>
      </c>
      <c r="I26" s="455">
        <f>patli!E29*1.5</f>
        <v>0.25172265888000006</v>
      </c>
      <c r="J26" s="10"/>
      <c r="K26" s="531"/>
      <c r="L26" s="10"/>
      <c r="M26" s="10">
        <f>L22*1.07</f>
        <v>15671.648000000003</v>
      </c>
    </row>
    <row r="27" spans="1:13" x14ac:dyDescent="0.3">
      <c r="B27" s="96">
        <f>B25/10</f>
        <v>8.3687880000000003</v>
      </c>
      <c r="C27" s="791"/>
      <c r="D27" s="455"/>
      <c r="E27" s="543"/>
      <c r="F27" s="97">
        <f>F24+F25</f>
        <v>106.30922092680058</v>
      </c>
      <c r="G27" s="97">
        <f>G24+G25</f>
        <v>6.5672521227531044</v>
      </c>
      <c r="H27" s="97">
        <f t="shared" ref="H27:L27" si="6">H24+H25</f>
        <v>0</v>
      </c>
      <c r="I27" s="97">
        <f t="shared" si="6"/>
        <v>0</v>
      </c>
      <c r="J27" s="97">
        <f t="shared" si="6"/>
        <v>0</v>
      </c>
      <c r="K27" s="97">
        <f>K24+K25</f>
        <v>9940</v>
      </c>
      <c r="L27" s="97">
        <f t="shared" si="6"/>
        <v>18308</v>
      </c>
      <c r="M27" s="10"/>
    </row>
    <row r="28" spans="1:13" x14ac:dyDescent="0.3">
      <c r="A28" s="1113" t="s">
        <v>886</v>
      </c>
      <c r="B28" s="1114">
        <f>B27*4.5</f>
        <v>37.659545999999999</v>
      </c>
      <c r="C28" s="456" t="s">
        <v>561</v>
      </c>
      <c r="D28" s="455"/>
      <c r="E28" s="17"/>
      <c r="F28" s="97">
        <f>F27*1.03</f>
        <v>109.4984975546046</v>
      </c>
      <c r="G28" s="97">
        <f>G27*1.03</f>
        <v>6.7642696864356981</v>
      </c>
      <c r="H28" s="97">
        <f t="shared" ref="H28:J28" si="7">H27*1.03</f>
        <v>0</v>
      </c>
      <c r="I28" s="97">
        <f t="shared" si="7"/>
        <v>0</v>
      </c>
      <c r="J28" s="97">
        <f t="shared" si="7"/>
        <v>0</v>
      </c>
      <c r="K28" s="470">
        <f>K27*1.07</f>
        <v>10635.800000000001</v>
      </c>
      <c r="L28" s="470">
        <f>L27*1.07</f>
        <v>19589.560000000001</v>
      </c>
      <c r="M28" s="10"/>
    </row>
    <row r="29" spans="1:13" ht="14.25" customHeight="1" x14ac:dyDescent="0.3">
      <c r="A29" s="1113" t="s">
        <v>885</v>
      </c>
      <c r="B29" s="1114">
        <f>B27*2.5</f>
        <v>20.921970000000002</v>
      </c>
      <c r="C29" s="886" t="s">
        <v>704</v>
      </c>
      <c r="D29" s="455">
        <f>BW!E5*0.5</f>
        <v>32.221680000000006</v>
      </c>
      <c r="E29" s="543">
        <v>4.5138888888888888E-2</v>
      </c>
      <c r="F29" s="97">
        <f>BW!E8*0.5</f>
        <v>38.816837175324721</v>
      </c>
      <c r="G29" s="97">
        <f>BW!E11*0.5</f>
        <v>2.3979101165056842</v>
      </c>
      <c r="H29" s="10"/>
      <c r="I29" s="10"/>
      <c r="J29" s="10"/>
      <c r="K29" s="10"/>
      <c r="L29" s="531">
        <f>BW!E12*0.5</f>
        <v>9154</v>
      </c>
      <c r="M29" s="531"/>
    </row>
    <row r="30" spans="1:13" ht="14.25" customHeight="1" x14ac:dyDescent="0.3">
      <c r="A30" s="1113" t="s">
        <v>887</v>
      </c>
      <c r="B30" s="1115">
        <v>4</v>
      </c>
      <c r="C30" s="887"/>
      <c r="D30" s="455">
        <f>BW!E17*0.5</f>
        <v>9.6222600000000007</v>
      </c>
      <c r="E30" s="543">
        <v>4.5138888888888888E-2</v>
      </c>
      <c r="F30" s="97">
        <f>BW!E20*0.5</f>
        <v>14.337773288075567</v>
      </c>
      <c r="G30" s="97">
        <f>BW!E23*0.5</f>
        <v>0.88571594487086802</v>
      </c>
      <c r="H30" s="10"/>
      <c r="I30" s="10"/>
      <c r="J30" s="10"/>
      <c r="K30" s="531">
        <f>BW!E24*0.5</f>
        <v>4970</v>
      </c>
      <c r="L30" s="10"/>
      <c r="M30" s="10"/>
    </row>
    <row r="31" spans="1:13" ht="14.25" customHeight="1" x14ac:dyDescent="0.3">
      <c r="B31" s="10"/>
      <c r="C31" s="791" t="s">
        <v>778</v>
      </c>
      <c r="D31" s="455">
        <f>BW!K5</f>
        <v>41.762325000000018</v>
      </c>
      <c r="E31" s="543">
        <v>4.5138888888888888E-2</v>
      </c>
      <c r="F31" s="97">
        <f>BW!K8</f>
        <v>50.310268415178626</v>
      </c>
      <c r="G31" s="97">
        <f>BW!K11</f>
        <v>3.1079168313476591</v>
      </c>
      <c r="H31" s="10"/>
      <c r="I31" s="10"/>
      <c r="J31" s="10"/>
      <c r="K31" s="10"/>
      <c r="L31" s="531">
        <f>BW!K12*0.5</f>
        <v>5932</v>
      </c>
      <c r="M31" s="10"/>
    </row>
    <row r="32" spans="1:13" ht="14.25" customHeight="1" x14ac:dyDescent="0.3">
      <c r="B32" s="10"/>
      <c r="C32" s="791" t="s">
        <v>819</v>
      </c>
      <c r="D32" s="455">
        <f>patli!E24*0.5</f>
        <v>0.67566249999999994</v>
      </c>
      <c r="E32" s="543">
        <v>4.5138888888888902E-2</v>
      </c>
      <c r="F32" s="97">
        <f>patli!E26*0.5</f>
        <v>4.5</v>
      </c>
      <c r="G32" s="97">
        <f>patli!E27*0.5</f>
        <v>0.10488444120000001</v>
      </c>
      <c r="H32" s="455">
        <f>patli!E28*0.5</f>
        <v>0.12586132944</v>
      </c>
      <c r="I32" s="455">
        <f>patli!E29*0.5</f>
        <v>8.390755296000002E-2</v>
      </c>
      <c r="J32" s="10"/>
      <c r="K32" s="10"/>
      <c r="L32" s="531"/>
      <c r="M32" s="10"/>
    </row>
    <row r="33" spans="1:16" ht="14.25" customHeight="1" x14ac:dyDescent="0.3">
      <c r="B33" s="10"/>
      <c r="C33" s="791"/>
      <c r="D33" s="455"/>
      <c r="E33" s="17"/>
      <c r="F33" s="97"/>
      <c r="G33" s="97"/>
      <c r="H33" s="10"/>
      <c r="I33" s="10"/>
      <c r="J33" s="10"/>
      <c r="K33" s="531"/>
      <c r="L33" s="10"/>
      <c r="M33" s="10"/>
    </row>
    <row r="34" spans="1:16" ht="14.25" customHeight="1" x14ac:dyDescent="0.3">
      <c r="B34" s="456" t="s">
        <v>634</v>
      </c>
      <c r="C34" s="456" t="s">
        <v>16</v>
      </c>
      <c r="D34" s="455"/>
      <c r="E34" s="17"/>
      <c r="F34" s="97"/>
      <c r="G34" s="97"/>
      <c r="H34" s="10"/>
      <c r="I34" s="10"/>
      <c r="J34" s="10"/>
      <c r="K34" s="531">
        <f>SUM(K22:L31)</f>
        <v>129375.76</v>
      </c>
      <c r="L34" s="10"/>
      <c r="M34" s="10"/>
    </row>
    <row r="35" spans="1:16" ht="14.25" customHeight="1" x14ac:dyDescent="0.3">
      <c r="B35" s="10"/>
      <c r="C35" s="793" t="s">
        <v>828</v>
      </c>
      <c r="D35" s="455">
        <f>(IP!E5+IP!J5)</f>
        <v>2139.6767</v>
      </c>
      <c r="E35" s="547">
        <v>4.5138888888888888E-2</v>
      </c>
      <c r="F35" s="97">
        <f>IP!E8+IP!J8</f>
        <v>169</v>
      </c>
      <c r="G35" s="97">
        <f>F35*1.03</f>
        <v>174.07</v>
      </c>
      <c r="H35" s="10"/>
      <c r="I35" s="10">
        <f>J35*1.25</f>
        <v>13.032141068624998</v>
      </c>
      <c r="J35" s="97">
        <f>IP!E11+IP!J11</f>
        <v>10.425712854899999</v>
      </c>
      <c r="K35" s="531">
        <f>K34*0.1</f>
        <v>12937.576000000001</v>
      </c>
      <c r="L35" s="10"/>
      <c r="M35" s="10"/>
    </row>
    <row r="36" spans="1:16" ht="14.25" customHeight="1" x14ac:dyDescent="0.3">
      <c r="B36" s="455">
        <f>D35</f>
        <v>2139.6767</v>
      </c>
      <c r="C36" s="793" t="s">
        <v>829</v>
      </c>
      <c r="D36" s="455">
        <f>(IP!E5+IP!J5)</f>
        <v>2139.6767</v>
      </c>
      <c r="E36" s="547">
        <v>4.5138888888888888E-2</v>
      </c>
      <c r="F36" s="97">
        <f>IP!E8+IP!J8</f>
        <v>169</v>
      </c>
      <c r="G36" s="97"/>
      <c r="H36" s="10"/>
      <c r="I36" s="10"/>
      <c r="J36" s="97">
        <f>IP!E11+IP!J11</f>
        <v>10.425712854899999</v>
      </c>
      <c r="K36" s="531"/>
      <c r="L36" s="10"/>
      <c r="M36" s="10"/>
    </row>
    <row r="37" spans="1:16" ht="14.25" customHeight="1" x14ac:dyDescent="0.3">
      <c r="B37" s="868">
        <f>B36/10</f>
        <v>213.96767</v>
      </c>
      <c r="C37" s="793" t="s">
        <v>830</v>
      </c>
      <c r="D37" s="455">
        <f>(IP!E5+IP!J5)</f>
        <v>2139.6767</v>
      </c>
      <c r="E37" s="547">
        <v>4.5138888888888888E-2</v>
      </c>
      <c r="F37" s="97">
        <f>IP!E8+IP!J8</f>
        <v>169</v>
      </c>
      <c r="G37" s="97"/>
      <c r="H37" s="10"/>
      <c r="I37" s="10"/>
      <c r="J37" s="97">
        <f>IP!E11+IP!J11</f>
        <v>10.425712854899999</v>
      </c>
      <c r="K37" s="531"/>
      <c r="L37" s="10"/>
      <c r="M37" s="10"/>
    </row>
    <row r="38" spans="1:16" ht="14.25" customHeight="1" x14ac:dyDescent="0.3">
      <c r="B38" s="96">
        <f>B37/40</f>
        <v>5.3491917500000001</v>
      </c>
      <c r="C38" s="793" t="s">
        <v>831</v>
      </c>
      <c r="D38" s="455">
        <f>IP!J16*3</f>
        <v>257.11799999999999</v>
      </c>
      <c r="E38" s="547">
        <v>4.5138888888888888E-2</v>
      </c>
      <c r="F38" s="97">
        <f>IP!J19*3</f>
        <v>18</v>
      </c>
      <c r="G38" s="97"/>
      <c r="H38" s="10"/>
      <c r="I38" s="10"/>
      <c r="J38" s="97">
        <f>IP!J22*3</f>
        <v>1.0582976880000001</v>
      </c>
      <c r="K38" s="531"/>
      <c r="L38" s="10"/>
      <c r="M38" s="10"/>
    </row>
    <row r="39" spans="1:16" ht="14.25" customHeight="1" x14ac:dyDescent="0.3">
      <c r="A39" s="1113" t="s">
        <v>886</v>
      </c>
      <c r="B39" s="1114">
        <f>B38*3</f>
        <v>16.047575250000001</v>
      </c>
      <c r="C39" s="554"/>
      <c r="D39" s="455"/>
      <c r="E39" s="547"/>
      <c r="F39" s="97"/>
      <c r="G39" s="97"/>
      <c r="H39" s="10"/>
      <c r="I39" s="10"/>
      <c r="J39" s="97"/>
      <c r="K39" s="531"/>
      <c r="L39" s="10"/>
      <c r="M39" s="10"/>
      <c r="N39" s="10"/>
    </row>
    <row r="40" spans="1:16" ht="14.25" customHeight="1" x14ac:dyDescent="0.3">
      <c r="A40" s="1113" t="s">
        <v>885</v>
      </c>
      <c r="B40" s="1114">
        <f>B38*3</f>
        <v>16.047575250000001</v>
      </c>
      <c r="C40" s="456" t="s">
        <v>561</v>
      </c>
      <c r="D40" s="455"/>
      <c r="E40" s="547"/>
      <c r="F40" s="97"/>
      <c r="G40" s="97"/>
      <c r="H40" s="10"/>
      <c r="I40" s="10"/>
      <c r="J40" s="97"/>
      <c r="K40" s="531"/>
      <c r="L40" s="10"/>
      <c r="M40" s="10"/>
      <c r="N40" s="10"/>
    </row>
    <row r="41" spans="1:16" ht="14.25" customHeight="1" x14ac:dyDescent="0.3">
      <c r="A41" s="1113" t="s">
        <v>887</v>
      </c>
      <c r="B41" s="1114">
        <f>B38*1</f>
        <v>5.3491917500000001</v>
      </c>
      <c r="C41" s="793" t="s">
        <v>833</v>
      </c>
      <c r="D41" s="455">
        <f>'[2]Internal Plaster'!$G$72+'[2]Celing Plaster'!$F$35</f>
        <v>2139.6767</v>
      </c>
      <c r="E41" s="547">
        <v>4.5138888888888888E-2</v>
      </c>
      <c r="F41" s="97">
        <f>IP!E8+IP!J8</f>
        <v>169</v>
      </c>
      <c r="G41" s="97"/>
      <c r="H41" s="10"/>
      <c r="I41" s="10"/>
      <c r="J41" s="97">
        <f>IP!E11+IP!J11</f>
        <v>10.425712854899999</v>
      </c>
      <c r="K41" s="531"/>
      <c r="L41" s="10"/>
      <c r="M41" s="10"/>
      <c r="N41" s="10"/>
      <c r="O41" s="10" t="s">
        <v>789</v>
      </c>
      <c r="P41" s="1">
        <v>10</v>
      </c>
    </row>
    <row r="42" spans="1:16" ht="14.25" customHeight="1" x14ac:dyDescent="0.3">
      <c r="B42" s="10"/>
      <c r="C42" s="554"/>
      <c r="D42" s="455"/>
      <c r="E42" s="547"/>
      <c r="F42" s="97"/>
      <c r="G42" s="97"/>
      <c r="H42" s="10"/>
      <c r="I42" s="10"/>
      <c r="J42" s="97"/>
      <c r="K42" s="531"/>
      <c r="L42" s="10"/>
      <c r="M42" s="10"/>
      <c r="N42" s="10"/>
      <c r="O42" s="10"/>
    </row>
    <row r="43" spans="1:16" ht="14.25" customHeight="1" x14ac:dyDescent="0.3">
      <c r="B43" s="10"/>
      <c r="C43" s="554"/>
      <c r="D43" s="455"/>
      <c r="E43" s="547"/>
      <c r="F43" s="97"/>
      <c r="G43" s="97"/>
      <c r="H43" s="10"/>
      <c r="I43" s="10"/>
      <c r="J43" s="97"/>
      <c r="K43" s="531"/>
      <c r="L43" s="10"/>
      <c r="M43" s="10"/>
      <c r="N43" s="10"/>
      <c r="O43" s="10"/>
      <c r="P43" s="1" t="e">
        <f>#REF!+#REF!+#REF!+#REF!+I50+#REF!+I57+P41</f>
        <v>#REF!</v>
      </c>
    </row>
    <row r="44" spans="1:16" ht="14.25" customHeight="1" x14ac:dyDescent="0.3">
      <c r="B44" s="456" t="s">
        <v>637</v>
      </c>
      <c r="C44" s="456" t="s">
        <v>16</v>
      </c>
      <c r="D44" s="455"/>
      <c r="E44" s="17"/>
      <c r="F44" s="97"/>
      <c r="G44" s="97"/>
      <c r="H44" s="10"/>
      <c r="I44" s="10"/>
      <c r="J44" s="10"/>
      <c r="K44" s="531"/>
      <c r="L44" s="10"/>
      <c r="M44" s="10"/>
      <c r="N44" s="10"/>
    </row>
    <row r="45" spans="1:16" x14ac:dyDescent="0.3">
      <c r="B45" s="456"/>
      <c r="C45" s="554" t="s">
        <v>689</v>
      </c>
      <c r="D45" s="455"/>
      <c r="E45" s="17"/>
      <c r="F45" s="97"/>
      <c r="G45" s="97"/>
      <c r="H45" s="10"/>
      <c r="I45" s="10"/>
      <c r="J45" s="10"/>
      <c r="K45" s="531"/>
      <c r="L45" s="10"/>
      <c r="M45" s="10"/>
      <c r="N45" s="10"/>
    </row>
    <row r="46" spans="1:16" x14ac:dyDescent="0.3">
      <c r="B46" s="456"/>
      <c r="C46" s="554"/>
      <c r="D46" s="455"/>
      <c r="E46" s="17"/>
      <c r="F46" s="97"/>
      <c r="G46" s="97"/>
      <c r="H46" s="10"/>
      <c r="I46" s="10"/>
      <c r="J46" s="10"/>
      <c r="K46" s="531"/>
      <c r="L46" s="10"/>
      <c r="M46" s="10"/>
      <c r="N46" s="10"/>
    </row>
    <row r="47" spans="1:16" x14ac:dyDescent="0.3">
      <c r="B47" s="456"/>
      <c r="C47" s="456" t="s">
        <v>561</v>
      </c>
      <c r="D47" s="455"/>
      <c r="E47" s="17"/>
      <c r="F47" s="97"/>
      <c r="G47" s="97"/>
      <c r="H47" s="10"/>
      <c r="I47" s="10"/>
      <c r="J47" s="10"/>
      <c r="K47" s="531"/>
      <c r="L47" s="10"/>
      <c r="M47" s="10"/>
      <c r="N47" s="10"/>
    </row>
    <row r="48" spans="1:16" x14ac:dyDescent="0.3">
      <c r="B48" s="456"/>
      <c r="C48" s="793" t="s">
        <v>832</v>
      </c>
      <c r="D48" s="455"/>
      <c r="E48" s="17"/>
      <c r="F48" s="97"/>
      <c r="G48" s="97"/>
      <c r="H48" s="10"/>
      <c r="I48" s="10"/>
      <c r="J48" s="10"/>
      <c r="K48" s="531"/>
      <c r="L48" s="10"/>
      <c r="M48" s="10"/>
      <c r="N48" s="10"/>
    </row>
    <row r="49" spans="2:14" x14ac:dyDescent="0.3">
      <c r="B49" s="456"/>
      <c r="C49" s="554" t="s">
        <v>711</v>
      </c>
      <c r="D49" s="96">
        <f>'External plaster'!$E$48*0.25</f>
        <v>3558.3902250000001</v>
      </c>
      <c r="E49" s="547">
        <v>4.4444444444444446E-2</v>
      </c>
      <c r="F49" s="97">
        <f>'External plaster'!E51*0.25</f>
        <v>274.5</v>
      </c>
      <c r="G49" s="97"/>
      <c r="H49" s="10"/>
      <c r="I49" s="10"/>
      <c r="J49" s="97">
        <f>'External plaster'!E54*0.25</f>
        <v>13.558320770904002</v>
      </c>
      <c r="K49" s="531"/>
      <c r="L49" s="10"/>
      <c r="M49" s="10"/>
      <c r="N49" s="10"/>
    </row>
    <row r="50" spans="2:14" x14ac:dyDescent="0.3">
      <c r="B50" s="456"/>
      <c r="C50" s="554" t="s">
        <v>712</v>
      </c>
      <c r="D50" s="96">
        <f>'External plaster'!$E$48*0.25</f>
        <v>3558.3902250000001</v>
      </c>
      <c r="E50" s="547">
        <v>4.4444444444444446E-2</v>
      </c>
      <c r="F50" s="97">
        <f>'External plaster'!E61*0.25</f>
        <v>411.75</v>
      </c>
      <c r="G50" s="97"/>
      <c r="H50" s="10"/>
      <c r="I50" s="10"/>
      <c r="J50" s="97">
        <f>'External plaster'!E64*0.25</f>
        <v>20.337481156355999</v>
      </c>
      <c r="K50" s="531"/>
      <c r="L50" s="10"/>
      <c r="M50" s="10"/>
      <c r="N50" s="10">
        <v>51</v>
      </c>
    </row>
    <row r="51" spans="2:14" x14ac:dyDescent="0.3">
      <c r="B51" s="456"/>
      <c r="C51" s="554"/>
      <c r="D51" s="455"/>
      <c r="E51" s="17"/>
      <c r="F51" s="97"/>
      <c r="G51" s="97"/>
      <c r="H51" s="10"/>
      <c r="I51" s="10"/>
      <c r="J51" s="10"/>
      <c r="K51" s="531"/>
      <c r="L51" s="10"/>
      <c r="M51" s="10"/>
      <c r="N51" s="10"/>
    </row>
    <row r="52" spans="2:14" x14ac:dyDescent="0.3">
      <c r="B52" s="456" t="s">
        <v>713</v>
      </c>
      <c r="C52" s="456" t="s">
        <v>561</v>
      </c>
      <c r="D52" s="455"/>
      <c r="E52" s="17"/>
      <c r="F52" s="97"/>
      <c r="G52" s="97"/>
      <c r="H52" s="10"/>
      <c r="I52" s="10"/>
      <c r="J52" s="10"/>
      <c r="K52" s="531"/>
      <c r="L52" s="10"/>
      <c r="M52" s="10"/>
      <c r="N52" s="10"/>
    </row>
    <row r="53" spans="2:14" x14ac:dyDescent="0.3">
      <c r="B53" s="456"/>
      <c r="C53" s="795" t="s">
        <v>847</v>
      </c>
      <c r="D53" s="455">
        <f>'Waterproofing (2)'!E56+'Waterproofing (2)'!E67</f>
        <v>339.57600000000002</v>
      </c>
      <c r="E53" s="547">
        <v>4.4444444444444446E-2</v>
      </c>
      <c r="F53" s="97">
        <f>'Waterproofing (2)'!E59+'Waterproofing (2)'!E72</f>
        <v>100</v>
      </c>
      <c r="G53" s="97"/>
      <c r="H53" s="10"/>
      <c r="I53" s="10"/>
      <c r="J53" s="97">
        <f>'Waterproofing (2)'!E62+'Waterproofing (2)'!E75</f>
        <v>4.9358778658560007</v>
      </c>
      <c r="K53" s="531">
        <f>'Waterproofing (2)'!E76*0.2</f>
        <v>794.40000000000009</v>
      </c>
      <c r="L53" s="531"/>
      <c r="M53" s="531" t="s">
        <v>883</v>
      </c>
      <c r="N53" s="10"/>
    </row>
    <row r="54" spans="2:14" x14ac:dyDescent="0.3">
      <c r="B54" s="456"/>
      <c r="C54" s="795" t="s">
        <v>848</v>
      </c>
      <c r="D54" s="455">
        <f>'Waterproofing (2)'!E56+'Waterproofing (2)'!E67</f>
        <v>339.57600000000002</v>
      </c>
      <c r="E54" s="547">
        <v>4.4444444444444446E-2</v>
      </c>
      <c r="F54" s="97">
        <f>'Waterproofing (2)'!E59+'Waterproofing (2)'!E72</f>
        <v>100</v>
      </c>
      <c r="G54" s="97"/>
      <c r="H54" s="10"/>
      <c r="I54" s="10"/>
      <c r="J54" s="97">
        <f>'Waterproofing (2)'!E62+'Waterproofing (2)'!E75</f>
        <v>4.9358778658560007</v>
      </c>
      <c r="K54" s="531">
        <f>'Waterproofing (2)'!E76*0.2</f>
        <v>794.40000000000009</v>
      </c>
      <c r="L54" s="531"/>
      <c r="M54" s="531"/>
      <c r="N54" s="10"/>
    </row>
    <row r="55" spans="2:14" x14ac:dyDescent="0.3">
      <c r="B55" s="456"/>
      <c r="C55" s="795" t="s">
        <v>849</v>
      </c>
      <c r="D55" s="455">
        <f>'Waterproofing (2)'!E56+'Waterproofing (2)'!E67</f>
        <v>339.57600000000002</v>
      </c>
      <c r="E55" s="547">
        <v>4.4444444444444446E-2</v>
      </c>
      <c r="F55" s="97">
        <f>'Waterproofing (2)'!E59+'Waterproofing (2)'!E72</f>
        <v>100</v>
      </c>
      <c r="G55" s="97"/>
      <c r="H55" s="10"/>
      <c r="I55" s="10"/>
      <c r="J55" s="97">
        <f>'Waterproofing (2)'!E62+'Waterproofing (2)'!E75</f>
        <v>4.9358778658560007</v>
      </c>
      <c r="K55" s="531">
        <f>'Waterproofing (2)'!E76*0.2</f>
        <v>794.40000000000009</v>
      </c>
      <c r="L55" s="531"/>
      <c r="M55" s="531"/>
      <c r="N55" s="10"/>
    </row>
    <row r="56" spans="2:14" x14ac:dyDescent="0.3">
      <c r="B56" s="456"/>
      <c r="C56" s="795" t="s">
        <v>850</v>
      </c>
      <c r="D56" s="455">
        <f>'Waterproofing (2)'!E56+'Waterproofing (2)'!E67</f>
        <v>339.57600000000002</v>
      </c>
      <c r="E56" s="547">
        <v>4.4444444444444446E-2</v>
      </c>
      <c r="F56" s="97">
        <f>'Waterproofing (2)'!E59+'Waterproofing (2)'!E72</f>
        <v>100</v>
      </c>
      <c r="G56" s="97"/>
      <c r="H56" s="10"/>
      <c r="I56" s="10"/>
      <c r="J56" s="97">
        <f>'Waterproofing (2)'!E62+'Waterproofing (2)'!E75</f>
        <v>4.9358778658560007</v>
      </c>
      <c r="K56" s="531">
        <f>'Waterproofing (2)'!E76*0.2</f>
        <v>794.40000000000009</v>
      </c>
      <c r="L56" s="868"/>
      <c r="M56" s="10"/>
      <c r="N56" s="10"/>
    </row>
    <row r="57" spans="2:14" x14ac:dyDescent="0.3">
      <c r="B57" s="456"/>
      <c r="C57" s="795" t="s">
        <v>851</v>
      </c>
      <c r="D57" s="455">
        <f>'Waterproofing (2)'!E56+'Waterproofing (2)'!E67</f>
        <v>339.57600000000002</v>
      </c>
      <c r="E57" s="547">
        <v>4.4444444444444446E-2</v>
      </c>
      <c r="F57" s="97">
        <f>'Waterproofing (2)'!E59+'Waterproofing (2)'!E72</f>
        <v>100</v>
      </c>
      <c r="G57" s="97"/>
      <c r="H57" s="10"/>
      <c r="I57" s="10"/>
      <c r="J57" s="97">
        <f>'Waterproofing (2)'!E62+'Waterproofing (2)'!E75</f>
        <v>4.9358778658560007</v>
      </c>
      <c r="K57" s="531">
        <f>'Waterproofing (2)'!E76*0.2</f>
        <v>794.40000000000009</v>
      </c>
      <c r="L57" s="868"/>
      <c r="M57" s="10"/>
      <c r="N57" s="10">
        <v>10</v>
      </c>
    </row>
    <row r="58" spans="2:14" x14ac:dyDescent="0.3">
      <c r="B58" s="456"/>
      <c r="C58" s="554"/>
      <c r="D58" s="455"/>
      <c r="E58" s="17"/>
      <c r="F58" s="97"/>
      <c r="G58" s="97"/>
      <c r="H58" s="10"/>
      <c r="I58" s="10"/>
      <c r="J58" s="10"/>
      <c r="K58" s="531"/>
      <c r="L58" s="10"/>
      <c r="M58" s="10"/>
      <c r="N58" s="10"/>
    </row>
    <row r="59" spans="2:14" ht="16.5" customHeight="1" x14ac:dyDescent="0.3">
      <c r="B59" s="456" t="s">
        <v>834</v>
      </c>
      <c r="C59" s="456" t="s">
        <v>561</v>
      </c>
      <c r="D59" s="455"/>
      <c r="E59" s="17"/>
      <c r="F59" s="97"/>
      <c r="G59" s="97"/>
      <c r="H59" s="10"/>
      <c r="I59" s="10"/>
      <c r="J59" s="10"/>
      <c r="K59" s="531"/>
      <c r="L59" s="10"/>
      <c r="M59" s="10"/>
    </row>
    <row r="60" spans="2:14" ht="16.5" customHeight="1" x14ac:dyDescent="0.3">
      <c r="B60" s="456"/>
      <c r="C60" s="799" t="s">
        <v>844</v>
      </c>
      <c r="D60" s="455">
        <f>Flooring!E31*10</f>
        <v>79.650000000000006</v>
      </c>
      <c r="E60" s="547">
        <v>4.4444444444444446E-2</v>
      </c>
      <c r="F60" s="470">
        <f>Flooring!E34*10</f>
        <v>3.9506400000000004</v>
      </c>
      <c r="G60" s="470">
        <f>Flooring!E37*10</f>
        <v>1.9513001088000004</v>
      </c>
      <c r="H60" s="10"/>
      <c r="I60" s="10"/>
      <c r="J60" s="96"/>
      <c r="K60" s="531"/>
      <c r="L60" s="10"/>
      <c r="M60" s="10"/>
    </row>
    <row r="61" spans="2:14" ht="16.5" customHeight="1" x14ac:dyDescent="0.3">
      <c r="B61" s="456"/>
      <c r="C61" s="799"/>
      <c r="D61" s="455"/>
      <c r="E61" s="547"/>
      <c r="F61" s="470"/>
      <c r="G61" s="97"/>
      <c r="H61" s="10"/>
      <c r="I61" s="10"/>
      <c r="J61" s="96"/>
      <c r="K61" s="724"/>
      <c r="L61" s="719"/>
      <c r="M61" s="719"/>
    </row>
    <row r="62" spans="2:14" ht="16.5" customHeight="1" x14ac:dyDescent="0.3">
      <c r="B62" s="456" t="s">
        <v>862</v>
      </c>
      <c r="C62" s="456" t="s">
        <v>561</v>
      </c>
      <c r="D62" s="455"/>
      <c r="E62" s="547"/>
      <c r="F62" s="470"/>
      <c r="G62" s="97"/>
      <c r="H62" s="10"/>
      <c r="I62" s="10"/>
      <c r="J62" s="96"/>
      <c r="K62" s="724"/>
      <c r="L62" s="719"/>
      <c r="M62" s="719"/>
    </row>
    <row r="63" spans="2:14" ht="16.5" customHeight="1" x14ac:dyDescent="0.3">
      <c r="B63" s="456" t="s">
        <v>863</v>
      </c>
      <c r="C63" s="799" t="s">
        <v>844</v>
      </c>
      <c r="D63" s="455">
        <f>Flooring!E42*10</f>
        <v>1427.6000000000001</v>
      </c>
      <c r="E63" s="547" t="s">
        <v>846</v>
      </c>
      <c r="F63" s="470">
        <f>Flooring!E45*10</f>
        <v>550</v>
      </c>
      <c r="G63" s="97"/>
      <c r="H63" s="10"/>
      <c r="I63" s="10"/>
      <c r="J63" s="96"/>
      <c r="K63" s="724"/>
      <c r="L63" s="719"/>
      <c r="M63" s="719"/>
    </row>
    <row r="64" spans="2:14" ht="16.5" customHeight="1" x14ac:dyDescent="0.3">
      <c r="B64" s="456"/>
      <c r="C64" s="799"/>
      <c r="D64" s="455"/>
      <c r="E64" s="547"/>
      <c r="F64" s="470"/>
      <c r="G64" s="97"/>
      <c r="H64" s="10"/>
      <c r="I64" s="10"/>
      <c r="J64" s="96"/>
      <c r="K64" s="724"/>
      <c r="L64" s="719"/>
      <c r="M64" s="719"/>
    </row>
    <row r="65" spans="2:14" ht="16.5" customHeight="1" x14ac:dyDescent="0.3">
      <c r="B65" s="456" t="s">
        <v>856</v>
      </c>
      <c r="C65" s="799" t="s">
        <v>860</v>
      </c>
      <c r="D65" s="455">
        <f>3.14*0.35*0.35*17*11</f>
        <v>71.929549999999992</v>
      </c>
      <c r="E65" s="547" t="s">
        <v>21</v>
      </c>
      <c r="F65" s="470">
        <f>$D$65*'Mix design'!D37</f>
        <v>672.63662081927703</v>
      </c>
      <c r="G65" s="470">
        <f>$D$65*'Mix design'!E37</f>
        <v>14.448234615198071</v>
      </c>
      <c r="H65" s="470">
        <f>$D$65*'Mix design'!F37</f>
        <v>6.0200977563325289</v>
      </c>
      <c r="I65" s="470">
        <f>$D$65*'Mix design'!G37</f>
        <v>11.076979871651851</v>
      </c>
      <c r="J65" s="96"/>
      <c r="K65" s="724"/>
      <c r="L65" s="719"/>
      <c r="M65" s="719"/>
    </row>
    <row r="66" spans="2:14" ht="16.5" customHeight="1" x14ac:dyDescent="0.3">
      <c r="B66" s="456"/>
      <c r="C66" s="799" t="s">
        <v>861</v>
      </c>
      <c r="D66" s="455">
        <f>3.14*0.3*0.3*17*6</f>
        <v>28.825199999999999</v>
      </c>
      <c r="E66" s="547" t="s">
        <v>21</v>
      </c>
      <c r="F66" s="470">
        <f>$D$66*'Mix design'!D37</f>
        <v>269.55382207228911</v>
      </c>
      <c r="G66" s="470">
        <f>$D$66*'Mix design'!E37</f>
        <v>5.7900160981127708</v>
      </c>
      <c r="H66" s="470">
        <f>$D$66*'Mix design'!F37</f>
        <v>2.4125067075469877</v>
      </c>
      <c r="I66" s="470">
        <f>$D$66*'Mix design'!G37</f>
        <v>4.4390123418864569</v>
      </c>
      <c r="J66" s="96"/>
      <c r="K66" s="724"/>
      <c r="L66" s="719"/>
      <c r="M66" s="719"/>
    </row>
    <row r="67" spans="2:14" x14ac:dyDescent="0.3">
      <c r="B67" s="719"/>
      <c r="C67" s="794"/>
      <c r="D67" s="721"/>
      <c r="E67" s="722"/>
      <c r="F67" s="723"/>
      <c r="G67" s="723"/>
      <c r="H67" s="719"/>
      <c r="I67" s="719"/>
      <c r="J67" s="719"/>
      <c r="K67" s="724"/>
      <c r="L67" s="719"/>
      <c r="M67" s="719"/>
    </row>
    <row r="68" spans="2:14" ht="17.25" customHeight="1" x14ac:dyDescent="0.3">
      <c r="B68" s="10" t="s">
        <v>762</v>
      </c>
      <c r="C68" s="456" t="s">
        <v>95</v>
      </c>
      <c r="D68" s="10"/>
      <c r="E68" s="17"/>
      <c r="F68" s="96">
        <f>SUM(F6:F66)</f>
        <v>11290.055556077645</v>
      </c>
      <c r="G68" s="96">
        <f t="shared" ref="G68:L68" si="8">SUM(G6:G66)</f>
        <v>405.06557645824626</v>
      </c>
      <c r="H68" s="96">
        <f t="shared" si="8"/>
        <v>83.25634246906796</v>
      </c>
      <c r="I68" s="96">
        <f t="shared" si="8"/>
        <v>172.53175044312667</v>
      </c>
      <c r="J68" s="96">
        <f t="shared" si="8"/>
        <v>101.33634036414</v>
      </c>
      <c r="K68" s="96">
        <f t="shared" si="8"/>
        <v>189723.13599999997</v>
      </c>
      <c r="L68" s="96">
        <f t="shared" si="8"/>
        <v>85937.96</v>
      </c>
      <c r="M68" s="96"/>
    </row>
    <row r="69" spans="2:14" x14ac:dyDescent="0.3">
      <c r="B69" s="10" t="s">
        <v>710</v>
      </c>
      <c r="C69" s="10"/>
      <c r="D69" s="10"/>
      <c r="E69" s="17"/>
      <c r="F69" s="10"/>
      <c r="G69" s="868"/>
      <c r="H69" s="868"/>
      <c r="I69" s="10"/>
      <c r="J69" s="10"/>
      <c r="K69" s="10"/>
      <c r="L69" s="10"/>
      <c r="M69" s="10"/>
    </row>
    <row r="70" spans="2:14" x14ac:dyDescent="0.3">
      <c r="B70" s="888" t="s">
        <v>855</v>
      </c>
      <c r="C70" s="889"/>
      <c r="D70" s="890"/>
      <c r="E70" s="17"/>
      <c r="F70" s="869">
        <v>0.04</v>
      </c>
      <c r="G70" s="869">
        <v>0.1</v>
      </c>
      <c r="H70" s="869">
        <v>0.05</v>
      </c>
      <c r="I70" s="869">
        <v>0.05</v>
      </c>
      <c r="J70" s="869">
        <v>0.25</v>
      </c>
      <c r="K70" s="869">
        <v>7.0000000000000007E-2</v>
      </c>
      <c r="L70" s="869">
        <v>7.0000000000000007E-2</v>
      </c>
      <c r="M70" s="10"/>
    </row>
    <row r="71" spans="2:14" x14ac:dyDescent="0.3">
      <c r="B71" s="875"/>
      <c r="C71" s="875"/>
      <c r="D71" s="875"/>
      <c r="E71" s="17"/>
      <c r="F71" s="869"/>
      <c r="G71" s="869"/>
      <c r="H71" s="869"/>
      <c r="I71" s="869"/>
      <c r="J71" s="869"/>
      <c r="K71" s="869"/>
      <c r="L71" s="869"/>
      <c r="M71" s="10"/>
    </row>
    <row r="72" spans="2:14" x14ac:dyDescent="0.3">
      <c r="B72" s="888" t="s">
        <v>865</v>
      </c>
      <c r="C72" s="890"/>
      <c r="D72" s="875"/>
      <c r="E72" s="17"/>
      <c r="F72" s="868">
        <f>277+8</f>
        <v>285</v>
      </c>
      <c r="G72" s="868">
        <f>4+3.75</f>
        <v>7.75</v>
      </c>
      <c r="H72" s="868">
        <f>6.25+0.5</f>
        <v>6.75</v>
      </c>
      <c r="I72" s="868">
        <f>6.75+1</f>
        <v>7.75</v>
      </c>
      <c r="J72" s="868">
        <f>4+0.25</f>
        <v>4.25</v>
      </c>
      <c r="K72" s="868">
        <f>2000+4500</f>
        <v>6500</v>
      </c>
      <c r="L72" s="868">
        <f>3000+1800</f>
        <v>4800</v>
      </c>
      <c r="M72" s="10"/>
    </row>
    <row r="73" spans="2:14" x14ac:dyDescent="0.3">
      <c r="B73" s="873"/>
      <c r="C73" s="873"/>
      <c r="D73" s="873"/>
      <c r="E73" s="870"/>
      <c r="F73" s="10" t="s">
        <v>13</v>
      </c>
      <c r="G73" s="10" t="s">
        <v>5</v>
      </c>
      <c r="H73" s="10" t="s">
        <v>6</v>
      </c>
      <c r="I73" s="10" t="s">
        <v>7</v>
      </c>
      <c r="J73" s="10" t="s">
        <v>4</v>
      </c>
      <c r="K73" s="10" t="s">
        <v>8</v>
      </c>
      <c r="L73" s="10" t="s">
        <v>9</v>
      </c>
      <c r="M73" s="10"/>
    </row>
    <row r="74" spans="2:14" x14ac:dyDescent="0.3">
      <c r="B74" s="888" t="s">
        <v>864</v>
      </c>
      <c r="C74" s="889"/>
      <c r="D74" s="890"/>
      <c r="E74" s="872"/>
      <c r="F74" s="874">
        <f>(F68+F68*F70)-F72</f>
        <v>11456.65777832075</v>
      </c>
      <c r="G74" s="874">
        <f t="shared" ref="G74:L74" si="9">(G68+G68*G70)-G72</f>
        <v>437.82213410407087</v>
      </c>
      <c r="H74" s="874">
        <f t="shared" si="9"/>
        <v>80.669159592521353</v>
      </c>
      <c r="I74" s="874">
        <f t="shared" si="9"/>
        <v>173.40833796528301</v>
      </c>
      <c r="J74" s="874">
        <f t="shared" si="9"/>
        <v>122.42042545517501</v>
      </c>
      <c r="K74" s="874">
        <f t="shared" si="9"/>
        <v>196503.75551999998</v>
      </c>
      <c r="L74" s="874">
        <f t="shared" si="9"/>
        <v>87153.617200000008</v>
      </c>
      <c r="M74" s="10"/>
      <c r="N74" s="545"/>
    </row>
    <row r="75" spans="2:14" x14ac:dyDescent="0.3">
      <c r="B75" s="872"/>
      <c r="C75" s="872"/>
      <c r="D75" s="872"/>
      <c r="E75" s="872"/>
      <c r="F75" s="876" t="s">
        <v>866</v>
      </c>
      <c r="G75" s="876" t="s">
        <v>867</v>
      </c>
      <c r="H75" s="876" t="s">
        <v>867</v>
      </c>
      <c r="I75" s="876" t="s">
        <v>867</v>
      </c>
      <c r="J75" s="876" t="s">
        <v>867</v>
      </c>
      <c r="K75" s="876" t="s">
        <v>181</v>
      </c>
      <c r="L75" s="876" t="s">
        <v>181</v>
      </c>
      <c r="M75" s="10"/>
    </row>
    <row r="76" spans="2:14" x14ac:dyDescent="0.3">
      <c r="B76" s="871"/>
      <c r="C76" s="871"/>
      <c r="D76" s="871"/>
      <c r="E76" s="871"/>
      <c r="F76" s="883">
        <v>0.04</v>
      </c>
      <c r="G76" s="883">
        <v>0.1</v>
      </c>
      <c r="H76" s="883">
        <v>0.05</v>
      </c>
      <c r="I76" s="883">
        <v>0.05</v>
      </c>
      <c r="J76" s="883">
        <v>0.25</v>
      </c>
      <c r="K76" s="883">
        <v>7.0000000000000007E-2</v>
      </c>
      <c r="L76" s="883">
        <v>7.0000000000000007E-2</v>
      </c>
    </row>
    <row r="77" spans="2:14" x14ac:dyDescent="0.3">
      <c r="B77" s="871"/>
      <c r="C77" s="871"/>
      <c r="D77" s="871"/>
      <c r="E77" s="871"/>
      <c r="F77" s="871"/>
      <c r="G77" s="871"/>
      <c r="H77" s="871"/>
      <c r="I77" s="871"/>
      <c r="J77" s="871"/>
      <c r="K77" s="871"/>
      <c r="L77" s="871"/>
    </row>
    <row r="78" spans="2:14" x14ac:dyDescent="0.3">
      <c r="B78" s="871"/>
      <c r="C78" s="871"/>
      <c r="D78" s="871"/>
      <c r="E78" s="871"/>
      <c r="F78" s="871"/>
      <c r="G78" s="871"/>
      <c r="H78" s="871"/>
      <c r="I78" s="871"/>
      <c r="J78" s="871"/>
      <c r="K78" s="871"/>
      <c r="L78" s="871"/>
      <c r="M78" s="792"/>
    </row>
    <row r="79" spans="2:14" x14ac:dyDescent="0.3">
      <c r="B79" s="871"/>
      <c r="C79" s="871"/>
      <c r="D79" s="871"/>
      <c r="E79" s="871"/>
      <c r="F79" s="871"/>
      <c r="G79" s="871"/>
      <c r="H79" s="871"/>
      <c r="I79" s="871"/>
      <c r="J79" s="871"/>
      <c r="K79" s="871"/>
      <c r="L79" s="871"/>
      <c r="M79" s="545"/>
    </row>
    <row r="80" spans="2:14" x14ac:dyDescent="0.3">
      <c r="B80" s="871"/>
      <c r="C80" s="871"/>
      <c r="D80" s="871"/>
      <c r="E80" s="871"/>
      <c r="F80" s="871"/>
      <c r="G80" s="871"/>
      <c r="H80" s="871"/>
      <c r="I80" s="871"/>
      <c r="J80" s="871"/>
      <c r="K80" s="871"/>
      <c r="L80" s="871"/>
    </row>
    <row r="81" spans="2:12" x14ac:dyDescent="0.3">
      <c r="B81" s="871"/>
      <c r="C81" s="871"/>
      <c r="D81" s="871"/>
      <c r="E81" s="871"/>
      <c r="F81" s="871"/>
      <c r="G81" s="871"/>
      <c r="H81" s="871"/>
      <c r="I81" s="871"/>
      <c r="J81" s="871"/>
      <c r="K81" s="871"/>
      <c r="L81" s="871"/>
    </row>
  </sheetData>
  <mergeCells count="7">
    <mergeCell ref="B2:L2"/>
    <mergeCell ref="C29:C30"/>
    <mergeCell ref="C24:C25"/>
    <mergeCell ref="C22:C23"/>
    <mergeCell ref="B74:D74"/>
    <mergeCell ref="B70:D70"/>
    <mergeCell ref="B72:C72"/>
  </mergeCells>
  <pageMargins left="0.47" right="0.24" top="0.6" bottom="0.2" header="0.63" footer="0.2"/>
  <pageSetup paperSize="9" scale="7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A1754"/>
  <sheetViews>
    <sheetView topLeftCell="A297" workbookViewId="0">
      <selection activeCell="I312" sqref="I312"/>
    </sheetView>
  </sheetViews>
  <sheetFormatPr defaultColWidth="9.109375" defaultRowHeight="14.4" outlineLevelRow="1" outlineLevelCol="1" x14ac:dyDescent="0.3"/>
  <cols>
    <col min="1" max="1" width="7.44140625" style="126" customWidth="1"/>
    <col min="2" max="2" width="10" style="126" customWidth="1"/>
    <col min="3" max="3" width="19.88671875" style="127" customWidth="1"/>
    <col min="4" max="4" width="9.6640625" style="128" customWidth="1"/>
    <col min="5" max="5" width="9.88671875" style="128" customWidth="1"/>
    <col min="6" max="6" width="9.6640625" style="128" customWidth="1"/>
    <col min="7" max="7" width="10.109375" style="128" customWidth="1"/>
    <col min="8" max="8" width="8.44140625" style="126" hidden="1" customWidth="1"/>
    <col min="9" max="9" width="9.109375" style="454" customWidth="1" outlineLevel="1"/>
    <col min="10" max="12" width="9.109375" style="126" customWidth="1" outlineLevel="1"/>
    <col min="13" max="13" width="9.5546875" style="129" customWidth="1"/>
    <col min="14" max="14" width="9.5546875" style="126" customWidth="1"/>
    <col min="15" max="15" width="7.33203125" style="454" customWidth="1"/>
    <col min="16" max="16" width="10.88671875" style="126" customWidth="1"/>
    <col min="17" max="17" width="9.109375" style="454" hidden="1" customWidth="1" outlineLevel="1"/>
    <col min="18" max="20" width="9.109375" style="126" hidden="1" customWidth="1" outlineLevel="1"/>
    <col min="21" max="21" width="6.88671875" style="129" customWidth="1" collapsed="1"/>
    <col min="22" max="22" width="6.88671875" style="126" customWidth="1"/>
    <col min="23" max="23" width="6.88671875" style="454" customWidth="1"/>
    <col min="24" max="24" width="9" style="126" customWidth="1"/>
    <col min="25" max="25" width="9.109375" style="454" hidden="1" customWidth="1" outlineLevel="1"/>
    <col min="26" max="28" width="9.109375" style="126" hidden="1" customWidth="1" outlineLevel="1"/>
    <col min="29" max="29" width="6.6640625" style="129" customWidth="1" collapsed="1"/>
    <col min="30" max="30" width="6.6640625" style="126" customWidth="1"/>
    <col min="31" max="31" width="6.6640625" style="454" customWidth="1"/>
    <col min="32" max="32" width="9" style="126" customWidth="1"/>
    <col min="33" max="33" width="9.109375" style="454" hidden="1" customWidth="1" outlineLevel="1"/>
    <col min="34" max="36" width="9.109375" style="126" hidden="1" customWidth="1" outlineLevel="1"/>
    <col min="37" max="37" width="7.44140625" style="129" customWidth="1" collapsed="1"/>
    <col min="38" max="38" width="7.44140625" style="126" customWidth="1"/>
    <col min="39" max="39" width="7.44140625" style="454" customWidth="1"/>
    <col min="40" max="40" width="9" style="126" customWidth="1"/>
    <col min="41" max="41" width="5.109375" style="130" customWidth="1"/>
    <col min="42" max="42" width="5.88671875" style="126" customWidth="1"/>
    <col min="43" max="43" width="5.6640625" style="126" customWidth="1"/>
    <col min="44" max="44" width="9.88671875" style="126" customWidth="1"/>
    <col min="45" max="45" width="10.33203125" style="126" customWidth="1"/>
    <col min="46" max="46" width="9.109375" style="126"/>
    <col min="47" max="47" width="10" style="126" customWidth="1"/>
    <col min="48" max="50" width="9.109375" style="126"/>
    <col min="51" max="51" width="9.109375" style="131"/>
    <col min="52" max="62" width="9.109375" style="126"/>
    <col min="63" max="63" width="12.44140625" style="126" bestFit="1" customWidth="1"/>
    <col min="64" max="64" width="6" style="126" customWidth="1"/>
    <col min="65" max="65" width="9.109375" style="126"/>
    <col min="66" max="66" width="12" style="126" bestFit="1" customWidth="1"/>
    <col min="67" max="67" width="5.109375" style="126" customWidth="1"/>
    <col min="68" max="68" width="9.109375" style="126"/>
    <col min="69" max="69" width="16.33203125" style="126" bestFit="1" customWidth="1"/>
    <col min="70" max="70" width="6" style="126" customWidth="1"/>
    <col min="71" max="71" width="9.109375" style="126"/>
    <col min="72" max="72" width="21.6640625" style="126" bestFit="1" customWidth="1"/>
    <col min="73" max="73" width="7" style="126" customWidth="1"/>
    <col min="74" max="74" width="9.109375" style="126"/>
    <col min="75" max="75" width="12.44140625" style="126" bestFit="1" customWidth="1"/>
    <col min="76" max="76" width="5.44140625" style="126" customWidth="1"/>
    <col min="77" max="77" width="9.109375" style="126"/>
    <col min="78" max="78" width="20.6640625" style="126" bestFit="1" customWidth="1"/>
    <col min="79" max="79" width="7" style="126" customWidth="1"/>
    <col min="80" max="80" width="9.109375" style="126"/>
    <col min="81" max="81" width="15.88671875" style="126" bestFit="1" customWidth="1"/>
    <col min="82" max="82" width="6" style="126" customWidth="1"/>
    <col min="83" max="83" width="9.109375" style="126"/>
    <col min="84" max="84" width="14.44140625" style="126" bestFit="1" customWidth="1"/>
    <col min="85" max="85" width="5.44140625" style="126" customWidth="1"/>
    <col min="86" max="16384" width="9.109375" style="126"/>
  </cols>
  <sheetData>
    <row r="1" spans="1:85" x14ac:dyDescent="0.3">
      <c r="A1" s="125" t="s">
        <v>164</v>
      </c>
      <c r="I1" s="126"/>
      <c r="O1" s="126"/>
      <c r="Q1" s="126"/>
      <c r="W1" s="126"/>
      <c r="Y1" s="126"/>
      <c r="AE1" s="126"/>
      <c r="AG1" s="126"/>
      <c r="AM1" s="126"/>
    </row>
    <row r="2" spans="1:85" x14ac:dyDescent="0.3">
      <c r="A2" s="125" t="s">
        <v>165</v>
      </c>
      <c r="I2" s="126"/>
      <c r="O2" s="126"/>
      <c r="Q2" s="126"/>
      <c r="W2" s="126"/>
      <c r="Y2" s="126"/>
      <c r="AE2" s="126"/>
      <c r="AG2" s="126"/>
      <c r="AM2" s="126"/>
    </row>
    <row r="3" spans="1:85" x14ac:dyDescent="0.3">
      <c r="A3" s="125" t="s">
        <v>166</v>
      </c>
      <c r="I3" s="126"/>
      <c r="O3" s="126"/>
      <c r="Q3" s="126"/>
      <c r="W3" s="126"/>
      <c r="Y3" s="126"/>
      <c r="AE3" s="126"/>
      <c r="AG3" s="126"/>
      <c r="AM3" s="126"/>
    </row>
    <row r="4" spans="1:85" x14ac:dyDescent="0.3">
      <c r="A4" s="132" t="s">
        <v>167</v>
      </c>
      <c r="I4" s="126"/>
      <c r="O4" s="126"/>
      <c r="Q4" s="126"/>
      <c r="W4" s="126"/>
      <c r="Y4" s="126"/>
      <c r="AE4" s="126"/>
      <c r="AG4" s="126"/>
      <c r="AM4" s="126"/>
    </row>
    <row r="5" spans="1:85" x14ac:dyDescent="0.3">
      <c r="I5" s="126"/>
      <c r="O5" s="126"/>
      <c r="Q5" s="126"/>
      <c r="W5" s="126"/>
      <c r="Y5" s="126"/>
      <c r="AE5" s="126"/>
      <c r="AG5" s="126"/>
      <c r="AM5" s="126"/>
    </row>
    <row r="6" spans="1:85" s="143" customFormat="1" x14ac:dyDescent="0.3">
      <c r="A6" s="133" t="s">
        <v>168</v>
      </c>
      <c r="B6" s="134"/>
      <c r="C6" s="135" t="s">
        <v>29</v>
      </c>
      <c r="D6" s="136"/>
      <c r="E6" s="136"/>
      <c r="F6" s="137"/>
      <c r="G6" s="134"/>
      <c r="H6" s="138"/>
      <c r="I6" s="139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40"/>
      <c r="X6" s="134"/>
      <c r="Y6" s="134"/>
      <c r="Z6" s="134"/>
      <c r="AA6" s="134"/>
      <c r="AB6" s="141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42"/>
      <c r="AP6" s="134"/>
      <c r="AQ6" s="134"/>
      <c r="AR6" s="134"/>
      <c r="AS6" s="134"/>
      <c r="AT6" s="134"/>
      <c r="AU6" s="134"/>
      <c r="AV6" s="134"/>
      <c r="AW6" s="134"/>
      <c r="AX6" s="134"/>
      <c r="AZ6" s="144"/>
      <c r="BA6" s="145"/>
    </row>
    <row r="7" spans="1:85" s="152" customFormat="1" ht="13.8" x14ac:dyDescent="0.3">
      <c r="A7" s="146" t="s">
        <v>169</v>
      </c>
      <c r="B7" s="147"/>
      <c r="C7" s="148"/>
      <c r="D7" s="149"/>
      <c r="E7" s="149"/>
      <c r="F7" s="150"/>
      <c r="G7" s="147"/>
      <c r="H7" s="146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51"/>
      <c r="AP7" s="147"/>
      <c r="AQ7" s="147"/>
      <c r="AR7" s="147"/>
      <c r="AS7" s="147"/>
      <c r="AT7" s="147"/>
      <c r="AU7" s="147"/>
      <c r="AV7" s="147"/>
      <c r="AW7" s="147"/>
      <c r="AX7" s="147"/>
      <c r="AZ7" s="153"/>
      <c r="BA7" s="154"/>
    </row>
    <row r="8" spans="1:85" s="153" customFormat="1" ht="27" customHeight="1" x14ac:dyDescent="0.3">
      <c r="A8" s="1066" t="s">
        <v>170</v>
      </c>
      <c r="B8" s="1066" t="s">
        <v>171</v>
      </c>
      <c r="C8" s="1066" t="s">
        <v>51</v>
      </c>
      <c r="D8" s="155" t="s">
        <v>44</v>
      </c>
      <c r="E8" s="155" t="s">
        <v>45</v>
      </c>
      <c r="F8" s="156" t="s">
        <v>46</v>
      </c>
      <c r="G8" s="157" t="s">
        <v>95</v>
      </c>
      <c r="H8" s="157" t="s">
        <v>172</v>
      </c>
      <c r="I8" s="1068" t="s">
        <v>173</v>
      </c>
      <c r="J8" s="1069"/>
      <c r="K8" s="1069"/>
      <c r="L8" s="1069"/>
      <c r="M8" s="1069"/>
      <c r="N8" s="1069"/>
      <c r="O8" s="1069"/>
      <c r="P8" s="1070"/>
      <c r="Q8" s="1068" t="s">
        <v>174</v>
      </c>
      <c r="R8" s="1069"/>
      <c r="S8" s="1069"/>
      <c r="T8" s="1069"/>
      <c r="U8" s="1069"/>
      <c r="V8" s="1069"/>
      <c r="W8" s="1069"/>
      <c r="X8" s="1070"/>
      <c r="Y8" s="1068" t="s">
        <v>175</v>
      </c>
      <c r="Z8" s="1069"/>
      <c r="AA8" s="1069"/>
      <c r="AB8" s="1069"/>
      <c r="AC8" s="1069"/>
      <c r="AD8" s="1069"/>
      <c r="AE8" s="1069"/>
      <c r="AF8" s="1070"/>
      <c r="AG8" s="1068" t="s">
        <v>176</v>
      </c>
      <c r="AH8" s="1069"/>
      <c r="AI8" s="1069"/>
      <c r="AJ8" s="1069"/>
      <c r="AK8" s="1069"/>
      <c r="AL8" s="1069"/>
      <c r="AM8" s="1069"/>
      <c r="AN8" s="1070"/>
      <c r="AO8" s="1068" t="s">
        <v>177</v>
      </c>
      <c r="AP8" s="1069"/>
      <c r="AQ8" s="1070"/>
      <c r="AR8" s="1045"/>
      <c r="AS8" s="1071"/>
      <c r="AT8" s="1072"/>
      <c r="AU8" s="1045"/>
      <c r="AV8" s="1071"/>
      <c r="AW8" s="1072"/>
      <c r="AX8" s="158" t="s">
        <v>177</v>
      </c>
      <c r="AY8" s="159"/>
      <c r="BA8" s="160"/>
    </row>
    <row r="9" spans="1:85" s="169" customFormat="1" ht="27.6" x14ac:dyDescent="0.3">
      <c r="A9" s="1067"/>
      <c r="B9" s="1067"/>
      <c r="C9" s="1067"/>
      <c r="D9" s="161" t="s">
        <v>178</v>
      </c>
      <c r="E9" s="161" t="s">
        <v>178</v>
      </c>
      <c r="F9" s="162" t="s">
        <v>178</v>
      </c>
      <c r="G9" s="158" t="s">
        <v>179</v>
      </c>
      <c r="H9" s="158" t="s">
        <v>180</v>
      </c>
      <c r="I9" s="163" t="s">
        <v>48</v>
      </c>
      <c r="J9" s="164" t="s">
        <v>53</v>
      </c>
      <c r="K9" s="164" t="s">
        <v>181</v>
      </c>
      <c r="L9" s="164" t="s">
        <v>182</v>
      </c>
      <c r="M9" s="164" t="s">
        <v>183</v>
      </c>
      <c r="N9" s="164" t="s">
        <v>184</v>
      </c>
      <c r="O9" s="164" t="s">
        <v>185</v>
      </c>
      <c r="P9" s="164" t="s">
        <v>186</v>
      </c>
      <c r="Q9" s="164" t="s">
        <v>48</v>
      </c>
      <c r="R9" s="164" t="s">
        <v>53</v>
      </c>
      <c r="S9" s="164" t="s">
        <v>181</v>
      </c>
      <c r="T9" s="164" t="s">
        <v>182</v>
      </c>
      <c r="U9" s="164" t="s">
        <v>183</v>
      </c>
      <c r="V9" s="164" t="s">
        <v>184</v>
      </c>
      <c r="W9" s="164" t="s">
        <v>185</v>
      </c>
      <c r="X9" s="164" t="s">
        <v>186</v>
      </c>
      <c r="Y9" s="164" t="s">
        <v>48</v>
      </c>
      <c r="Z9" s="164" t="s">
        <v>187</v>
      </c>
      <c r="AA9" s="164" t="s">
        <v>181</v>
      </c>
      <c r="AB9" s="164" t="s">
        <v>182</v>
      </c>
      <c r="AC9" s="164" t="s">
        <v>183</v>
      </c>
      <c r="AD9" s="164" t="s">
        <v>184</v>
      </c>
      <c r="AE9" s="164" t="s">
        <v>185</v>
      </c>
      <c r="AF9" s="164" t="s">
        <v>186</v>
      </c>
      <c r="AG9" s="164" t="s">
        <v>48</v>
      </c>
      <c r="AH9" s="164" t="s">
        <v>187</v>
      </c>
      <c r="AI9" s="164" t="s">
        <v>181</v>
      </c>
      <c r="AJ9" s="164" t="s">
        <v>182</v>
      </c>
      <c r="AK9" s="164" t="s">
        <v>183</v>
      </c>
      <c r="AL9" s="164" t="s">
        <v>184</v>
      </c>
      <c r="AM9" s="164" t="s">
        <v>185</v>
      </c>
      <c r="AN9" s="164" t="s">
        <v>186</v>
      </c>
      <c r="AO9" s="164" t="s">
        <v>48</v>
      </c>
      <c r="AP9" s="164" t="s">
        <v>181</v>
      </c>
      <c r="AQ9" s="164" t="s">
        <v>50</v>
      </c>
      <c r="AR9" s="164" t="s">
        <v>55</v>
      </c>
      <c r="AS9" s="164" t="s">
        <v>56</v>
      </c>
      <c r="AT9" s="164" t="s">
        <v>57</v>
      </c>
      <c r="AU9" s="164" t="s">
        <v>55</v>
      </c>
      <c r="AV9" s="164" t="s">
        <v>56</v>
      </c>
      <c r="AW9" s="164" t="s">
        <v>57</v>
      </c>
      <c r="AX9" s="164" t="s">
        <v>55</v>
      </c>
      <c r="AY9" s="165"/>
      <c r="AZ9" s="1073" t="s">
        <v>188</v>
      </c>
      <c r="BA9" s="1074"/>
      <c r="BB9" s="1074"/>
      <c r="BC9" s="1074"/>
      <c r="BD9" s="1074"/>
      <c r="BE9" s="1074"/>
      <c r="BF9" s="166"/>
      <c r="BG9" s="167"/>
      <c r="BH9" s="168"/>
    </row>
    <row r="10" spans="1:85" s="169" customFormat="1" ht="13.8" x14ac:dyDescent="0.3">
      <c r="A10" s="170" t="s">
        <v>189</v>
      </c>
      <c r="B10" s="171"/>
      <c r="C10" s="172"/>
      <c r="D10" s="173"/>
      <c r="E10" s="173"/>
      <c r="F10" s="174"/>
      <c r="G10" s="175"/>
      <c r="H10" s="158"/>
      <c r="I10" s="163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5"/>
      <c r="AZ10" s="176"/>
      <c r="BA10" s="177"/>
      <c r="BB10" s="178"/>
      <c r="BC10" s="178"/>
      <c r="BD10" s="178"/>
      <c r="BE10" s="178"/>
      <c r="BF10" s="179"/>
      <c r="BG10" s="180"/>
      <c r="BH10" s="181"/>
    </row>
    <row r="11" spans="1:85" s="196" customFormat="1" ht="13.8" x14ac:dyDescent="0.3">
      <c r="A11" s="182" t="s">
        <v>190</v>
      </c>
      <c r="B11" s="183">
        <v>1</v>
      </c>
      <c r="C11" s="184" t="s">
        <v>191</v>
      </c>
      <c r="D11" s="185">
        <v>2.6749999999999998</v>
      </c>
      <c r="E11" s="185">
        <v>5.9139999999999997</v>
      </c>
      <c r="F11" s="186">
        <v>0.2</v>
      </c>
      <c r="G11" s="187">
        <f>D11*E11*F11*B11</f>
        <v>3.1639900000000001</v>
      </c>
      <c r="H11" s="188">
        <f t="shared" ref="H11:H44" si="0">D11*E11*B11</f>
        <v>15.819949999999999</v>
      </c>
      <c r="I11" s="183">
        <f t="shared" ref="I11:I74" si="1">GETPIVOTDATA($BN$20,A11)</f>
        <v>12</v>
      </c>
      <c r="J11" s="188">
        <f>GETPIVOTDATA($BQ$20,A11)*2</f>
        <v>0.2</v>
      </c>
      <c r="K11" s="183">
        <f>(ROUND(E11/J11,0)+1)*GETPIVOTDATA($CF$20,A11)</f>
        <v>31</v>
      </c>
      <c r="L11" s="189">
        <f>GETPIVOTDATA($BT$20,A11)</f>
        <v>8.4000000000000005E-2</v>
      </c>
      <c r="M11" s="189">
        <f>0.45*2</f>
        <v>0.9</v>
      </c>
      <c r="N11" s="189">
        <f>-(0.02*2)</f>
        <v>-0.04</v>
      </c>
      <c r="O11" s="189">
        <v>0</v>
      </c>
      <c r="P11" s="188">
        <f>+D11+SUM(L11:O11)+(F11-2*0.02)</f>
        <v>3.7789999999999999</v>
      </c>
      <c r="Q11" s="183">
        <f t="shared" ref="Q11:Q74" si="2">GETPIVOTDATA($BN$20,A11)</f>
        <v>12</v>
      </c>
      <c r="R11" s="188">
        <f t="shared" ref="R11:R74" si="3">GETPIVOTDATA($BQ$20,A11)*2</f>
        <v>0.2</v>
      </c>
      <c r="S11" s="183">
        <f t="shared" ref="S11:S74" si="4">(ROUND(E11/R11,0))*GETPIVOTDATA($CF$20,A11)</f>
        <v>30</v>
      </c>
      <c r="T11" s="189">
        <f t="shared" ref="T11:T74" si="5">GETPIVOTDATA($BT$20,A11)</f>
        <v>8.4000000000000005E-2</v>
      </c>
      <c r="U11" s="189">
        <f>0.45*2</f>
        <v>0.9</v>
      </c>
      <c r="V11" s="189">
        <f>-(0.02*2)</f>
        <v>-0.04</v>
      </c>
      <c r="W11" s="189">
        <v>0</v>
      </c>
      <c r="X11" s="188">
        <f>+D11+SUM(T11:W11)</f>
        <v>3.6189999999999998</v>
      </c>
      <c r="Y11" s="183">
        <f t="shared" ref="Y11:Y74" si="6">GETPIVOTDATA($BW$20,A11)</f>
        <v>8</v>
      </c>
      <c r="Z11" s="182">
        <f t="shared" ref="Z11:Z74" si="7">GETPIVOTDATA($CC$20,A11)*2</f>
        <v>0.24</v>
      </c>
      <c r="AA11" s="183">
        <f t="shared" ref="AA11:AA74" si="8">(ROUND(D11/Z11,0)+1)*GETPIVOTDATA($CF$20,A11)</f>
        <v>12</v>
      </c>
      <c r="AB11" s="189">
        <f t="shared" ref="AB11:AB74" si="9">GETPIVOTDATA($BZ$20,A11)</f>
        <v>8.4000000000000005E-2</v>
      </c>
      <c r="AC11" s="189">
        <f>0.23+0.45</f>
        <v>0.68</v>
      </c>
      <c r="AD11" s="189">
        <f>-(0.02*2)</f>
        <v>-0.04</v>
      </c>
      <c r="AE11" s="189">
        <f>10.19*0.3</f>
        <v>3.0569999999999999</v>
      </c>
      <c r="AF11" s="188">
        <f>+E11+SUM(AB11:AE11)</f>
        <v>9.6950000000000003</v>
      </c>
      <c r="AG11" s="183">
        <f t="shared" ref="AG11:AG74" si="10">GETPIVOTDATA($BW$20,A11)</f>
        <v>8</v>
      </c>
      <c r="AH11" s="182">
        <f t="shared" ref="AH11:AH74" si="11">GETPIVOTDATA($CC$20,A11)*2</f>
        <v>0.24</v>
      </c>
      <c r="AI11" s="183">
        <f t="shared" ref="AI11:AI74" si="12">(ROUND(D11/AH11,0))*GETPIVOTDATA($CF$20,A11)</f>
        <v>11</v>
      </c>
      <c r="AJ11" s="189">
        <f t="shared" ref="AJ11:AJ74" si="13">GETPIVOTDATA($BZ$20,A11)</f>
        <v>8.4000000000000005E-2</v>
      </c>
      <c r="AK11" s="189">
        <f>0.23+0.45</f>
        <v>0.68</v>
      </c>
      <c r="AL11" s="189">
        <f>-(0.02*2)</f>
        <v>-0.04</v>
      </c>
      <c r="AM11" s="189">
        <v>0</v>
      </c>
      <c r="AN11" s="188">
        <f>+E11+SUM(AJ11:AM11)+(F11-0.02*2)</f>
        <v>6.798</v>
      </c>
      <c r="AO11" s="183">
        <v>0</v>
      </c>
      <c r="AP11" s="182">
        <f t="shared" ref="AP11:AP74" si="14">(ROUND(D11/1.5,0)+ROUND(E11/1.5,0))*2</f>
        <v>12</v>
      </c>
      <c r="AQ11" s="182">
        <v>1.5</v>
      </c>
      <c r="AR11" s="187">
        <f>IF(I11=8,K11*P11*B11,0)+IF(Q11=8,S11*X11*B11,0)</f>
        <v>0</v>
      </c>
      <c r="AS11" s="187">
        <f>IF(I11=10,K11*P11*B11,0)+IF(Q11=10,S11*X11*B11,0)</f>
        <v>0</v>
      </c>
      <c r="AT11" s="187">
        <f>IF(I11=12,K11*P11*B11,0)+IF(Q11=12,S11*X11*B11,0)</f>
        <v>225.71899999999999</v>
      </c>
      <c r="AU11" s="187">
        <f>IF(AG11=8,AI11*AN11*B11,0)+IF(Y11=8,B11*AA11*AF11,0)</f>
        <v>191.11799999999999</v>
      </c>
      <c r="AV11" s="187">
        <f t="shared" ref="AV11:AV74" si="15">IF(AG11=10,AI11*AN11*B11,0)+IF(Y11=10,B11*AA11*AF11,0)</f>
        <v>0</v>
      </c>
      <c r="AW11" s="187">
        <f>IF(AG11=12,AI11*AN11*B11,0)+IF(Y11=12,B11*AA11*AF11,0)</f>
        <v>0</v>
      </c>
      <c r="AX11" s="187">
        <f>AP11*AQ11*B11</f>
        <v>18</v>
      </c>
      <c r="AY11" s="190"/>
      <c r="AZ11" s="191" t="s">
        <v>192</v>
      </c>
      <c r="BA11" s="192" t="s">
        <v>193</v>
      </c>
      <c r="BB11" s="1062" t="s">
        <v>194</v>
      </c>
      <c r="BC11" s="1063"/>
      <c r="BD11" s="1064" t="s">
        <v>195</v>
      </c>
      <c r="BE11" s="1065"/>
      <c r="BF11" s="193"/>
      <c r="BG11" s="194"/>
      <c r="BH11" s="195"/>
      <c r="BK11" s="197"/>
      <c r="BL11" s="197"/>
      <c r="BM11" s="197"/>
      <c r="BN11" s="197"/>
      <c r="BO11" s="197"/>
      <c r="BP11" s="197"/>
      <c r="BQ11" s="198"/>
      <c r="BS11" s="197"/>
      <c r="BT11" s="197"/>
      <c r="BU11" s="197"/>
      <c r="BV11" s="197"/>
      <c r="BW11" s="197"/>
      <c r="BX11" s="197"/>
      <c r="BY11" s="197"/>
    </row>
    <row r="12" spans="1:85" s="196" customFormat="1" ht="13.8" x14ac:dyDescent="0.3">
      <c r="A12" s="182" t="s">
        <v>190</v>
      </c>
      <c r="B12" s="183">
        <v>1</v>
      </c>
      <c r="C12" s="184" t="s">
        <v>196</v>
      </c>
      <c r="D12" s="185">
        <v>5.9189999999999996</v>
      </c>
      <c r="E12" s="185">
        <v>2.6</v>
      </c>
      <c r="F12" s="186">
        <v>0.2</v>
      </c>
      <c r="G12" s="187">
        <f t="shared" ref="G12:G75" si="16">D12*E12*F12*B12</f>
        <v>3.0778800000000004</v>
      </c>
      <c r="H12" s="188">
        <f t="shared" si="0"/>
        <v>15.3894</v>
      </c>
      <c r="I12" s="183">
        <f t="shared" si="1"/>
        <v>12</v>
      </c>
      <c r="J12" s="188">
        <f t="shared" ref="J12:J75" si="17">GETPIVOTDATA($BQ$20,A12)*2</f>
        <v>0.2</v>
      </c>
      <c r="K12" s="183">
        <f t="shared" ref="K12:K75" si="18">(ROUND(E12/J12,0)+1)*GETPIVOTDATA($CF$20,A12)</f>
        <v>14</v>
      </c>
      <c r="L12" s="189">
        <f t="shared" ref="L12:L75" si="19">GETPIVOTDATA($BT$20,A12)</f>
        <v>8.4000000000000005E-2</v>
      </c>
      <c r="M12" s="189">
        <f>0.45*2</f>
        <v>0.9</v>
      </c>
      <c r="N12" s="189">
        <f t="shared" ref="N12:N75" si="20">-(0.02*2)</f>
        <v>-0.04</v>
      </c>
      <c r="O12" s="189">
        <f>9.591*0.3</f>
        <v>2.8772999999999995</v>
      </c>
      <c r="P12" s="188">
        <f>+D12+SUM(L12:O12)</f>
        <v>9.7402999999999995</v>
      </c>
      <c r="Q12" s="183">
        <f t="shared" si="2"/>
        <v>12</v>
      </c>
      <c r="R12" s="188">
        <f t="shared" si="3"/>
        <v>0.2</v>
      </c>
      <c r="S12" s="183">
        <f t="shared" si="4"/>
        <v>13</v>
      </c>
      <c r="T12" s="189">
        <f t="shared" si="5"/>
        <v>8.4000000000000005E-2</v>
      </c>
      <c r="U12" s="189">
        <f>0.45*2</f>
        <v>0.9</v>
      </c>
      <c r="V12" s="189">
        <f t="shared" ref="V12:V75" si="21">-(0.02*2)</f>
        <v>-0.04</v>
      </c>
      <c r="W12" s="189">
        <v>0</v>
      </c>
      <c r="X12" s="188">
        <f>+D12+SUM(T12:W12)</f>
        <v>6.8629999999999995</v>
      </c>
      <c r="Y12" s="183">
        <f t="shared" si="6"/>
        <v>8</v>
      </c>
      <c r="Z12" s="182">
        <f t="shared" si="7"/>
        <v>0.24</v>
      </c>
      <c r="AA12" s="183">
        <f t="shared" si="8"/>
        <v>26</v>
      </c>
      <c r="AB12" s="189">
        <f t="shared" si="9"/>
        <v>8.4000000000000005E-2</v>
      </c>
      <c r="AC12" s="189">
        <f>0.23+0.45</f>
        <v>0.68</v>
      </c>
      <c r="AD12" s="189">
        <f t="shared" ref="AD12:AD75" si="22">-(0.02*2)</f>
        <v>-0.04</v>
      </c>
      <c r="AE12" s="189">
        <v>0</v>
      </c>
      <c r="AF12" s="188">
        <f t="shared" ref="AF12:AF71" si="23">+E12+SUM(AB12:AE12)</f>
        <v>3.3239999999999998</v>
      </c>
      <c r="AG12" s="183">
        <f t="shared" si="10"/>
        <v>8</v>
      </c>
      <c r="AH12" s="182">
        <f t="shared" si="11"/>
        <v>0.24</v>
      </c>
      <c r="AI12" s="183">
        <f t="shared" si="12"/>
        <v>25</v>
      </c>
      <c r="AJ12" s="189">
        <f t="shared" si="13"/>
        <v>8.4000000000000005E-2</v>
      </c>
      <c r="AK12" s="189">
        <f>0.23+0.45</f>
        <v>0.68</v>
      </c>
      <c r="AL12" s="189">
        <f t="shared" ref="AL12:AL75" si="24">-(0.02*2)</f>
        <v>-0.04</v>
      </c>
      <c r="AM12" s="189">
        <v>0</v>
      </c>
      <c r="AN12" s="188">
        <f>+E12+SUM(AJ12:AM12)+(F12-0.02*2)</f>
        <v>3.484</v>
      </c>
      <c r="AO12" s="183">
        <v>0</v>
      </c>
      <c r="AP12" s="182">
        <f t="shared" si="14"/>
        <v>12</v>
      </c>
      <c r="AQ12" s="182">
        <v>1.5</v>
      </c>
      <c r="AR12" s="187">
        <f t="shared" ref="AR12:AR75" si="25">IF(I12=8,K12*P12*B12,0)+IF(Q12=8,S12*X12*B12,0)</f>
        <v>0</v>
      </c>
      <c r="AS12" s="187">
        <f t="shared" ref="AS12:AS75" si="26">IF(I12=10,K12*P12*B12,0)+IF(Q12=10,S12*X12*B12,0)</f>
        <v>0</v>
      </c>
      <c r="AT12" s="187">
        <f t="shared" ref="AT12:AT75" si="27">IF(I12=12,K12*P12*B12,0)+IF(Q12=12,S12*X12*B12,0)</f>
        <v>225.58319999999998</v>
      </c>
      <c r="AU12" s="187">
        <f t="shared" ref="AU12:AU75" si="28">IF(AG12=8,AI12*AN12*B12,0)+IF(Y12=8,B12*AA12*AF12,0)</f>
        <v>173.524</v>
      </c>
      <c r="AV12" s="187">
        <f t="shared" si="15"/>
        <v>0</v>
      </c>
      <c r="AW12" s="187">
        <f t="shared" ref="AW12:AW75" si="29">IF(AG12=12,AI12*AN12*B12,0)+IF(Y12=12,B12*AA12*AF12,0)</f>
        <v>0</v>
      </c>
      <c r="AX12" s="187">
        <f t="shared" ref="AX12:AX75" si="30">AP12*AQ12*B12</f>
        <v>18</v>
      </c>
      <c r="AY12" s="190"/>
      <c r="AZ12" s="191"/>
      <c r="BA12" s="192"/>
      <c r="BB12" s="191"/>
      <c r="BC12" s="191"/>
      <c r="BD12" s="199"/>
      <c r="BE12" s="200"/>
      <c r="BF12" s="193"/>
      <c r="BG12" s="194"/>
      <c r="BH12" s="195"/>
      <c r="BK12" s="197"/>
      <c r="BL12" s="197"/>
      <c r="BM12" s="197"/>
      <c r="BN12" s="197"/>
      <c r="BO12" s="197"/>
      <c r="BP12" s="197"/>
      <c r="BQ12" s="198"/>
      <c r="BS12" s="197"/>
      <c r="BT12" s="197"/>
      <c r="BU12" s="197"/>
      <c r="BV12" s="197"/>
      <c r="BW12" s="197"/>
      <c r="BX12" s="197"/>
      <c r="BY12" s="197"/>
    </row>
    <row r="13" spans="1:85" s="196" customFormat="1" ht="13.8" x14ac:dyDescent="0.3">
      <c r="A13" s="182" t="s">
        <v>190</v>
      </c>
      <c r="B13" s="183">
        <v>1</v>
      </c>
      <c r="C13" s="184" t="s">
        <v>197</v>
      </c>
      <c r="D13" s="185">
        <v>5.36</v>
      </c>
      <c r="E13" s="185">
        <v>2.87</v>
      </c>
      <c r="F13" s="186">
        <v>0.2</v>
      </c>
      <c r="G13" s="187">
        <f t="shared" si="16"/>
        <v>3.0766400000000007</v>
      </c>
      <c r="H13" s="188">
        <f t="shared" si="0"/>
        <v>15.383200000000002</v>
      </c>
      <c r="I13" s="183">
        <f t="shared" si="1"/>
        <v>12</v>
      </c>
      <c r="J13" s="188">
        <f t="shared" si="17"/>
        <v>0.2</v>
      </c>
      <c r="K13" s="183">
        <f t="shared" si="18"/>
        <v>15</v>
      </c>
      <c r="L13" s="189">
        <f t="shared" si="19"/>
        <v>8.4000000000000005E-2</v>
      </c>
      <c r="M13" s="189">
        <f t="shared" ref="M13:M20" si="31">0.45*2</f>
        <v>0.9</v>
      </c>
      <c r="N13" s="189">
        <f t="shared" si="20"/>
        <v>-0.04</v>
      </c>
      <c r="O13" s="189">
        <v>0</v>
      </c>
      <c r="P13" s="188">
        <f>+D13+SUM(L13:O13)</f>
        <v>6.3040000000000003</v>
      </c>
      <c r="Q13" s="183">
        <f t="shared" si="2"/>
        <v>12</v>
      </c>
      <c r="R13" s="188">
        <f t="shared" si="3"/>
        <v>0.2</v>
      </c>
      <c r="S13" s="183">
        <f t="shared" si="4"/>
        <v>14</v>
      </c>
      <c r="T13" s="189">
        <f t="shared" si="5"/>
        <v>8.4000000000000005E-2</v>
      </c>
      <c r="U13" s="189">
        <f t="shared" ref="U13:U20" si="32">0.45*2</f>
        <v>0.9</v>
      </c>
      <c r="V13" s="189">
        <f t="shared" si="21"/>
        <v>-0.04</v>
      </c>
      <c r="W13" s="189">
        <f>4.37*0.3</f>
        <v>1.3109999999999999</v>
      </c>
      <c r="X13" s="188">
        <f t="shared" ref="X13:X43" si="33">+D13+SUM(T13:W13)</f>
        <v>7.6150000000000002</v>
      </c>
      <c r="Y13" s="183">
        <f t="shared" si="6"/>
        <v>8</v>
      </c>
      <c r="Z13" s="182">
        <f t="shared" si="7"/>
        <v>0.24</v>
      </c>
      <c r="AA13" s="183">
        <f t="shared" si="8"/>
        <v>23</v>
      </c>
      <c r="AB13" s="189">
        <f t="shared" si="9"/>
        <v>8.4000000000000005E-2</v>
      </c>
      <c r="AC13" s="189">
        <f>0.23+0.3</f>
        <v>0.53</v>
      </c>
      <c r="AD13" s="189">
        <f t="shared" si="22"/>
        <v>-0.04</v>
      </c>
      <c r="AE13" s="189">
        <f>2.818*0.3</f>
        <v>0.84540000000000004</v>
      </c>
      <c r="AF13" s="188">
        <f>+E13+SUM(AB13:AE13)</f>
        <v>4.2894000000000005</v>
      </c>
      <c r="AG13" s="183">
        <f t="shared" si="10"/>
        <v>8</v>
      </c>
      <c r="AH13" s="182">
        <f t="shared" si="11"/>
        <v>0.24</v>
      </c>
      <c r="AI13" s="183">
        <f t="shared" si="12"/>
        <v>22</v>
      </c>
      <c r="AJ13" s="189">
        <f t="shared" si="13"/>
        <v>8.4000000000000005E-2</v>
      </c>
      <c r="AK13" s="189">
        <f>0.23+0.3</f>
        <v>0.53</v>
      </c>
      <c r="AL13" s="189">
        <f t="shared" si="24"/>
        <v>-0.04</v>
      </c>
      <c r="AM13" s="189">
        <v>0</v>
      </c>
      <c r="AN13" s="188">
        <f>+E13+SUM(AJ13:AM13)+(F13-0.02*2)</f>
        <v>3.6040000000000001</v>
      </c>
      <c r="AO13" s="183">
        <v>0</v>
      </c>
      <c r="AP13" s="182">
        <f t="shared" si="14"/>
        <v>12</v>
      </c>
      <c r="AQ13" s="182">
        <v>1.5</v>
      </c>
      <c r="AR13" s="187">
        <f t="shared" si="25"/>
        <v>0</v>
      </c>
      <c r="AS13" s="187">
        <f t="shared" si="26"/>
        <v>0</v>
      </c>
      <c r="AT13" s="187">
        <f t="shared" si="27"/>
        <v>201.17000000000002</v>
      </c>
      <c r="AU13" s="187">
        <f t="shared" si="28"/>
        <v>177.94420000000002</v>
      </c>
      <c r="AV13" s="187">
        <f t="shared" si="15"/>
        <v>0</v>
      </c>
      <c r="AW13" s="187">
        <f t="shared" si="29"/>
        <v>0</v>
      </c>
      <c r="AX13" s="187">
        <f t="shared" si="30"/>
        <v>18</v>
      </c>
      <c r="AY13" s="190"/>
      <c r="AZ13" s="191" t="s">
        <v>192</v>
      </c>
      <c r="BA13" s="192" t="s">
        <v>193</v>
      </c>
      <c r="BB13" s="201" t="s">
        <v>198</v>
      </c>
      <c r="BC13" s="201" t="s">
        <v>199</v>
      </c>
      <c r="BD13" s="201" t="s">
        <v>200</v>
      </c>
      <c r="BE13" s="202" t="s">
        <v>201</v>
      </c>
      <c r="BF13" s="193" t="s">
        <v>202</v>
      </c>
      <c r="BG13" s="193" t="s">
        <v>203</v>
      </c>
      <c r="BH13" s="195" t="s">
        <v>204</v>
      </c>
      <c r="BK13" s="197"/>
      <c r="BL13" s="197"/>
      <c r="BM13" s="197"/>
      <c r="BN13" s="197"/>
      <c r="BO13" s="197"/>
      <c r="BP13" s="197"/>
      <c r="BQ13" s="198"/>
      <c r="BS13" s="197"/>
      <c r="BT13" s="197"/>
      <c r="BU13" s="197"/>
      <c r="BV13" s="197"/>
      <c r="BY13" s="197"/>
    </row>
    <row r="14" spans="1:85" s="196" customFormat="1" x14ac:dyDescent="0.3">
      <c r="A14" s="182" t="s">
        <v>190</v>
      </c>
      <c r="B14" s="183">
        <v>1</v>
      </c>
      <c r="C14" s="184" t="s">
        <v>205</v>
      </c>
      <c r="D14" s="203">
        <v>5.3639999999999999</v>
      </c>
      <c r="E14" s="185">
        <v>2.8180000000000001</v>
      </c>
      <c r="F14" s="186">
        <v>0.2</v>
      </c>
      <c r="G14" s="187">
        <f t="shared" si="16"/>
        <v>3.0231504000000005</v>
      </c>
      <c r="H14" s="188">
        <f t="shared" si="0"/>
        <v>15.115752000000001</v>
      </c>
      <c r="I14" s="183">
        <f t="shared" si="1"/>
        <v>12</v>
      </c>
      <c r="J14" s="188">
        <f t="shared" si="17"/>
        <v>0.2</v>
      </c>
      <c r="K14" s="183">
        <f t="shared" si="18"/>
        <v>15</v>
      </c>
      <c r="L14" s="189">
        <f t="shared" si="19"/>
        <v>8.4000000000000005E-2</v>
      </c>
      <c r="M14" s="189">
        <f t="shared" si="31"/>
        <v>0.9</v>
      </c>
      <c r="N14" s="189">
        <f t="shared" si="20"/>
        <v>-0.04</v>
      </c>
      <c r="O14" s="189">
        <v>0</v>
      </c>
      <c r="P14" s="188">
        <f t="shared" ref="P14:P75" si="34">+D14+SUM(L14:O14)</f>
        <v>6.3079999999999998</v>
      </c>
      <c r="Q14" s="183">
        <f t="shared" si="2"/>
        <v>12</v>
      </c>
      <c r="R14" s="188">
        <f t="shared" si="3"/>
        <v>0.2</v>
      </c>
      <c r="S14" s="183">
        <f t="shared" si="4"/>
        <v>14</v>
      </c>
      <c r="T14" s="189">
        <f t="shared" si="5"/>
        <v>8.4000000000000005E-2</v>
      </c>
      <c r="U14" s="189">
        <f t="shared" si="32"/>
        <v>0.9</v>
      </c>
      <c r="V14" s="189">
        <f t="shared" si="21"/>
        <v>-0.04</v>
      </c>
      <c r="W14" s="189">
        <f>4.37*0.3</f>
        <v>1.3109999999999999</v>
      </c>
      <c r="X14" s="188">
        <f t="shared" si="33"/>
        <v>7.6189999999999998</v>
      </c>
      <c r="Y14" s="183">
        <f t="shared" si="6"/>
        <v>8</v>
      </c>
      <c r="Z14" s="182">
        <f t="shared" si="7"/>
        <v>0.24</v>
      </c>
      <c r="AA14" s="183">
        <f t="shared" si="8"/>
        <v>23</v>
      </c>
      <c r="AB14" s="189">
        <f t="shared" si="9"/>
        <v>8.4000000000000005E-2</v>
      </c>
      <c r="AC14" s="189">
        <f>0.3*2</f>
        <v>0.6</v>
      </c>
      <c r="AD14" s="189">
        <f t="shared" si="22"/>
        <v>-0.04</v>
      </c>
      <c r="AE14" s="189">
        <f>2.91*0.3</f>
        <v>0.873</v>
      </c>
      <c r="AF14" s="188">
        <f t="shared" si="23"/>
        <v>4.335</v>
      </c>
      <c r="AG14" s="183">
        <f t="shared" si="10"/>
        <v>8</v>
      </c>
      <c r="AH14" s="182">
        <f t="shared" si="11"/>
        <v>0.24</v>
      </c>
      <c r="AI14" s="183">
        <f t="shared" si="12"/>
        <v>22</v>
      </c>
      <c r="AJ14" s="189">
        <f t="shared" si="13"/>
        <v>8.4000000000000005E-2</v>
      </c>
      <c r="AK14" s="189">
        <f>0.3*2</f>
        <v>0.6</v>
      </c>
      <c r="AL14" s="189">
        <f t="shared" si="24"/>
        <v>-0.04</v>
      </c>
      <c r="AM14" s="189">
        <f>2.87*0.3</f>
        <v>0.86099999999999999</v>
      </c>
      <c r="AN14" s="188">
        <f>+E14+SUM(AJ14:AM14)</f>
        <v>4.3230000000000004</v>
      </c>
      <c r="AO14" s="183">
        <v>0</v>
      </c>
      <c r="AP14" s="182">
        <f t="shared" si="14"/>
        <v>12</v>
      </c>
      <c r="AQ14" s="182">
        <v>1.5</v>
      </c>
      <c r="AR14" s="187">
        <f t="shared" si="25"/>
        <v>0</v>
      </c>
      <c r="AS14" s="187">
        <f t="shared" si="26"/>
        <v>0</v>
      </c>
      <c r="AT14" s="187">
        <f t="shared" si="27"/>
        <v>201.286</v>
      </c>
      <c r="AU14" s="187">
        <f t="shared" si="28"/>
        <v>194.81100000000001</v>
      </c>
      <c r="AV14" s="187">
        <f t="shared" si="15"/>
        <v>0</v>
      </c>
      <c r="AW14" s="187">
        <f t="shared" si="29"/>
        <v>0</v>
      </c>
      <c r="AX14" s="187">
        <f t="shared" si="30"/>
        <v>18</v>
      </c>
      <c r="AY14" s="190"/>
      <c r="AZ14" s="204" t="s">
        <v>190</v>
      </c>
      <c r="BA14" s="205">
        <v>0.2</v>
      </c>
      <c r="BB14" s="197">
        <v>12</v>
      </c>
      <c r="BC14" s="206">
        <v>0.1</v>
      </c>
      <c r="BD14" s="197">
        <v>8</v>
      </c>
      <c r="BE14" s="206">
        <v>0.12</v>
      </c>
      <c r="BF14" s="206">
        <f>BA14*0.42</f>
        <v>8.4000000000000005E-2</v>
      </c>
      <c r="BG14" s="206">
        <f>BA14*0.42</f>
        <v>8.4000000000000005E-2</v>
      </c>
      <c r="BH14" s="207">
        <v>1</v>
      </c>
      <c r="BK14" s="208" t="s">
        <v>206</v>
      </c>
      <c r="BL14" s="209"/>
      <c r="BM14" s="197"/>
      <c r="BN14" s="208" t="s">
        <v>207</v>
      </c>
      <c r="BO14" s="209"/>
      <c r="BP14" s="197"/>
      <c r="BQ14" s="210" t="s">
        <v>208</v>
      </c>
      <c r="BR14" s="209"/>
      <c r="BS14" s="197"/>
      <c r="BT14" s="208" t="s">
        <v>209</v>
      </c>
      <c r="BU14" s="209"/>
      <c r="BV14" s="197"/>
      <c r="BW14" s="211" t="s">
        <v>210</v>
      </c>
      <c r="BX14" s="212"/>
      <c r="BY14" s="197"/>
      <c r="BZ14" s="208" t="s">
        <v>211</v>
      </c>
      <c r="CA14" s="209"/>
      <c r="CC14" s="208" t="s">
        <v>212</v>
      </c>
      <c r="CD14" s="209"/>
      <c r="CF14" s="211" t="s">
        <v>213</v>
      </c>
      <c r="CG14" s="212"/>
    </row>
    <row r="15" spans="1:85" s="196" customFormat="1" x14ac:dyDescent="0.3">
      <c r="A15" s="182" t="s">
        <v>190</v>
      </c>
      <c r="B15" s="183">
        <v>1</v>
      </c>
      <c r="C15" s="184" t="s">
        <v>214</v>
      </c>
      <c r="D15" s="203">
        <v>4.3677000000000001</v>
      </c>
      <c r="E15" s="185">
        <v>2.88</v>
      </c>
      <c r="F15" s="186">
        <v>0.2</v>
      </c>
      <c r="G15" s="187">
        <f t="shared" si="16"/>
        <v>2.5157951999999999</v>
      </c>
      <c r="H15" s="188">
        <f t="shared" si="0"/>
        <v>12.578975999999999</v>
      </c>
      <c r="I15" s="183">
        <f t="shared" si="1"/>
        <v>12</v>
      </c>
      <c r="J15" s="188">
        <f t="shared" si="17"/>
        <v>0.2</v>
      </c>
      <c r="K15" s="183">
        <f t="shared" si="18"/>
        <v>15</v>
      </c>
      <c r="L15" s="189">
        <f t="shared" si="19"/>
        <v>8.4000000000000005E-2</v>
      </c>
      <c r="M15" s="189">
        <f>0.45+0.52</f>
        <v>0.97</v>
      </c>
      <c r="N15" s="189">
        <f t="shared" si="20"/>
        <v>-0.04</v>
      </c>
      <c r="O15" s="189">
        <f>5.37*0.3</f>
        <v>1.611</v>
      </c>
      <c r="P15" s="188">
        <f t="shared" si="34"/>
        <v>6.9927000000000001</v>
      </c>
      <c r="Q15" s="183">
        <f t="shared" si="2"/>
        <v>12</v>
      </c>
      <c r="R15" s="188">
        <f t="shared" si="3"/>
        <v>0.2</v>
      </c>
      <c r="S15" s="183">
        <f t="shared" si="4"/>
        <v>14</v>
      </c>
      <c r="T15" s="189">
        <f t="shared" si="5"/>
        <v>8.4000000000000005E-2</v>
      </c>
      <c r="U15" s="189">
        <f>0.45+0.52</f>
        <v>0.97</v>
      </c>
      <c r="V15" s="189">
        <f t="shared" si="21"/>
        <v>-0.04</v>
      </c>
      <c r="W15" s="189">
        <f>4.11*0.3</f>
        <v>1.2330000000000001</v>
      </c>
      <c r="X15" s="188">
        <f t="shared" si="33"/>
        <v>6.6147</v>
      </c>
      <c r="Y15" s="183">
        <f t="shared" si="6"/>
        <v>8</v>
      </c>
      <c r="Z15" s="182">
        <f t="shared" si="7"/>
        <v>0.24</v>
      </c>
      <c r="AA15" s="183">
        <f t="shared" si="8"/>
        <v>19</v>
      </c>
      <c r="AB15" s="189">
        <f t="shared" si="9"/>
        <v>8.4000000000000005E-2</v>
      </c>
      <c r="AC15" s="189">
        <f>0.3*2</f>
        <v>0.6</v>
      </c>
      <c r="AD15" s="189">
        <f t="shared" si="22"/>
        <v>-0.04</v>
      </c>
      <c r="AE15" s="189">
        <f>2.78*0.3</f>
        <v>0.83399999999999996</v>
      </c>
      <c r="AF15" s="188">
        <f t="shared" si="23"/>
        <v>4.3579999999999997</v>
      </c>
      <c r="AG15" s="183">
        <f t="shared" si="10"/>
        <v>8</v>
      </c>
      <c r="AH15" s="182">
        <f t="shared" si="11"/>
        <v>0.24</v>
      </c>
      <c r="AI15" s="183">
        <f t="shared" si="12"/>
        <v>18</v>
      </c>
      <c r="AJ15" s="189">
        <f t="shared" si="13"/>
        <v>8.4000000000000005E-2</v>
      </c>
      <c r="AK15" s="189">
        <f>0.3*2</f>
        <v>0.6</v>
      </c>
      <c r="AL15" s="189">
        <f t="shared" si="24"/>
        <v>-0.04</v>
      </c>
      <c r="AM15" s="189">
        <v>0</v>
      </c>
      <c r="AN15" s="188">
        <f>+E15+SUM(AJ15:AM15)+(F15-0.02*2)</f>
        <v>3.6840000000000002</v>
      </c>
      <c r="AO15" s="183">
        <v>0</v>
      </c>
      <c r="AP15" s="182">
        <f t="shared" si="14"/>
        <v>10</v>
      </c>
      <c r="AQ15" s="182">
        <v>1.5</v>
      </c>
      <c r="AR15" s="187">
        <f t="shared" si="25"/>
        <v>0</v>
      </c>
      <c r="AS15" s="187">
        <f t="shared" si="26"/>
        <v>0</v>
      </c>
      <c r="AT15" s="187">
        <f t="shared" si="27"/>
        <v>197.49630000000002</v>
      </c>
      <c r="AU15" s="187">
        <f t="shared" si="28"/>
        <v>149.11399999999998</v>
      </c>
      <c r="AV15" s="187">
        <f t="shared" si="15"/>
        <v>0</v>
      </c>
      <c r="AW15" s="187">
        <f t="shared" si="29"/>
        <v>0</v>
      </c>
      <c r="AX15" s="187">
        <f t="shared" si="30"/>
        <v>15</v>
      </c>
      <c r="AY15" s="190"/>
      <c r="AZ15" s="204" t="s">
        <v>215</v>
      </c>
      <c r="BA15" s="205">
        <v>0.22500000000000001</v>
      </c>
      <c r="BB15" s="197">
        <v>12</v>
      </c>
      <c r="BC15" s="206">
        <v>0.09</v>
      </c>
      <c r="BD15" s="197">
        <v>10</v>
      </c>
      <c r="BE15" s="206">
        <v>0.15</v>
      </c>
      <c r="BF15" s="206">
        <f t="shared" ref="BF15:BF38" si="35">BA15*0.42</f>
        <v>9.4500000000000001E-2</v>
      </c>
      <c r="BG15" s="206">
        <f t="shared" ref="BG15:BG37" si="36">BA15*0.42</f>
        <v>9.4500000000000001E-2</v>
      </c>
      <c r="BH15" s="207">
        <v>1</v>
      </c>
      <c r="BK15" s="213" t="s">
        <v>192</v>
      </c>
      <c r="BL15" s="214" t="s">
        <v>95</v>
      </c>
      <c r="BM15" s="197"/>
      <c r="BN15" s="213" t="s">
        <v>192</v>
      </c>
      <c r="BO15" s="214" t="s">
        <v>95</v>
      </c>
      <c r="BP15" s="197"/>
      <c r="BQ15" s="215" t="s">
        <v>192</v>
      </c>
      <c r="BR15" s="214" t="s">
        <v>95</v>
      </c>
      <c r="BS15" s="197"/>
      <c r="BT15" s="213" t="s">
        <v>192</v>
      </c>
      <c r="BU15" s="214" t="s">
        <v>95</v>
      </c>
      <c r="BV15" s="197"/>
      <c r="BW15" s="216" t="s">
        <v>192</v>
      </c>
      <c r="BX15" s="217" t="s">
        <v>95</v>
      </c>
      <c r="BY15" s="197"/>
      <c r="BZ15" s="213" t="s">
        <v>192</v>
      </c>
      <c r="CA15" s="214" t="s">
        <v>95</v>
      </c>
      <c r="CC15" s="213" t="s">
        <v>192</v>
      </c>
      <c r="CD15" s="214" t="s">
        <v>95</v>
      </c>
      <c r="CF15" s="216" t="s">
        <v>192</v>
      </c>
      <c r="CG15" s="217" t="s">
        <v>95</v>
      </c>
    </row>
    <row r="16" spans="1:85" s="218" customFormat="1" x14ac:dyDescent="0.3">
      <c r="A16" s="182" t="s">
        <v>190</v>
      </c>
      <c r="B16" s="183">
        <v>1</v>
      </c>
      <c r="C16" s="184" t="s">
        <v>216</v>
      </c>
      <c r="D16" s="203">
        <v>4.3677000000000001</v>
      </c>
      <c r="E16" s="185">
        <v>2.78</v>
      </c>
      <c r="F16" s="186">
        <v>0.2</v>
      </c>
      <c r="G16" s="187">
        <f t="shared" si="16"/>
        <v>2.4284412</v>
      </c>
      <c r="H16" s="188">
        <f t="shared" si="0"/>
        <v>12.142206</v>
      </c>
      <c r="I16" s="183">
        <f t="shared" si="1"/>
        <v>12</v>
      </c>
      <c r="J16" s="188">
        <f t="shared" si="17"/>
        <v>0.2</v>
      </c>
      <c r="K16" s="183">
        <f t="shared" si="18"/>
        <v>15</v>
      </c>
      <c r="L16" s="189">
        <f t="shared" si="19"/>
        <v>8.4000000000000005E-2</v>
      </c>
      <c r="M16" s="189">
        <f>0.45+0.52</f>
        <v>0.97</v>
      </c>
      <c r="N16" s="189">
        <f t="shared" si="20"/>
        <v>-0.04</v>
      </c>
      <c r="O16" s="189">
        <f>5.37*0.3</f>
        <v>1.611</v>
      </c>
      <c r="P16" s="188">
        <f t="shared" si="34"/>
        <v>6.9927000000000001</v>
      </c>
      <c r="Q16" s="183">
        <f t="shared" si="2"/>
        <v>12</v>
      </c>
      <c r="R16" s="188">
        <f t="shared" si="3"/>
        <v>0.2</v>
      </c>
      <c r="S16" s="183">
        <f t="shared" si="4"/>
        <v>14</v>
      </c>
      <c r="T16" s="189">
        <f t="shared" si="5"/>
        <v>8.4000000000000005E-2</v>
      </c>
      <c r="U16" s="189">
        <f>0.45+0.52</f>
        <v>0.97</v>
      </c>
      <c r="V16" s="189">
        <f t="shared" si="21"/>
        <v>-0.04</v>
      </c>
      <c r="W16" s="189">
        <f>4.11*0.3</f>
        <v>1.2330000000000001</v>
      </c>
      <c r="X16" s="188">
        <f t="shared" si="33"/>
        <v>6.6147</v>
      </c>
      <c r="Y16" s="183">
        <f t="shared" si="6"/>
        <v>8</v>
      </c>
      <c r="Z16" s="182">
        <f t="shared" si="7"/>
        <v>0.24</v>
      </c>
      <c r="AA16" s="183">
        <f t="shared" si="8"/>
        <v>19</v>
      </c>
      <c r="AB16" s="189">
        <f t="shared" si="9"/>
        <v>8.4000000000000005E-2</v>
      </c>
      <c r="AC16" s="189">
        <f>0.3*2</f>
        <v>0.6</v>
      </c>
      <c r="AD16" s="189">
        <f t="shared" si="22"/>
        <v>-0.04</v>
      </c>
      <c r="AE16" s="189">
        <f>2.87*0.3</f>
        <v>0.86099999999999999</v>
      </c>
      <c r="AF16" s="188">
        <f t="shared" si="23"/>
        <v>4.2850000000000001</v>
      </c>
      <c r="AG16" s="183">
        <f t="shared" si="10"/>
        <v>8</v>
      </c>
      <c r="AH16" s="182">
        <f t="shared" si="11"/>
        <v>0.24</v>
      </c>
      <c r="AI16" s="183">
        <f t="shared" si="12"/>
        <v>18</v>
      </c>
      <c r="AJ16" s="189">
        <f t="shared" si="13"/>
        <v>8.4000000000000005E-2</v>
      </c>
      <c r="AK16" s="189">
        <f>0.3*2</f>
        <v>0.6</v>
      </c>
      <c r="AL16" s="189">
        <f t="shared" si="24"/>
        <v>-0.04</v>
      </c>
      <c r="AM16" s="189">
        <f>2.94*0.3</f>
        <v>0.88200000000000001</v>
      </c>
      <c r="AN16" s="188">
        <f t="shared" ref="AN16:AN79" si="37">+E16+SUM(AJ16:AM16)</f>
        <v>4.3059999999999992</v>
      </c>
      <c r="AO16" s="183">
        <v>0</v>
      </c>
      <c r="AP16" s="182">
        <f t="shared" si="14"/>
        <v>10</v>
      </c>
      <c r="AQ16" s="182">
        <v>1.5</v>
      </c>
      <c r="AR16" s="187">
        <f t="shared" si="25"/>
        <v>0</v>
      </c>
      <c r="AS16" s="187">
        <f t="shared" si="26"/>
        <v>0</v>
      </c>
      <c r="AT16" s="187">
        <f t="shared" si="27"/>
        <v>197.49630000000002</v>
      </c>
      <c r="AU16" s="187">
        <f t="shared" si="28"/>
        <v>158.923</v>
      </c>
      <c r="AV16" s="187">
        <f t="shared" si="15"/>
        <v>0</v>
      </c>
      <c r="AW16" s="187">
        <f t="shared" si="29"/>
        <v>0</v>
      </c>
      <c r="AX16" s="187">
        <f t="shared" si="30"/>
        <v>15</v>
      </c>
      <c r="AY16" s="190"/>
      <c r="AZ16" s="204" t="s">
        <v>217</v>
      </c>
      <c r="BA16" s="205">
        <v>0.2</v>
      </c>
      <c r="BB16" s="197">
        <v>12</v>
      </c>
      <c r="BC16" s="206">
        <v>0.1</v>
      </c>
      <c r="BD16" s="197">
        <v>10</v>
      </c>
      <c r="BE16" s="206">
        <v>0.2</v>
      </c>
      <c r="BF16" s="206">
        <f t="shared" si="35"/>
        <v>8.4000000000000005E-2</v>
      </c>
      <c r="BG16" s="206">
        <f t="shared" si="36"/>
        <v>8.4000000000000005E-2</v>
      </c>
      <c r="BH16" s="207">
        <v>1</v>
      </c>
      <c r="BK16" s="219" t="s">
        <v>218</v>
      </c>
      <c r="BL16" s="220">
        <v>0.16500000000000001</v>
      </c>
      <c r="BM16" s="197"/>
      <c r="BN16" s="219" t="s">
        <v>218</v>
      </c>
      <c r="BO16" s="220">
        <v>10</v>
      </c>
      <c r="BP16" s="197"/>
      <c r="BQ16" s="215" t="s">
        <v>218</v>
      </c>
      <c r="BR16" s="221">
        <v>0.1</v>
      </c>
      <c r="BS16" s="197"/>
      <c r="BT16" s="213" t="s">
        <v>219</v>
      </c>
      <c r="BU16" s="221">
        <v>7.3499999999999996E-2</v>
      </c>
      <c r="BV16" s="197"/>
      <c r="BW16" s="213" t="s">
        <v>218</v>
      </c>
      <c r="BX16" s="221">
        <v>10</v>
      </c>
      <c r="BY16" s="197"/>
      <c r="BZ16" s="213" t="s">
        <v>218</v>
      </c>
      <c r="CA16" s="221">
        <v>6.93E-2</v>
      </c>
      <c r="CB16" s="196"/>
      <c r="CC16" s="213" t="s">
        <v>218</v>
      </c>
      <c r="CD16" s="221">
        <v>0.1</v>
      </c>
      <c r="CE16" s="196"/>
      <c r="CF16" s="213" t="s">
        <v>218</v>
      </c>
      <c r="CG16" s="221">
        <v>1</v>
      </c>
    </row>
    <row r="17" spans="1:85" s="196" customFormat="1" x14ac:dyDescent="0.3">
      <c r="A17" s="182" t="s">
        <v>215</v>
      </c>
      <c r="B17" s="183">
        <v>1</v>
      </c>
      <c r="C17" s="184" t="s">
        <v>220</v>
      </c>
      <c r="D17" s="185">
        <v>4.1100000000000003</v>
      </c>
      <c r="E17" s="185">
        <v>5.92</v>
      </c>
      <c r="F17" s="186">
        <v>0.22500000000000001</v>
      </c>
      <c r="G17" s="187">
        <f t="shared" si="16"/>
        <v>5.4745200000000009</v>
      </c>
      <c r="H17" s="188">
        <f t="shared" si="0"/>
        <v>24.331200000000003</v>
      </c>
      <c r="I17" s="183">
        <f t="shared" si="1"/>
        <v>12</v>
      </c>
      <c r="J17" s="188">
        <f t="shared" si="17"/>
        <v>0.18</v>
      </c>
      <c r="K17" s="183">
        <f t="shared" si="18"/>
        <v>34</v>
      </c>
      <c r="L17" s="189">
        <f t="shared" si="19"/>
        <v>9.4500000000000001E-2</v>
      </c>
      <c r="M17" s="189">
        <f>0.6+0.52</f>
        <v>1.1200000000000001</v>
      </c>
      <c r="N17" s="189">
        <f t="shared" si="20"/>
        <v>-0.04</v>
      </c>
      <c r="O17" s="189">
        <f>4.37*0.3</f>
        <v>1.3109999999999999</v>
      </c>
      <c r="P17" s="188">
        <f t="shared" si="34"/>
        <v>6.5955000000000004</v>
      </c>
      <c r="Q17" s="183">
        <f t="shared" si="2"/>
        <v>12</v>
      </c>
      <c r="R17" s="188">
        <f t="shared" si="3"/>
        <v>0.18</v>
      </c>
      <c r="S17" s="183">
        <f t="shared" si="4"/>
        <v>33</v>
      </c>
      <c r="T17" s="189">
        <f t="shared" si="5"/>
        <v>9.4500000000000001E-2</v>
      </c>
      <c r="U17" s="189">
        <f>0.6+0.52</f>
        <v>1.1200000000000001</v>
      </c>
      <c r="V17" s="189">
        <f t="shared" si="21"/>
        <v>-0.04</v>
      </c>
      <c r="W17" s="189">
        <f>4.07*0.3</f>
        <v>1.2210000000000001</v>
      </c>
      <c r="X17" s="188">
        <f t="shared" si="33"/>
        <v>6.5055000000000005</v>
      </c>
      <c r="Y17" s="183">
        <f t="shared" si="6"/>
        <v>10</v>
      </c>
      <c r="Z17" s="182">
        <f t="shared" si="7"/>
        <v>0.3</v>
      </c>
      <c r="AA17" s="183">
        <f t="shared" si="8"/>
        <v>15</v>
      </c>
      <c r="AB17" s="189">
        <f t="shared" si="9"/>
        <v>9.4500000000000001E-2</v>
      </c>
      <c r="AC17" s="189">
        <f>0.23*2</f>
        <v>0.46</v>
      </c>
      <c r="AD17" s="189">
        <f t="shared" si="22"/>
        <v>-0.04</v>
      </c>
      <c r="AE17" s="189">
        <f>0.93*0.3</f>
        <v>0.27900000000000003</v>
      </c>
      <c r="AF17" s="188">
        <f t="shared" si="23"/>
        <v>6.7134999999999998</v>
      </c>
      <c r="AG17" s="183">
        <f t="shared" si="10"/>
        <v>10</v>
      </c>
      <c r="AH17" s="182">
        <f t="shared" si="11"/>
        <v>0.3</v>
      </c>
      <c r="AI17" s="183">
        <f t="shared" si="12"/>
        <v>14</v>
      </c>
      <c r="AJ17" s="189">
        <f t="shared" si="13"/>
        <v>9.4500000000000001E-2</v>
      </c>
      <c r="AK17" s="189">
        <f>0.23*2</f>
        <v>0.46</v>
      </c>
      <c r="AL17" s="189">
        <f t="shared" si="24"/>
        <v>-0.04</v>
      </c>
      <c r="AM17" s="189">
        <v>0</v>
      </c>
      <c r="AN17" s="188">
        <f>+E17+SUM(AJ17:AM17)+(F17-0.02*2)</f>
        <v>6.6194999999999995</v>
      </c>
      <c r="AO17" s="183">
        <v>0</v>
      </c>
      <c r="AP17" s="182">
        <f t="shared" si="14"/>
        <v>14</v>
      </c>
      <c r="AQ17" s="182">
        <v>1.5</v>
      </c>
      <c r="AR17" s="187">
        <f t="shared" si="25"/>
        <v>0</v>
      </c>
      <c r="AS17" s="187">
        <f t="shared" si="26"/>
        <v>0</v>
      </c>
      <c r="AT17" s="187">
        <f t="shared" si="27"/>
        <v>438.92850000000004</v>
      </c>
      <c r="AU17" s="187">
        <f t="shared" si="28"/>
        <v>0</v>
      </c>
      <c r="AV17" s="187">
        <f t="shared" si="15"/>
        <v>193.37549999999999</v>
      </c>
      <c r="AW17" s="187">
        <f t="shared" si="29"/>
        <v>0</v>
      </c>
      <c r="AX17" s="187">
        <f t="shared" si="30"/>
        <v>21</v>
      </c>
      <c r="AY17" s="190"/>
      <c r="AZ17" s="204" t="s">
        <v>221</v>
      </c>
      <c r="BA17" s="205">
        <v>0.17499999999999999</v>
      </c>
      <c r="BB17" s="197">
        <v>12</v>
      </c>
      <c r="BC17" s="206">
        <v>0.1</v>
      </c>
      <c r="BD17" s="197">
        <v>8</v>
      </c>
      <c r="BE17" s="206">
        <v>0.16</v>
      </c>
      <c r="BF17" s="206">
        <f t="shared" si="35"/>
        <v>7.3499999999999996E-2</v>
      </c>
      <c r="BG17" s="206">
        <f t="shared" si="36"/>
        <v>7.3499999999999996E-2</v>
      </c>
      <c r="BH17" s="207">
        <v>1</v>
      </c>
      <c r="BK17" s="222" t="s">
        <v>219</v>
      </c>
      <c r="BL17" s="223">
        <v>0.17499999999999999</v>
      </c>
      <c r="BM17" s="197"/>
      <c r="BN17" s="222" t="s">
        <v>219</v>
      </c>
      <c r="BO17" s="223">
        <v>10</v>
      </c>
      <c r="BP17" s="197"/>
      <c r="BQ17" s="224" t="s">
        <v>219</v>
      </c>
      <c r="BR17" s="225">
        <v>0.09</v>
      </c>
      <c r="BS17" s="197"/>
      <c r="BT17" s="226" t="s">
        <v>222</v>
      </c>
      <c r="BU17" s="225">
        <v>7.3499999999999996E-2</v>
      </c>
      <c r="BW17" s="226" t="s">
        <v>223</v>
      </c>
      <c r="BX17" s="225">
        <v>8</v>
      </c>
      <c r="BZ17" s="226" t="s">
        <v>223</v>
      </c>
      <c r="CA17" s="225">
        <v>5.4600000000000003E-2</v>
      </c>
      <c r="CC17" s="226" t="s">
        <v>219</v>
      </c>
      <c r="CD17" s="225">
        <v>0.1</v>
      </c>
      <c r="CF17" s="226" t="s">
        <v>223</v>
      </c>
      <c r="CG17" s="225">
        <v>1</v>
      </c>
    </row>
    <row r="18" spans="1:85" s="196" customFormat="1" x14ac:dyDescent="0.3">
      <c r="A18" s="182" t="s">
        <v>215</v>
      </c>
      <c r="B18" s="183">
        <v>1</v>
      </c>
      <c r="C18" s="184" t="s">
        <v>224</v>
      </c>
      <c r="D18" s="185">
        <v>4.07</v>
      </c>
      <c r="E18" s="185">
        <v>5.96</v>
      </c>
      <c r="F18" s="186">
        <v>0.22500000000000001</v>
      </c>
      <c r="G18" s="187">
        <f t="shared" si="16"/>
        <v>5.4578700000000007</v>
      </c>
      <c r="H18" s="188">
        <f t="shared" si="0"/>
        <v>24.257200000000001</v>
      </c>
      <c r="I18" s="183">
        <f t="shared" si="1"/>
        <v>12</v>
      </c>
      <c r="J18" s="188">
        <f t="shared" si="17"/>
        <v>0.18</v>
      </c>
      <c r="K18" s="183">
        <f t="shared" si="18"/>
        <v>34</v>
      </c>
      <c r="L18" s="189">
        <f t="shared" si="19"/>
        <v>9.4500000000000001E-2</v>
      </c>
      <c r="M18" s="189">
        <f>0.6+0.45</f>
        <v>1.05</v>
      </c>
      <c r="N18" s="189">
        <f t="shared" si="20"/>
        <v>-0.04</v>
      </c>
      <c r="O18" s="189">
        <f>4.11*0.3</f>
        <v>1.2330000000000001</v>
      </c>
      <c r="P18" s="188">
        <f t="shared" si="34"/>
        <v>6.4075000000000006</v>
      </c>
      <c r="Q18" s="183">
        <f t="shared" si="2"/>
        <v>12</v>
      </c>
      <c r="R18" s="188">
        <f t="shared" si="3"/>
        <v>0.18</v>
      </c>
      <c r="S18" s="183">
        <f t="shared" si="4"/>
        <v>33</v>
      </c>
      <c r="T18" s="189">
        <f t="shared" si="5"/>
        <v>9.4500000000000001E-2</v>
      </c>
      <c r="U18" s="189">
        <f>0.6+0.45</f>
        <v>1.05</v>
      </c>
      <c r="V18" s="189">
        <f t="shared" si="21"/>
        <v>-0.04</v>
      </c>
      <c r="W18" s="189">
        <f>5.14*0.3</f>
        <v>1.5419999999999998</v>
      </c>
      <c r="X18" s="188">
        <f t="shared" si="33"/>
        <v>6.7164999999999999</v>
      </c>
      <c r="Y18" s="183">
        <f t="shared" si="6"/>
        <v>10</v>
      </c>
      <c r="Z18" s="182">
        <f t="shared" si="7"/>
        <v>0.3</v>
      </c>
      <c r="AA18" s="183">
        <f t="shared" si="8"/>
        <v>15</v>
      </c>
      <c r="AB18" s="189">
        <f t="shared" si="9"/>
        <v>9.4500000000000001E-2</v>
      </c>
      <c r="AC18" s="189">
        <f>0.23+0.3</f>
        <v>0.53</v>
      </c>
      <c r="AD18" s="189">
        <f t="shared" si="22"/>
        <v>-0.04</v>
      </c>
      <c r="AE18" s="189">
        <f>2.94*0.3</f>
        <v>0.88200000000000001</v>
      </c>
      <c r="AF18" s="188">
        <f t="shared" si="23"/>
        <v>7.4264999999999999</v>
      </c>
      <c r="AG18" s="183">
        <f t="shared" si="10"/>
        <v>10</v>
      </c>
      <c r="AH18" s="182">
        <f t="shared" si="11"/>
        <v>0.3</v>
      </c>
      <c r="AI18" s="183">
        <f t="shared" si="12"/>
        <v>14</v>
      </c>
      <c r="AJ18" s="189">
        <f t="shared" si="13"/>
        <v>9.4500000000000001E-2</v>
      </c>
      <c r="AK18" s="189">
        <f>0.23+0.3</f>
        <v>0.53</v>
      </c>
      <c r="AL18" s="189">
        <f t="shared" si="24"/>
        <v>-0.04</v>
      </c>
      <c r="AM18" s="189">
        <v>0</v>
      </c>
      <c r="AN18" s="188">
        <f>+E18+SUM(AJ18:AM18)+(F18-0.02*2)</f>
        <v>6.7294999999999998</v>
      </c>
      <c r="AO18" s="183">
        <v>0</v>
      </c>
      <c r="AP18" s="182">
        <f t="shared" si="14"/>
        <v>14</v>
      </c>
      <c r="AQ18" s="182">
        <v>1.5</v>
      </c>
      <c r="AR18" s="187">
        <f t="shared" si="25"/>
        <v>0</v>
      </c>
      <c r="AS18" s="187">
        <f t="shared" si="26"/>
        <v>0</v>
      </c>
      <c r="AT18" s="187">
        <f t="shared" si="27"/>
        <v>439.49950000000001</v>
      </c>
      <c r="AU18" s="187">
        <f t="shared" si="28"/>
        <v>0</v>
      </c>
      <c r="AV18" s="187">
        <f t="shared" si="15"/>
        <v>205.6105</v>
      </c>
      <c r="AW18" s="187">
        <f t="shared" si="29"/>
        <v>0</v>
      </c>
      <c r="AX18" s="187">
        <f t="shared" si="30"/>
        <v>21</v>
      </c>
      <c r="AY18" s="190"/>
      <c r="AZ18" s="227" t="s">
        <v>218</v>
      </c>
      <c r="BA18" s="205">
        <v>0.16500000000000001</v>
      </c>
      <c r="BB18" s="197">
        <v>10</v>
      </c>
      <c r="BC18" s="206">
        <v>0.1</v>
      </c>
      <c r="BD18" s="197">
        <v>10</v>
      </c>
      <c r="BE18" s="206">
        <v>0.1</v>
      </c>
      <c r="BF18" s="206">
        <f t="shared" si="35"/>
        <v>6.93E-2</v>
      </c>
      <c r="BG18" s="206">
        <f t="shared" si="36"/>
        <v>6.93E-2</v>
      </c>
      <c r="BH18" s="207">
        <v>1</v>
      </c>
      <c r="BK18" s="222" t="s">
        <v>222</v>
      </c>
      <c r="BL18" s="223">
        <v>0.17499999999999999</v>
      </c>
      <c r="BM18" s="197"/>
      <c r="BN18" s="222" t="s">
        <v>222</v>
      </c>
      <c r="BO18" s="223">
        <v>10</v>
      </c>
      <c r="BP18" s="197"/>
      <c r="BQ18" s="224" t="s">
        <v>222</v>
      </c>
      <c r="BR18" s="225">
        <v>0.09</v>
      </c>
      <c r="BS18" s="197"/>
      <c r="BT18" s="226" t="s">
        <v>225</v>
      </c>
      <c r="BU18" s="225">
        <v>7.3499999999999996E-2</v>
      </c>
      <c r="BW18" s="226" t="s">
        <v>226</v>
      </c>
      <c r="BX18" s="225">
        <v>8</v>
      </c>
      <c r="BZ18" s="226" t="s">
        <v>227</v>
      </c>
      <c r="CA18" s="225">
        <v>5.2499999999999998E-2</v>
      </c>
      <c r="CC18" s="226" t="s">
        <v>222</v>
      </c>
      <c r="CD18" s="225">
        <v>0.1</v>
      </c>
      <c r="CF18" s="226" t="s">
        <v>226</v>
      </c>
      <c r="CG18" s="225">
        <v>1</v>
      </c>
    </row>
    <row r="19" spans="1:85" s="196" customFormat="1" x14ac:dyDescent="0.3">
      <c r="A19" s="182" t="s">
        <v>190</v>
      </c>
      <c r="B19" s="183">
        <v>1</v>
      </c>
      <c r="C19" s="184" t="s">
        <v>228</v>
      </c>
      <c r="D19" s="185">
        <v>5.14</v>
      </c>
      <c r="E19" s="185">
        <v>2.88</v>
      </c>
      <c r="F19" s="186">
        <v>0.2</v>
      </c>
      <c r="G19" s="187">
        <f t="shared" si="16"/>
        <v>2.9606399999999997</v>
      </c>
      <c r="H19" s="188">
        <f t="shared" si="0"/>
        <v>14.803199999999999</v>
      </c>
      <c r="I19" s="183">
        <f t="shared" si="1"/>
        <v>12</v>
      </c>
      <c r="J19" s="188">
        <f t="shared" si="17"/>
        <v>0.2</v>
      </c>
      <c r="K19" s="183">
        <f t="shared" si="18"/>
        <v>15</v>
      </c>
      <c r="L19" s="189">
        <f t="shared" si="19"/>
        <v>8.4000000000000005E-2</v>
      </c>
      <c r="M19" s="189">
        <f t="shared" si="31"/>
        <v>0.9</v>
      </c>
      <c r="N19" s="189">
        <f t="shared" si="20"/>
        <v>-0.04</v>
      </c>
      <c r="O19" s="189">
        <f>4.07*0.3</f>
        <v>1.2210000000000001</v>
      </c>
      <c r="P19" s="188">
        <f t="shared" si="34"/>
        <v>7.3049999999999997</v>
      </c>
      <c r="Q19" s="183">
        <f t="shared" si="2"/>
        <v>12</v>
      </c>
      <c r="R19" s="188">
        <f t="shared" si="3"/>
        <v>0.2</v>
      </c>
      <c r="S19" s="183">
        <f t="shared" si="4"/>
        <v>14</v>
      </c>
      <c r="T19" s="189">
        <f t="shared" si="5"/>
        <v>8.4000000000000005E-2</v>
      </c>
      <c r="U19" s="189">
        <f t="shared" si="32"/>
        <v>0.9</v>
      </c>
      <c r="V19" s="189">
        <f t="shared" si="21"/>
        <v>-0.04</v>
      </c>
      <c r="W19" s="189">
        <f>4.54*0.3</f>
        <v>1.3619999999999999</v>
      </c>
      <c r="X19" s="188">
        <f t="shared" si="33"/>
        <v>7.4459999999999997</v>
      </c>
      <c r="Y19" s="183">
        <f t="shared" si="6"/>
        <v>8</v>
      </c>
      <c r="Z19" s="182">
        <f t="shared" si="7"/>
        <v>0.24</v>
      </c>
      <c r="AA19" s="183">
        <f t="shared" si="8"/>
        <v>22</v>
      </c>
      <c r="AB19" s="189">
        <f t="shared" si="9"/>
        <v>8.4000000000000005E-2</v>
      </c>
      <c r="AC19" s="189">
        <f>0.23+0.3</f>
        <v>0.53</v>
      </c>
      <c r="AD19" s="189">
        <f t="shared" si="22"/>
        <v>-0.04</v>
      </c>
      <c r="AE19" s="189">
        <f>2.78*0.3</f>
        <v>0.83399999999999996</v>
      </c>
      <c r="AF19" s="188">
        <f t="shared" si="23"/>
        <v>4.2880000000000003</v>
      </c>
      <c r="AG19" s="183">
        <f t="shared" si="10"/>
        <v>8</v>
      </c>
      <c r="AH19" s="182">
        <f t="shared" si="11"/>
        <v>0.24</v>
      </c>
      <c r="AI19" s="183">
        <f t="shared" si="12"/>
        <v>21</v>
      </c>
      <c r="AJ19" s="189">
        <f t="shared" si="13"/>
        <v>8.4000000000000005E-2</v>
      </c>
      <c r="AK19" s="189">
        <f>0.23+0.3</f>
        <v>0.53</v>
      </c>
      <c r="AL19" s="189">
        <f t="shared" si="24"/>
        <v>-0.04</v>
      </c>
      <c r="AM19" s="189">
        <v>0</v>
      </c>
      <c r="AN19" s="188">
        <f>+E19+SUM(AJ19:AM19)+(F19-0.02*2)</f>
        <v>3.6139999999999999</v>
      </c>
      <c r="AO19" s="183">
        <v>0</v>
      </c>
      <c r="AP19" s="182">
        <f t="shared" si="14"/>
        <v>10</v>
      </c>
      <c r="AQ19" s="182">
        <v>1.5</v>
      </c>
      <c r="AR19" s="187">
        <f t="shared" si="25"/>
        <v>0</v>
      </c>
      <c r="AS19" s="187">
        <f t="shared" si="26"/>
        <v>0</v>
      </c>
      <c r="AT19" s="187">
        <f t="shared" si="27"/>
        <v>213.81899999999999</v>
      </c>
      <c r="AU19" s="187">
        <f t="shared" si="28"/>
        <v>170.23000000000002</v>
      </c>
      <c r="AV19" s="187">
        <f t="shared" si="15"/>
        <v>0</v>
      </c>
      <c r="AW19" s="187">
        <f t="shared" si="29"/>
        <v>0</v>
      </c>
      <c r="AX19" s="187">
        <f t="shared" si="30"/>
        <v>15</v>
      </c>
      <c r="AY19" s="190"/>
      <c r="AZ19" s="227" t="s">
        <v>219</v>
      </c>
      <c r="BA19" s="205">
        <v>0.17499999999999999</v>
      </c>
      <c r="BB19" s="197">
        <v>10</v>
      </c>
      <c r="BC19" s="206">
        <v>0.09</v>
      </c>
      <c r="BD19" s="197">
        <v>10</v>
      </c>
      <c r="BE19" s="206">
        <v>0.1</v>
      </c>
      <c r="BF19" s="206">
        <f t="shared" si="35"/>
        <v>7.3499999999999996E-2</v>
      </c>
      <c r="BG19" s="206">
        <f t="shared" si="36"/>
        <v>7.3499999999999996E-2</v>
      </c>
      <c r="BH19" s="207">
        <v>1</v>
      </c>
      <c r="BK19" s="222" t="s">
        <v>225</v>
      </c>
      <c r="BL19" s="223">
        <v>0.17499999999999999</v>
      </c>
      <c r="BM19" s="197"/>
      <c r="BN19" s="222" t="s">
        <v>225</v>
      </c>
      <c r="BO19" s="223">
        <v>10</v>
      </c>
      <c r="BP19" s="197"/>
      <c r="BQ19" s="224" t="s">
        <v>225</v>
      </c>
      <c r="BR19" s="225">
        <v>0.09</v>
      </c>
      <c r="BS19" s="197"/>
      <c r="BT19" s="226" t="s">
        <v>229</v>
      </c>
      <c r="BU19" s="225">
        <v>5.4600000000000003E-2</v>
      </c>
      <c r="BW19" s="226" t="s">
        <v>227</v>
      </c>
      <c r="BX19" s="225">
        <v>8</v>
      </c>
      <c r="BZ19" s="226" t="s">
        <v>230</v>
      </c>
      <c r="CA19" s="225">
        <v>6.93E-2</v>
      </c>
      <c r="CC19" s="226" t="s">
        <v>225</v>
      </c>
      <c r="CD19" s="225">
        <v>0.1</v>
      </c>
      <c r="CF19" s="226" t="s">
        <v>227</v>
      </c>
      <c r="CG19" s="225">
        <v>1</v>
      </c>
    </row>
    <row r="20" spans="1:85" s="196" customFormat="1" x14ac:dyDescent="0.3">
      <c r="A20" s="182" t="s">
        <v>190</v>
      </c>
      <c r="B20" s="183">
        <v>1</v>
      </c>
      <c r="C20" s="184" t="s">
        <v>231</v>
      </c>
      <c r="D20" s="185">
        <v>5.14</v>
      </c>
      <c r="E20" s="185">
        <v>2.78</v>
      </c>
      <c r="F20" s="186">
        <v>0.2</v>
      </c>
      <c r="G20" s="187">
        <f t="shared" si="16"/>
        <v>2.8578399999999995</v>
      </c>
      <c r="H20" s="188">
        <f t="shared" si="0"/>
        <v>14.289199999999997</v>
      </c>
      <c r="I20" s="183">
        <f t="shared" si="1"/>
        <v>12</v>
      </c>
      <c r="J20" s="188">
        <f t="shared" si="17"/>
        <v>0.2</v>
      </c>
      <c r="K20" s="183">
        <f t="shared" si="18"/>
        <v>15</v>
      </c>
      <c r="L20" s="189">
        <f t="shared" si="19"/>
        <v>8.4000000000000005E-2</v>
      </c>
      <c r="M20" s="189">
        <f t="shared" si="31"/>
        <v>0.9</v>
      </c>
      <c r="N20" s="189">
        <f t="shared" si="20"/>
        <v>-0.04</v>
      </c>
      <c r="O20" s="189">
        <f>4.07*0.3</f>
        <v>1.2210000000000001</v>
      </c>
      <c r="P20" s="188">
        <f>+D20+SUM(L20:O20)</f>
        <v>7.3049999999999997</v>
      </c>
      <c r="Q20" s="183">
        <f t="shared" si="2"/>
        <v>12</v>
      </c>
      <c r="R20" s="188">
        <f t="shared" si="3"/>
        <v>0.2</v>
      </c>
      <c r="S20" s="183">
        <f t="shared" si="4"/>
        <v>14</v>
      </c>
      <c r="T20" s="189">
        <f t="shared" si="5"/>
        <v>8.4000000000000005E-2</v>
      </c>
      <c r="U20" s="189">
        <f t="shared" si="32"/>
        <v>0.9</v>
      </c>
      <c r="V20" s="189">
        <f t="shared" si="21"/>
        <v>-0.04</v>
      </c>
      <c r="W20" s="189">
        <f>4.54*0.3</f>
        <v>1.3619999999999999</v>
      </c>
      <c r="X20" s="188">
        <f t="shared" si="33"/>
        <v>7.4459999999999997</v>
      </c>
      <c r="Y20" s="183">
        <f t="shared" si="6"/>
        <v>8</v>
      </c>
      <c r="Z20" s="182">
        <f t="shared" si="7"/>
        <v>0.24</v>
      </c>
      <c r="AA20" s="183">
        <f t="shared" si="8"/>
        <v>22</v>
      </c>
      <c r="AB20" s="189">
        <f t="shared" si="9"/>
        <v>8.4000000000000005E-2</v>
      </c>
      <c r="AC20" s="189">
        <f>0.3*2</f>
        <v>0.6</v>
      </c>
      <c r="AD20" s="189">
        <f t="shared" si="22"/>
        <v>-0.04</v>
      </c>
      <c r="AE20" s="189">
        <f>5.64*0.3</f>
        <v>1.6919999999999999</v>
      </c>
      <c r="AF20" s="188">
        <f t="shared" si="23"/>
        <v>5.1159999999999997</v>
      </c>
      <c r="AG20" s="183">
        <f t="shared" si="10"/>
        <v>8</v>
      </c>
      <c r="AH20" s="182">
        <f t="shared" si="11"/>
        <v>0.24</v>
      </c>
      <c r="AI20" s="183">
        <f t="shared" si="12"/>
        <v>21</v>
      </c>
      <c r="AJ20" s="189">
        <f t="shared" si="13"/>
        <v>8.4000000000000005E-2</v>
      </c>
      <c r="AK20" s="189">
        <f>0.3*2</f>
        <v>0.6</v>
      </c>
      <c r="AL20" s="189">
        <f t="shared" si="24"/>
        <v>-0.04</v>
      </c>
      <c r="AM20" s="189">
        <f>2.88*0.3</f>
        <v>0.86399999999999999</v>
      </c>
      <c r="AN20" s="188">
        <f>+E20+SUM(AJ20:AM20)</f>
        <v>4.2880000000000003</v>
      </c>
      <c r="AO20" s="183">
        <v>0</v>
      </c>
      <c r="AP20" s="182">
        <f t="shared" si="14"/>
        <v>10</v>
      </c>
      <c r="AQ20" s="182">
        <v>1.5</v>
      </c>
      <c r="AR20" s="187">
        <f t="shared" si="25"/>
        <v>0</v>
      </c>
      <c r="AS20" s="187">
        <f t="shared" si="26"/>
        <v>0</v>
      </c>
      <c r="AT20" s="187">
        <f t="shared" si="27"/>
        <v>213.81899999999999</v>
      </c>
      <c r="AU20" s="187">
        <f t="shared" si="28"/>
        <v>202.6</v>
      </c>
      <c r="AV20" s="187">
        <f t="shared" si="15"/>
        <v>0</v>
      </c>
      <c r="AW20" s="187">
        <f t="shared" si="29"/>
        <v>0</v>
      </c>
      <c r="AX20" s="187">
        <f t="shared" si="30"/>
        <v>15</v>
      </c>
      <c r="AY20" s="190"/>
      <c r="AZ20" s="227" t="s">
        <v>222</v>
      </c>
      <c r="BA20" s="205">
        <v>0.17499999999999999</v>
      </c>
      <c r="BB20" s="197">
        <v>10</v>
      </c>
      <c r="BC20" s="206">
        <v>0.09</v>
      </c>
      <c r="BD20" s="197">
        <v>10</v>
      </c>
      <c r="BE20" s="206">
        <v>0.1</v>
      </c>
      <c r="BF20" s="206">
        <f t="shared" si="35"/>
        <v>7.3499999999999996E-2</v>
      </c>
      <c r="BG20" s="206">
        <f t="shared" si="36"/>
        <v>7.3499999999999996E-2</v>
      </c>
      <c r="BH20" s="207">
        <v>1</v>
      </c>
      <c r="BK20" s="222" t="s">
        <v>229</v>
      </c>
      <c r="BL20" s="223">
        <v>0.13</v>
      </c>
      <c r="BM20" s="197"/>
      <c r="BN20" s="222" t="s">
        <v>229</v>
      </c>
      <c r="BO20" s="223">
        <v>8</v>
      </c>
      <c r="BP20" s="197"/>
      <c r="BQ20" s="224" t="s">
        <v>229</v>
      </c>
      <c r="BR20" s="225">
        <v>8.5000000000000006E-2</v>
      </c>
      <c r="BS20" s="197"/>
      <c r="BT20" s="226" t="s">
        <v>232</v>
      </c>
      <c r="BU20" s="225">
        <v>5.4600000000000003E-2</v>
      </c>
      <c r="BW20" s="226" t="s">
        <v>233</v>
      </c>
      <c r="BX20" s="225">
        <v>10</v>
      </c>
      <c r="BZ20" s="226" t="s">
        <v>234</v>
      </c>
      <c r="CA20" s="225"/>
      <c r="CC20" s="226" t="s">
        <v>229</v>
      </c>
      <c r="CD20" s="225">
        <v>0.12</v>
      </c>
      <c r="CF20" s="226" t="s">
        <v>233</v>
      </c>
      <c r="CG20" s="225">
        <v>1</v>
      </c>
    </row>
    <row r="21" spans="1:85" s="196" customFormat="1" x14ac:dyDescent="0.3">
      <c r="A21" s="182" t="s">
        <v>190</v>
      </c>
      <c r="B21" s="183">
        <v>2</v>
      </c>
      <c r="C21" s="184" t="s">
        <v>235</v>
      </c>
      <c r="D21" s="185">
        <v>4.54</v>
      </c>
      <c r="E21" s="185">
        <v>2.88</v>
      </c>
      <c r="F21" s="186">
        <v>0.2</v>
      </c>
      <c r="G21" s="187">
        <f t="shared" si="16"/>
        <v>5.2300800000000001</v>
      </c>
      <c r="H21" s="188">
        <f t="shared" si="0"/>
        <v>26.150399999999998</v>
      </c>
      <c r="I21" s="183">
        <f t="shared" si="1"/>
        <v>12</v>
      </c>
      <c r="J21" s="188">
        <f t="shared" si="17"/>
        <v>0.2</v>
      </c>
      <c r="K21" s="183">
        <f t="shared" si="18"/>
        <v>15</v>
      </c>
      <c r="L21" s="189">
        <f t="shared" si="19"/>
        <v>8.4000000000000005E-2</v>
      </c>
      <c r="M21" s="189">
        <f>0.45+0.6</f>
        <v>1.05</v>
      </c>
      <c r="N21" s="189">
        <f t="shared" si="20"/>
        <v>-0.04</v>
      </c>
      <c r="O21" s="189">
        <f>5.14*0.3</f>
        <v>1.5419999999999998</v>
      </c>
      <c r="P21" s="188">
        <f t="shared" si="34"/>
        <v>7.1760000000000002</v>
      </c>
      <c r="Q21" s="183">
        <f t="shared" si="2"/>
        <v>12</v>
      </c>
      <c r="R21" s="188">
        <f t="shared" si="3"/>
        <v>0.2</v>
      </c>
      <c r="S21" s="183">
        <f t="shared" si="4"/>
        <v>14</v>
      </c>
      <c r="T21" s="189">
        <f t="shared" si="5"/>
        <v>8.4000000000000005E-2</v>
      </c>
      <c r="U21" s="189">
        <f>0.45+0.6</f>
        <v>1.05</v>
      </c>
      <c r="V21" s="189">
        <f t="shared" si="21"/>
        <v>-0.04</v>
      </c>
      <c r="W21" s="189">
        <f>4.54*0.3</f>
        <v>1.3619999999999999</v>
      </c>
      <c r="X21" s="188">
        <f t="shared" si="33"/>
        <v>6.9960000000000004</v>
      </c>
      <c r="Y21" s="183">
        <f t="shared" si="6"/>
        <v>8</v>
      </c>
      <c r="Z21" s="182">
        <f t="shared" si="7"/>
        <v>0.24</v>
      </c>
      <c r="AA21" s="183">
        <f t="shared" si="8"/>
        <v>20</v>
      </c>
      <c r="AB21" s="189">
        <f t="shared" si="9"/>
        <v>8.4000000000000005E-2</v>
      </c>
      <c r="AC21" s="189">
        <f>0.23+0.3</f>
        <v>0.53</v>
      </c>
      <c r="AD21" s="189">
        <f t="shared" si="22"/>
        <v>-0.04</v>
      </c>
      <c r="AE21" s="189">
        <f>0.3*2.78</f>
        <v>0.83399999999999996</v>
      </c>
      <c r="AF21" s="188">
        <f t="shared" si="23"/>
        <v>4.2880000000000003</v>
      </c>
      <c r="AG21" s="183">
        <f t="shared" si="10"/>
        <v>8</v>
      </c>
      <c r="AH21" s="182">
        <f t="shared" si="11"/>
        <v>0.24</v>
      </c>
      <c r="AI21" s="183">
        <f t="shared" si="12"/>
        <v>19</v>
      </c>
      <c r="AJ21" s="189">
        <f t="shared" si="13"/>
        <v>8.4000000000000005E-2</v>
      </c>
      <c r="AK21" s="189">
        <f>0.23+0.3</f>
        <v>0.53</v>
      </c>
      <c r="AL21" s="189">
        <f t="shared" si="24"/>
        <v>-0.04</v>
      </c>
      <c r="AM21" s="189">
        <v>0</v>
      </c>
      <c r="AN21" s="188">
        <f>+E21+SUM(AJ21:AM21)+(F21-0.02*2)</f>
        <v>3.6139999999999999</v>
      </c>
      <c r="AO21" s="183">
        <v>0</v>
      </c>
      <c r="AP21" s="182">
        <f t="shared" si="14"/>
        <v>10</v>
      </c>
      <c r="AQ21" s="182">
        <v>1.5</v>
      </c>
      <c r="AR21" s="187">
        <f t="shared" si="25"/>
        <v>0</v>
      </c>
      <c r="AS21" s="187">
        <f t="shared" si="26"/>
        <v>0</v>
      </c>
      <c r="AT21" s="187">
        <f t="shared" si="27"/>
        <v>411.16800000000001</v>
      </c>
      <c r="AU21" s="187">
        <f t="shared" si="28"/>
        <v>308.85199999999998</v>
      </c>
      <c r="AV21" s="187">
        <f t="shared" si="15"/>
        <v>0</v>
      </c>
      <c r="AW21" s="187">
        <f t="shared" si="29"/>
        <v>0</v>
      </c>
      <c r="AX21" s="187">
        <f t="shared" si="30"/>
        <v>30</v>
      </c>
      <c r="AY21" s="190"/>
      <c r="AZ21" s="227" t="s">
        <v>225</v>
      </c>
      <c r="BA21" s="205">
        <v>0.17499999999999999</v>
      </c>
      <c r="BB21" s="197">
        <v>10</v>
      </c>
      <c r="BC21" s="206">
        <v>0.09</v>
      </c>
      <c r="BD21" s="197">
        <v>10</v>
      </c>
      <c r="BE21" s="206">
        <v>0.1</v>
      </c>
      <c r="BF21" s="206">
        <f t="shared" si="35"/>
        <v>7.3499999999999996E-2</v>
      </c>
      <c r="BG21" s="206">
        <f t="shared" si="36"/>
        <v>7.3499999999999996E-2</v>
      </c>
      <c r="BH21" s="207">
        <v>1</v>
      </c>
      <c r="BK21" s="222" t="s">
        <v>232</v>
      </c>
      <c r="BL21" s="223">
        <v>0.13</v>
      </c>
      <c r="BM21" s="197"/>
      <c r="BN21" s="222" t="s">
        <v>232</v>
      </c>
      <c r="BO21" s="223">
        <v>8</v>
      </c>
      <c r="BP21" s="197"/>
      <c r="BQ21" s="224" t="s">
        <v>232</v>
      </c>
      <c r="BR21" s="225">
        <v>0.1</v>
      </c>
      <c r="BS21" s="197"/>
      <c r="BT21" s="226" t="s">
        <v>218</v>
      </c>
      <c r="BU21" s="225">
        <v>6.93E-2</v>
      </c>
      <c r="BW21" s="226" t="s">
        <v>230</v>
      </c>
      <c r="BX21" s="225">
        <v>8</v>
      </c>
      <c r="BZ21" s="226" t="s">
        <v>236</v>
      </c>
      <c r="CA21" s="225">
        <v>6.93E-2</v>
      </c>
      <c r="CC21" s="226" t="s">
        <v>232</v>
      </c>
      <c r="CD21" s="225">
        <v>0.12</v>
      </c>
      <c r="CF21" s="226" t="s">
        <v>230</v>
      </c>
      <c r="CG21" s="225">
        <v>1</v>
      </c>
    </row>
    <row r="22" spans="1:85" s="196" customFormat="1" x14ac:dyDescent="0.3">
      <c r="A22" s="182" t="s">
        <v>190</v>
      </c>
      <c r="B22" s="183">
        <v>2</v>
      </c>
      <c r="C22" s="184" t="s">
        <v>237</v>
      </c>
      <c r="D22" s="185">
        <v>4.54</v>
      </c>
      <c r="E22" s="185">
        <v>2.78</v>
      </c>
      <c r="F22" s="186">
        <v>0.2</v>
      </c>
      <c r="G22" s="187">
        <f t="shared" si="16"/>
        <v>5.0484800000000005</v>
      </c>
      <c r="H22" s="188">
        <f t="shared" si="0"/>
        <v>25.2424</v>
      </c>
      <c r="I22" s="183">
        <f t="shared" si="1"/>
        <v>12</v>
      </c>
      <c r="J22" s="188">
        <f t="shared" si="17"/>
        <v>0.2</v>
      </c>
      <c r="K22" s="183">
        <f t="shared" si="18"/>
        <v>15</v>
      </c>
      <c r="L22" s="189">
        <f t="shared" si="19"/>
        <v>8.4000000000000005E-2</v>
      </c>
      <c r="M22" s="189">
        <f>0.45+0.6</f>
        <v>1.05</v>
      </c>
      <c r="N22" s="189">
        <f t="shared" si="20"/>
        <v>-0.04</v>
      </c>
      <c r="O22" s="189">
        <f>5.14*0.3</f>
        <v>1.5419999999999998</v>
      </c>
      <c r="P22" s="188">
        <f t="shared" si="34"/>
        <v>7.1760000000000002</v>
      </c>
      <c r="Q22" s="183">
        <f t="shared" si="2"/>
        <v>12</v>
      </c>
      <c r="R22" s="188">
        <f t="shared" si="3"/>
        <v>0.2</v>
      </c>
      <c r="S22" s="183">
        <f t="shared" si="4"/>
        <v>14</v>
      </c>
      <c r="T22" s="189">
        <f t="shared" si="5"/>
        <v>8.4000000000000005E-2</v>
      </c>
      <c r="U22" s="189">
        <f>0.45+0.6</f>
        <v>1.05</v>
      </c>
      <c r="V22" s="189">
        <f t="shared" si="21"/>
        <v>-0.04</v>
      </c>
      <c r="W22" s="189">
        <f>4.54*0.3</f>
        <v>1.3619999999999999</v>
      </c>
      <c r="X22" s="188">
        <f t="shared" si="33"/>
        <v>6.9960000000000004</v>
      </c>
      <c r="Y22" s="183">
        <f t="shared" si="6"/>
        <v>8</v>
      </c>
      <c r="Z22" s="182">
        <f t="shared" si="7"/>
        <v>0.24</v>
      </c>
      <c r="AA22" s="183">
        <f t="shared" si="8"/>
        <v>20</v>
      </c>
      <c r="AB22" s="189">
        <f t="shared" si="9"/>
        <v>8.4000000000000005E-2</v>
      </c>
      <c r="AC22" s="189">
        <f>0.3*2</f>
        <v>0.6</v>
      </c>
      <c r="AD22" s="189">
        <f t="shared" si="22"/>
        <v>-0.04</v>
      </c>
      <c r="AE22" s="189">
        <f>2.88*0.3</f>
        <v>0.86399999999999999</v>
      </c>
      <c r="AF22" s="188">
        <f t="shared" si="23"/>
        <v>4.2880000000000003</v>
      </c>
      <c r="AG22" s="183">
        <f t="shared" si="10"/>
        <v>8</v>
      </c>
      <c r="AH22" s="182">
        <f t="shared" si="11"/>
        <v>0.24</v>
      </c>
      <c r="AI22" s="183">
        <f t="shared" si="12"/>
        <v>19</v>
      </c>
      <c r="AJ22" s="189">
        <f t="shared" si="13"/>
        <v>8.4000000000000005E-2</v>
      </c>
      <c r="AK22" s="189">
        <f>0.3*2</f>
        <v>0.6</v>
      </c>
      <c r="AL22" s="189">
        <f t="shared" si="24"/>
        <v>-0.04</v>
      </c>
      <c r="AM22" s="189">
        <f>5.62*0.3</f>
        <v>1.6859999999999999</v>
      </c>
      <c r="AN22" s="188">
        <f t="shared" si="37"/>
        <v>5.1099999999999994</v>
      </c>
      <c r="AO22" s="183">
        <v>0</v>
      </c>
      <c r="AP22" s="182">
        <f t="shared" si="14"/>
        <v>10</v>
      </c>
      <c r="AQ22" s="182">
        <v>1.5</v>
      </c>
      <c r="AR22" s="187">
        <f t="shared" si="25"/>
        <v>0</v>
      </c>
      <c r="AS22" s="187">
        <f t="shared" si="26"/>
        <v>0</v>
      </c>
      <c r="AT22" s="187">
        <f t="shared" si="27"/>
        <v>411.16800000000001</v>
      </c>
      <c r="AU22" s="187">
        <f t="shared" si="28"/>
        <v>365.7</v>
      </c>
      <c r="AV22" s="187">
        <f t="shared" si="15"/>
        <v>0</v>
      </c>
      <c r="AW22" s="187">
        <f t="shared" si="29"/>
        <v>0</v>
      </c>
      <c r="AX22" s="187">
        <f t="shared" si="30"/>
        <v>30</v>
      </c>
      <c r="AY22" s="190"/>
      <c r="AZ22" s="227" t="s">
        <v>229</v>
      </c>
      <c r="BA22" s="205">
        <v>0.13</v>
      </c>
      <c r="BB22" s="197">
        <v>8</v>
      </c>
      <c r="BC22" s="206">
        <v>8.5000000000000006E-2</v>
      </c>
      <c r="BD22" s="197">
        <v>8</v>
      </c>
      <c r="BE22" s="206">
        <v>0.12</v>
      </c>
      <c r="BF22" s="206">
        <f t="shared" si="35"/>
        <v>5.4600000000000003E-2</v>
      </c>
      <c r="BG22" s="206">
        <f t="shared" si="36"/>
        <v>5.4600000000000003E-2</v>
      </c>
      <c r="BH22" s="207">
        <v>1</v>
      </c>
      <c r="BK22" s="222" t="s">
        <v>238</v>
      </c>
      <c r="BL22" s="223"/>
      <c r="BM22" s="197"/>
      <c r="BN22" s="222" t="s">
        <v>238</v>
      </c>
      <c r="BO22" s="223"/>
      <c r="BP22" s="197"/>
      <c r="BQ22" s="226" t="s">
        <v>238</v>
      </c>
      <c r="BR22" s="225"/>
      <c r="BS22" s="197"/>
      <c r="BT22" s="226" t="s">
        <v>239</v>
      </c>
      <c r="BU22" s="225">
        <v>5.2499999999999998E-2</v>
      </c>
      <c r="BW22" s="226" t="s">
        <v>219</v>
      </c>
      <c r="BX22" s="225">
        <v>10</v>
      </c>
      <c r="BZ22" s="226" t="s">
        <v>240</v>
      </c>
      <c r="CA22" s="225">
        <v>6.7199999999999996E-2</v>
      </c>
      <c r="CC22" s="226" t="s">
        <v>238</v>
      </c>
      <c r="CD22" s="225"/>
      <c r="CF22" s="226" t="s">
        <v>234</v>
      </c>
      <c r="CG22" s="225">
        <v>1</v>
      </c>
    </row>
    <row r="23" spans="1:85" s="196" customFormat="1" x14ac:dyDescent="0.3">
      <c r="A23" s="182" t="s">
        <v>190</v>
      </c>
      <c r="B23" s="183">
        <v>1</v>
      </c>
      <c r="C23" s="184" t="s">
        <v>241</v>
      </c>
      <c r="D23" s="185">
        <v>4.1900000000000004</v>
      </c>
      <c r="E23" s="185">
        <v>2.73</v>
      </c>
      <c r="F23" s="186">
        <v>0.2</v>
      </c>
      <c r="G23" s="187">
        <f>D23*E23*F23*B23</f>
        <v>2.2877400000000003</v>
      </c>
      <c r="H23" s="188">
        <f>D23*E23*B23</f>
        <v>11.438700000000001</v>
      </c>
      <c r="I23" s="183">
        <f t="shared" si="1"/>
        <v>12</v>
      </c>
      <c r="J23" s="188">
        <f t="shared" si="17"/>
        <v>0.2</v>
      </c>
      <c r="K23" s="183">
        <f t="shared" si="18"/>
        <v>15</v>
      </c>
      <c r="L23" s="189">
        <f t="shared" si="19"/>
        <v>8.4000000000000005E-2</v>
      </c>
      <c r="M23" s="189">
        <f>0.6+0.73</f>
        <v>1.33</v>
      </c>
      <c r="N23" s="189">
        <f t="shared" si="20"/>
        <v>-0.04</v>
      </c>
      <c r="O23" s="189">
        <f>4.54*0.3</f>
        <v>1.3619999999999999</v>
      </c>
      <c r="P23" s="188">
        <f t="shared" si="34"/>
        <v>6.9260000000000002</v>
      </c>
      <c r="Q23" s="183">
        <f t="shared" si="2"/>
        <v>12</v>
      </c>
      <c r="R23" s="188">
        <f t="shared" si="3"/>
        <v>0.2</v>
      </c>
      <c r="S23" s="183">
        <f t="shared" si="4"/>
        <v>14</v>
      </c>
      <c r="T23" s="189">
        <f t="shared" si="5"/>
        <v>8.4000000000000005E-2</v>
      </c>
      <c r="U23" s="189">
        <f>0.6+0.73</f>
        <v>1.33</v>
      </c>
      <c r="V23" s="189">
        <f t="shared" si="21"/>
        <v>-0.04</v>
      </c>
      <c r="W23" s="189">
        <f>3.09*0.3</f>
        <v>0.92699999999999994</v>
      </c>
      <c r="X23" s="188">
        <f t="shared" si="33"/>
        <v>6.4910000000000005</v>
      </c>
      <c r="Y23" s="183">
        <f t="shared" si="6"/>
        <v>8</v>
      </c>
      <c r="Z23" s="182">
        <f t="shared" si="7"/>
        <v>0.24</v>
      </c>
      <c r="AA23" s="183">
        <f t="shared" si="8"/>
        <v>18</v>
      </c>
      <c r="AB23" s="189">
        <f t="shared" si="9"/>
        <v>8.4000000000000005E-2</v>
      </c>
      <c r="AC23" s="189">
        <f>0.3+0.38</f>
        <v>0.67999999999999994</v>
      </c>
      <c r="AD23" s="189">
        <f t="shared" si="22"/>
        <v>-0.04</v>
      </c>
      <c r="AE23" s="189"/>
      <c r="AF23" s="188">
        <f t="shared" si="23"/>
        <v>3.4539999999999997</v>
      </c>
      <c r="AG23" s="183">
        <f t="shared" si="10"/>
        <v>8</v>
      </c>
      <c r="AH23" s="182">
        <f t="shared" si="11"/>
        <v>0.24</v>
      </c>
      <c r="AI23" s="183">
        <f t="shared" si="12"/>
        <v>17</v>
      </c>
      <c r="AJ23" s="189">
        <f t="shared" si="13"/>
        <v>8.4000000000000005E-2</v>
      </c>
      <c r="AK23" s="189">
        <f>0.3+0.38</f>
        <v>0.67999999999999994</v>
      </c>
      <c r="AL23" s="189">
        <f t="shared" si="24"/>
        <v>-0.04</v>
      </c>
      <c r="AM23" s="189">
        <v>0</v>
      </c>
      <c r="AN23" s="188">
        <f>+E23+SUM(AJ23:AM23)+(F23-2*0.02)</f>
        <v>3.6139999999999999</v>
      </c>
      <c r="AO23" s="183">
        <v>0</v>
      </c>
      <c r="AP23" s="182">
        <f t="shared" si="14"/>
        <v>10</v>
      </c>
      <c r="AQ23" s="182">
        <v>1.5</v>
      </c>
      <c r="AR23" s="187">
        <f>IF(I23=8,K23*P23*B23,0)+IF(Q23=8,S23*X23*B23,0)</f>
        <v>0</v>
      </c>
      <c r="AS23" s="187">
        <f>IF(I23=10,K23*P23*B23,0)+IF(Q23=10,S23*X23*B23,0)</f>
        <v>0</v>
      </c>
      <c r="AT23" s="187">
        <f>IF(I23=12,K23*P23*B23,0)+IF(Q23=12,S23*X23*B23,0)</f>
        <v>194.76400000000001</v>
      </c>
      <c r="AU23" s="187">
        <f>IF(AG23=8,AI23*AN23*B23,0)+IF(Y23=8,B23*AA23*AF23,0)</f>
        <v>123.60999999999999</v>
      </c>
      <c r="AV23" s="187">
        <f>IF(AG23=10,AI23*AN23*B23,0)+IF(Y23=10,B23*AA23*AF23,0)</f>
        <v>0</v>
      </c>
      <c r="AW23" s="187">
        <f t="shared" si="29"/>
        <v>0</v>
      </c>
      <c r="AX23" s="187">
        <f t="shared" si="30"/>
        <v>15</v>
      </c>
      <c r="AY23" s="190"/>
      <c r="AZ23" s="227" t="s">
        <v>232</v>
      </c>
      <c r="BA23" s="205">
        <v>0.13</v>
      </c>
      <c r="BB23" s="197">
        <v>8</v>
      </c>
      <c r="BC23" s="206">
        <v>0.1</v>
      </c>
      <c r="BD23" s="197">
        <v>8</v>
      </c>
      <c r="BE23" s="206">
        <v>0.12</v>
      </c>
      <c r="BF23" s="206">
        <f t="shared" si="35"/>
        <v>5.4600000000000003E-2</v>
      </c>
      <c r="BG23" s="206">
        <f t="shared" si="36"/>
        <v>5.4600000000000003E-2</v>
      </c>
      <c r="BH23" s="207">
        <v>1</v>
      </c>
      <c r="BI23" s="197"/>
      <c r="BK23" s="222" t="s">
        <v>239</v>
      </c>
      <c r="BL23" s="223">
        <v>0.125</v>
      </c>
      <c r="BM23" s="197"/>
      <c r="BN23" s="222" t="s">
        <v>239</v>
      </c>
      <c r="BO23" s="223">
        <v>8</v>
      </c>
      <c r="BP23" s="197"/>
      <c r="BQ23" s="226" t="s">
        <v>239</v>
      </c>
      <c r="BR23" s="225">
        <v>0.115</v>
      </c>
      <c r="BS23" s="197"/>
      <c r="BT23" s="226" t="s">
        <v>242</v>
      </c>
      <c r="BU23" s="225">
        <v>5.8800000000000005E-2</v>
      </c>
      <c r="BW23" s="226" t="s">
        <v>222</v>
      </c>
      <c r="BX23" s="225">
        <v>10</v>
      </c>
      <c r="BZ23" s="226" t="s">
        <v>219</v>
      </c>
      <c r="CA23" s="225">
        <v>7.3499999999999996E-2</v>
      </c>
      <c r="CC23" s="226" t="s">
        <v>239</v>
      </c>
      <c r="CD23" s="225">
        <v>0.15</v>
      </c>
      <c r="CF23" s="226" t="s">
        <v>243</v>
      </c>
      <c r="CG23" s="225">
        <v>1</v>
      </c>
    </row>
    <row r="24" spans="1:85" s="196" customFormat="1" x14ac:dyDescent="0.3">
      <c r="A24" s="182" t="s">
        <v>190</v>
      </c>
      <c r="B24" s="183">
        <v>1</v>
      </c>
      <c r="C24" s="184" t="s">
        <v>244</v>
      </c>
      <c r="D24" s="185">
        <v>4.1950000000000003</v>
      </c>
      <c r="E24" s="185">
        <v>2.6337000000000002</v>
      </c>
      <c r="F24" s="186">
        <v>0.2</v>
      </c>
      <c r="G24" s="187">
        <f t="shared" si="16"/>
        <v>2.2096743000000005</v>
      </c>
      <c r="H24" s="188">
        <f t="shared" si="0"/>
        <v>11.048371500000002</v>
      </c>
      <c r="I24" s="183">
        <f t="shared" si="1"/>
        <v>12</v>
      </c>
      <c r="J24" s="188">
        <f t="shared" si="17"/>
        <v>0.2</v>
      </c>
      <c r="K24" s="183">
        <f t="shared" si="18"/>
        <v>14</v>
      </c>
      <c r="L24" s="189">
        <f t="shared" si="19"/>
        <v>8.4000000000000005E-2</v>
      </c>
      <c r="M24" s="189">
        <f>0.6+0.73</f>
        <v>1.33</v>
      </c>
      <c r="N24" s="189">
        <f t="shared" si="20"/>
        <v>-0.04</v>
      </c>
      <c r="O24" s="189">
        <f>4.54*0.3</f>
        <v>1.3619999999999999</v>
      </c>
      <c r="P24" s="188">
        <f t="shared" si="34"/>
        <v>6.931</v>
      </c>
      <c r="Q24" s="183">
        <f t="shared" si="2"/>
        <v>12</v>
      </c>
      <c r="R24" s="188">
        <f t="shared" si="3"/>
        <v>0.2</v>
      </c>
      <c r="S24" s="183">
        <f t="shared" si="4"/>
        <v>13</v>
      </c>
      <c r="T24" s="189">
        <f t="shared" si="5"/>
        <v>8.4000000000000005E-2</v>
      </c>
      <c r="U24" s="189">
        <f>0.6+0.73</f>
        <v>1.33</v>
      </c>
      <c r="V24" s="189">
        <f t="shared" si="21"/>
        <v>-0.04</v>
      </c>
      <c r="W24" s="189">
        <f>3.09*0.3</f>
        <v>0.92699999999999994</v>
      </c>
      <c r="X24" s="188">
        <f t="shared" si="33"/>
        <v>6.4960000000000004</v>
      </c>
      <c r="Y24" s="183">
        <f t="shared" si="6"/>
        <v>8</v>
      </c>
      <c r="Z24" s="182">
        <f t="shared" si="7"/>
        <v>0.24</v>
      </c>
      <c r="AA24" s="183">
        <f t="shared" si="8"/>
        <v>18</v>
      </c>
      <c r="AB24" s="189">
        <f t="shared" si="9"/>
        <v>8.4000000000000005E-2</v>
      </c>
      <c r="AC24" s="189">
        <f>0.3+0.6</f>
        <v>0.89999999999999991</v>
      </c>
      <c r="AD24" s="189">
        <f t="shared" si="22"/>
        <v>-0.04</v>
      </c>
      <c r="AE24" s="189">
        <f>2.73*0.3</f>
        <v>0.81899999999999995</v>
      </c>
      <c r="AF24" s="188">
        <f t="shared" si="23"/>
        <v>4.3967000000000001</v>
      </c>
      <c r="AG24" s="183">
        <f t="shared" si="10"/>
        <v>8</v>
      </c>
      <c r="AH24" s="182">
        <f t="shared" si="11"/>
        <v>0.24</v>
      </c>
      <c r="AI24" s="183">
        <f t="shared" si="12"/>
        <v>17</v>
      </c>
      <c r="AJ24" s="189">
        <f t="shared" si="13"/>
        <v>8.4000000000000005E-2</v>
      </c>
      <c r="AK24" s="189">
        <f>0.3+0.6</f>
        <v>0.89999999999999991</v>
      </c>
      <c r="AL24" s="189">
        <f t="shared" si="24"/>
        <v>-0.04</v>
      </c>
      <c r="AM24" s="189">
        <f>2.75*0.3</f>
        <v>0.82499999999999996</v>
      </c>
      <c r="AN24" s="188">
        <f t="shared" si="37"/>
        <v>4.4026999999999994</v>
      </c>
      <c r="AO24" s="183">
        <v>0</v>
      </c>
      <c r="AP24" s="182">
        <f t="shared" si="14"/>
        <v>10</v>
      </c>
      <c r="AQ24" s="182">
        <v>1.5</v>
      </c>
      <c r="AR24" s="187">
        <f t="shared" si="25"/>
        <v>0</v>
      </c>
      <c r="AS24" s="187">
        <f t="shared" si="26"/>
        <v>0</v>
      </c>
      <c r="AT24" s="187">
        <f t="shared" si="27"/>
        <v>181.48200000000003</v>
      </c>
      <c r="AU24" s="187">
        <f t="shared" si="28"/>
        <v>153.98649999999998</v>
      </c>
      <c r="AV24" s="187">
        <f t="shared" si="15"/>
        <v>0</v>
      </c>
      <c r="AW24" s="187">
        <f t="shared" si="29"/>
        <v>0</v>
      </c>
      <c r="AX24" s="187">
        <f t="shared" si="30"/>
        <v>15</v>
      </c>
      <c r="AY24" s="190"/>
      <c r="AZ24" s="227" t="s">
        <v>239</v>
      </c>
      <c r="BA24" s="205">
        <v>0.125</v>
      </c>
      <c r="BB24" s="197">
        <v>8</v>
      </c>
      <c r="BC24" s="206">
        <v>0.115</v>
      </c>
      <c r="BD24" s="197">
        <v>8</v>
      </c>
      <c r="BE24" s="206">
        <v>0.15</v>
      </c>
      <c r="BF24" s="206">
        <f t="shared" si="35"/>
        <v>5.2499999999999998E-2</v>
      </c>
      <c r="BG24" s="206">
        <f t="shared" si="36"/>
        <v>5.2499999999999998E-2</v>
      </c>
      <c r="BH24" s="207">
        <v>1</v>
      </c>
      <c r="BI24" s="197"/>
      <c r="BK24" s="222" t="s">
        <v>242</v>
      </c>
      <c r="BL24" s="223">
        <v>0.14000000000000001</v>
      </c>
      <c r="BM24" s="197"/>
      <c r="BN24" s="222" t="s">
        <v>242</v>
      </c>
      <c r="BO24" s="223">
        <v>10</v>
      </c>
      <c r="BQ24" s="226" t="s">
        <v>242</v>
      </c>
      <c r="BR24" s="225">
        <v>0.1</v>
      </c>
      <c r="BS24" s="197"/>
      <c r="BT24" s="226" t="s">
        <v>245</v>
      </c>
      <c r="BU24" s="225">
        <v>5.8800000000000005E-2</v>
      </c>
      <c r="BW24" s="226" t="s">
        <v>225</v>
      </c>
      <c r="BX24" s="225">
        <v>10</v>
      </c>
      <c r="BZ24" s="226" t="s">
        <v>222</v>
      </c>
      <c r="CA24" s="225">
        <v>7.3499999999999996E-2</v>
      </c>
      <c r="CC24" s="226" t="s">
        <v>242</v>
      </c>
      <c r="CD24" s="225">
        <v>0.15</v>
      </c>
      <c r="CF24" s="226" t="s">
        <v>219</v>
      </c>
      <c r="CG24" s="225">
        <v>1</v>
      </c>
    </row>
    <row r="25" spans="1:85" s="196" customFormat="1" x14ac:dyDescent="0.3">
      <c r="A25" s="182" t="s">
        <v>190</v>
      </c>
      <c r="B25" s="183">
        <v>1</v>
      </c>
      <c r="C25" s="184" t="s">
        <v>246</v>
      </c>
      <c r="D25" s="185">
        <v>3.09</v>
      </c>
      <c r="E25" s="185">
        <v>5.66</v>
      </c>
      <c r="F25" s="186">
        <v>0.2</v>
      </c>
      <c r="G25" s="187">
        <f t="shared" si="16"/>
        <v>3.4978800000000003</v>
      </c>
      <c r="H25" s="188">
        <f t="shared" si="0"/>
        <v>17.4894</v>
      </c>
      <c r="I25" s="183">
        <f t="shared" si="1"/>
        <v>12</v>
      </c>
      <c r="J25" s="188">
        <f t="shared" si="17"/>
        <v>0.2</v>
      </c>
      <c r="K25" s="183">
        <f t="shared" si="18"/>
        <v>29</v>
      </c>
      <c r="L25" s="189">
        <f t="shared" si="19"/>
        <v>8.4000000000000005E-2</v>
      </c>
      <c r="M25" s="189">
        <f>0.74+0.54</f>
        <v>1.28</v>
      </c>
      <c r="N25" s="189">
        <f t="shared" si="20"/>
        <v>-0.04</v>
      </c>
      <c r="O25" s="189">
        <f>4.195*0.3</f>
        <v>1.2585</v>
      </c>
      <c r="P25" s="188">
        <f t="shared" si="34"/>
        <v>5.6724999999999994</v>
      </c>
      <c r="Q25" s="183">
        <f t="shared" si="2"/>
        <v>12</v>
      </c>
      <c r="R25" s="188">
        <f t="shared" si="3"/>
        <v>0.2</v>
      </c>
      <c r="S25" s="183">
        <f t="shared" si="4"/>
        <v>28</v>
      </c>
      <c r="T25" s="189">
        <f t="shared" si="5"/>
        <v>8.4000000000000005E-2</v>
      </c>
      <c r="U25" s="189">
        <f>0.74+0.54</f>
        <v>1.28</v>
      </c>
      <c r="V25" s="189">
        <f t="shared" si="21"/>
        <v>-0.04</v>
      </c>
      <c r="W25" s="189">
        <f>4.296*0.3</f>
        <v>1.2887999999999999</v>
      </c>
      <c r="X25" s="188">
        <f t="shared" si="33"/>
        <v>5.7027999999999999</v>
      </c>
      <c r="Y25" s="183">
        <f t="shared" si="6"/>
        <v>8</v>
      </c>
      <c r="Z25" s="182">
        <f t="shared" si="7"/>
        <v>0.24</v>
      </c>
      <c r="AA25" s="183">
        <f t="shared" si="8"/>
        <v>14</v>
      </c>
      <c r="AB25" s="189">
        <f t="shared" si="9"/>
        <v>8.4000000000000005E-2</v>
      </c>
      <c r="AC25" s="189">
        <f>0.6+0.38</f>
        <v>0.98</v>
      </c>
      <c r="AD25" s="189">
        <f t="shared" si="22"/>
        <v>-0.04</v>
      </c>
      <c r="AE25" s="189">
        <f>5.47*0.3</f>
        <v>1.6409999999999998</v>
      </c>
      <c r="AF25" s="188">
        <f t="shared" si="23"/>
        <v>8.3249999999999993</v>
      </c>
      <c r="AG25" s="183">
        <f t="shared" si="10"/>
        <v>8</v>
      </c>
      <c r="AH25" s="182">
        <f t="shared" si="11"/>
        <v>0.24</v>
      </c>
      <c r="AI25" s="183">
        <f t="shared" si="12"/>
        <v>13</v>
      </c>
      <c r="AJ25" s="189">
        <f t="shared" si="13"/>
        <v>8.4000000000000005E-2</v>
      </c>
      <c r="AK25" s="189">
        <f>0.6+0.38</f>
        <v>0.98</v>
      </c>
      <c r="AL25" s="189">
        <f t="shared" si="24"/>
        <v>-0.04</v>
      </c>
      <c r="AM25" s="189">
        <v>0</v>
      </c>
      <c r="AN25" s="188">
        <f>+E25+SUM(AJ25:AM25)+(F25-2*0.02)</f>
        <v>6.8440000000000003</v>
      </c>
      <c r="AO25" s="183">
        <v>0</v>
      </c>
      <c r="AP25" s="182">
        <f t="shared" si="14"/>
        <v>12</v>
      </c>
      <c r="AQ25" s="182">
        <v>1.5</v>
      </c>
      <c r="AR25" s="187">
        <f t="shared" si="25"/>
        <v>0</v>
      </c>
      <c r="AS25" s="187">
        <f t="shared" si="26"/>
        <v>0</v>
      </c>
      <c r="AT25" s="187">
        <f t="shared" si="27"/>
        <v>324.18090000000001</v>
      </c>
      <c r="AU25" s="187">
        <f t="shared" si="28"/>
        <v>205.52199999999999</v>
      </c>
      <c r="AV25" s="187">
        <f t="shared" si="15"/>
        <v>0</v>
      </c>
      <c r="AW25" s="187">
        <f t="shared" si="29"/>
        <v>0</v>
      </c>
      <c r="AX25" s="187">
        <f t="shared" si="30"/>
        <v>18</v>
      </c>
      <c r="AY25" s="190"/>
      <c r="AZ25" s="227" t="s">
        <v>242</v>
      </c>
      <c r="BA25" s="205">
        <v>0.14000000000000001</v>
      </c>
      <c r="BB25" s="197">
        <v>10</v>
      </c>
      <c r="BC25" s="206">
        <v>0.1</v>
      </c>
      <c r="BD25" s="197">
        <v>8</v>
      </c>
      <c r="BE25" s="206">
        <v>0.15</v>
      </c>
      <c r="BF25" s="206">
        <f t="shared" si="35"/>
        <v>5.8800000000000005E-2</v>
      </c>
      <c r="BG25" s="206">
        <f t="shared" si="36"/>
        <v>5.8800000000000005E-2</v>
      </c>
      <c r="BH25" s="207">
        <v>1</v>
      </c>
      <c r="BI25" s="197"/>
      <c r="BK25" s="222" t="s">
        <v>245</v>
      </c>
      <c r="BL25" s="223">
        <v>0.14000000000000001</v>
      </c>
      <c r="BM25" s="197"/>
      <c r="BN25" s="222" t="s">
        <v>245</v>
      </c>
      <c r="BO25" s="223">
        <v>10</v>
      </c>
      <c r="BQ25" s="226" t="s">
        <v>245</v>
      </c>
      <c r="BR25" s="225">
        <v>0.1</v>
      </c>
      <c r="BS25" s="197"/>
      <c r="BT25" s="226" t="s">
        <v>223</v>
      </c>
      <c r="BU25" s="225">
        <v>5.4600000000000003E-2</v>
      </c>
      <c r="BW25" s="226" t="s">
        <v>229</v>
      </c>
      <c r="BX25" s="225">
        <v>8</v>
      </c>
      <c r="BZ25" s="226" t="s">
        <v>225</v>
      </c>
      <c r="CA25" s="225">
        <v>7.3499999999999996E-2</v>
      </c>
      <c r="CC25" s="226" t="s">
        <v>245</v>
      </c>
      <c r="CD25" s="225">
        <v>0.12</v>
      </c>
      <c r="CF25" s="226" t="s">
        <v>222</v>
      </c>
      <c r="CG25" s="225">
        <v>1</v>
      </c>
    </row>
    <row r="26" spans="1:85" s="196" customFormat="1" x14ac:dyDescent="0.3">
      <c r="A26" s="182" t="s">
        <v>217</v>
      </c>
      <c r="B26" s="183">
        <v>1</v>
      </c>
      <c r="C26" s="184" t="s">
        <v>247</v>
      </c>
      <c r="D26" s="185">
        <f>(0.98+2.78+4.3+0)/4</f>
        <v>2.0149999999999997</v>
      </c>
      <c r="E26" s="185">
        <f>(5.65+3.53+1.82+0)/4</f>
        <v>2.75</v>
      </c>
      <c r="F26" s="186">
        <v>0.2</v>
      </c>
      <c r="G26" s="187">
        <f t="shared" si="16"/>
        <v>1.1082499999999997</v>
      </c>
      <c r="H26" s="188">
        <f t="shared" si="0"/>
        <v>5.5412499999999989</v>
      </c>
      <c r="I26" s="183">
        <f t="shared" si="1"/>
        <v>12</v>
      </c>
      <c r="J26" s="188">
        <f t="shared" si="17"/>
        <v>0.2</v>
      </c>
      <c r="K26" s="183">
        <f t="shared" si="18"/>
        <v>15</v>
      </c>
      <c r="L26" s="189">
        <f t="shared" si="19"/>
        <v>8.4000000000000005E-2</v>
      </c>
      <c r="M26" s="189">
        <f t="shared" ref="M26:M84" si="38">0.3*2</f>
        <v>0.6</v>
      </c>
      <c r="N26" s="189">
        <f t="shared" si="20"/>
        <v>-0.04</v>
      </c>
      <c r="O26" s="189">
        <f>0.55+0.23</f>
        <v>0.78</v>
      </c>
      <c r="P26" s="188">
        <f t="shared" si="34"/>
        <v>3.4389999999999996</v>
      </c>
      <c r="Q26" s="183">
        <f t="shared" si="2"/>
        <v>12</v>
      </c>
      <c r="R26" s="188">
        <f t="shared" si="3"/>
        <v>0.2</v>
      </c>
      <c r="S26" s="183">
        <f t="shared" si="4"/>
        <v>14</v>
      </c>
      <c r="T26" s="189">
        <f t="shared" si="5"/>
        <v>8.4000000000000005E-2</v>
      </c>
      <c r="U26" s="189">
        <f t="shared" ref="U26:U84" si="39">0.3*2</f>
        <v>0.6</v>
      </c>
      <c r="V26" s="189">
        <f t="shared" si="21"/>
        <v>-0.04</v>
      </c>
      <c r="W26" s="189">
        <f>3.09*0.3</f>
        <v>0.92699999999999994</v>
      </c>
      <c r="X26" s="188">
        <f t="shared" si="33"/>
        <v>3.5859999999999994</v>
      </c>
      <c r="Y26" s="183">
        <f t="shared" si="6"/>
        <v>10</v>
      </c>
      <c r="Z26" s="182">
        <f t="shared" si="7"/>
        <v>0.4</v>
      </c>
      <c r="AA26" s="183">
        <f t="shared" si="8"/>
        <v>6</v>
      </c>
      <c r="AB26" s="189">
        <f t="shared" si="9"/>
        <v>8.4000000000000005E-2</v>
      </c>
      <c r="AC26" s="189">
        <f>0.6+0.23</f>
        <v>0.83</v>
      </c>
      <c r="AD26" s="189">
        <f t="shared" si="22"/>
        <v>-0.04</v>
      </c>
      <c r="AE26" s="189">
        <f>5.47*0.3</f>
        <v>1.6409999999999998</v>
      </c>
      <c r="AF26" s="188">
        <f t="shared" si="23"/>
        <v>5.2649999999999997</v>
      </c>
      <c r="AG26" s="183">
        <f t="shared" si="10"/>
        <v>10</v>
      </c>
      <c r="AH26" s="182">
        <f t="shared" si="11"/>
        <v>0.4</v>
      </c>
      <c r="AI26" s="183">
        <f t="shared" si="12"/>
        <v>5</v>
      </c>
      <c r="AJ26" s="189">
        <f t="shared" si="13"/>
        <v>8.4000000000000005E-2</v>
      </c>
      <c r="AK26" s="189">
        <f>0.6+0.23</f>
        <v>0.83</v>
      </c>
      <c r="AL26" s="189">
        <f t="shared" si="24"/>
        <v>-0.04</v>
      </c>
      <c r="AM26" s="189">
        <v>0</v>
      </c>
      <c r="AN26" s="188">
        <f>+E26+SUM(AJ26:AM26)+(F26-2*0.02)</f>
        <v>3.7839999999999998</v>
      </c>
      <c r="AO26" s="183">
        <v>0</v>
      </c>
      <c r="AP26" s="182">
        <f t="shared" si="14"/>
        <v>6</v>
      </c>
      <c r="AQ26" s="182">
        <v>1.5</v>
      </c>
      <c r="AR26" s="187">
        <f t="shared" si="25"/>
        <v>0</v>
      </c>
      <c r="AS26" s="187">
        <f t="shared" si="26"/>
        <v>0</v>
      </c>
      <c r="AT26" s="187">
        <f t="shared" si="27"/>
        <v>101.78899999999999</v>
      </c>
      <c r="AU26" s="187">
        <f t="shared" si="28"/>
        <v>0</v>
      </c>
      <c r="AV26" s="187">
        <f t="shared" si="15"/>
        <v>50.509999999999991</v>
      </c>
      <c r="AW26" s="187">
        <f t="shared" si="29"/>
        <v>0</v>
      </c>
      <c r="AX26" s="187">
        <f t="shared" si="30"/>
        <v>9</v>
      </c>
      <c r="AY26" s="190"/>
      <c r="AZ26" s="227" t="s">
        <v>245</v>
      </c>
      <c r="BA26" s="205">
        <v>0.14000000000000001</v>
      </c>
      <c r="BB26" s="197">
        <v>10</v>
      </c>
      <c r="BC26" s="206">
        <v>0.1</v>
      </c>
      <c r="BD26" s="197">
        <v>10</v>
      </c>
      <c r="BE26" s="197">
        <v>0.12</v>
      </c>
      <c r="BF26" s="206">
        <f t="shared" si="35"/>
        <v>5.8800000000000005E-2</v>
      </c>
      <c r="BG26" s="206">
        <f t="shared" si="36"/>
        <v>5.8800000000000005E-2</v>
      </c>
      <c r="BH26" s="207">
        <v>1</v>
      </c>
      <c r="BI26" s="197"/>
      <c r="BK26" s="222" t="s">
        <v>223</v>
      </c>
      <c r="BL26" s="223">
        <v>0.13</v>
      </c>
      <c r="BM26" s="197"/>
      <c r="BN26" s="222" t="s">
        <v>223</v>
      </c>
      <c r="BO26" s="223">
        <v>8</v>
      </c>
      <c r="BQ26" s="226" t="s">
        <v>223</v>
      </c>
      <c r="BR26" s="225">
        <v>0.1</v>
      </c>
      <c r="BS26" s="197"/>
      <c r="BT26" s="226" t="s">
        <v>226</v>
      </c>
      <c r="BU26" s="225">
        <v>4.8300000000000003E-2</v>
      </c>
      <c r="BW26" s="226" t="s">
        <v>232</v>
      </c>
      <c r="BX26" s="225">
        <v>8</v>
      </c>
      <c r="BZ26" s="226" t="s">
        <v>229</v>
      </c>
      <c r="CA26" s="225">
        <v>5.4600000000000003E-2</v>
      </c>
      <c r="CC26" s="226" t="s">
        <v>223</v>
      </c>
      <c r="CD26" s="225">
        <v>0.18</v>
      </c>
      <c r="CF26" s="226" t="s">
        <v>225</v>
      </c>
      <c r="CG26" s="225">
        <v>1</v>
      </c>
    </row>
    <row r="27" spans="1:85" s="196" customFormat="1" x14ac:dyDescent="0.3">
      <c r="A27" s="182" t="s">
        <v>190</v>
      </c>
      <c r="B27" s="183">
        <v>1</v>
      </c>
      <c r="C27" s="184" t="s">
        <v>248</v>
      </c>
      <c r="D27" s="185">
        <v>4.3449999999999998</v>
      </c>
      <c r="E27" s="185">
        <v>2.75</v>
      </c>
      <c r="F27" s="186">
        <v>0.2</v>
      </c>
      <c r="G27" s="187">
        <f t="shared" si="16"/>
        <v>2.3897499999999998</v>
      </c>
      <c r="H27" s="188">
        <f t="shared" si="0"/>
        <v>11.948749999999999</v>
      </c>
      <c r="I27" s="183">
        <f t="shared" si="1"/>
        <v>12</v>
      </c>
      <c r="J27" s="188">
        <f t="shared" si="17"/>
        <v>0.2</v>
      </c>
      <c r="K27" s="183">
        <f t="shared" si="18"/>
        <v>15</v>
      </c>
      <c r="L27" s="189">
        <f t="shared" si="19"/>
        <v>8.4000000000000005E-2</v>
      </c>
      <c r="M27" s="189">
        <f>0.3+0.74</f>
        <v>1.04</v>
      </c>
      <c r="N27" s="189">
        <f t="shared" si="20"/>
        <v>-0.04</v>
      </c>
      <c r="O27" s="189">
        <f>2.12*0.3</f>
        <v>0.63600000000000001</v>
      </c>
      <c r="P27" s="188">
        <f t="shared" si="34"/>
        <v>6.0649999999999995</v>
      </c>
      <c r="Q27" s="183">
        <f t="shared" si="2"/>
        <v>12</v>
      </c>
      <c r="R27" s="188">
        <f t="shared" si="3"/>
        <v>0.2</v>
      </c>
      <c r="S27" s="183">
        <f t="shared" si="4"/>
        <v>14</v>
      </c>
      <c r="T27" s="189">
        <f t="shared" si="5"/>
        <v>8.4000000000000005E-2</v>
      </c>
      <c r="U27" s="189">
        <f>0.3+0.74</f>
        <v>1.04</v>
      </c>
      <c r="V27" s="189">
        <f t="shared" si="21"/>
        <v>-0.04</v>
      </c>
      <c r="W27" s="189">
        <f>3.09*0.3</f>
        <v>0.92699999999999994</v>
      </c>
      <c r="X27" s="188">
        <f t="shared" si="33"/>
        <v>6.3559999999999999</v>
      </c>
      <c r="Y27" s="183">
        <f t="shared" si="6"/>
        <v>8</v>
      </c>
      <c r="Z27" s="182">
        <f t="shared" si="7"/>
        <v>0.24</v>
      </c>
      <c r="AA27" s="183">
        <f t="shared" si="8"/>
        <v>19</v>
      </c>
      <c r="AB27" s="189">
        <f t="shared" si="9"/>
        <v>8.4000000000000005E-2</v>
      </c>
      <c r="AC27" s="189">
        <f>0.6+0.3</f>
        <v>0.89999999999999991</v>
      </c>
      <c r="AD27" s="189">
        <f t="shared" si="22"/>
        <v>-0.04</v>
      </c>
      <c r="AE27" s="189">
        <f>2.42*0.3</f>
        <v>0.72599999999999998</v>
      </c>
      <c r="AF27" s="188">
        <f t="shared" si="23"/>
        <v>4.42</v>
      </c>
      <c r="AG27" s="183">
        <f t="shared" si="10"/>
        <v>8</v>
      </c>
      <c r="AH27" s="182">
        <f t="shared" si="11"/>
        <v>0.24</v>
      </c>
      <c r="AI27" s="183">
        <f t="shared" si="12"/>
        <v>18</v>
      </c>
      <c r="AJ27" s="189">
        <f t="shared" si="13"/>
        <v>8.4000000000000005E-2</v>
      </c>
      <c r="AK27" s="189">
        <f>0.6+0.3</f>
        <v>0.89999999999999991</v>
      </c>
      <c r="AL27" s="189">
        <f t="shared" si="24"/>
        <v>-0.04</v>
      </c>
      <c r="AM27" s="189">
        <f>2.6337*0.3</f>
        <v>0.79010999999999998</v>
      </c>
      <c r="AN27" s="188">
        <f>+E27+SUM(AJ27:AM27)</f>
        <v>4.4841099999999994</v>
      </c>
      <c r="AO27" s="183">
        <v>0</v>
      </c>
      <c r="AP27" s="182">
        <f t="shared" si="14"/>
        <v>10</v>
      </c>
      <c r="AQ27" s="182">
        <v>1.5</v>
      </c>
      <c r="AR27" s="187">
        <f t="shared" si="25"/>
        <v>0</v>
      </c>
      <c r="AS27" s="187">
        <f t="shared" si="26"/>
        <v>0</v>
      </c>
      <c r="AT27" s="187">
        <f t="shared" si="27"/>
        <v>179.959</v>
      </c>
      <c r="AU27" s="187">
        <f t="shared" si="28"/>
        <v>164.69398000000001</v>
      </c>
      <c r="AV27" s="187">
        <f t="shared" si="15"/>
        <v>0</v>
      </c>
      <c r="AW27" s="187">
        <f t="shared" si="29"/>
        <v>0</v>
      </c>
      <c r="AX27" s="187">
        <f t="shared" si="30"/>
        <v>15</v>
      </c>
      <c r="AY27" s="190"/>
      <c r="AZ27" s="227" t="s">
        <v>223</v>
      </c>
      <c r="BA27" s="205">
        <v>0.13</v>
      </c>
      <c r="BB27" s="197">
        <v>8</v>
      </c>
      <c r="BC27" s="206">
        <v>0.1</v>
      </c>
      <c r="BD27" s="197">
        <v>8</v>
      </c>
      <c r="BE27" s="197">
        <v>0.18</v>
      </c>
      <c r="BF27" s="206">
        <f t="shared" si="35"/>
        <v>5.4600000000000003E-2</v>
      </c>
      <c r="BG27" s="206">
        <f t="shared" si="36"/>
        <v>5.4600000000000003E-2</v>
      </c>
      <c r="BH27" s="207">
        <v>1</v>
      </c>
      <c r="BI27" s="197"/>
      <c r="BK27" s="222" t="s">
        <v>226</v>
      </c>
      <c r="BL27" s="223">
        <v>0.115</v>
      </c>
      <c r="BM27" s="197"/>
      <c r="BN27" s="222" t="s">
        <v>226</v>
      </c>
      <c r="BO27" s="223">
        <v>8</v>
      </c>
      <c r="BQ27" s="226" t="s">
        <v>226</v>
      </c>
      <c r="BR27" s="225">
        <v>0.125</v>
      </c>
      <c r="BS27" s="197"/>
      <c r="BT27" s="226" t="s">
        <v>227</v>
      </c>
      <c r="BU27" s="225">
        <v>5.2499999999999998E-2</v>
      </c>
      <c r="BW27" s="226" t="s">
        <v>239</v>
      </c>
      <c r="BX27" s="225">
        <v>8</v>
      </c>
      <c r="BZ27" s="226" t="s">
        <v>232</v>
      </c>
      <c r="CA27" s="225">
        <v>5.4600000000000003E-2</v>
      </c>
      <c r="CC27" s="226" t="s">
        <v>226</v>
      </c>
      <c r="CD27" s="225">
        <v>0.17499999999999999</v>
      </c>
      <c r="CF27" s="226" t="s">
        <v>229</v>
      </c>
      <c r="CG27" s="225">
        <v>1</v>
      </c>
    </row>
    <row r="28" spans="1:85" s="196" customFormat="1" x14ac:dyDescent="0.3">
      <c r="A28" s="182" t="s">
        <v>190</v>
      </c>
      <c r="B28" s="183">
        <v>1</v>
      </c>
      <c r="C28" s="184" t="s">
        <v>249</v>
      </c>
      <c r="D28" s="185">
        <v>4.3446999999999996</v>
      </c>
      <c r="E28" s="185">
        <v>2.42</v>
      </c>
      <c r="F28" s="186">
        <v>0.2</v>
      </c>
      <c r="G28" s="187">
        <f t="shared" si="16"/>
        <v>2.1028347999999997</v>
      </c>
      <c r="H28" s="188">
        <f t="shared" si="0"/>
        <v>10.514173999999999</v>
      </c>
      <c r="I28" s="183">
        <f t="shared" si="1"/>
        <v>12</v>
      </c>
      <c r="J28" s="188">
        <f t="shared" si="17"/>
        <v>0.2</v>
      </c>
      <c r="K28" s="183">
        <f t="shared" si="18"/>
        <v>13</v>
      </c>
      <c r="L28" s="189">
        <f t="shared" si="19"/>
        <v>8.4000000000000005E-2</v>
      </c>
      <c r="M28" s="189">
        <f>0.3+0.74</f>
        <v>1.04</v>
      </c>
      <c r="N28" s="189">
        <f t="shared" si="20"/>
        <v>-0.04</v>
      </c>
      <c r="O28" s="189">
        <f>2.12*0.3</f>
        <v>0.63600000000000001</v>
      </c>
      <c r="P28" s="188">
        <f t="shared" si="34"/>
        <v>6.0647000000000002</v>
      </c>
      <c r="Q28" s="183">
        <f t="shared" si="2"/>
        <v>12</v>
      </c>
      <c r="R28" s="188">
        <f t="shared" si="3"/>
        <v>0.2</v>
      </c>
      <c r="S28" s="183">
        <f t="shared" si="4"/>
        <v>12</v>
      </c>
      <c r="T28" s="189">
        <f t="shared" si="5"/>
        <v>8.4000000000000005E-2</v>
      </c>
      <c r="U28" s="189">
        <f>0.3+0.74</f>
        <v>1.04</v>
      </c>
      <c r="V28" s="189">
        <f t="shared" si="21"/>
        <v>-0.04</v>
      </c>
      <c r="W28" s="189">
        <f>3.09*0.3</f>
        <v>0.92699999999999994</v>
      </c>
      <c r="X28" s="188">
        <f t="shared" si="33"/>
        <v>6.3556999999999997</v>
      </c>
      <c r="Y28" s="183">
        <f t="shared" si="6"/>
        <v>8</v>
      </c>
      <c r="Z28" s="182">
        <f t="shared" si="7"/>
        <v>0.24</v>
      </c>
      <c r="AA28" s="183">
        <f t="shared" si="8"/>
        <v>19</v>
      </c>
      <c r="AB28" s="189">
        <f t="shared" si="9"/>
        <v>8.4000000000000005E-2</v>
      </c>
      <c r="AC28" s="189">
        <f>0.3+0.45</f>
        <v>0.75</v>
      </c>
      <c r="AD28" s="189">
        <f t="shared" si="22"/>
        <v>-0.04</v>
      </c>
      <c r="AE28" s="189">
        <f>4.2*0.3</f>
        <v>1.26</v>
      </c>
      <c r="AF28" s="188">
        <f t="shared" si="23"/>
        <v>4.4740000000000002</v>
      </c>
      <c r="AG28" s="183">
        <f t="shared" si="10"/>
        <v>8</v>
      </c>
      <c r="AH28" s="182">
        <f t="shared" si="11"/>
        <v>0.24</v>
      </c>
      <c r="AI28" s="183">
        <f t="shared" si="12"/>
        <v>18</v>
      </c>
      <c r="AJ28" s="189">
        <f t="shared" si="13"/>
        <v>8.4000000000000005E-2</v>
      </c>
      <c r="AK28" s="189">
        <f>0.3+0.45</f>
        <v>0.75</v>
      </c>
      <c r="AL28" s="189">
        <f t="shared" si="24"/>
        <v>-0.04</v>
      </c>
      <c r="AM28" s="189">
        <f>2.75*0.3</f>
        <v>0.82499999999999996</v>
      </c>
      <c r="AN28" s="188">
        <f t="shared" si="37"/>
        <v>4.0389999999999997</v>
      </c>
      <c r="AO28" s="183">
        <v>0</v>
      </c>
      <c r="AP28" s="182">
        <f t="shared" si="14"/>
        <v>10</v>
      </c>
      <c r="AQ28" s="182">
        <v>1.5</v>
      </c>
      <c r="AR28" s="187">
        <f t="shared" si="25"/>
        <v>0</v>
      </c>
      <c r="AS28" s="187">
        <f t="shared" si="26"/>
        <v>0</v>
      </c>
      <c r="AT28" s="187">
        <f t="shared" si="27"/>
        <v>155.1095</v>
      </c>
      <c r="AU28" s="187">
        <f t="shared" si="28"/>
        <v>157.708</v>
      </c>
      <c r="AV28" s="187">
        <f t="shared" si="15"/>
        <v>0</v>
      </c>
      <c r="AW28" s="187">
        <f t="shared" si="29"/>
        <v>0</v>
      </c>
      <c r="AX28" s="187">
        <f t="shared" si="30"/>
        <v>15</v>
      </c>
      <c r="AY28" s="190"/>
      <c r="AZ28" s="227" t="s">
        <v>226</v>
      </c>
      <c r="BA28" s="205">
        <v>0.115</v>
      </c>
      <c r="BB28" s="197">
        <v>8</v>
      </c>
      <c r="BC28" s="197">
        <v>0.125</v>
      </c>
      <c r="BD28" s="197">
        <v>8</v>
      </c>
      <c r="BE28" s="197">
        <v>0.17499999999999999</v>
      </c>
      <c r="BF28" s="206">
        <f t="shared" si="35"/>
        <v>4.8300000000000003E-2</v>
      </c>
      <c r="BG28" s="206"/>
      <c r="BH28" s="207">
        <v>1</v>
      </c>
      <c r="BI28" s="197"/>
      <c r="BK28" s="222" t="s">
        <v>227</v>
      </c>
      <c r="BL28" s="223">
        <v>0.125</v>
      </c>
      <c r="BM28" s="197"/>
      <c r="BN28" s="222" t="s">
        <v>227</v>
      </c>
      <c r="BO28" s="223">
        <v>8</v>
      </c>
      <c r="BQ28" s="226" t="s">
        <v>227</v>
      </c>
      <c r="BR28" s="225">
        <v>0.1</v>
      </c>
      <c r="BS28" s="197"/>
      <c r="BT28" s="226" t="s">
        <v>233</v>
      </c>
      <c r="BU28" s="225">
        <v>6.3E-2</v>
      </c>
      <c r="BW28" s="226" t="s">
        <v>242</v>
      </c>
      <c r="BX28" s="225">
        <v>8</v>
      </c>
      <c r="BZ28" s="226" t="s">
        <v>239</v>
      </c>
      <c r="CA28" s="225">
        <v>5.2499999999999998E-2</v>
      </c>
      <c r="CC28" s="226" t="s">
        <v>227</v>
      </c>
      <c r="CD28" s="225">
        <v>0.1</v>
      </c>
      <c r="CF28" s="226" t="s">
        <v>232</v>
      </c>
      <c r="CG28" s="225">
        <v>1</v>
      </c>
    </row>
    <row r="29" spans="1:85" s="196" customFormat="1" x14ac:dyDescent="0.3">
      <c r="A29" s="182" t="s">
        <v>190</v>
      </c>
      <c r="B29" s="183">
        <v>1</v>
      </c>
      <c r="C29" s="184" t="s">
        <v>250</v>
      </c>
      <c r="D29" s="185">
        <v>3.09</v>
      </c>
      <c r="E29" s="185">
        <v>5.47</v>
      </c>
      <c r="F29" s="186">
        <v>0.2</v>
      </c>
      <c r="G29" s="187">
        <f t="shared" si="16"/>
        <v>3.3804599999999994</v>
      </c>
      <c r="H29" s="188">
        <f t="shared" si="0"/>
        <v>16.902299999999997</v>
      </c>
      <c r="I29" s="183">
        <f t="shared" si="1"/>
        <v>12</v>
      </c>
      <c r="J29" s="188">
        <f t="shared" si="17"/>
        <v>0.2</v>
      </c>
      <c r="K29" s="183">
        <f t="shared" si="18"/>
        <v>28</v>
      </c>
      <c r="L29" s="189">
        <f t="shared" si="19"/>
        <v>8.4000000000000005E-2</v>
      </c>
      <c r="M29" s="189">
        <f>0.74+0.55</f>
        <v>1.29</v>
      </c>
      <c r="N29" s="189">
        <f t="shared" si="20"/>
        <v>-0.04</v>
      </c>
      <c r="O29" s="189">
        <f>4.34*0.3</f>
        <v>1.3019999999999998</v>
      </c>
      <c r="P29" s="188">
        <f t="shared" si="34"/>
        <v>5.726</v>
      </c>
      <c r="Q29" s="183">
        <f t="shared" si="2"/>
        <v>12</v>
      </c>
      <c r="R29" s="188">
        <f t="shared" si="3"/>
        <v>0.2</v>
      </c>
      <c r="S29" s="183">
        <f t="shared" si="4"/>
        <v>27</v>
      </c>
      <c r="T29" s="189">
        <f t="shared" si="5"/>
        <v>8.4000000000000005E-2</v>
      </c>
      <c r="U29" s="189">
        <f>0.74+0.55</f>
        <v>1.29</v>
      </c>
      <c r="V29" s="189">
        <f t="shared" si="21"/>
        <v>-0.04</v>
      </c>
      <c r="W29" s="189">
        <f>4.08*0.3</f>
        <v>1.224</v>
      </c>
      <c r="X29" s="188">
        <f t="shared" ref="X29" si="40">+D29+SUM(T29:W29)</f>
        <v>5.6479999999999997</v>
      </c>
      <c r="Y29" s="183">
        <f t="shared" si="6"/>
        <v>8</v>
      </c>
      <c r="Z29" s="182">
        <f t="shared" si="7"/>
        <v>0.24</v>
      </c>
      <c r="AA29" s="183">
        <f t="shared" si="8"/>
        <v>14</v>
      </c>
      <c r="AB29" s="189">
        <f t="shared" si="9"/>
        <v>8.4000000000000005E-2</v>
      </c>
      <c r="AC29" s="189">
        <f>0.6+0.45</f>
        <v>1.05</v>
      </c>
      <c r="AD29" s="189">
        <f t="shared" si="22"/>
        <v>-0.04</v>
      </c>
      <c r="AE29" s="189">
        <f>1.71*0.3</f>
        <v>0.51300000000000001</v>
      </c>
      <c r="AF29" s="188">
        <f t="shared" si="23"/>
        <v>7.077</v>
      </c>
      <c r="AG29" s="183">
        <f t="shared" si="10"/>
        <v>8</v>
      </c>
      <c r="AH29" s="182">
        <f t="shared" si="11"/>
        <v>0.24</v>
      </c>
      <c r="AI29" s="183">
        <f t="shared" si="12"/>
        <v>13</v>
      </c>
      <c r="AJ29" s="189">
        <f t="shared" si="13"/>
        <v>8.4000000000000005E-2</v>
      </c>
      <c r="AK29" s="189">
        <f>0.6+0.45</f>
        <v>1.05</v>
      </c>
      <c r="AL29" s="189">
        <f t="shared" si="24"/>
        <v>-0.04</v>
      </c>
      <c r="AM29" s="189">
        <f>5.66*0.3</f>
        <v>1.698</v>
      </c>
      <c r="AN29" s="188">
        <f t="shared" si="37"/>
        <v>8.2620000000000005</v>
      </c>
      <c r="AO29" s="183">
        <v>0</v>
      </c>
      <c r="AP29" s="182">
        <f t="shared" si="14"/>
        <v>12</v>
      </c>
      <c r="AQ29" s="182">
        <v>1.5</v>
      </c>
      <c r="AR29" s="187">
        <f t="shared" si="25"/>
        <v>0</v>
      </c>
      <c r="AS29" s="187">
        <f t="shared" si="26"/>
        <v>0</v>
      </c>
      <c r="AT29" s="187">
        <f t="shared" si="27"/>
        <v>312.82399999999996</v>
      </c>
      <c r="AU29" s="187">
        <f t="shared" si="28"/>
        <v>206.48400000000001</v>
      </c>
      <c r="AV29" s="187">
        <f t="shared" si="15"/>
        <v>0</v>
      </c>
      <c r="AW29" s="187">
        <f t="shared" si="29"/>
        <v>0</v>
      </c>
      <c r="AX29" s="187">
        <f t="shared" si="30"/>
        <v>18</v>
      </c>
      <c r="AY29" s="190"/>
      <c r="AZ29" s="227" t="s">
        <v>227</v>
      </c>
      <c r="BA29" s="205">
        <v>0.125</v>
      </c>
      <c r="BB29" s="197">
        <v>8</v>
      </c>
      <c r="BC29" s="197">
        <v>0.1</v>
      </c>
      <c r="BD29" s="197">
        <v>8</v>
      </c>
      <c r="BE29" s="197">
        <v>0.1</v>
      </c>
      <c r="BF29" s="206">
        <f t="shared" si="35"/>
        <v>5.2499999999999998E-2</v>
      </c>
      <c r="BG29" s="206">
        <f t="shared" si="36"/>
        <v>5.2499999999999998E-2</v>
      </c>
      <c r="BH29" s="207">
        <v>1</v>
      </c>
      <c r="BI29" s="197"/>
      <c r="BK29" s="228" t="s">
        <v>233</v>
      </c>
      <c r="BL29" s="229">
        <v>0.15</v>
      </c>
      <c r="BM29" s="197"/>
      <c r="BN29" s="228" t="s">
        <v>233</v>
      </c>
      <c r="BO29" s="229">
        <v>10</v>
      </c>
      <c r="BQ29" s="230" t="s">
        <v>233</v>
      </c>
      <c r="BR29" s="231">
        <v>8.5000000000000006E-2</v>
      </c>
      <c r="BT29" s="230" t="s">
        <v>230</v>
      </c>
      <c r="BU29" s="231">
        <v>6.93E-2</v>
      </c>
      <c r="BW29" s="230" t="s">
        <v>245</v>
      </c>
      <c r="BX29" s="231">
        <v>10</v>
      </c>
      <c r="BZ29" s="226" t="s">
        <v>242</v>
      </c>
      <c r="CA29" s="225">
        <v>5.8800000000000005E-2</v>
      </c>
      <c r="CC29" s="230" t="s">
        <v>233</v>
      </c>
      <c r="CD29" s="231">
        <v>0.125</v>
      </c>
      <c r="CF29" s="230" t="s">
        <v>239</v>
      </c>
      <c r="CG29" s="231">
        <v>1</v>
      </c>
    </row>
    <row r="30" spans="1:85" s="196" customFormat="1" x14ac:dyDescent="0.3">
      <c r="A30" s="182" t="s">
        <v>215</v>
      </c>
      <c r="B30" s="183">
        <v>1</v>
      </c>
      <c r="C30" s="184" t="s">
        <v>251</v>
      </c>
      <c r="D30" s="185">
        <v>3.55</v>
      </c>
      <c r="E30" s="185">
        <v>5.47</v>
      </c>
      <c r="F30" s="186">
        <v>0.22500000000000001</v>
      </c>
      <c r="G30" s="187">
        <f t="shared" si="16"/>
        <v>4.3691624999999998</v>
      </c>
      <c r="H30" s="188">
        <f t="shared" si="0"/>
        <v>19.418499999999998</v>
      </c>
      <c r="I30" s="183">
        <f t="shared" si="1"/>
        <v>12</v>
      </c>
      <c r="J30" s="188">
        <f t="shared" si="17"/>
        <v>0.18</v>
      </c>
      <c r="K30" s="183">
        <f t="shared" si="18"/>
        <v>31</v>
      </c>
      <c r="L30" s="189">
        <f t="shared" si="19"/>
        <v>9.4500000000000001E-2</v>
      </c>
      <c r="M30" s="189">
        <f>0.55+0.38</f>
        <v>0.93</v>
      </c>
      <c r="N30" s="189">
        <f t="shared" si="20"/>
        <v>-0.04</v>
      </c>
      <c r="O30" s="189">
        <f>3.09*0.3</f>
        <v>0.92699999999999994</v>
      </c>
      <c r="P30" s="188">
        <f t="shared" si="34"/>
        <v>5.4614999999999991</v>
      </c>
      <c r="Q30" s="183">
        <f t="shared" si="2"/>
        <v>12</v>
      </c>
      <c r="R30" s="188">
        <f t="shared" si="3"/>
        <v>0.18</v>
      </c>
      <c r="S30" s="183">
        <f t="shared" si="4"/>
        <v>30</v>
      </c>
      <c r="T30" s="189">
        <f t="shared" si="5"/>
        <v>9.4500000000000001E-2</v>
      </c>
      <c r="U30" s="189">
        <f>0.55+0.38</f>
        <v>0.93</v>
      </c>
      <c r="V30" s="189">
        <f t="shared" si="21"/>
        <v>-0.04</v>
      </c>
      <c r="W30" s="189">
        <v>0</v>
      </c>
      <c r="X30" s="188">
        <f>+D30+SUM(T30:W30)+(F30-0.02*2)</f>
        <v>4.7194999999999991</v>
      </c>
      <c r="Y30" s="183">
        <f t="shared" si="6"/>
        <v>10</v>
      </c>
      <c r="Z30" s="182">
        <f t="shared" si="7"/>
        <v>0.3</v>
      </c>
      <c r="AA30" s="183">
        <f t="shared" si="8"/>
        <v>13</v>
      </c>
      <c r="AB30" s="189">
        <f t="shared" si="9"/>
        <v>9.4500000000000001E-2</v>
      </c>
      <c r="AC30" s="189">
        <f>0.6+0.5</f>
        <v>1.1000000000000001</v>
      </c>
      <c r="AD30" s="189">
        <f t="shared" si="22"/>
        <v>-0.04</v>
      </c>
      <c r="AE30" s="189">
        <f>1.71*0.3</f>
        <v>0.51300000000000001</v>
      </c>
      <c r="AF30" s="188">
        <f t="shared" si="23"/>
        <v>7.1374999999999993</v>
      </c>
      <c r="AG30" s="183">
        <f t="shared" si="10"/>
        <v>10</v>
      </c>
      <c r="AH30" s="182">
        <f t="shared" si="11"/>
        <v>0.3</v>
      </c>
      <c r="AI30" s="183">
        <f t="shared" si="12"/>
        <v>12</v>
      </c>
      <c r="AJ30" s="189">
        <f t="shared" si="13"/>
        <v>9.4500000000000001E-2</v>
      </c>
      <c r="AK30" s="189">
        <f>0.6+0.5</f>
        <v>1.1000000000000001</v>
      </c>
      <c r="AL30" s="189">
        <f t="shared" si="24"/>
        <v>-0.04</v>
      </c>
      <c r="AM30" s="189">
        <f>3.52*0.3</f>
        <v>1.056</v>
      </c>
      <c r="AN30" s="188">
        <f>+E30+SUM(AJ30:AM30)</f>
        <v>7.6805000000000003</v>
      </c>
      <c r="AO30" s="183">
        <v>0</v>
      </c>
      <c r="AP30" s="182">
        <f t="shared" si="14"/>
        <v>12</v>
      </c>
      <c r="AQ30" s="182">
        <v>1.5</v>
      </c>
      <c r="AR30" s="187">
        <f t="shared" si="25"/>
        <v>0</v>
      </c>
      <c r="AS30" s="187">
        <f t="shared" si="26"/>
        <v>0</v>
      </c>
      <c r="AT30" s="187">
        <f t="shared" si="27"/>
        <v>310.89149999999995</v>
      </c>
      <c r="AU30" s="187">
        <f t="shared" si="28"/>
        <v>0</v>
      </c>
      <c r="AV30" s="187">
        <f t="shared" si="15"/>
        <v>184.95349999999999</v>
      </c>
      <c r="AW30" s="187">
        <f t="shared" si="29"/>
        <v>0</v>
      </c>
      <c r="AX30" s="187">
        <f t="shared" si="30"/>
        <v>18</v>
      </c>
      <c r="AY30" s="190"/>
      <c r="AZ30" s="227" t="s">
        <v>233</v>
      </c>
      <c r="BA30" s="205">
        <v>0.15</v>
      </c>
      <c r="BB30" s="197">
        <v>10</v>
      </c>
      <c r="BC30" s="197">
        <v>8.5000000000000006E-2</v>
      </c>
      <c r="BD30" s="197">
        <v>10</v>
      </c>
      <c r="BE30" s="197">
        <v>0.125</v>
      </c>
      <c r="BF30" s="206">
        <f t="shared" si="35"/>
        <v>6.3E-2</v>
      </c>
      <c r="BG30" s="206">
        <f t="shared" si="36"/>
        <v>6.3E-2</v>
      </c>
      <c r="BH30" s="207">
        <v>1</v>
      </c>
      <c r="BI30" s="197"/>
      <c r="BK30" s="222" t="s">
        <v>230</v>
      </c>
      <c r="BL30" s="223">
        <v>0.16500000000000001</v>
      </c>
      <c r="BM30" s="197"/>
      <c r="BN30" s="222" t="s">
        <v>230</v>
      </c>
      <c r="BO30" s="223">
        <v>10</v>
      </c>
      <c r="BQ30" s="226" t="s">
        <v>230</v>
      </c>
      <c r="BR30" s="225">
        <v>0.115</v>
      </c>
      <c r="BT30" s="226" t="s">
        <v>234</v>
      </c>
      <c r="BU30" s="225">
        <v>6.3E-2</v>
      </c>
      <c r="BW30" s="226" t="s">
        <v>238</v>
      </c>
      <c r="BX30" s="225"/>
      <c r="BZ30" s="226" t="s">
        <v>245</v>
      </c>
      <c r="CA30" s="225">
        <v>5.8800000000000005E-2</v>
      </c>
      <c r="CC30" s="226" t="s">
        <v>230</v>
      </c>
      <c r="CD30" s="225">
        <v>0.115</v>
      </c>
      <c r="CF30" s="226" t="s">
        <v>242</v>
      </c>
      <c r="CG30" s="225">
        <v>1</v>
      </c>
    </row>
    <row r="31" spans="1:85" s="196" customFormat="1" x14ac:dyDescent="0.3">
      <c r="A31" s="182" t="s">
        <v>190</v>
      </c>
      <c r="B31" s="183">
        <v>1</v>
      </c>
      <c r="C31" s="184" t="s">
        <v>252</v>
      </c>
      <c r="D31" s="185">
        <v>6.2679999999999998</v>
      </c>
      <c r="E31" s="185">
        <v>1.71</v>
      </c>
      <c r="F31" s="186">
        <v>0.2</v>
      </c>
      <c r="G31" s="187">
        <f t="shared" si="16"/>
        <v>2.143656</v>
      </c>
      <c r="H31" s="188">
        <f t="shared" si="0"/>
        <v>10.71828</v>
      </c>
      <c r="I31" s="183">
        <f t="shared" si="1"/>
        <v>12</v>
      </c>
      <c r="J31" s="188">
        <f t="shared" si="17"/>
        <v>0.2</v>
      </c>
      <c r="K31" s="183">
        <f t="shared" si="18"/>
        <v>10</v>
      </c>
      <c r="L31" s="189">
        <f t="shared" si="19"/>
        <v>8.4000000000000005E-2</v>
      </c>
      <c r="M31" s="189">
        <f>0.73+0.32</f>
        <v>1.05</v>
      </c>
      <c r="N31" s="189">
        <f t="shared" si="20"/>
        <v>-0.04</v>
      </c>
      <c r="O31" s="189">
        <f>4.34*0.3</f>
        <v>1.3019999999999998</v>
      </c>
      <c r="P31" s="188">
        <f>+D31+SUM(L31:O31)</f>
        <v>8.6639999999999997</v>
      </c>
      <c r="Q31" s="183">
        <f t="shared" si="2"/>
        <v>12</v>
      </c>
      <c r="R31" s="188">
        <f t="shared" si="3"/>
        <v>0.2</v>
      </c>
      <c r="S31" s="183">
        <f t="shared" si="4"/>
        <v>9</v>
      </c>
      <c r="T31" s="189">
        <f t="shared" si="5"/>
        <v>8.4000000000000005E-2</v>
      </c>
      <c r="U31" s="189">
        <f>0.73+0.32</f>
        <v>1.05</v>
      </c>
      <c r="V31" s="189">
        <f t="shared" si="21"/>
        <v>-0.04</v>
      </c>
      <c r="W31" s="189">
        <v>0</v>
      </c>
      <c r="X31" s="188">
        <f t="shared" si="33"/>
        <v>7.3620000000000001</v>
      </c>
      <c r="Y31" s="183">
        <f t="shared" si="6"/>
        <v>8</v>
      </c>
      <c r="Z31" s="182">
        <f t="shared" si="7"/>
        <v>0.24</v>
      </c>
      <c r="AA31" s="183">
        <f t="shared" si="8"/>
        <v>27</v>
      </c>
      <c r="AB31" s="189">
        <f t="shared" si="9"/>
        <v>8.4000000000000005E-2</v>
      </c>
      <c r="AC31" s="189">
        <f>0.5+0.3</f>
        <v>0.8</v>
      </c>
      <c r="AD31" s="189">
        <f t="shared" si="22"/>
        <v>-0.04</v>
      </c>
      <c r="AE31" s="189">
        <f>3.83*0.3</f>
        <v>1.149</v>
      </c>
      <c r="AF31" s="188">
        <f t="shared" si="23"/>
        <v>3.7029999999999998</v>
      </c>
      <c r="AG31" s="183">
        <f t="shared" si="10"/>
        <v>8</v>
      </c>
      <c r="AH31" s="182">
        <f t="shared" si="11"/>
        <v>0.24</v>
      </c>
      <c r="AI31" s="183">
        <f t="shared" si="12"/>
        <v>26</v>
      </c>
      <c r="AJ31" s="189">
        <f t="shared" si="13"/>
        <v>8.4000000000000005E-2</v>
      </c>
      <c r="AK31" s="189">
        <f>0.5+0.3</f>
        <v>0.8</v>
      </c>
      <c r="AL31" s="189">
        <f t="shared" si="24"/>
        <v>-0.04</v>
      </c>
      <c r="AM31" s="189">
        <f>5.47*0.3</f>
        <v>1.6409999999999998</v>
      </c>
      <c r="AN31" s="188">
        <f t="shared" si="37"/>
        <v>4.1950000000000003</v>
      </c>
      <c r="AO31" s="183">
        <v>0</v>
      </c>
      <c r="AP31" s="182">
        <f t="shared" si="14"/>
        <v>10</v>
      </c>
      <c r="AQ31" s="182">
        <v>1.5</v>
      </c>
      <c r="AR31" s="187">
        <f t="shared" si="25"/>
        <v>0</v>
      </c>
      <c r="AS31" s="187">
        <f t="shared" si="26"/>
        <v>0</v>
      </c>
      <c r="AT31" s="187">
        <f t="shared" si="27"/>
        <v>152.898</v>
      </c>
      <c r="AU31" s="187">
        <f t="shared" si="28"/>
        <v>209.05099999999999</v>
      </c>
      <c r="AV31" s="187">
        <f t="shared" si="15"/>
        <v>0</v>
      </c>
      <c r="AW31" s="187">
        <f t="shared" si="29"/>
        <v>0</v>
      </c>
      <c r="AX31" s="187">
        <f t="shared" si="30"/>
        <v>15</v>
      </c>
      <c r="AY31" s="190"/>
      <c r="AZ31" s="227" t="s">
        <v>230</v>
      </c>
      <c r="BA31" s="232">
        <v>0.16500000000000001</v>
      </c>
      <c r="BB31" s="197">
        <v>10</v>
      </c>
      <c r="BC31" s="197">
        <v>0.115</v>
      </c>
      <c r="BD31" s="197">
        <v>8</v>
      </c>
      <c r="BE31" s="197">
        <v>0.115</v>
      </c>
      <c r="BF31" s="206">
        <f t="shared" si="35"/>
        <v>6.93E-2</v>
      </c>
      <c r="BG31" s="206">
        <f t="shared" si="36"/>
        <v>6.93E-2</v>
      </c>
      <c r="BH31" s="207">
        <v>1</v>
      </c>
      <c r="BI31" s="197"/>
      <c r="BK31" s="222" t="s">
        <v>234</v>
      </c>
      <c r="BL31" s="223">
        <v>0.15</v>
      </c>
      <c r="BM31" s="197"/>
      <c r="BN31" s="222" t="s">
        <v>234</v>
      </c>
      <c r="BO31" s="223">
        <v>12</v>
      </c>
      <c r="BQ31" s="226" t="s">
        <v>234</v>
      </c>
      <c r="BR31" s="225">
        <v>0.1</v>
      </c>
      <c r="BT31" s="226" t="s">
        <v>243</v>
      </c>
      <c r="BU31" s="225">
        <v>6.3E-2</v>
      </c>
      <c r="BW31" s="226" t="s">
        <v>234</v>
      </c>
      <c r="BX31" s="225">
        <v>8</v>
      </c>
      <c r="BZ31" s="230" t="s">
        <v>226</v>
      </c>
      <c r="CA31" s="231"/>
      <c r="CC31" s="226" t="s">
        <v>234</v>
      </c>
      <c r="CD31" s="225">
        <v>0.15</v>
      </c>
      <c r="CF31" s="226" t="s">
        <v>245</v>
      </c>
      <c r="CG31" s="225">
        <v>1</v>
      </c>
    </row>
    <row r="32" spans="1:85" s="197" customFormat="1" x14ac:dyDescent="0.3">
      <c r="A32" s="182" t="s">
        <v>215</v>
      </c>
      <c r="B32" s="183">
        <v>1</v>
      </c>
      <c r="C32" s="184" t="s">
        <v>253</v>
      </c>
      <c r="D32" s="185">
        <v>5.93</v>
      </c>
      <c r="E32" s="185">
        <v>3.83</v>
      </c>
      <c r="F32" s="186">
        <v>0.22500000000000001</v>
      </c>
      <c r="G32" s="187">
        <f>D32*E32*F32*B32</f>
        <v>5.1101774999999998</v>
      </c>
      <c r="H32" s="188">
        <f>D32*E32*B32</f>
        <v>22.7119</v>
      </c>
      <c r="I32" s="183">
        <f t="shared" si="1"/>
        <v>12</v>
      </c>
      <c r="J32" s="188">
        <f t="shared" si="17"/>
        <v>0.18</v>
      </c>
      <c r="K32" s="183">
        <f t="shared" si="18"/>
        <v>22</v>
      </c>
      <c r="L32" s="189">
        <f t="shared" si="19"/>
        <v>9.4500000000000001E-2</v>
      </c>
      <c r="M32" s="189">
        <f>0.38+0.3</f>
        <v>0.67999999999999994</v>
      </c>
      <c r="N32" s="189">
        <f t="shared" si="20"/>
        <v>-0.04</v>
      </c>
      <c r="O32" s="189">
        <f>4.347*0.3</f>
        <v>1.3041</v>
      </c>
      <c r="P32" s="188">
        <f t="shared" si="34"/>
        <v>7.9685999999999995</v>
      </c>
      <c r="Q32" s="183">
        <f t="shared" si="2"/>
        <v>12</v>
      </c>
      <c r="R32" s="188">
        <f t="shared" si="3"/>
        <v>0.18</v>
      </c>
      <c r="S32" s="183">
        <f t="shared" si="4"/>
        <v>21</v>
      </c>
      <c r="T32" s="189">
        <f t="shared" si="5"/>
        <v>9.4500000000000001E-2</v>
      </c>
      <c r="U32" s="189">
        <f>0.38+0.3</f>
        <v>0.67999999999999994</v>
      </c>
      <c r="V32" s="189">
        <f t="shared" si="21"/>
        <v>-0.04</v>
      </c>
      <c r="W32" s="189">
        <v>0</v>
      </c>
      <c r="X32" s="188">
        <f t="shared" ref="X32:X39" si="41">+D32+SUM(T32:W32)+(F32-0.02*2)</f>
        <v>6.849499999999999</v>
      </c>
      <c r="Y32" s="183">
        <f t="shared" si="6"/>
        <v>10</v>
      </c>
      <c r="Z32" s="182">
        <f t="shared" si="7"/>
        <v>0.3</v>
      </c>
      <c r="AA32" s="183">
        <f t="shared" si="8"/>
        <v>21</v>
      </c>
      <c r="AB32" s="189">
        <f t="shared" si="9"/>
        <v>9.4500000000000001E-2</v>
      </c>
      <c r="AC32" s="189">
        <f t="shared" ref="AC32:AC91" si="42">0.3*2</f>
        <v>0.6</v>
      </c>
      <c r="AD32" s="189">
        <f t="shared" si="22"/>
        <v>-0.04</v>
      </c>
      <c r="AE32" s="189">
        <f>2.9*0.3</f>
        <v>0.87</v>
      </c>
      <c r="AF32" s="188">
        <f t="shared" si="23"/>
        <v>5.3544999999999998</v>
      </c>
      <c r="AG32" s="183">
        <f t="shared" si="10"/>
        <v>10</v>
      </c>
      <c r="AH32" s="182">
        <f t="shared" si="11"/>
        <v>0.3</v>
      </c>
      <c r="AI32" s="183">
        <f t="shared" si="12"/>
        <v>20</v>
      </c>
      <c r="AJ32" s="189">
        <f t="shared" si="13"/>
        <v>9.4500000000000001E-2</v>
      </c>
      <c r="AK32" s="189">
        <f t="shared" ref="AK32:AK91" si="43">0.3*2</f>
        <v>0.6</v>
      </c>
      <c r="AL32" s="189">
        <f t="shared" si="24"/>
        <v>-0.04</v>
      </c>
      <c r="AM32" s="189">
        <f>1.71*0.3</f>
        <v>0.51300000000000001</v>
      </c>
      <c r="AN32" s="188">
        <f t="shared" si="37"/>
        <v>4.9975000000000005</v>
      </c>
      <c r="AO32" s="183">
        <v>0</v>
      </c>
      <c r="AP32" s="182">
        <f t="shared" si="14"/>
        <v>14</v>
      </c>
      <c r="AQ32" s="182">
        <v>1.5</v>
      </c>
      <c r="AR32" s="187">
        <f t="shared" si="25"/>
        <v>0</v>
      </c>
      <c r="AS32" s="187">
        <f t="shared" si="26"/>
        <v>0</v>
      </c>
      <c r="AT32" s="187">
        <f t="shared" si="27"/>
        <v>319.14869999999996</v>
      </c>
      <c r="AU32" s="187">
        <f t="shared" si="28"/>
        <v>0</v>
      </c>
      <c r="AV32" s="187">
        <f t="shared" si="15"/>
        <v>212.39449999999999</v>
      </c>
      <c r="AW32" s="187">
        <f t="shared" si="29"/>
        <v>0</v>
      </c>
      <c r="AX32" s="187">
        <f t="shared" si="30"/>
        <v>21</v>
      </c>
      <c r="AY32" s="190"/>
      <c r="AZ32" s="227" t="s">
        <v>234</v>
      </c>
      <c r="BA32" s="232">
        <v>0.15</v>
      </c>
      <c r="BB32" s="197">
        <v>12</v>
      </c>
      <c r="BC32" s="197">
        <v>0.1</v>
      </c>
      <c r="BD32" s="197">
        <v>8</v>
      </c>
      <c r="BE32" s="197">
        <v>0.15</v>
      </c>
      <c r="BF32" s="206">
        <f t="shared" si="35"/>
        <v>6.3E-2</v>
      </c>
      <c r="BG32" s="206"/>
      <c r="BH32" s="207">
        <v>1</v>
      </c>
      <c r="BK32" s="222" t="s">
        <v>243</v>
      </c>
      <c r="BL32" s="223">
        <v>0.15</v>
      </c>
      <c r="BN32" s="222" t="s">
        <v>243</v>
      </c>
      <c r="BO32" s="223">
        <v>10</v>
      </c>
      <c r="BQ32" s="233" t="s">
        <v>243</v>
      </c>
      <c r="BR32" s="234">
        <v>0.1</v>
      </c>
      <c r="BT32" s="226" t="s">
        <v>254</v>
      </c>
      <c r="BU32" s="225">
        <v>6.3E-2</v>
      </c>
      <c r="BW32" s="233" t="s">
        <v>243</v>
      </c>
      <c r="BX32" s="234">
        <v>8</v>
      </c>
      <c r="BZ32" s="226" t="s">
        <v>233</v>
      </c>
      <c r="CA32" s="225">
        <v>6.3E-2</v>
      </c>
      <c r="CC32" s="233" t="s">
        <v>243</v>
      </c>
      <c r="CD32" s="234">
        <v>0.12</v>
      </c>
      <c r="CF32" s="233" t="s">
        <v>238</v>
      </c>
      <c r="CG32" s="234"/>
    </row>
    <row r="33" spans="1:85" s="197" customFormat="1" x14ac:dyDescent="0.3">
      <c r="A33" s="182" t="s">
        <v>190</v>
      </c>
      <c r="B33" s="183">
        <v>1</v>
      </c>
      <c r="C33" s="184" t="s">
        <v>255</v>
      </c>
      <c r="D33" s="185">
        <v>6</v>
      </c>
      <c r="E33" s="185">
        <v>2.8980000000000001</v>
      </c>
      <c r="F33" s="186">
        <v>0.2</v>
      </c>
      <c r="G33" s="187">
        <f t="shared" si="16"/>
        <v>3.4776000000000007</v>
      </c>
      <c r="H33" s="188">
        <f t="shared" si="0"/>
        <v>17.388000000000002</v>
      </c>
      <c r="I33" s="183">
        <f t="shared" si="1"/>
        <v>12</v>
      </c>
      <c r="J33" s="188">
        <f t="shared" si="17"/>
        <v>0.2</v>
      </c>
      <c r="K33" s="183">
        <f t="shared" si="18"/>
        <v>15</v>
      </c>
      <c r="L33" s="189">
        <f t="shared" si="19"/>
        <v>8.4000000000000005E-2</v>
      </c>
      <c r="M33" s="189">
        <f>0.38+0.23</f>
        <v>0.61</v>
      </c>
      <c r="N33" s="189">
        <f t="shared" si="20"/>
        <v>-0.04</v>
      </c>
      <c r="O33" s="189">
        <f>4.32*0.3</f>
        <v>1.296</v>
      </c>
      <c r="P33" s="188">
        <f t="shared" si="34"/>
        <v>7.95</v>
      </c>
      <c r="Q33" s="183">
        <f t="shared" si="2"/>
        <v>12</v>
      </c>
      <c r="R33" s="188">
        <f t="shared" si="3"/>
        <v>0.2</v>
      </c>
      <c r="S33" s="183">
        <f t="shared" si="4"/>
        <v>14</v>
      </c>
      <c r="T33" s="189">
        <f t="shared" si="5"/>
        <v>8.4000000000000005E-2</v>
      </c>
      <c r="U33" s="189">
        <f>0.38+0.23</f>
        <v>0.61</v>
      </c>
      <c r="V33" s="189">
        <f t="shared" si="21"/>
        <v>-0.04</v>
      </c>
      <c r="W33" s="189">
        <v>0</v>
      </c>
      <c r="X33" s="188">
        <f t="shared" si="41"/>
        <v>6.8140000000000001</v>
      </c>
      <c r="Y33" s="183">
        <f t="shared" si="6"/>
        <v>8</v>
      </c>
      <c r="Z33" s="182">
        <f t="shared" si="7"/>
        <v>0.24</v>
      </c>
      <c r="AA33" s="183">
        <f t="shared" si="8"/>
        <v>26</v>
      </c>
      <c r="AB33" s="189">
        <f t="shared" si="9"/>
        <v>8.4000000000000005E-2</v>
      </c>
      <c r="AC33" s="189">
        <f t="shared" si="42"/>
        <v>0.6</v>
      </c>
      <c r="AD33" s="189">
        <f t="shared" si="22"/>
        <v>-0.04</v>
      </c>
      <c r="AE33" s="189">
        <f>3.2*0.3</f>
        <v>0.96</v>
      </c>
      <c r="AF33" s="188">
        <f t="shared" si="23"/>
        <v>4.5019999999999998</v>
      </c>
      <c r="AG33" s="183">
        <f t="shared" si="10"/>
        <v>8</v>
      </c>
      <c r="AH33" s="182">
        <f t="shared" si="11"/>
        <v>0.24</v>
      </c>
      <c r="AI33" s="183">
        <f t="shared" si="12"/>
        <v>25</v>
      </c>
      <c r="AJ33" s="189">
        <f t="shared" si="13"/>
        <v>8.4000000000000005E-2</v>
      </c>
      <c r="AK33" s="189">
        <f t="shared" si="43"/>
        <v>0.6</v>
      </c>
      <c r="AL33" s="189">
        <f t="shared" si="24"/>
        <v>-0.04</v>
      </c>
      <c r="AM33" s="189">
        <f>3.83*0.3</f>
        <v>1.149</v>
      </c>
      <c r="AN33" s="188">
        <f t="shared" si="37"/>
        <v>4.6909999999999998</v>
      </c>
      <c r="AO33" s="183">
        <v>0</v>
      </c>
      <c r="AP33" s="182">
        <f t="shared" si="14"/>
        <v>12</v>
      </c>
      <c r="AQ33" s="182">
        <v>1.5</v>
      </c>
      <c r="AR33" s="187">
        <f t="shared" si="25"/>
        <v>0</v>
      </c>
      <c r="AS33" s="187">
        <f t="shared" si="26"/>
        <v>0</v>
      </c>
      <c r="AT33" s="187">
        <f t="shared" si="27"/>
        <v>214.64600000000002</v>
      </c>
      <c r="AU33" s="187">
        <f t="shared" si="28"/>
        <v>234.327</v>
      </c>
      <c r="AV33" s="187">
        <f t="shared" si="15"/>
        <v>0</v>
      </c>
      <c r="AW33" s="187">
        <f t="shared" si="29"/>
        <v>0</v>
      </c>
      <c r="AX33" s="187">
        <f t="shared" si="30"/>
        <v>18</v>
      </c>
      <c r="AY33" s="190"/>
      <c r="AZ33" s="227" t="s">
        <v>243</v>
      </c>
      <c r="BA33" s="232">
        <v>0.15</v>
      </c>
      <c r="BB33" s="197">
        <v>10</v>
      </c>
      <c r="BC33" s="197">
        <v>0.1</v>
      </c>
      <c r="BD33" s="197">
        <v>8</v>
      </c>
      <c r="BE33" s="197">
        <v>0.12</v>
      </c>
      <c r="BF33" s="206">
        <f t="shared" si="35"/>
        <v>6.3E-2</v>
      </c>
      <c r="BG33" s="206">
        <f t="shared" si="36"/>
        <v>6.3E-2</v>
      </c>
      <c r="BH33" s="207">
        <v>1</v>
      </c>
      <c r="BK33" s="222" t="s">
        <v>254</v>
      </c>
      <c r="BL33" s="223">
        <v>0.15</v>
      </c>
      <c r="BN33" s="222" t="s">
        <v>254</v>
      </c>
      <c r="BO33" s="223">
        <v>10</v>
      </c>
      <c r="BQ33" s="226" t="s">
        <v>254</v>
      </c>
      <c r="BR33" s="225">
        <v>0.09</v>
      </c>
      <c r="BT33" s="226" t="s">
        <v>236</v>
      </c>
      <c r="BU33" s="225">
        <v>6.93E-2</v>
      </c>
      <c r="BW33" s="226" t="s">
        <v>254</v>
      </c>
      <c r="BX33" s="225">
        <v>8</v>
      </c>
      <c r="BZ33" s="226" t="s">
        <v>243</v>
      </c>
      <c r="CA33" s="225">
        <v>6.3E-2</v>
      </c>
      <c r="CC33" s="226" t="s">
        <v>254</v>
      </c>
      <c r="CD33" s="225">
        <v>0.1</v>
      </c>
      <c r="CF33" s="226" t="s">
        <v>254</v>
      </c>
      <c r="CG33" s="225">
        <v>1</v>
      </c>
    </row>
    <row r="34" spans="1:85" s="197" customFormat="1" ht="27.6" x14ac:dyDescent="0.3">
      <c r="A34" s="182" t="s">
        <v>190</v>
      </c>
      <c r="B34" s="183">
        <v>2</v>
      </c>
      <c r="C34" s="184" t="s">
        <v>256</v>
      </c>
      <c r="D34" s="185">
        <v>6</v>
      </c>
      <c r="E34" s="185">
        <v>3.2</v>
      </c>
      <c r="F34" s="186">
        <v>0.2</v>
      </c>
      <c r="G34" s="187">
        <f t="shared" si="16"/>
        <v>7.6800000000000015</v>
      </c>
      <c r="H34" s="188">
        <f t="shared" si="0"/>
        <v>38.400000000000006</v>
      </c>
      <c r="I34" s="183">
        <f t="shared" si="1"/>
        <v>12</v>
      </c>
      <c r="J34" s="188">
        <f t="shared" si="17"/>
        <v>0.2</v>
      </c>
      <c r="K34" s="183">
        <f t="shared" si="18"/>
        <v>17</v>
      </c>
      <c r="L34" s="189">
        <f t="shared" si="19"/>
        <v>8.4000000000000005E-2</v>
      </c>
      <c r="M34" s="189">
        <f t="shared" ref="M34:M41" si="44">0.3+0.23</f>
        <v>0.53</v>
      </c>
      <c r="N34" s="189">
        <f t="shared" si="20"/>
        <v>-0.04</v>
      </c>
      <c r="O34" s="189">
        <f>3.66*0.3</f>
        <v>1.0980000000000001</v>
      </c>
      <c r="P34" s="188">
        <f t="shared" si="34"/>
        <v>7.6720000000000006</v>
      </c>
      <c r="Q34" s="183">
        <f t="shared" si="2"/>
        <v>12</v>
      </c>
      <c r="R34" s="188">
        <f t="shared" si="3"/>
        <v>0.2</v>
      </c>
      <c r="S34" s="183">
        <f t="shared" si="4"/>
        <v>16</v>
      </c>
      <c r="T34" s="189">
        <f t="shared" si="5"/>
        <v>8.4000000000000005E-2</v>
      </c>
      <c r="U34" s="189">
        <f t="shared" ref="U34:U41" si="45">0.3+0.23</f>
        <v>0.53</v>
      </c>
      <c r="V34" s="189">
        <f t="shared" si="21"/>
        <v>-0.04</v>
      </c>
      <c r="W34" s="189">
        <v>0</v>
      </c>
      <c r="X34" s="188">
        <f t="shared" si="41"/>
        <v>6.734</v>
      </c>
      <c r="Y34" s="183">
        <f t="shared" si="6"/>
        <v>8</v>
      </c>
      <c r="Z34" s="182">
        <f t="shared" si="7"/>
        <v>0.24</v>
      </c>
      <c r="AA34" s="183">
        <f t="shared" si="8"/>
        <v>26</v>
      </c>
      <c r="AB34" s="189">
        <f t="shared" si="9"/>
        <v>8.4000000000000005E-2</v>
      </c>
      <c r="AC34" s="189">
        <f t="shared" si="42"/>
        <v>0.6</v>
      </c>
      <c r="AD34" s="189">
        <f t="shared" si="22"/>
        <v>-0.04</v>
      </c>
      <c r="AE34" s="189">
        <f>3.2*0.3</f>
        <v>0.96</v>
      </c>
      <c r="AF34" s="188">
        <f t="shared" si="23"/>
        <v>4.8040000000000003</v>
      </c>
      <c r="AG34" s="183">
        <f t="shared" si="10"/>
        <v>8</v>
      </c>
      <c r="AH34" s="182">
        <f t="shared" si="11"/>
        <v>0.24</v>
      </c>
      <c r="AI34" s="183">
        <f t="shared" si="12"/>
        <v>25</v>
      </c>
      <c r="AJ34" s="189">
        <f t="shared" si="13"/>
        <v>8.4000000000000005E-2</v>
      </c>
      <c r="AK34" s="189">
        <f t="shared" si="43"/>
        <v>0.6</v>
      </c>
      <c r="AL34" s="189">
        <f t="shared" si="24"/>
        <v>-0.04</v>
      </c>
      <c r="AM34" s="189">
        <f>2.89*0.3</f>
        <v>0.86699999999999999</v>
      </c>
      <c r="AN34" s="188">
        <f t="shared" si="37"/>
        <v>4.7110000000000003</v>
      </c>
      <c r="AO34" s="183">
        <v>0</v>
      </c>
      <c r="AP34" s="182">
        <f t="shared" si="14"/>
        <v>12</v>
      </c>
      <c r="AQ34" s="182">
        <v>1.5</v>
      </c>
      <c r="AR34" s="187">
        <f t="shared" si="25"/>
        <v>0</v>
      </c>
      <c r="AS34" s="187">
        <f t="shared" si="26"/>
        <v>0</v>
      </c>
      <c r="AT34" s="187">
        <f t="shared" si="27"/>
        <v>476.33600000000001</v>
      </c>
      <c r="AU34" s="187">
        <f t="shared" si="28"/>
        <v>485.35800000000006</v>
      </c>
      <c r="AV34" s="187">
        <f t="shared" si="15"/>
        <v>0</v>
      </c>
      <c r="AW34" s="187">
        <f t="shared" si="29"/>
        <v>0</v>
      </c>
      <c r="AX34" s="187">
        <f t="shared" si="30"/>
        <v>36</v>
      </c>
      <c r="AY34" s="190"/>
      <c r="AZ34" s="227" t="s">
        <v>254</v>
      </c>
      <c r="BA34" s="232">
        <v>0.15</v>
      </c>
      <c r="BB34" s="197">
        <v>10</v>
      </c>
      <c r="BC34" s="197">
        <v>0.09</v>
      </c>
      <c r="BD34" s="197">
        <v>8</v>
      </c>
      <c r="BE34" s="197">
        <v>0.1</v>
      </c>
      <c r="BF34" s="206">
        <f t="shared" si="35"/>
        <v>6.3E-2</v>
      </c>
      <c r="BG34" s="206">
        <f t="shared" si="36"/>
        <v>6.3E-2</v>
      </c>
      <c r="BH34" s="207">
        <v>1</v>
      </c>
      <c r="BK34" s="222" t="s">
        <v>236</v>
      </c>
      <c r="BL34" s="223">
        <v>0.16500000000000001</v>
      </c>
      <c r="BN34" s="222" t="s">
        <v>236</v>
      </c>
      <c r="BO34" s="223">
        <v>10</v>
      </c>
      <c r="BQ34" s="226" t="s">
        <v>236</v>
      </c>
      <c r="BR34" s="225">
        <v>9.5000000000000001E-2</v>
      </c>
      <c r="BT34" s="233" t="s">
        <v>238</v>
      </c>
      <c r="BU34" s="234"/>
      <c r="BW34" s="226" t="s">
        <v>190</v>
      </c>
      <c r="BX34" s="225">
        <v>8</v>
      </c>
      <c r="BZ34" s="233" t="s">
        <v>238</v>
      </c>
      <c r="CA34" s="234"/>
      <c r="CC34" s="226" t="s">
        <v>236</v>
      </c>
      <c r="CD34" s="225">
        <v>0.1</v>
      </c>
      <c r="CF34" s="226" t="s">
        <v>190</v>
      </c>
      <c r="CG34" s="225">
        <v>1</v>
      </c>
    </row>
    <row r="35" spans="1:85" s="197" customFormat="1" x14ac:dyDescent="0.3">
      <c r="A35" s="182" t="s">
        <v>215</v>
      </c>
      <c r="B35" s="183">
        <v>1</v>
      </c>
      <c r="C35" s="184" t="s">
        <v>257</v>
      </c>
      <c r="D35" s="185">
        <v>6</v>
      </c>
      <c r="E35" s="185">
        <v>4.3099999999999996</v>
      </c>
      <c r="F35" s="186">
        <v>0.22500000000000001</v>
      </c>
      <c r="G35" s="187">
        <f t="shared" si="16"/>
        <v>5.8185000000000002</v>
      </c>
      <c r="H35" s="188">
        <f t="shared" si="0"/>
        <v>25.86</v>
      </c>
      <c r="I35" s="183">
        <f t="shared" si="1"/>
        <v>12</v>
      </c>
      <c r="J35" s="188">
        <f t="shared" si="17"/>
        <v>0.18</v>
      </c>
      <c r="K35" s="183">
        <f t="shared" si="18"/>
        <v>25</v>
      </c>
      <c r="L35" s="189">
        <f t="shared" si="19"/>
        <v>9.4500000000000001E-2</v>
      </c>
      <c r="M35" s="189">
        <f t="shared" si="44"/>
        <v>0.53</v>
      </c>
      <c r="N35" s="189">
        <f t="shared" si="20"/>
        <v>-0.04</v>
      </c>
      <c r="O35" s="189">
        <f>3.51*0.3</f>
        <v>1.0529999999999999</v>
      </c>
      <c r="P35" s="188">
        <f t="shared" si="34"/>
        <v>7.6375000000000002</v>
      </c>
      <c r="Q35" s="183">
        <f t="shared" si="2"/>
        <v>12</v>
      </c>
      <c r="R35" s="188">
        <f t="shared" si="3"/>
        <v>0.18</v>
      </c>
      <c r="S35" s="183">
        <f t="shared" si="4"/>
        <v>24</v>
      </c>
      <c r="T35" s="189">
        <f t="shared" si="5"/>
        <v>9.4500000000000001E-2</v>
      </c>
      <c r="U35" s="189">
        <f t="shared" si="45"/>
        <v>0.53</v>
      </c>
      <c r="V35" s="189">
        <f t="shared" si="21"/>
        <v>-0.04</v>
      </c>
      <c r="W35" s="189">
        <v>0</v>
      </c>
      <c r="X35" s="188">
        <f t="shared" si="41"/>
        <v>6.7694999999999999</v>
      </c>
      <c r="Y35" s="183">
        <f t="shared" si="6"/>
        <v>10</v>
      </c>
      <c r="Z35" s="182">
        <f t="shared" si="7"/>
        <v>0.3</v>
      </c>
      <c r="AA35" s="183">
        <f t="shared" si="8"/>
        <v>21</v>
      </c>
      <c r="AB35" s="189">
        <f t="shared" si="9"/>
        <v>9.4500000000000001E-2</v>
      </c>
      <c r="AC35" s="189">
        <f t="shared" si="42"/>
        <v>0.6</v>
      </c>
      <c r="AD35" s="189">
        <f t="shared" si="22"/>
        <v>-0.04</v>
      </c>
      <c r="AE35" s="189">
        <f>3.59*0.3</f>
        <v>1.077</v>
      </c>
      <c r="AF35" s="188">
        <f t="shared" si="23"/>
        <v>6.0414999999999992</v>
      </c>
      <c r="AG35" s="183">
        <f t="shared" si="10"/>
        <v>10</v>
      </c>
      <c r="AH35" s="182">
        <f t="shared" si="11"/>
        <v>0.3</v>
      </c>
      <c r="AI35" s="183">
        <f t="shared" si="12"/>
        <v>20</v>
      </c>
      <c r="AJ35" s="189">
        <f t="shared" si="13"/>
        <v>9.4500000000000001E-2</v>
      </c>
      <c r="AK35" s="189">
        <f t="shared" si="43"/>
        <v>0.6</v>
      </c>
      <c r="AL35" s="189">
        <f t="shared" si="24"/>
        <v>-0.04</v>
      </c>
      <c r="AM35" s="189">
        <f>3.2*0.3</f>
        <v>0.96</v>
      </c>
      <c r="AN35" s="188">
        <f t="shared" si="37"/>
        <v>5.9245000000000001</v>
      </c>
      <c r="AO35" s="183">
        <v>0</v>
      </c>
      <c r="AP35" s="182">
        <f t="shared" si="14"/>
        <v>14</v>
      </c>
      <c r="AQ35" s="182">
        <v>1.5</v>
      </c>
      <c r="AR35" s="187">
        <f t="shared" si="25"/>
        <v>0</v>
      </c>
      <c r="AS35" s="187">
        <f t="shared" si="26"/>
        <v>0</v>
      </c>
      <c r="AT35" s="187">
        <f t="shared" si="27"/>
        <v>353.40549999999996</v>
      </c>
      <c r="AU35" s="187">
        <f t="shared" si="28"/>
        <v>0</v>
      </c>
      <c r="AV35" s="187">
        <f t="shared" si="15"/>
        <v>245.36149999999998</v>
      </c>
      <c r="AW35" s="187">
        <f t="shared" si="29"/>
        <v>0</v>
      </c>
      <c r="AX35" s="187">
        <f t="shared" si="30"/>
        <v>21</v>
      </c>
      <c r="AY35" s="190"/>
      <c r="AZ35" s="227" t="s">
        <v>236</v>
      </c>
      <c r="BA35" s="232">
        <v>0.16500000000000001</v>
      </c>
      <c r="BB35" s="197">
        <v>10</v>
      </c>
      <c r="BC35" s="197">
        <v>9.5000000000000001E-2</v>
      </c>
      <c r="BD35" s="197">
        <v>8</v>
      </c>
      <c r="BE35" s="197">
        <v>0.1</v>
      </c>
      <c r="BF35" s="206">
        <f t="shared" si="35"/>
        <v>6.93E-2</v>
      </c>
      <c r="BG35" s="206">
        <f t="shared" si="36"/>
        <v>6.93E-2</v>
      </c>
      <c r="BH35" s="207">
        <v>1</v>
      </c>
      <c r="BK35" s="222" t="s">
        <v>240</v>
      </c>
      <c r="BL35" s="223">
        <v>0.16</v>
      </c>
      <c r="BN35" s="222" t="s">
        <v>240</v>
      </c>
      <c r="BO35" s="223">
        <v>10</v>
      </c>
      <c r="BQ35" s="226" t="s">
        <v>240</v>
      </c>
      <c r="BR35" s="225">
        <v>0.1</v>
      </c>
      <c r="BT35" s="226" t="s">
        <v>240</v>
      </c>
      <c r="BU35" s="225">
        <v>6.7199999999999996E-2</v>
      </c>
      <c r="BW35" s="226" t="s">
        <v>215</v>
      </c>
      <c r="BX35" s="225">
        <v>10</v>
      </c>
      <c r="BZ35" s="226" t="s">
        <v>254</v>
      </c>
      <c r="CA35" s="225">
        <v>6.3E-2</v>
      </c>
      <c r="CC35" s="226" t="s">
        <v>240</v>
      </c>
      <c r="CD35" s="225">
        <v>0.1</v>
      </c>
      <c r="CF35" s="226" t="s">
        <v>215</v>
      </c>
      <c r="CG35" s="225">
        <v>1</v>
      </c>
    </row>
    <row r="36" spans="1:85" s="197" customFormat="1" x14ac:dyDescent="0.3">
      <c r="A36" s="182" t="s">
        <v>217</v>
      </c>
      <c r="B36" s="183">
        <v>1</v>
      </c>
      <c r="C36" s="184" t="s">
        <v>258</v>
      </c>
      <c r="D36" s="187">
        <v>6</v>
      </c>
      <c r="E36" s="187">
        <v>3.585</v>
      </c>
      <c r="F36" s="186">
        <v>0.2</v>
      </c>
      <c r="G36" s="187">
        <f t="shared" si="16"/>
        <v>4.3019999999999996</v>
      </c>
      <c r="H36" s="188">
        <f t="shared" si="0"/>
        <v>21.509999999999998</v>
      </c>
      <c r="I36" s="183">
        <f t="shared" si="1"/>
        <v>12</v>
      </c>
      <c r="J36" s="188">
        <f t="shared" si="17"/>
        <v>0.2</v>
      </c>
      <c r="K36" s="183">
        <f t="shared" si="18"/>
        <v>19</v>
      </c>
      <c r="L36" s="189">
        <f t="shared" si="19"/>
        <v>8.4000000000000005E-2</v>
      </c>
      <c r="M36" s="189">
        <f t="shared" si="44"/>
        <v>0.53</v>
      </c>
      <c r="N36" s="189">
        <f t="shared" si="20"/>
        <v>-0.04</v>
      </c>
      <c r="O36" s="189">
        <f>5.2*0.3</f>
        <v>1.56</v>
      </c>
      <c r="P36" s="188">
        <f t="shared" si="34"/>
        <v>8.1340000000000003</v>
      </c>
      <c r="Q36" s="183">
        <f t="shared" si="2"/>
        <v>12</v>
      </c>
      <c r="R36" s="188">
        <f t="shared" si="3"/>
        <v>0.2</v>
      </c>
      <c r="S36" s="183">
        <f t="shared" si="4"/>
        <v>18</v>
      </c>
      <c r="T36" s="189">
        <f t="shared" si="5"/>
        <v>8.4000000000000005E-2</v>
      </c>
      <c r="U36" s="189">
        <f t="shared" si="45"/>
        <v>0.53</v>
      </c>
      <c r="V36" s="189">
        <f t="shared" si="21"/>
        <v>-0.04</v>
      </c>
      <c r="W36" s="189">
        <v>0</v>
      </c>
      <c r="X36" s="188">
        <f t="shared" si="41"/>
        <v>6.734</v>
      </c>
      <c r="Y36" s="183">
        <f t="shared" si="6"/>
        <v>10</v>
      </c>
      <c r="Z36" s="182">
        <f t="shared" si="7"/>
        <v>0.4</v>
      </c>
      <c r="AA36" s="183">
        <f t="shared" si="8"/>
        <v>16</v>
      </c>
      <c r="AB36" s="189">
        <f t="shared" si="9"/>
        <v>8.4000000000000005E-2</v>
      </c>
      <c r="AC36" s="189">
        <f t="shared" si="42"/>
        <v>0.6</v>
      </c>
      <c r="AD36" s="189">
        <f t="shared" si="22"/>
        <v>-0.04</v>
      </c>
      <c r="AE36" s="189">
        <f>3.07*0.3</f>
        <v>0.92099999999999993</v>
      </c>
      <c r="AF36" s="188">
        <f t="shared" si="23"/>
        <v>5.15</v>
      </c>
      <c r="AG36" s="183">
        <f t="shared" si="10"/>
        <v>10</v>
      </c>
      <c r="AH36" s="182">
        <f t="shared" si="11"/>
        <v>0.4</v>
      </c>
      <c r="AI36" s="183">
        <f t="shared" si="12"/>
        <v>15</v>
      </c>
      <c r="AJ36" s="189">
        <f t="shared" si="13"/>
        <v>8.4000000000000005E-2</v>
      </c>
      <c r="AK36" s="189">
        <f t="shared" si="43"/>
        <v>0.6</v>
      </c>
      <c r="AL36" s="189">
        <f t="shared" si="24"/>
        <v>-0.04</v>
      </c>
      <c r="AM36" s="189">
        <f>4.307*0.3</f>
        <v>1.2921</v>
      </c>
      <c r="AN36" s="188">
        <f t="shared" si="37"/>
        <v>5.5210999999999997</v>
      </c>
      <c r="AO36" s="183">
        <v>0</v>
      </c>
      <c r="AP36" s="182">
        <f t="shared" si="14"/>
        <v>12</v>
      </c>
      <c r="AQ36" s="182">
        <v>1.5</v>
      </c>
      <c r="AR36" s="187">
        <f t="shared" si="25"/>
        <v>0</v>
      </c>
      <c r="AS36" s="187">
        <f t="shared" si="26"/>
        <v>0</v>
      </c>
      <c r="AT36" s="187">
        <f t="shared" si="27"/>
        <v>275.75799999999998</v>
      </c>
      <c r="AU36" s="187">
        <f t="shared" si="28"/>
        <v>0</v>
      </c>
      <c r="AV36" s="187">
        <f t="shared" si="15"/>
        <v>165.2165</v>
      </c>
      <c r="AW36" s="187">
        <f t="shared" si="29"/>
        <v>0</v>
      </c>
      <c r="AX36" s="187">
        <f t="shared" si="30"/>
        <v>18</v>
      </c>
      <c r="AY36" s="190"/>
      <c r="AZ36" s="227" t="s">
        <v>240</v>
      </c>
      <c r="BA36" s="232">
        <v>0.16</v>
      </c>
      <c r="BB36" s="197">
        <v>10</v>
      </c>
      <c r="BC36" s="197">
        <v>0.1</v>
      </c>
      <c r="BD36" s="197">
        <v>10</v>
      </c>
      <c r="BE36" s="197">
        <v>0.1</v>
      </c>
      <c r="BF36" s="206">
        <f t="shared" si="35"/>
        <v>6.7199999999999996E-2</v>
      </c>
      <c r="BG36" s="206">
        <f t="shared" si="36"/>
        <v>6.7199999999999996E-2</v>
      </c>
      <c r="BH36" s="207">
        <v>1</v>
      </c>
      <c r="BK36" s="222" t="s">
        <v>190</v>
      </c>
      <c r="BL36" s="223">
        <v>0.2</v>
      </c>
      <c r="BN36" s="222" t="s">
        <v>190</v>
      </c>
      <c r="BO36" s="223">
        <v>12</v>
      </c>
      <c r="BQ36" s="226" t="s">
        <v>190</v>
      </c>
      <c r="BR36" s="225">
        <v>0.1</v>
      </c>
      <c r="BT36" s="226" t="s">
        <v>190</v>
      </c>
      <c r="BU36" s="225">
        <v>8.4000000000000005E-2</v>
      </c>
      <c r="BW36" s="226" t="s">
        <v>217</v>
      </c>
      <c r="BX36" s="225">
        <v>10</v>
      </c>
      <c r="BZ36" s="226" t="s">
        <v>190</v>
      </c>
      <c r="CA36" s="225">
        <v>8.4000000000000005E-2</v>
      </c>
      <c r="CC36" s="226" t="s">
        <v>190</v>
      </c>
      <c r="CD36" s="225">
        <v>0.12</v>
      </c>
      <c r="CF36" s="226" t="s">
        <v>217</v>
      </c>
      <c r="CG36" s="225">
        <v>1</v>
      </c>
    </row>
    <row r="37" spans="1:85" s="197" customFormat="1" x14ac:dyDescent="0.3">
      <c r="A37" s="182" t="s">
        <v>190</v>
      </c>
      <c r="B37" s="183">
        <v>1</v>
      </c>
      <c r="C37" s="184" t="s">
        <v>255</v>
      </c>
      <c r="D37" s="187">
        <v>6</v>
      </c>
      <c r="E37" s="187">
        <v>3.0718999999999999</v>
      </c>
      <c r="F37" s="186">
        <v>0.2</v>
      </c>
      <c r="G37" s="187">
        <f t="shared" si="16"/>
        <v>3.68628</v>
      </c>
      <c r="H37" s="188">
        <f t="shared" si="0"/>
        <v>18.4314</v>
      </c>
      <c r="I37" s="183">
        <f t="shared" si="1"/>
        <v>12</v>
      </c>
      <c r="J37" s="188">
        <f t="shared" si="17"/>
        <v>0.2</v>
      </c>
      <c r="K37" s="183">
        <f t="shared" si="18"/>
        <v>16</v>
      </c>
      <c r="L37" s="189">
        <f t="shared" si="19"/>
        <v>8.4000000000000005E-2</v>
      </c>
      <c r="M37" s="189">
        <f t="shared" si="44"/>
        <v>0.53</v>
      </c>
      <c r="N37" s="189">
        <f t="shared" si="20"/>
        <v>-0.04</v>
      </c>
      <c r="O37" s="189">
        <f>4.22*0.3</f>
        <v>1.2659999999999998</v>
      </c>
      <c r="P37" s="188">
        <f t="shared" si="34"/>
        <v>7.84</v>
      </c>
      <c r="Q37" s="183">
        <f t="shared" si="2"/>
        <v>12</v>
      </c>
      <c r="R37" s="188">
        <f t="shared" si="3"/>
        <v>0.2</v>
      </c>
      <c r="S37" s="183">
        <f t="shared" si="4"/>
        <v>15</v>
      </c>
      <c r="T37" s="189">
        <f t="shared" si="5"/>
        <v>8.4000000000000005E-2</v>
      </c>
      <c r="U37" s="189">
        <f t="shared" si="45"/>
        <v>0.53</v>
      </c>
      <c r="V37" s="189">
        <f t="shared" si="21"/>
        <v>-0.04</v>
      </c>
      <c r="W37" s="189">
        <v>0</v>
      </c>
      <c r="X37" s="188">
        <f t="shared" si="41"/>
        <v>6.734</v>
      </c>
      <c r="Y37" s="183">
        <f t="shared" si="6"/>
        <v>8</v>
      </c>
      <c r="Z37" s="182">
        <f t="shared" si="7"/>
        <v>0.24</v>
      </c>
      <c r="AA37" s="183">
        <f t="shared" si="8"/>
        <v>26</v>
      </c>
      <c r="AB37" s="189">
        <f t="shared" si="9"/>
        <v>8.4000000000000005E-2</v>
      </c>
      <c r="AC37" s="189">
        <f t="shared" si="42"/>
        <v>0.6</v>
      </c>
      <c r="AD37" s="189">
        <f t="shared" si="22"/>
        <v>-0.04</v>
      </c>
      <c r="AE37" s="189">
        <f>2.409*0.3</f>
        <v>0.7226999999999999</v>
      </c>
      <c r="AF37" s="188">
        <f t="shared" si="23"/>
        <v>4.4385999999999992</v>
      </c>
      <c r="AG37" s="183">
        <f t="shared" si="10"/>
        <v>8</v>
      </c>
      <c r="AH37" s="182">
        <f t="shared" si="11"/>
        <v>0.24</v>
      </c>
      <c r="AI37" s="183">
        <f t="shared" si="12"/>
        <v>25</v>
      </c>
      <c r="AJ37" s="189">
        <f t="shared" si="13"/>
        <v>8.4000000000000005E-2</v>
      </c>
      <c r="AK37" s="189">
        <f t="shared" si="43"/>
        <v>0.6</v>
      </c>
      <c r="AL37" s="189">
        <f t="shared" si="24"/>
        <v>-0.04</v>
      </c>
      <c r="AM37" s="189">
        <f>3.585*0.3</f>
        <v>1.0754999999999999</v>
      </c>
      <c r="AN37" s="188">
        <f t="shared" si="37"/>
        <v>4.7913999999999994</v>
      </c>
      <c r="AO37" s="183">
        <v>0</v>
      </c>
      <c r="AP37" s="182">
        <f t="shared" si="14"/>
        <v>12</v>
      </c>
      <c r="AQ37" s="182">
        <v>1.5</v>
      </c>
      <c r="AR37" s="187">
        <f t="shared" si="25"/>
        <v>0</v>
      </c>
      <c r="AS37" s="187">
        <f t="shared" si="26"/>
        <v>0</v>
      </c>
      <c r="AT37" s="187">
        <f t="shared" si="27"/>
        <v>226.45</v>
      </c>
      <c r="AU37" s="187">
        <f t="shared" si="28"/>
        <v>235.18859999999995</v>
      </c>
      <c r="AV37" s="187">
        <f t="shared" si="15"/>
        <v>0</v>
      </c>
      <c r="AW37" s="187">
        <f t="shared" si="29"/>
        <v>0</v>
      </c>
      <c r="AX37" s="187">
        <f t="shared" si="30"/>
        <v>18</v>
      </c>
      <c r="AY37" s="190"/>
      <c r="AZ37" s="227" t="s">
        <v>259</v>
      </c>
      <c r="BA37" s="232">
        <v>0.17499999999999999</v>
      </c>
      <c r="BB37" s="197">
        <v>10</v>
      </c>
      <c r="BC37" s="197">
        <v>0.75</v>
      </c>
      <c r="BD37" s="197">
        <v>10</v>
      </c>
      <c r="BE37" s="197">
        <v>8.5000000000000006E-2</v>
      </c>
      <c r="BF37" s="206">
        <f t="shared" si="35"/>
        <v>7.3499999999999996E-2</v>
      </c>
      <c r="BG37" s="206">
        <f t="shared" si="36"/>
        <v>7.3499999999999996E-2</v>
      </c>
      <c r="BH37" s="207">
        <v>1</v>
      </c>
      <c r="BK37" s="222" t="s">
        <v>215</v>
      </c>
      <c r="BL37" s="223">
        <v>0.22500000000000001</v>
      </c>
      <c r="BN37" s="222" t="s">
        <v>215</v>
      </c>
      <c r="BO37" s="223">
        <v>12</v>
      </c>
      <c r="BQ37" s="226" t="s">
        <v>215</v>
      </c>
      <c r="BR37" s="225">
        <v>0.09</v>
      </c>
      <c r="BT37" s="226" t="s">
        <v>215</v>
      </c>
      <c r="BU37" s="225">
        <v>9.4500000000000001E-2</v>
      </c>
      <c r="BW37" s="226" t="s">
        <v>221</v>
      </c>
      <c r="BX37" s="225">
        <v>8</v>
      </c>
      <c r="BZ37" s="226" t="s">
        <v>215</v>
      </c>
      <c r="CA37" s="225">
        <v>9.4500000000000001E-2</v>
      </c>
      <c r="CC37" s="226" t="s">
        <v>215</v>
      </c>
      <c r="CD37" s="225">
        <v>0.15</v>
      </c>
      <c r="CF37" s="226" t="s">
        <v>221</v>
      </c>
      <c r="CG37" s="225">
        <v>1</v>
      </c>
    </row>
    <row r="38" spans="1:85" s="197" customFormat="1" x14ac:dyDescent="0.3">
      <c r="A38" s="182" t="s">
        <v>221</v>
      </c>
      <c r="B38" s="183">
        <v>1</v>
      </c>
      <c r="C38" s="184" t="s">
        <v>260</v>
      </c>
      <c r="D38" s="187">
        <v>6</v>
      </c>
      <c r="E38" s="187">
        <v>2.4089999999999998</v>
      </c>
      <c r="F38" s="186">
        <v>0.17499999999999999</v>
      </c>
      <c r="G38" s="187">
        <f t="shared" si="16"/>
        <v>2.5294499999999998</v>
      </c>
      <c r="H38" s="188">
        <f t="shared" si="0"/>
        <v>14.453999999999999</v>
      </c>
      <c r="I38" s="183">
        <f t="shared" si="1"/>
        <v>12</v>
      </c>
      <c r="J38" s="188">
        <f t="shared" si="17"/>
        <v>0.2</v>
      </c>
      <c r="K38" s="183">
        <f t="shared" si="18"/>
        <v>13</v>
      </c>
      <c r="L38" s="189">
        <f t="shared" si="19"/>
        <v>7.3499999999999996E-2</v>
      </c>
      <c r="M38" s="189">
        <f t="shared" si="44"/>
        <v>0.53</v>
      </c>
      <c r="N38" s="189">
        <f t="shared" si="20"/>
        <v>-0.04</v>
      </c>
      <c r="O38" s="189">
        <f>4.86*0.3</f>
        <v>1.458</v>
      </c>
      <c r="P38" s="188">
        <f t="shared" si="34"/>
        <v>8.0214999999999996</v>
      </c>
      <c r="Q38" s="183">
        <f t="shared" si="2"/>
        <v>12</v>
      </c>
      <c r="R38" s="188">
        <f t="shared" si="3"/>
        <v>0.2</v>
      </c>
      <c r="S38" s="183">
        <f t="shared" si="4"/>
        <v>12</v>
      </c>
      <c r="T38" s="189">
        <f t="shared" si="5"/>
        <v>7.3499999999999996E-2</v>
      </c>
      <c r="U38" s="189">
        <f t="shared" si="45"/>
        <v>0.53</v>
      </c>
      <c r="V38" s="189">
        <f t="shared" si="21"/>
        <v>-0.04</v>
      </c>
      <c r="W38" s="189">
        <v>0</v>
      </c>
      <c r="X38" s="188">
        <f t="shared" si="41"/>
        <v>6.6985000000000001</v>
      </c>
      <c r="Y38" s="183">
        <f t="shared" si="6"/>
        <v>8</v>
      </c>
      <c r="Z38" s="182">
        <f t="shared" si="7"/>
        <v>0.32</v>
      </c>
      <c r="AA38" s="183">
        <f t="shared" si="8"/>
        <v>20</v>
      </c>
      <c r="AB38" s="189">
        <f t="shared" si="9"/>
        <v>7.3499999999999996E-2</v>
      </c>
      <c r="AC38" s="189">
        <f t="shared" si="42"/>
        <v>0.6</v>
      </c>
      <c r="AD38" s="189">
        <f t="shared" si="22"/>
        <v>-0.04</v>
      </c>
      <c r="AE38" s="189">
        <f>2.417*0.3</f>
        <v>0.72509999999999997</v>
      </c>
      <c r="AF38" s="188">
        <f t="shared" si="23"/>
        <v>3.7675999999999998</v>
      </c>
      <c r="AG38" s="183">
        <f t="shared" si="10"/>
        <v>8</v>
      </c>
      <c r="AH38" s="182">
        <f t="shared" si="11"/>
        <v>0.32</v>
      </c>
      <c r="AI38" s="183">
        <f t="shared" si="12"/>
        <v>19</v>
      </c>
      <c r="AJ38" s="189">
        <f t="shared" si="13"/>
        <v>7.3499999999999996E-2</v>
      </c>
      <c r="AK38" s="189">
        <f t="shared" si="43"/>
        <v>0.6</v>
      </c>
      <c r="AL38" s="189">
        <f t="shared" si="24"/>
        <v>-0.04</v>
      </c>
      <c r="AM38" s="189">
        <f>3.07*0.3</f>
        <v>0.92099999999999993</v>
      </c>
      <c r="AN38" s="188">
        <f t="shared" si="37"/>
        <v>3.9634999999999998</v>
      </c>
      <c r="AO38" s="183">
        <v>0</v>
      </c>
      <c r="AP38" s="182">
        <f t="shared" si="14"/>
        <v>12</v>
      </c>
      <c r="AQ38" s="182">
        <v>1.5</v>
      </c>
      <c r="AR38" s="187">
        <f t="shared" si="25"/>
        <v>0</v>
      </c>
      <c r="AS38" s="187">
        <f t="shared" si="26"/>
        <v>0</v>
      </c>
      <c r="AT38" s="187">
        <f t="shared" si="27"/>
        <v>184.66149999999999</v>
      </c>
      <c r="AU38" s="187">
        <f t="shared" si="28"/>
        <v>150.6585</v>
      </c>
      <c r="AV38" s="187">
        <f t="shared" si="15"/>
        <v>0</v>
      </c>
      <c r="AW38" s="187">
        <f t="shared" si="29"/>
        <v>0</v>
      </c>
      <c r="AX38" s="187">
        <f t="shared" si="30"/>
        <v>18</v>
      </c>
      <c r="AY38" s="190"/>
      <c r="AZ38" s="227" t="s">
        <v>261</v>
      </c>
      <c r="BA38" s="232">
        <v>0.12</v>
      </c>
      <c r="BB38" s="197">
        <v>10</v>
      </c>
      <c r="BC38" s="197">
        <v>0.125</v>
      </c>
      <c r="BD38" s="197">
        <v>8</v>
      </c>
      <c r="BE38" s="197">
        <v>0.2</v>
      </c>
      <c r="BF38" s="206">
        <f t="shared" si="35"/>
        <v>5.0399999999999993E-2</v>
      </c>
      <c r="BG38" s="206"/>
      <c r="BH38" s="207">
        <v>1</v>
      </c>
      <c r="BK38" s="222" t="s">
        <v>217</v>
      </c>
      <c r="BL38" s="223">
        <v>0.2</v>
      </c>
      <c r="BN38" s="222" t="s">
        <v>217</v>
      </c>
      <c r="BO38" s="223">
        <v>12</v>
      </c>
      <c r="BQ38" s="226" t="s">
        <v>217</v>
      </c>
      <c r="BR38" s="225">
        <v>0.1</v>
      </c>
      <c r="BT38" s="226" t="s">
        <v>217</v>
      </c>
      <c r="BU38" s="225">
        <v>8.4000000000000005E-2</v>
      </c>
      <c r="BW38" s="226" t="s">
        <v>236</v>
      </c>
      <c r="BX38" s="225">
        <v>8</v>
      </c>
      <c r="BZ38" s="226" t="s">
        <v>217</v>
      </c>
      <c r="CA38" s="225">
        <v>8.4000000000000005E-2</v>
      </c>
      <c r="CC38" s="226" t="s">
        <v>217</v>
      </c>
      <c r="CD38" s="225">
        <v>0.2</v>
      </c>
      <c r="CF38" s="226" t="s">
        <v>236</v>
      </c>
      <c r="CG38" s="225">
        <v>1</v>
      </c>
    </row>
    <row r="39" spans="1:85" s="197" customFormat="1" x14ac:dyDescent="0.3">
      <c r="A39" s="182" t="s">
        <v>221</v>
      </c>
      <c r="B39" s="183">
        <v>1</v>
      </c>
      <c r="C39" s="184" t="s">
        <v>262</v>
      </c>
      <c r="D39" s="187">
        <v>6</v>
      </c>
      <c r="E39" s="187">
        <v>2.4169999999999998</v>
      </c>
      <c r="F39" s="186">
        <v>0.17499999999999999</v>
      </c>
      <c r="G39" s="187">
        <f t="shared" si="16"/>
        <v>2.5378499999999997</v>
      </c>
      <c r="H39" s="188">
        <f t="shared" si="0"/>
        <v>14.501999999999999</v>
      </c>
      <c r="I39" s="183">
        <f t="shared" si="1"/>
        <v>12</v>
      </c>
      <c r="J39" s="188">
        <f t="shared" si="17"/>
        <v>0.2</v>
      </c>
      <c r="K39" s="183">
        <f t="shared" si="18"/>
        <v>13</v>
      </c>
      <c r="L39" s="189">
        <f t="shared" si="19"/>
        <v>7.3499999999999996E-2</v>
      </c>
      <c r="M39" s="189">
        <f t="shared" si="44"/>
        <v>0.53</v>
      </c>
      <c r="N39" s="189">
        <f t="shared" si="20"/>
        <v>-0.04</v>
      </c>
      <c r="O39" s="189">
        <f>3.966*0.3</f>
        <v>1.1898</v>
      </c>
      <c r="P39" s="188">
        <f t="shared" si="34"/>
        <v>7.7532999999999994</v>
      </c>
      <c r="Q39" s="183">
        <f t="shared" si="2"/>
        <v>12</v>
      </c>
      <c r="R39" s="188">
        <f t="shared" si="3"/>
        <v>0.2</v>
      </c>
      <c r="S39" s="183">
        <f t="shared" si="4"/>
        <v>12</v>
      </c>
      <c r="T39" s="189">
        <f t="shared" si="5"/>
        <v>7.3499999999999996E-2</v>
      </c>
      <c r="U39" s="189">
        <f t="shared" si="45"/>
        <v>0.53</v>
      </c>
      <c r="V39" s="189">
        <f t="shared" si="21"/>
        <v>-0.04</v>
      </c>
      <c r="W39" s="189">
        <v>0</v>
      </c>
      <c r="X39" s="188">
        <f t="shared" si="41"/>
        <v>6.6985000000000001</v>
      </c>
      <c r="Y39" s="183">
        <f t="shared" si="6"/>
        <v>8</v>
      </c>
      <c r="Z39" s="182">
        <f t="shared" si="7"/>
        <v>0.32</v>
      </c>
      <c r="AA39" s="183">
        <f t="shared" si="8"/>
        <v>20</v>
      </c>
      <c r="AB39" s="189">
        <f t="shared" si="9"/>
        <v>7.3499999999999996E-2</v>
      </c>
      <c r="AC39" s="189">
        <f t="shared" si="42"/>
        <v>0.6</v>
      </c>
      <c r="AD39" s="189">
        <f t="shared" si="22"/>
        <v>-0.04</v>
      </c>
      <c r="AE39" s="189">
        <f>2.859*0.3</f>
        <v>0.85770000000000002</v>
      </c>
      <c r="AF39" s="188">
        <f t="shared" si="23"/>
        <v>3.9081999999999999</v>
      </c>
      <c r="AG39" s="183">
        <f t="shared" si="10"/>
        <v>8</v>
      </c>
      <c r="AH39" s="182">
        <f t="shared" si="11"/>
        <v>0.32</v>
      </c>
      <c r="AI39" s="183">
        <f t="shared" si="12"/>
        <v>19</v>
      </c>
      <c r="AJ39" s="189">
        <f t="shared" si="13"/>
        <v>7.3499999999999996E-2</v>
      </c>
      <c r="AK39" s="189">
        <f t="shared" si="43"/>
        <v>0.6</v>
      </c>
      <c r="AL39" s="189">
        <f t="shared" si="24"/>
        <v>-0.04</v>
      </c>
      <c r="AM39" s="189">
        <f>2.4096*0.3</f>
        <v>0.72288000000000008</v>
      </c>
      <c r="AN39" s="188">
        <f t="shared" si="37"/>
        <v>3.77338</v>
      </c>
      <c r="AO39" s="183">
        <v>0</v>
      </c>
      <c r="AP39" s="182">
        <f t="shared" si="14"/>
        <v>12</v>
      </c>
      <c r="AQ39" s="182">
        <v>1.5</v>
      </c>
      <c r="AR39" s="187">
        <f t="shared" si="25"/>
        <v>0</v>
      </c>
      <c r="AS39" s="187">
        <f t="shared" si="26"/>
        <v>0</v>
      </c>
      <c r="AT39" s="187">
        <f t="shared" si="27"/>
        <v>181.17489999999998</v>
      </c>
      <c r="AU39" s="187">
        <f t="shared" si="28"/>
        <v>149.85822000000002</v>
      </c>
      <c r="AV39" s="187">
        <f t="shared" si="15"/>
        <v>0</v>
      </c>
      <c r="AW39" s="187">
        <f t="shared" si="29"/>
        <v>0</v>
      </c>
      <c r="AX39" s="187">
        <f t="shared" si="30"/>
        <v>18</v>
      </c>
      <c r="AY39" s="190"/>
      <c r="AZ39" s="227"/>
      <c r="BA39" s="232"/>
      <c r="BF39" s="206"/>
      <c r="BG39" s="206"/>
      <c r="BH39" s="207"/>
      <c r="BK39" s="222" t="s">
        <v>221</v>
      </c>
      <c r="BL39" s="223">
        <v>0.17499999999999999</v>
      </c>
      <c r="BN39" s="222" t="s">
        <v>221</v>
      </c>
      <c r="BO39" s="223">
        <v>12</v>
      </c>
      <c r="BQ39" s="226" t="s">
        <v>221</v>
      </c>
      <c r="BR39" s="225">
        <v>0.1</v>
      </c>
      <c r="BT39" s="226" t="s">
        <v>221</v>
      </c>
      <c r="BU39" s="225">
        <v>7.3499999999999996E-2</v>
      </c>
      <c r="BW39" s="226" t="s">
        <v>240</v>
      </c>
      <c r="BX39" s="225">
        <v>10</v>
      </c>
      <c r="BZ39" s="226" t="s">
        <v>221</v>
      </c>
      <c r="CA39" s="225">
        <v>7.3499999999999996E-2</v>
      </c>
      <c r="CC39" s="226" t="s">
        <v>221</v>
      </c>
      <c r="CD39" s="225">
        <v>0.16</v>
      </c>
      <c r="CF39" s="226" t="s">
        <v>240</v>
      </c>
      <c r="CG39" s="225">
        <v>1</v>
      </c>
    </row>
    <row r="40" spans="1:85" s="197" customFormat="1" x14ac:dyDescent="0.3">
      <c r="A40" s="182" t="s">
        <v>221</v>
      </c>
      <c r="B40" s="183">
        <v>1</v>
      </c>
      <c r="C40" s="184" t="s">
        <v>263</v>
      </c>
      <c r="D40" s="187">
        <v>6</v>
      </c>
      <c r="E40" s="187">
        <v>2.8586</v>
      </c>
      <c r="F40" s="186">
        <v>0.17499999999999999</v>
      </c>
      <c r="G40" s="187">
        <f t="shared" si="16"/>
        <v>3.0015300000000003</v>
      </c>
      <c r="H40" s="188">
        <f t="shared" si="0"/>
        <v>17.151600000000002</v>
      </c>
      <c r="I40" s="183">
        <f t="shared" si="1"/>
        <v>12</v>
      </c>
      <c r="J40" s="188">
        <f t="shared" si="17"/>
        <v>0.2</v>
      </c>
      <c r="K40" s="183">
        <f t="shared" si="18"/>
        <v>15</v>
      </c>
      <c r="L40" s="189">
        <f t="shared" si="19"/>
        <v>7.3499999999999996E-2</v>
      </c>
      <c r="M40" s="189">
        <f t="shared" si="44"/>
        <v>0.53</v>
      </c>
      <c r="N40" s="189">
        <f t="shared" si="20"/>
        <v>-0.04</v>
      </c>
      <c r="O40" s="189">
        <f>3.277*0.3</f>
        <v>0.98309999999999997</v>
      </c>
      <c r="P40" s="188">
        <f t="shared" si="34"/>
        <v>7.5465999999999998</v>
      </c>
      <c r="Q40" s="183">
        <f t="shared" si="2"/>
        <v>12</v>
      </c>
      <c r="R40" s="188">
        <f t="shared" si="3"/>
        <v>0.2</v>
      </c>
      <c r="S40" s="183">
        <f t="shared" si="4"/>
        <v>14</v>
      </c>
      <c r="T40" s="189">
        <f t="shared" si="5"/>
        <v>7.3499999999999996E-2</v>
      </c>
      <c r="U40" s="189">
        <f t="shared" si="45"/>
        <v>0.53</v>
      </c>
      <c r="V40" s="189">
        <f t="shared" si="21"/>
        <v>-0.04</v>
      </c>
      <c r="W40" s="189">
        <v>0</v>
      </c>
      <c r="X40" s="188">
        <f t="shared" ref="X40:X41" si="46">+D40+SUM(T40:W40)+(F40-0.02*2)</f>
        <v>6.6985000000000001</v>
      </c>
      <c r="Y40" s="183">
        <f t="shared" si="6"/>
        <v>8</v>
      </c>
      <c r="Z40" s="182">
        <f t="shared" si="7"/>
        <v>0.32</v>
      </c>
      <c r="AA40" s="183">
        <f t="shared" si="8"/>
        <v>20</v>
      </c>
      <c r="AB40" s="189">
        <f t="shared" si="9"/>
        <v>7.3499999999999996E-2</v>
      </c>
      <c r="AC40" s="189">
        <f t="shared" si="42"/>
        <v>0.6</v>
      </c>
      <c r="AD40" s="189">
        <f t="shared" si="22"/>
        <v>-0.04</v>
      </c>
      <c r="AE40" s="189">
        <f>2.417*0.3</f>
        <v>0.72509999999999997</v>
      </c>
      <c r="AF40" s="188">
        <f t="shared" si="23"/>
        <v>4.2172000000000001</v>
      </c>
      <c r="AG40" s="183">
        <f t="shared" si="10"/>
        <v>8</v>
      </c>
      <c r="AH40" s="182">
        <f t="shared" si="11"/>
        <v>0.32</v>
      </c>
      <c r="AI40" s="183">
        <f t="shared" si="12"/>
        <v>19</v>
      </c>
      <c r="AJ40" s="189">
        <f t="shared" si="13"/>
        <v>7.3499999999999996E-2</v>
      </c>
      <c r="AK40" s="189">
        <f t="shared" si="43"/>
        <v>0.6</v>
      </c>
      <c r="AL40" s="189">
        <f t="shared" si="24"/>
        <v>-0.04</v>
      </c>
      <c r="AM40" s="189">
        <f>2.3576*0.3</f>
        <v>0.70728000000000002</v>
      </c>
      <c r="AN40" s="188">
        <f t="shared" si="37"/>
        <v>4.1993799999999997</v>
      </c>
      <c r="AO40" s="183">
        <v>0</v>
      </c>
      <c r="AP40" s="182">
        <f t="shared" si="14"/>
        <v>12</v>
      </c>
      <c r="AQ40" s="182">
        <v>1.5</v>
      </c>
      <c r="AR40" s="187">
        <f t="shared" si="25"/>
        <v>0</v>
      </c>
      <c r="AS40" s="187">
        <f t="shared" si="26"/>
        <v>0</v>
      </c>
      <c r="AT40" s="187">
        <f t="shared" si="27"/>
        <v>206.97800000000001</v>
      </c>
      <c r="AU40" s="187">
        <f t="shared" si="28"/>
        <v>164.13221999999999</v>
      </c>
      <c r="AV40" s="187">
        <f t="shared" si="15"/>
        <v>0</v>
      </c>
      <c r="AW40" s="187">
        <f t="shared" si="29"/>
        <v>0</v>
      </c>
      <c r="AX40" s="187">
        <f t="shared" si="30"/>
        <v>18</v>
      </c>
      <c r="AY40" s="190"/>
      <c r="AZ40" s="235"/>
      <c r="BA40" s="236"/>
      <c r="BB40" s="237"/>
      <c r="BC40" s="237"/>
      <c r="BD40" s="237"/>
      <c r="BE40" s="237"/>
      <c r="BF40" s="238"/>
      <c r="BG40" s="237"/>
      <c r="BH40" s="239"/>
      <c r="BK40" s="222" t="s">
        <v>259</v>
      </c>
      <c r="BL40" s="223">
        <v>0.17499999999999999</v>
      </c>
      <c r="BN40" s="222" t="s">
        <v>259</v>
      </c>
      <c r="BO40" s="223">
        <v>10</v>
      </c>
      <c r="BQ40" s="226" t="s">
        <v>259</v>
      </c>
      <c r="BR40" s="225">
        <v>0.75</v>
      </c>
      <c r="BT40" s="226" t="s">
        <v>259</v>
      </c>
      <c r="BU40" s="225">
        <v>7.3499999999999996E-2</v>
      </c>
      <c r="BW40" s="226" t="s">
        <v>259</v>
      </c>
      <c r="BX40" s="225">
        <v>10</v>
      </c>
      <c r="BZ40" s="226" t="s">
        <v>259</v>
      </c>
      <c r="CA40" s="225">
        <v>7.3499999999999996E-2</v>
      </c>
      <c r="CC40" s="226" t="s">
        <v>259</v>
      </c>
      <c r="CD40" s="225">
        <v>8.5000000000000006E-2</v>
      </c>
      <c r="CF40" s="226" t="s">
        <v>259</v>
      </c>
      <c r="CG40" s="225">
        <v>1</v>
      </c>
    </row>
    <row r="41" spans="1:85" s="197" customFormat="1" x14ac:dyDescent="0.3">
      <c r="A41" s="182" t="s">
        <v>221</v>
      </c>
      <c r="B41" s="183">
        <v>2</v>
      </c>
      <c r="C41" s="184" t="s">
        <v>264</v>
      </c>
      <c r="D41" s="187">
        <v>6.3078000000000003</v>
      </c>
      <c r="E41" s="187">
        <v>2.3576000000000001</v>
      </c>
      <c r="F41" s="186">
        <v>0.17499999999999999</v>
      </c>
      <c r="G41" s="187">
        <f t="shared" si="16"/>
        <v>5.2049442480000003</v>
      </c>
      <c r="H41" s="188">
        <f t="shared" si="0"/>
        <v>29.742538560000003</v>
      </c>
      <c r="I41" s="183">
        <f t="shared" si="1"/>
        <v>12</v>
      </c>
      <c r="J41" s="188">
        <f t="shared" si="17"/>
        <v>0.2</v>
      </c>
      <c r="K41" s="183">
        <f t="shared" si="18"/>
        <v>13</v>
      </c>
      <c r="L41" s="189">
        <f t="shared" si="19"/>
        <v>7.3499999999999996E-2</v>
      </c>
      <c r="M41" s="189">
        <f t="shared" si="44"/>
        <v>0.53</v>
      </c>
      <c r="N41" s="189">
        <f t="shared" si="20"/>
        <v>-0.04</v>
      </c>
      <c r="O41" s="189">
        <f>2.3787*0.3</f>
        <v>0.71360999999999997</v>
      </c>
      <c r="P41" s="188">
        <f t="shared" si="34"/>
        <v>7.5849100000000007</v>
      </c>
      <c r="Q41" s="183">
        <f t="shared" si="2"/>
        <v>12</v>
      </c>
      <c r="R41" s="188">
        <f t="shared" si="3"/>
        <v>0.2</v>
      </c>
      <c r="S41" s="183">
        <f t="shared" si="4"/>
        <v>12</v>
      </c>
      <c r="T41" s="189">
        <f t="shared" si="5"/>
        <v>7.3499999999999996E-2</v>
      </c>
      <c r="U41" s="189">
        <f t="shared" si="45"/>
        <v>0.53</v>
      </c>
      <c r="V41" s="189">
        <f t="shared" si="21"/>
        <v>-0.04</v>
      </c>
      <c r="W41" s="189">
        <v>0</v>
      </c>
      <c r="X41" s="188">
        <f t="shared" si="46"/>
        <v>7.0063000000000004</v>
      </c>
      <c r="Y41" s="183">
        <f t="shared" si="6"/>
        <v>8</v>
      </c>
      <c r="Z41" s="182">
        <f t="shared" si="7"/>
        <v>0.32</v>
      </c>
      <c r="AA41" s="183">
        <f t="shared" si="8"/>
        <v>21</v>
      </c>
      <c r="AB41" s="189">
        <f t="shared" si="9"/>
        <v>7.3499999999999996E-2</v>
      </c>
      <c r="AC41" s="189">
        <f t="shared" si="42"/>
        <v>0.6</v>
      </c>
      <c r="AD41" s="189">
        <f t="shared" si="22"/>
        <v>-0.04</v>
      </c>
      <c r="AE41" s="189">
        <f>2.8586*0.3</f>
        <v>0.85758000000000001</v>
      </c>
      <c r="AF41" s="188">
        <f t="shared" si="23"/>
        <v>3.8486799999999999</v>
      </c>
      <c r="AG41" s="183">
        <f t="shared" si="10"/>
        <v>8</v>
      </c>
      <c r="AH41" s="182">
        <f t="shared" si="11"/>
        <v>0.32</v>
      </c>
      <c r="AI41" s="183">
        <f t="shared" si="12"/>
        <v>20</v>
      </c>
      <c r="AJ41" s="189">
        <f t="shared" si="13"/>
        <v>7.3499999999999996E-2</v>
      </c>
      <c r="AK41" s="189">
        <f t="shared" si="43"/>
        <v>0.6</v>
      </c>
      <c r="AL41" s="189">
        <f t="shared" si="24"/>
        <v>-0.04</v>
      </c>
      <c r="AM41" s="189">
        <f>1.17*0.3</f>
        <v>0.35099999999999998</v>
      </c>
      <c r="AN41" s="188">
        <f t="shared" si="37"/>
        <v>3.3421000000000003</v>
      </c>
      <c r="AO41" s="183">
        <v>0</v>
      </c>
      <c r="AP41" s="182">
        <f t="shared" si="14"/>
        <v>12</v>
      </c>
      <c r="AQ41" s="182">
        <v>1.5</v>
      </c>
      <c r="AR41" s="187">
        <f t="shared" si="25"/>
        <v>0</v>
      </c>
      <c r="AS41" s="187">
        <f t="shared" si="26"/>
        <v>0</v>
      </c>
      <c r="AT41" s="187">
        <f t="shared" si="27"/>
        <v>365.35886000000005</v>
      </c>
      <c r="AU41" s="187">
        <f t="shared" si="28"/>
        <v>295.32856000000004</v>
      </c>
      <c r="AV41" s="187">
        <f t="shared" si="15"/>
        <v>0</v>
      </c>
      <c r="AW41" s="187">
        <f t="shared" si="29"/>
        <v>0</v>
      </c>
      <c r="AX41" s="187">
        <f t="shared" si="30"/>
        <v>36</v>
      </c>
      <c r="AY41" s="190"/>
      <c r="AZ41" s="240"/>
      <c r="BA41" s="232"/>
      <c r="BF41" s="206"/>
      <c r="BG41" s="206"/>
      <c r="BK41" s="241" t="s">
        <v>261</v>
      </c>
      <c r="BL41" s="223">
        <v>0.12</v>
      </c>
      <c r="BN41" s="241" t="s">
        <v>261</v>
      </c>
      <c r="BO41" s="242">
        <v>10</v>
      </c>
      <c r="BQ41" s="226" t="s">
        <v>261</v>
      </c>
      <c r="BR41" s="225">
        <v>0.125</v>
      </c>
      <c r="BT41" s="226" t="s">
        <v>261</v>
      </c>
      <c r="BU41" s="225">
        <v>5.0399999999999993E-2</v>
      </c>
      <c r="BW41" s="226" t="s">
        <v>261</v>
      </c>
      <c r="BX41" s="225">
        <v>8</v>
      </c>
      <c r="BZ41" s="226" t="s">
        <v>261</v>
      </c>
      <c r="CA41" s="225"/>
      <c r="CC41" s="226" t="s">
        <v>261</v>
      </c>
      <c r="CD41" s="225">
        <v>0.2</v>
      </c>
      <c r="CF41" s="226" t="s">
        <v>261</v>
      </c>
      <c r="CG41" s="225">
        <v>1</v>
      </c>
    </row>
    <row r="42" spans="1:85" s="197" customFormat="1" x14ac:dyDescent="0.3">
      <c r="A42" s="243" t="s">
        <v>265</v>
      </c>
      <c r="B42" s="183"/>
      <c r="C42" s="184"/>
      <c r="D42" s="187"/>
      <c r="E42" s="187"/>
      <c r="F42" s="186"/>
      <c r="G42" s="187"/>
      <c r="H42" s="188"/>
      <c r="I42" s="183"/>
      <c r="J42" s="188"/>
      <c r="K42" s="183"/>
      <c r="L42" s="189"/>
      <c r="M42" s="189"/>
      <c r="N42" s="189"/>
      <c r="O42" s="189"/>
      <c r="P42" s="188"/>
      <c r="Q42" s="183"/>
      <c r="R42" s="188"/>
      <c r="S42" s="183"/>
      <c r="T42" s="189"/>
      <c r="U42" s="189"/>
      <c r="V42" s="189"/>
      <c r="W42" s="189"/>
      <c r="X42" s="188"/>
      <c r="Y42" s="183"/>
      <c r="Z42" s="182"/>
      <c r="AA42" s="183"/>
      <c r="AB42" s="189"/>
      <c r="AC42" s="189"/>
      <c r="AD42" s="189"/>
      <c r="AE42" s="189"/>
      <c r="AF42" s="188"/>
      <c r="AG42" s="183"/>
      <c r="AH42" s="182"/>
      <c r="AI42" s="183"/>
      <c r="AJ42" s="189"/>
      <c r="AK42" s="189"/>
      <c r="AL42" s="189"/>
      <c r="AM42" s="189"/>
      <c r="AN42" s="188"/>
      <c r="AO42" s="183">
        <v>0</v>
      </c>
      <c r="AP42" s="182"/>
      <c r="AQ42" s="182"/>
      <c r="AR42" s="187"/>
      <c r="AS42" s="187"/>
      <c r="AT42" s="187"/>
      <c r="AU42" s="187"/>
      <c r="AV42" s="187"/>
      <c r="AW42" s="187">
        <f t="shared" si="29"/>
        <v>0</v>
      </c>
      <c r="AX42" s="187">
        <f t="shared" si="30"/>
        <v>0</v>
      </c>
      <c r="AY42" s="190"/>
      <c r="AZ42" s="240"/>
      <c r="BA42" s="232"/>
      <c r="BF42" s="206"/>
      <c r="BG42" s="206"/>
      <c r="BK42" s="244" t="s">
        <v>266</v>
      </c>
      <c r="BL42" s="245">
        <v>3.9099999999999997</v>
      </c>
      <c r="BN42" s="241" t="s">
        <v>266</v>
      </c>
      <c r="BO42" s="242">
        <v>248</v>
      </c>
      <c r="BQ42" s="246" t="s">
        <v>266</v>
      </c>
      <c r="BR42" s="234">
        <v>3.1450000000000005</v>
      </c>
      <c r="BT42" s="233" t="s">
        <v>266</v>
      </c>
      <c r="BU42" s="234">
        <v>1.6421999999999997</v>
      </c>
      <c r="BW42" s="233" t="s">
        <v>266</v>
      </c>
      <c r="BX42" s="234">
        <v>220</v>
      </c>
      <c r="BZ42" s="233" t="s">
        <v>266</v>
      </c>
      <c r="CA42" s="234">
        <v>1.4804999999999997</v>
      </c>
      <c r="CC42" s="233" t="s">
        <v>266</v>
      </c>
      <c r="CD42" s="234">
        <v>3.2400000000000007</v>
      </c>
      <c r="CF42" s="233" t="s">
        <v>266</v>
      </c>
      <c r="CG42" s="234">
        <v>25</v>
      </c>
    </row>
    <row r="43" spans="1:85" s="197" customFormat="1" x14ac:dyDescent="0.3">
      <c r="A43" s="182" t="s">
        <v>223</v>
      </c>
      <c r="B43" s="183">
        <v>1</v>
      </c>
      <c r="C43" s="184" t="s">
        <v>267</v>
      </c>
      <c r="D43" s="247">
        <v>2.6749999999999998</v>
      </c>
      <c r="E43" s="187">
        <v>10.1906</v>
      </c>
      <c r="F43" s="186">
        <v>0.13</v>
      </c>
      <c r="G43" s="187">
        <f t="shared" si="16"/>
        <v>3.54378115</v>
      </c>
      <c r="H43" s="188">
        <f t="shared" si="0"/>
        <v>27.259854999999998</v>
      </c>
      <c r="I43" s="183">
        <f t="shared" si="1"/>
        <v>8</v>
      </c>
      <c r="J43" s="188">
        <f t="shared" si="17"/>
        <v>0.2</v>
      </c>
      <c r="K43" s="183">
        <f t="shared" si="18"/>
        <v>52</v>
      </c>
      <c r="L43" s="189">
        <f t="shared" si="19"/>
        <v>5.4600000000000003E-2</v>
      </c>
      <c r="M43" s="189">
        <f>0.45*2</f>
        <v>0.9</v>
      </c>
      <c r="N43" s="189">
        <f t="shared" si="20"/>
        <v>-0.04</v>
      </c>
      <c r="O43" s="189">
        <v>0</v>
      </c>
      <c r="P43" s="188">
        <f t="shared" si="34"/>
        <v>3.5895999999999999</v>
      </c>
      <c r="Q43" s="183">
        <f t="shared" si="2"/>
        <v>8</v>
      </c>
      <c r="R43" s="188">
        <f t="shared" si="3"/>
        <v>0.2</v>
      </c>
      <c r="S43" s="183">
        <f t="shared" si="4"/>
        <v>51</v>
      </c>
      <c r="T43" s="189">
        <f t="shared" si="5"/>
        <v>5.4600000000000003E-2</v>
      </c>
      <c r="U43" s="189">
        <f>0.45*2</f>
        <v>0.9</v>
      </c>
      <c r="V43" s="189">
        <f t="shared" si="21"/>
        <v>-0.04</v>
      </c>
      <c r="W43" s="189">
        <f>2.6*0.3</f>
        <v>0.78</v>
      </c>
      <c r="X43" s="188">
        <f t="shared" si="33"/>
        <v>4.3696000000000002</v>
      </c>
      <c r="Y43" s="183">
        <f t="shared" si="6"/>
        <v>8</v>
      </c>
      <c r="Z43" s="182">
        <f t="shared" si="7"/>
        <v>0.36</v>
      </c>
      <c r="AA43" s="183">
        <f t="shared" si="8"/>
        <v>8</v>
      </c>
      <c r="AB43" s="189">
        <f t="shared" si="9"/>
        <v>5.4600000000000003E-2</v>
      </c>
      <c r="AC43" s="189">
        <f>0.45+0.3</f>
        <v>0.75</v>
      </c>
      <c r="AD43" s="189">
        <f t="shared" si="22"/>
        <v>-0.04</v>
      </c>
      <c r="AE43" s="189">
        <f>5.919*0.3</f>
        <v>1.7756999999999998</v>
      </c>
      <c r="AF43" s="188">
        <f t="shared" si="23"/>
        <v>12.7309</v>
      </c>
      <c r="AG43" s="183">
        <f t="shared" si="10"/>
        <v>8</v>
      </c>
      <c r="AH43" s="182">
        <f t="shared" si="11"/>
        <v>0.36</v>
      </c>
      <c r="AI43" s="183">
        <f t="shared" si="12"/>
        <v>7</v>
      </c>
      <c r="AJ43" s="189">
        <f t="shared" si="13"/>
        <v>5.4600000000000003E-2</v>
      </c>
      <c r="AK43" s="189">
        <f>0.45+0.3</f>
        <v>0.75</v>
      </c>
      <c r="AL43" s="189">
        <f t="shared" si="24"/>
        <v>-0.04</v>
      </c>
      <c r="AM43" s="189">
        <f>2.01*0.3</f>
        <v>0.60299999999999987</v>
      </c>
      <c r="AN43" s="188">
        <f t="shared" si="37"/>
        <v>11.558199999999999</v>
      </c>
      <c r="AO43" s="183">
        <v>0</v>
      </c>
      <c r="AP43" s="182">
        <f t="shared" si="14"/>
        <v>18</v>
      </c>
      <c r="AQ43" s="182">
        <v>1.5</v>
      </c>
      <c r="AR43" s="187">
        <f t="shared" si="25"/>
        <v>409.50880000000001</v>
      </c>
      <c r="AS43" s="187">
        <f t="shared" si="26"/>
        <v>0</v>
      </c>
      <c r="AT43" s="187">
        <f t="shared" si="27"/>
        <v>0</v>
      </c>
      <c r="AU43" s="187">
        <f t="shared" si="28"/>
        <v>182.75459999999998</v>
      </c>
      <c r="AV43" s="187">
        <f t="shared" si="15"/>
        <v>0</v>
      </c>
      <c r="AW43" s="187">
        <f t="shared" si="29"/>
        <v>0</v>
      </c>
      <c r="AX43" s="187">
        <f t="shared" si="30"/>
        <v>27</v>
      </c>
      <c r="AY43" s="190"/>
      <c r="AZ43" s="240"/>
      <c r="BA43" s="232"/>
      <c r="BF43" s="206"/>
      <c r="BG43" s="206"/>
      <c r="BK43" s="126"/>
      <c r="BL43" s="126"/>
      <c r="BN43" s="126"/>
      <c r="BO43" s="126"/>
      <c r="BQ43" s="126"/>
      <c r="BR43" s="126"/>
      <c r="BT43" s="126"/>
      <c r="BU43" s="126"/>
      <c r="BW43" s="126"/>
      <c r="BX43" s="126"/>
      <c r="BZ43" s="126"/>
      <c r="CA43" s="126"/>
      <c r="CC43" s="126"/>
      <c r="CD43" s="126"/>
      <c r="CF43" s="126"/>
      <c r="CG43" s="126"/>
    </row>
    <row r="44" spans="1:85" s="197" customFormat="1" x14ac:dyDescent="0.3">
      <c r="A44" s="182" t="s">
        <v>223</v>
      </c>
      <c r="B44" s="183">
        <v>1</v>
      </c>
      <c r="C44" s="184" t="s">
        <v>268</v>
      </c>
      <c r="D44" s="247">
        <v>2.6</v>
      </c>
      <c r="E44" s="187">
        <v>9.59</v>
      </c>
      <c r="F44" s="186">
        <v>0.13</v>
      </c>
      <c r="G44" s="187">
        <f t="shared" si="16"/>
        <v>3.2414200000000002</v>
      </c>
      <c r="H44" s="188">
        <f t="shared" si="0"/>
        <v>24.934000000000001</v>
      </c>
      <c r="I44" s="183">
        <f t="shared" si="1"/>
        <v>8</v>
      </c>
      <c r="J44" s="188">
        <f t="shared" si="17"/>
        <v>0.2</v>
      </c>
      <c r="K44" s="183">
        <f t="shared" si="18"/>
        <v>49</v>
      </c>
      <c r="L44" s="189">
        <f t="shared" si="19"/>
        <v>5.4600000000000003E-2</v>
      </c>
      <c r="M44" s="189">
        <f>0.45*2</f>
        <v>0.9</v>
      </c>
      <c r="N44" s="189">
        <f t="shared" si="20"/>
        <v>-0.04</v>
      </c>
      <c r="O44" s="189">
        <f>2.675*0.3</f>
        <v>0.80249999999999988</v>
      </c>
      <c r="P44" s="188">
        <f t="shared" si="34"/>
        <v>4.3170999999999999</v>
      </c>
      <c r="Q44" s="183">
        <f t="shared" si="2"/>
        <v>8</v>
      </c>
      <c r="R44" s="188">
        <f t="shared" si="3"/>
        <v>0.2</v>
      </c>
      <c r="S44" s="183">
        <f t="shared" si="4"/>
        <v>48</v>
      </c>
      <c r="T44" s="189">
        <f t="shared" si="5"/>
        <v>5.4600000000000003E-2</v>
      </c>
      <c r="U44" s="189">
        <f>0.45*2</f>
        <v>0.9</v>
      </c>
      <c r="V44" s="189">
        <f t="shared" si="21"/>
        <v>-0.04</v>
      </c>
      <c r="W44" s="189">
        <f>7.055*0.3</f>
        <v>2.1164999999999998</v>
      </c>
      <c r="X44" s="188">
        <f>+D44+SUM(T44:W44)</f>
        <v>5.6311</v>
      </c>
      <c r="Y44" s="183">
        <f t="shared" si="6"/>
        <v>8</v>
      </c>
      <c r="Z44" s="182">
        <f t="shared" si="7"/>
        <v>0.36</v>
      </c>
      <c r="AA44" s="183">
        <f t="shared" si="8"/>
        <v>8</v>
      </c>
      <c r="AB44" s="189">
        <f t="shared" si="9"/>
        <v>5.4600000000000003E-2</v>
      </c>
      <c r="AC44" s="189">
        <f t="shared" si="42"/>
        <v>0.6</v>
      </c>
      <c r="AD44" s="189">
        <f t="shared" si="22"/>
        <v>-0.04</v>
      </c>
      <c r="AE44" s="189">
        <f>5.919*0.3</f>
        <v>1.7756999999999998</v>
      </c>
      <c r="AF44" s="188">
        <f t="shared" si="23"/>
        <v>11.9803</v>
      </c>
      <c r="AG44" s="183">
        <f t="shared" si="10"/>
        <v>8</v>
      </c>
      <c r="AH44" s="182">
        <f t="shared" si="11"/>
        <v>0.36</v>
      </c>
      <c r="AI44" s="183">
        <f t="shared" si="12"/>
        <v>7</v>
      </c>
      <c r="AJ44" s="189">
        <f t="shared" si="13"/>
        <v>5.4600000000000003E-2</v>
      </c>
      <c r="AK44" s="189">
        <f t="shared" si="43"/>
        <v>0.6</v>
      </c>
      <c r="AL44" s="189">
        <f t="shared" si="24"/>
        <v>-0.04</v>
      </c>
      <c r="AM44" s="189">
        <f>2.85*0.3</f>
        <v>0.85499999999999998</v>
      </c>
      <c r="AN44" s="188">
        <f t="shared" si="37"/>
        <v>11.0596</v>
      </c>
      <c r="AO44" s="183">
        <v>0</v>
      </c>
      <c r="AP44" s="182">
        <f t="shared" si="14"/>
        <v>16</v>
      </c>
      <c r="AQ44" s="182">
        <v>1.5</v>
      </c>
      <c r="AR44" s="187">
        <f t="shared" si="25"/>
        <v>481.83069999999998</v>
      </c>
      <c r="AS44" s="187">
        <f t="shared" si="26"/>
        <v>0</v>
      </c>
      <c r="AT44" s="187">
        <f t="shared" si="27"/>
        <v>0</v>
      </c>
      <c r="AU44" s="187">
        <f t="shared" si="28"/>
        <v>173.25959999999998</v>
      </c>
      <c r="AV44" s="187">
        <f t="shared" si="15"/>
        <v>0</v>
      </c>
      <c r="AW44" s="187">
        <f t="shared" si="29"/>
        <v>0</v>
      </c>
      <c r="AX44" s="187">
        <f t="shared" si="30"/>
        <v>24</v>
      </c>
      <c r="AY44" s="190"/>
      <c r="AZ44" s="240"/>
      <c r="BA44" s="232"/>
      <c r="BF44" s="206"/>
      <c r="BG44" s="206"/>
      <c r="BK44" s="126"/>
      <c r="BL44" s="126"/>
      <c r="BN44" s="126"/>
      <c r="BO44" s="126"/>
      <c r="BQ44" s="126"/>
      <c r="BR44" s="126"/>
      <c r="BT44" s="126"/>
      <c r="BU44" s="126"/>
      <c r="BW44" s="126"/>
      <c r="BX44" s="126"/>
      <c r="BZ44" s="126"/>
      <c r="CA44" s="126"/>
      <c r="CC44" s="126"/>
      <c r="CD44" s="126"/>
      <c r="CF44" s="126"/>
      <c r="CG44" s="126"/>
    </row>
    <row r="45" spans="1:85" s="197" customFormat="1" x14ac:dyDescent="0.3">
      <c r="A45" s="182" t="s">
        <v>223</v>
      </c>
      <c r="B45" s="183">
        <v>1</v>
      </c>
      <c r="C45" s="184" t="s">
        <v>269</v>
      </c>
      <c r="D45" s="187">
        <v>7.0549999999999997</v>
      </c>
      <c r="E45" s="187">
        <v>2.9056000000000002</v>
      </c>
      <c r="F45" s="186">
        <v>0.13</v>
      </c>
      <c r="G45" s="187">
        <f t="shared" si="16"/>
        <v>2.66487104</v>
      </c>
      <c r="H45" s="188">
        <f>D45*E45*B45</f>
        <v>20.499008</v>
      </c>
      <c r="I45" s="183">
        <f t="shared" si="1"/>
        <v>8</v>
      </c>
      <c r="J45" s="188">
        <f t="shared" si="17"/>
        <v>0.2</v>
      </c>
      <c r="K45" s="183">
        <f t="shared" si="18"/>
        <v>16</v>
      </c>
      <c r="L45" s="189">
        <f t="shared" si="19"/>
        <v>5.4600000000000003E-2</v>
      </c>
      <c r="M45" s="189">
        <f>0.45+0.23</f>
        <v>0.68</v>
      </c>
      <c r="N45" s="189">
        <f t="shared" si="20"/>
        <v>-0.04</v>
      </c>
      <c r="O45" s="189">
        <f>2.6*0.3</f>
        <v>0.78</v>
      </c>
      <c r="P45" s="188">
        <f t="shared" si="34"/>
        <v>8.5296000000000003</v>
      </c>
      <c r="Q45" s="183">
        <f t="shared" si="2"/>
        <v>8</v>
      </c>
      <c r="R45" s="188">
        <f t="shared" si="3"/>
        <v>0.2</v>
      </c>
      <c r="S45" s="183">
        <f t="shared" si="4"/>
        <v>15</v>
      </c>
      <c r="T45" s="189">
        <f t="shared" si="5"/>
        <v>5.4600000000000003E-2</v>
      </c>
      <c r="U45" s="189">
        <f>0.45+0.23</f>
        <v>0.68</v>
      </c>
      <c r="V45" s="189">
        <f t="shared" si="21"/>
        <v>-0.04</v>
      </c>
      <c r="W45" s="189">
        <f>3.19*0.3</f>
        <v>0.95699999999999996</v>
      </c>
      <c r="X45" s="188">
        <f t="shared" ref="X45:X108" si="47">+D45+SUM(T45:W45)</f>
        <v>8.7065999999999999</v>
      </c>
      <c r="Y45" s="183">
        <f t="shared" si="6"/>
        <v>8</v>
      </c>
      <c r="Z45" s="188">
        <f t="shared" si="7"/>
        <v>0.36</v>
      </c>
      <c r="AA45" s="183">
        <f t="shared" si="8"/>
        <v>21</v>
      </c>
      <c r="AB45" s="189">
        <f t="shared" si="9"/>
        <v>5.4600000000000003E-2</v>
      </c>
      <c r="AC45" s="189">
        <f t="shared" si="42"/>
        <v>0.6</v>
      </c>
      <c r="AD45" s="189">
        <f t="shared" si="22"/>
        <v>-0.04</v>
      </c>
      <c r="AE45" s="189">
        <f>2.41*0.3</f>
        <v>0.72299999999999998</v>
      </c>
      <c r="AF45" s="188">
        <f t="shared" si="23"/>
        <v>4.2431999999999999</v>
      </c>
      <c r="AG45" s="183">
        <f t="shared" si="10"/>
        <v>8</v>
      </c>
      <c r="AH45" s="182">
        <f t="shared" si="11"/>
        <v>0.36</v>
      </c>
      <c r="AI45" s="183">
        <f t="shared" si="12"/>
        <v>20</v>
      </c>
      <c r="AJ45" s="189">
        <f t="shared" si="13"/>
        <v>5.4600000000000003E-2</v>
      </c>
      <c r="AK45" s="189">
        <f t="shared" si="43"/>
        <v>0.6</v>
      </c>
      <c r="AL45" s="189">
        <f t="shared" si="24"/>
        <v>-0.04</v>
      </c>
      <c r="AM45" s="189">
        <f>2.818*0.3</f>
        <v>0.84540000000000004</v>
      </c>
      <c r="AN45" s="188">
        <f t="shared" si="37"/>
        <v>4.3656000000000006</v>
      </c>
      <c r="AO45" s="183">
        <v>0</v>
      </c>
      <c r="AP45" s="182">
        <f t="shared" si="14"/>
        <v>14</v>
      </c>
      <c r="AQ45" s="182">
        <v>1.5</v>
      </c>
      <c r="AR45" s="187">
        <f t="shared" si="25"/>
        <v>267.07259999999997</v>
      </c>
      <c r="AS45" s="187">
        <f t="shared" si="26"/>
        <v>0</v>
      </c>
      <c r="AT45" s="187">
        <f t="shared" si="27"/>
        <v>0</v>
      </c>
      <c r="AU45" s="187">
        <f t="shared" si="28"/>
        <v>176.41919999999999</v>
      </c>
      <c r="AV45" s="187">
        <f t="shared" si="15"/>
        <v>0</v>
      </c>
      <c r="AW45" s="187">
        <f t="shared" si="29"/>
        <v>0</v>
      </c>
      <c r="AX45" s="187">
        <f t="shared" si="30"/>
        <v>21</v>
      </c>
      <c r="AY45" s="190"/>
      <c r="AZ45" s="240"/>
      <c r="BA45" s="232"/>
      <c r="BF45" s="206"/>
      <c r="BG45" s="206"/>
      <c r="BK45" s="126"/>
      <c r="BL45" s="126"/>
      <c r="BN45" s="126"/>
      <c r="BO45" s="126"/>
      <c r="BQ45" s="126"/>
      <c r="BR45" s="126"/>
      <c r="BT45" s="126"/>
      <c r="BU45" s="126"/>
      <c r="BW45" s="126"/>
      <c r="BX45" s="126"/>
      <c r="BZ45" s="126"/>
      <c r="CA45" s="126"/>
      <c r="CC45" s="126"/>
      <c r="CD45" s="126"/>
      <c r="CF45" s="126"/>
      <c r="CG45" s="126"/>
    </row>
    <row r="46" spans="1:85" s="197" customFormat="1" x14ac:dyDescent="0.3">
      <c r="A46" s="182" t="s">
        <v>232</v>
      </c>
      <c r="B46" s="183">
        <v>1</v>
      </c>
      <c r="C46" s="184" t="s">
        <v>270</v>
      </c>
      <c r="D46" s="187">
        <v>3.19</v>
      </c>
      <c r="E46" s="187">
        <v>3.01</v>
      </c>
      <c r="F46" s="186">
        <v>0.13</v>
      </c>
      <c r="G46" s="187">
        <f t="shared" si="16"/>
        <v>1.2482469999999999</v>
      </c>
      <c r="H46" s="188">
        <f t="shared" ref="H46:H109" si="48">D46*E46*B46</f>
        <v>9.6018999999999988</v>
      </c>
      <c r="I46" s="183">
        <f t="shared" si="1"/>
        <v>8</v>
      </c>
      <c r="J46" s="188">
        <f t="shared" si="17"/>
        <v>0.2</v>
      </c>
      <c r="K46" s="183">
        <f t="shared" si="18"/>
        <v>16</v>
      </c>
      <c r="L46" s="189">
        <f t="shared" si="19"/>
        <v>5.4600000000000003E-2</v>
      </c>
      <c r="M46" s="189">
        <f>0.23*2</f>
        <v>0.46</v>
      </c>
      <c r="N46" s="189">
        <f t="shared" si="20"/>
        <v>-0.04</v>
      </c>
      <c r="O46" s="189">
        <f>7.055*0.3</f>
        <v>2.1164999999999998</v>
      </c>
      <c r="P46" s="188">
        <f t="shared" si="34"/>
        <v>5.7811000000000003</v>
      </c>
      <c r="Q46" s="183">
        <f t="shared" si="2"/>
        <v>8</v>
      </c>
      <c r="R46" s="188">
        <f t="shared" si="3"/>
        <v>0.2</v>
      </c>
      <c r="S46" s="183">
        <f t="shared" si="4"/>
        <v>15</v>
      </c>
      <c r="T46" s="189">
        <f t="shared" si="5"/>
        <v>5.4600000000000003E-2</v>
      </c>
      <c r="U46" s="189">
        <f>0.23*2</f>
        <v>0.46</v>
      </c>
      <c r="V46" s="189">
        <f t="shared" si="21"/>
        <v>-0.04</v>
      </c>
      <c r="W46" s="189">
        <f>1.14*0.3</f>
        <v>0.34199999999999997</v>
      </c>
      <c r="X46" s="188">
        <f t="shared" si="47"/>
        <v>4.0065999999999997</v>
      </c>
      <c r="Y46" s="183">
        <f t="shared" si="6"/>
        <v>8</v>
      </c>
      <c r="Z46" s="188">
        <f t="shared" si="7"/>
        <v>0.24</v>
      </c>
      <c r="AA46" s="183">
        <f t="shared" si="8"/>
        <v>14</v>
      </c>
      <c r="AB46" s="189">
        <f t="shared" si="9"/>
        <v>5.4600000000000003E-2</v>
      </c>
      <c r="AC46" s="189">
        <f>0.3+0.23</f>
        <v>0.53</v>
      </c>
      <c r="AD46" s="189">
        <f t="shared" si="22"/>
        <v>-0.04</v>
      </c>
      <c r="AE46" s="189">
        <f>2.783*0.3</f>
        <v>0.83489999999999998</v>
      </c>
      <c r="AF46" s="188">
        <f t="shared" si="23"/>
        <v>4.3895</v>
      </c>
      <c r="AG46" s="183">
        <f t="shared" si="10"/>
        <v>8</v>
      </c>
      <c r="AH46" s="182">
        <f t="shared" si="11"/>
        <v>0.24</v>
      </c>
      <c r="AI46" s="183">
        <f t="shared" si="12"/>
        <v>13</v>
      </c>
      <c r="AJ46" s="189">
        <f t="shared" si="13"/>
        <v>5.4600000000000003E-2</v>
      </c>
      <c r="AK46" s="189">
        <f>0.3+0.23</f>
        <v>0.53</v>
      </c>
      <c r="AL46" s="189">
        <f t="shared" si="24"/>
        <v>-0.04</v>
      </c>
      <c r="AM46" s="189">
        <f>2.45*0.3</f>
        <v>0.73499999999999999</v>
      </c>
      <c r="AN46" s="188">
        <f t="shared" si="37"/>
        <v>4.2896000000000001</v>
      </c>
      <c r="AO46" s="183">
        <v>0</v>
      </c>
      <c r="AP46" s="182">
        <f t="shared" si="14"/>
        <v>8</v>
      </c>
      <c r="AQ46" s="182">
        <v>1.5</v>
      </c>
      <c r="AR46" s="187">
        <f t="shared" si="25"/>
        <v>152.5966</v>
      </c>
      <c r="AS46" s="187">
        <f t="shared" si="26"/>
        <v>0</v>
      </c>
      <c r="AT46" s="187">
        <f t="shared" si="27"/>
        <v>0</v>
      </c>
      <c r="AU46" s="187">
        <f t="shared" si="28"/>
        <v>117.21780000000001</v>
      </c>
      <c r="AV46" s="187">
        <f t="shared" si="15"/>
        <v>0</v>
      </c>
      <c r="AW46" s="187">
        <f t="shared" si="29"/>
        <v>0</v>
      </c>
      <c r="AX46" s="187">
        <f t="shared" si="30"/>
        <v>12</v>
      </c>
      <c r="AY46" s="190"/>
      <c r="AZ46" s="240"/>
      <c r="BA46" s="232"/>
      <c r="BF46" s="206"/>
      <c r="BG46" s="206"/>
      <c r="BK46" s="126"/>
      <c r="BL46" s="126"/>
      <c r="BN46" s="126"/>
      <c r="BO46" s="126"/>
      <c r="BQ46" s="126"/>
      <c r="BR46" s="126"/>
      <c r="BT46" s="126"/>
      <c r="BU46" s="126"/>
      <c r="BW46" s="126"/>
      <c r="BX46" s="126"/>
      <c r="BZ46" s="126"/>
      <c r="CA46" s="126"/>
      <c r="CC46" s="126"/>
      <c r="CD46" s="126"/>
      <c r="CF46" s="126"/>
      <c r="CG46" s="126"/>
    </row>
    <row r="47" spans="1:85" s="197" customFormat="1" x14ac:dyDescent="0.3">
      <c r="A47" s="182" t="s">
        <v>245</v>
      </c>
      <c r="B47" s="183">
        <v>1</v>
      </c>
      <c r="C47" s="184" t="s">
        <v>271</v>
      </c>
      <c r="D47" s="187">
        <v>0.93</v>
      </c>
      <c r="E47" s="187">
        <v>4.1100000000000003</v>
      </c>
      <c r="F47" s="186">
        <v>0.14000000000000001</v>
      </c>
      <c r="G47" s="187">
        <f t="shared" si="16"/>
        <v>0.5351220000000001</v>
      </c>
      <c r="H47" s="188">
        <f t="shared" si="48"/>
        <v>3.8223000000000007</v>
      </c>
      <c r="I47" s="183">
        <f t="shared" si="1"/>
        <v>10</v>
      </c>
      <c r="J47" s="188">
        <f t="shared" si="17"/>
        <v>0.2</v>
      </c>
      <c r="K47" s="183">
        <f t="shared" si="18"/>
        <v>22</v>
      </c>
      <c r="L47" s="189">
        <f t="shared" si="19"/>
        <v>5.8800000000000005E-2</v>
      </c>
      <c r="M47" s="189">
        <f>0.23*2</f>
        <v>0.46</v>
      </c>
      <c r="N47" s="189">
        <f t="shared" si="20"/>
        <v>-0.04</v>
      </c>
      <c r="O47" s="189">
        <v>0</v>
      </c>
      <c r="P47" s="188">
        <f t="shared" si="34"/>
        <v>1.4088000000000001</v>
      </c>
      <c r="Q47" s="183">
        <f t="shared" si="2"/>
        <v>10</v>
      </c>
      <c r="R47" s="188">
        <f t="shared" si="3"/>
        <v>0.2</v>
      </c>
      <c r="S47" s="183">
        <f t="shared" si="4"/>
        <v>21</v>
      </c>
      <c r="T47" s="189">
        <f t="shared" si="5"/>
        <v>5.8800000000000005E-2</v>
      </c>
      <c r="U47" s="189">
        <f>0.23*2</f>
        <v>0.46</v>
      </c>
      <c r="V47" s="189">
        <f t="shared" si="21"/>
        <v>-0.04</v>
      </c>
      <c r="W47" s="189">
        <v>0</v>
      </c>
      <c r="X47" s="188">
        <f t="shared" si="47"/>
        <v>1.4088000000000001</v>
      </c>
      <c r="Y47" s="183">
        <f t="shared" si="6"/>
        <v>10</v>
      </c>
      <c r="Z47" s="188">
        <f t="shared" si="7"/>
        <v>0.24</v>
      </c>
      <c r="AA47" s="183">
        <f t="shared" si="8"/>
        <v>5</v>
      </c>
      <c r="AB47" s="189">
        <f t="shared" si="9"/>
        <v>5.8800000000000005E-2</v>
      </c>
      <c r="AC47" s="189">
        <f>0.23*2</f>
        <v>0.46</v>
      </c>
      <c r="AD47" s="189">
        <f t="shared" si="22"/>
        <v>-0.04</v>
      </c>
      <c r="AE47" s="189">
        <v>0</v>
      </c>
      <c r="AF47" s="188">
        <f t="shared" si="23"/>
        <v>4.5888</v>
      </c>
      <c r="AG47" s="183">
        <f t="shared" si="10"/>
        <v>10</v>
      </c>
      <c r="AH47" s="182">
        <f t="shared" si="11"/>
        <v>0.24</v>
      </c>
      <c r="AI47" s="183">
        <f t="shared" si="12"/>
        <v>4</v>
      </c>
      <c r="AJ47" s="189">
        <f t="shared" si="13"/>
        <v>5.8800000000000005E-2</v>
      </c>
      <c r="AK47" s="189">
        <f>0.23*2</f>
        <v>0.46</v>
      </c>
      <c r="AL47" s="189">
        <f t="shared" si="24"/>
        <v>-0.04</v>
      </c>
      <c r="AM47" s="189">
        <f>5.92*0.3</f>
        <v>1.776</v>
      </c>
      <c r="AN47" s="188">
        <f t="shared" si="37"/>
        <v>6.3648000000000007</v>
      </c>
      <c r="AO47" s="183">
        <v>0</v>
      </c>
      <c r="AP47" s="182">
        <f t="shared" si="14"/>
        <v>8</v>
      </c>
      <c r="AQ47" s="182">
        <v>1.5</v>
      </c>
      <c r="AR47" s="187">
        <f t="shared" si="25"/>
        <v>0</v>
      </c>
      <c r="AS47" s="187">
        <f t="shared" si="26"/>
        <v>60.578400000000002</v>
      </c>
      <c r="AT47" s="187">
        <f t="shared" si="27"/>
        <v>0</v>
      </c>
      <c r="AU47" s="187">
        <f t="shared" si="28"/>
        <v>0</v>
      </c>
      <c r="AV47" s="187">
        <f t="shared" si="15"/>
        <v>48.403199999999998</v>
      </c>
      <c r="AW47" s="187">
        <f t="shared" si="29"/>
        <v>0</v>
      </c>
      <c r="AX47" s="187">
        <f t="shared" si="30"/>
        <v>12</v>
      </c>
      <c r="AY47" s="190"/>
      <c r="AZ47" s="240"/>
      <c r="BA47" s="232"/>
      <c r="BF47" s="206"/>
      <c r="BG47" s="206"/>
      <c r="BK47" s="126"/>
      <c r="BL47" s="126"/>
      <c r="BN47" s="126"/>
      <c r="BO47" s="126"/>
      <c r="BQ47" s="126"/>
      <c r="BR47" s="126"/>
      <c r="BT47" s="126"/>
      <c r="BU47" s="126"/>
      <c r="BW47" s="126"/>
      <c r="BX47" s="126"/>
      <c r="BZ47" s="126"/>
      <c r="CA47" s="126"/>
      <c r="CC47" s="126"/>
      <c r="CD47" s="126"/>
      <c r="CF47" s="126"/>
      <c r="CG47" s="126"/>
    </row>
    <row r="48" spans="1:85" s="197" customFormat="1" x14ac:dyDescent="0.3">
      <c r="A48" s="182" t="s">
        <v>245</v>
      </c>
      <c r="B48" s="183">
        <v>2</v>
      </c>
      <c r="C48" s="184" t="s">
        <v>272</v>
      </c>
      <c r="D48" s="187">
        <v>1.1399999999999999</v>
      </c>
      <c r="E48" s="187">
        <v>2.0499999999999998</v>
      </c>
      <c r="F48" s="186">
        <v>0.14000000000000001</v>
      </c>
      <c r="G48" s="187">
        <f t="shared" si="16"/>
        <v>0.65435999999999994</v>
      </c>
      <c r="H48" s="188">
        <f t="shared" si="48"/>
        <v>4.6739999999999995</v>
      </c>
      <c r="I48" s="183">
        <f t="shared" si="1"/>
        <v>10</v>
      </c>
      <c r="J48" s="188">
        <f t="shared" si="17"/>
        <v>0.2</v>
      </c>
      <c r="K48" s="183">
        <f t="shared" si="18"/>
        <v>11</v>
      </c>
      <c r="L48" s="189">
        <f t="shared" si="19"/>
        <v>5.8800000000000005E-2</v>
      </c>
      <c r="M48" s="189">
        <f>0.23*2</f>
        <v>0.46</v>
      </c>
      <c r="N48" s="189">
        <f t="shared" si="20"/>
        <v>-0.04</v>
      </c>
      <c r="O48" s="189">
        <f>3.19*0.3</f>
        <v>0.95699999999999996</v>
      </c>
      <c r="P48" s="188">
        <f t="shared" si="34"/>
        <v>2.5758000000000001</v>
      </c>
      <c r="Q48" s="183">
        <f t="shared" si="2"/>
        <v>10</v>
      </c>
      <c r="R48" s="188">
        <f t="shared" si="3"/>
        <v>0.2</v>
      </c>
      <c r="S48" s="183">
        <f t="shared" si="4"/>
        <v>10</v>
      </c>
      <c r="T48" s="189">
        <f t="shared" si="5"/>
        <v>5.8800000000000005E-2</v>
      </c>
      <c r="U48" s="189">
        <f>0.23*2</f>
        <v>0.46</v>
      </c>
      <c r="V48" s="189">
        <f t="shared" si="21"/>
        <v>-0.04</v>
      </c>
      <c r="W48" s="189">
        <f>1.37*0.3</f>
        <v>0.41100000000000003</v>
      </c>
      <c r="X48" s="188">
        <f t="shared" si="47"/>
        <v>2.0297999999999998</v>
      </c>
      <c r="Y48" s="183">
        <f t="shared" si="6"/>
        <v>10</v>
      </c>
      <c r="Z48" s="188">
        <f t="shared" si="7"/>
        <v>0.24</v>
      </c>
      <c r="AA48" s="183">
        <f t="shared" si="8"/>
        <v>6</v>
      </c>
      <c r="AB48" s="189">
        <f t="shared" si="9"/>
        <v>5.8800000000000005E-2</v>
      </c>
      <c r="AC48" s="189">
        <f>0.23*2</f>
        <v>0.46</v>
      </c>
      <c r="AD48" s="189">
        <f t="shared" si="22"/>
        <v>-0.04</v>
      </c>
      <c r="AE48" s="189">
        <v>0</v>
      </c>
      <c r="AF48" s="188">
        <f t="shared" si="23"/>
        <v>2.5287999999999999</v>
      </c>
      <c r="AG48" s="183">
        <f t="shared" si="10"/>
        <v>10</v>
      </c>
      <c r="AH48" s="182">
        <f t="shared" si="11"/>
        <v>0.24</v>
      </c>
      <c r="AI48" s="183">
        <f t="shared" si="12"/>
        <v>5</v>
      </c>
      <c r="AJ48" s="189">
        <f t="shared" si="13"/>
        <v>5.8800000000000005E-2</v>
      </c>
      <c r="AK48" s="189">
        <f>0.23*2</f>
        <v>0.46</v>
      </c>
      <c r="AL48" s="189">
        <f t="shared" si="24"/>
        <v>-0.04</v>
      </c>
      <c r="AM48" s="189">
        <v>0</v>
      </c>
      <c r="AN48" s="188">
        <f t="shared" si="37"/>
        <v>2.5287999999999999</v>
      </c>
      <c r="AO48" s="183">
        <v>0</v>
      </c>
      <c r="AP48" s="182">
        <f t="shared" si="14"/>
        <v>4</v>
      </c>
      <c r="AQ48" s="182">
        <v>1.5</v>
      </c>
      <c r="AR48" s="187">
        <f t="shared" si="25"/>
        <v>0</v>
      </c>
      <c r="AS48" s="187">
        <f t="shared" si="26"/>
        <v>97.263599999999997</v>
      </c>
      <c r="AT48" s="187">
        <f t="shared" si="27"/>
        <v>0</v>
      </c>
      <c r="AU48" s="187">
        <f t="shared" si="28"/>
        <v>0</v>
      </c>
      <c r="AV48" s="187">
        <f t="shared" si="15"/>
        <v>55.633600000000001</v>
      </c>
      <c r="AW48" s="187">
        <f t="shared" si="29"/>
        <v>0</v>
      </c>
      <c r="AX48" s="187">
        <f t="shared" si="30"/>
        <v>12</v>
      </c>
      <c r="AY48" s="190"/>
      <c r="AZ48" s="240"/>
      <c r="BA48" s="232"/>
      <c r="BF48" s="206"/>
      <c r="BG48" s="206"/>
      <c r="BK48" s="126"/>
      <c r="BL48" s="126"/>
      <c r="BN48" s="126"/>
      <c r="BO48" s="126"/>
      <c r="BQ48" s="126"/>
      <c r="BR48" s="126"/>
      <c r="BT48" s="126"/>
      <c r="BU48" s="126"/>
      <c r="BW48" s="126"/>
      <c r="BX48" s="126"/>
      <c r="BZ48" s="126"/>
      <c r="CA48" s="126"/>
      <c r="CC48" s="126"/>
      <c r="CD48" s="126"/>
      <c r="CF48" s="126"/>
      <c r="CG48" s="126"/>
    </row>
    <row r="49" spans="1:85" s="197" customFormat="1" x14ac:dyDescent="0.3">
      <c r="A49" s="182" t="s">
        <v>245</v>
      </c>
      <c r="B49" s="183">
        <v>1</v>
      </c>
      <c r="C49" s="184" t="s">
        <v>273</v>
      </c>
      <c r="D49" s="187">
        <v>1.37</v>
      </c>
      <c r="E49" s="187">
        <v>1.85</v>
      </c>
      <c r="F49" s="186">
        <v>0.14000000000000001</v>
      </c>
      <c r="G49" s="187">
        <f t="shared" si="16"/>
        <v>0.35483000000000009</v>
      </c>
      <c r="H49" s="188">
        <f t="shared" si="48"/>
        <v>2.5345000000000004</v>
      </c>
      <c r="I49" s="183">
        <f t="shared" si="1"/>
        <v>10</v>
      </c>
      <c r="J49" s="188">
        <f t="shared" si="17"/>
        <v>0.2</v>
      </c>
      <c r="K49" s="183">
        <f t="shared" si="18"/>
        <v>10</v>
      </c>
      <c r="L49" s="189">
        <f t="shared" si="19"/>
        <v>5.8800000000000005E-2</v>
      </c>
      <c r="M49" s="189">
        <f>0.23*2</f>
        <v>0.46</v>
      </c>
      <c r="N49" s="189">
        <f t="shared" si="20"/>
        <v>-0.04</v>
      </c>
      <c r="O49" s="189">
        <f>1.14*0.3</f>
        <v>0.34199999999999997</v>
      </c>
      <c r="P49" s="188">
        <f t="shared" si="34"/>
        <v>2.1908000000000003</v>
      </c>
      <c r="Q49" s="183">
        <f t="shared" si="2"/>
        <v>10</v>
      </c>
      <c r="R49" s="188">
        <f t="shared" si="3"/>
        <v>0.2</v>
      </c>
      <c r="S49" s="183">
        <f t="shared" si="4"/>
        <v>9</v>
      </c>
      <c r="T49" s="189">
        <f t="shared" si="5"/>
        <v>5.8800000000000005E-2</v>
      </c>
      <c r="U49" s="189">
        <f>0.23*2</f>
        <v>0.46</v>
      </c>
      <c r="V49" s="189">
        <f t="shared" si="21"/>
        <v>-0.04</v>
      </c>
      <c r="W49" s="189">
        <f>1.14*0.3</f>
        <v>0.34199999999999997</v>
      </c>
      <c r="X49" s="188">
        <f t="shared" si="47"/>
        <v>2.1908000000000003</v>
      </c>
      <c r="Y49" s="183">
        <f t="shared" si="6"/>
        <v>10</v>
      </c>
      <c r="Z49" s="188">
        <f t="shared" si="7"/>
        <v>0.24</v>
      </c>
      <c r="AA49" s="183">
        <f t="shared" si="8"/>
        <v>7</v>
      </c>
      <c r="AB49" s="189">
        <f t="shared" si="9"/>
        <v>5.8800000000000005E-2</v>
      </c>
      <c r="AC49" s="189">
        <f>0.23</f>
        <v>0.23</v>
      </c>
      <c r="AD49" s="189">
        <f t="shared" si="22"/>
        <v>-0.04</v>
      </c>
      <c r="AE49" s="189">
        <v>0</v>
      </c>
      <c r="AF49" s="188">
        <f t="shared" si="23"/>
        <v>2.0988000000000002</v>
      </c>
      <c r="AG49" s="183">
        <f t="shared" si="10"/>
        <v>10</v>
      </c>
      <c r="AH49" s="182">
        <f t="shared" si="11"/>
        <v>0.24</v>
      </c>
      <c r="AI49" s="183">
        <f t="shared" si="12"/>
        <v>6</v>
      </c>
      <c r="AJ49" s="189">
        <f t="shared" si="13"/>
        <v>5.8800000000000005E-2</v>
      </c>
      <c r="AK49" s="189">
        <f>0.23</f>
        <v>0.23</v>
      </c>
      <c r="AL49" s="189">
        <f t="shared" si="24"/>
        <v>-0.04</v>
      </c>
      <c r="AM49" s="189">
        <v>0</v>
      </c>
      <c r="AN49" s="188">
        <f t="shared" si="37"/>
        <v>2.0988000000000002</v>
      </c>
      <c r="AO49" s="183">
        <v>0</v>
      </c>
      <c r="AP49" s="182">
        <f t="shared" si="14"/>
        <v>4</v>
      </c>
      <c r="AQ49" s="182">
        <v>1.5</v>
      </c>
      <c r="AR49" s="187">
        <f t="shared" si="25"/>
        <v>0</v>
      </c>
      <c r="AS49" s="187">
        <f t="shared" si="26"/>
        <v>41.625200000000007</v>
      </c>
      <c r="AT49" s="187">
        <f t="shared" si="27"/>
        <v>0</v>
      </c>
      <c r="AU49" s="187">
        <f t="shared" si="28"/>
        <v>0</v>
      </c>
      <c r="AV49" s="187">
        <f t="shared" si="15"/>
        <v>27.284400000000002</v>
      </c>
      <c r="AW49" s="187">
        <f t="shared" si="29"/>
        <v>0</v>
      </c>
      <c r="AX49" s="187">
        <f t="shared" si="30"/>
        <v>6</v>
      </c>
      <c r="AY49" s="190"/>
      <c r="AZ49" s="240"/>
      <c r="BA49" s="232"/>
      <c r="BF49" s="206"/>
      <c r="BG49" s="206"/>
      <c r="BK49" s="126"/>
      <c r="BL49" s="126"/>
      <c r="BN49" s="126"/>
      <c r="BO49" s="126"/>
      <c r="BQ49" s="126"/>
      <c r="BR49" s="126"/>
      <c r="BT49" s="126"/>
      <c r="BU49" s="126"/>
      <c r="BW49" s="126"/>
      <c r="BX49" s="126"/>
      <c r="BZ49" s="126"/>
      <c r="CA49" s="126"/>
      <c r="CC49" s="126"/>
      <c r="CD49" s="126"/>
      <c r="CF49" s="126"/>
      <c r="CG49" s="126"/>
    </row>
    <row r="50" spans="1:85" s="197" customFormat="1" x14ac:dyDescent="0.3">
      <c r="A50" s="182" t="s">
        <v>232</v>
      </c>
      <c r="B50" s="183">
        <v>1</v>
      </c>
      <c r="C50" s="184" t="s">
        <v>274</v>
      </c>
      <c r="D50" s="187">
        <v>3.19</v>
      </c>
      <c r="E50" s="187">
        <v>2.94</v>
      </c>
      <c r="F50" s="186">
        <v>0.13</v>
      </c>
      <c r="G50" s="187">
        <f t="shared" si="16"/>
        <v>1.2192180000000001</v>
      </c>
      <c r="H50" s="188">
        <f t="shared" si="48"/>
        <v>9.3786000000000005</v>
      </c>
      <c r="I50" s="183">
        <f t="shared" si="1"/>
        <v>8</v>
      </c>
      <c r="J50" s="188">
        <f t="shared" si="17"/>
        <v>0.2</v>
      </c>
      <c r="K50" s="183">
        <f t="shared" si="18"/>
        <v>16</v>
      </c>
      <c r="L50" s="189">
        <f t="shared" si="19"/>
        <v>5.4600000000000003E-2</v>
      </c>
      <c r="M50" s="189">
        <f>0.23*2</f>
        <v>0.46</v>
      </c>
      <c r="N50" s="189">
        <f t="shared" si="20"/>
        <v>-0.04</v>
      </c>
      <c r="O50" s="189">
        <f>1.14*0.3</f>
        <v>0.34199999999999997</v>
      </c>
      <c r="P50" s="188">
        <f t="shared" si="34"/>
        <v>4.0065999999999997</v>
      </c>
      <c r="Q50" s="183">
        <f t="shared" si="2"/>
        <v>8</v>
      </c>
      <c r="R50" s="188">
        <f t="shared" si="3"/>
        <v>0.2</v>
      </c>
      <c r="S50" s="183">
        <f t="shared" si="4"/>
        <v>15</v>
      </c>
      <c r="T50" s="189">
        <f t="shared" si="5"/>
        <v>5.4600000000000003E-2</v>
      </c>
      <c r="U50" s="189">
        <f>0.23*2</f>
        <v>0.46</v>
      </c>
      <c r="V50" s="189">
        <f t="shared" si="21"/>
        <v>-0.04</v>
      </c>
      <c r="W50" s="189">
        <f>3.69*0.3</f>
        <v>1.107</v>
      </c>
      <c r="X50" s="188">
        <f t="shared" si="47"/>
        <v>4.7716000000000003</v>
      </c>
      <c r="Y50" s="183">
        <f t="shared" si="6"/>
        <v>8</v>
      </c>
      <c r="Z50" s="188">
        <f t="shared" si="7"/>
        <v>0.24</v>
      </c>
      <c r="AA50" s="183">
        <f t="shared" si="8"/>
        <v>14</v>
      </c>
      <c r="AB50" s="189">
        <f t="shared" si="9"/>
        <v>5.4600000000000003E-2</v>
      </c>
      <c r="AC50" s="189">
        <f>0.3+0.23</f>
        <v>0.53</v>
      </c>
      <c r="AD50" s="189">
        <f t="shared" si="22"/>
        <v>-0.04</v>
      </c>
      <c r="AE50" s="189">
        <f>2.52*0.3</f>
        <v>0.75600000000000001</v>
      </c>
      <c r="AF50" s="188">
        <f t="shared" si="23"/>
        <v>4.2405999999999997</v>
      </c>
      <c r="AG50" s="183">
        <f t="shared" si="10"/>
        <v>8</v>
      </c>
      <c r="AH50" s="182">
        <f t="shared" si="11"/>
        <v>0.24</v>
      </c>
      <c r="AI50" s="183">
        <f t="shared" si="12"/>
        <v>13</v>
      </c>
      <c r="AJ50" s="189">
        <f t="shared" si="13"/>
        <v>5.4600000000000003E-2</v>
      </c>
      <c r="AK50" s="189">
        <f>0.3+0.23</f>
        <v>0.53</v>
      </c>
      <c r="AL50" s="189">
        <f t="shared" si="24"/>
        <v>-0.04</v>
      </c>
      <c r="AM50" s="189">
        <f>5.96*0.3</f>
        <v>1.788</v>
      </c>
      <c r="AN50" s="188">
        <f t="shared" si="37"/>
        <v>5.2726000000000006</v>
      </c>
      <c r="AO50" s="183">
        <v>0</v>
      </c>
      <c r="AP50" s="182">
        <f t="shared" si="14"/>
        <v>8</v>
      </c>
      <c r="AQ50" s="182">
        <v>1.5</v>
      </c>
      <c r="AR50" s="187">
        <f t="shared" si="25"/>
        <v>135.67959999999999</v>
      </c>
      <c r="AS50" s="187">
        <f t="shared" si="26"/>
        <v>0</v>
      </c>
      <c r="AT50" s="187">
        <f t="shared" si="27"/>
        <v>0</v>
      </c>
      <c r="AU50" s="187">
        <f t="shared" si="28"/>
        <v>127.9122</v>
      </c>
      <c r="AV50" s="187">
        <f t="shared" si="15"/>
        <v>0</v>
      </c>
      <c r="AW50" s="187">
        <f t="shared" si="29"/>
        <v>0</v>
      </c>
      <c r="AX50" s="187">
        <f t="shared" si="30"/>
        <v>12</v>
      </c>
      <c r="AY50" s="190"/>
      <c r="AZ50" s="240"/>
      <c r="BA50" s="232"/>
      <c r="BF50" s="206"/>
      <c r="BG50" s="206"/>
      <c r="BK50" s="126"/>
      <c r="BL50" s="126"/>
      <c r="BN50" s="126"/>
      <c r="BO50" s="126"/>
      <c r="BQ50" s="126"/>
      <c r="BR50" s="126"/>
      <c r="BT50" s="126"/>
      <c r="BU50" s="126"/>
      <c r="BW50" s="126"/>
      <c r="BX50" s="126"/>
      <c r="BZ50" s="126"/>
      <c r="CA50" s="126"/>
      <c r="CC50" s="126"/>
      <c r="CD50" s="126"/>
      <c r="CF50" s="126"/>
      <c r="CG50" s="126"/>
    </row>
    <row r="51" spans="1:85" s="197" customFormat="1" x14ac:dyDescent="0.3">
      <c r="A51" s="182" t="s">
        <v>229</v>
      </c>
      <c r="B51" s="183">
        <v>1</v>
      </c>
      <c r="C51" s="184" t="s">
        <v>275</v>
      </c>
      <c r="D51" s="187">
        <v>3.69</v>
      </c>
      <c r="E51" s="187">
        <v>2.94</v>
      </c>
      <c r="F51" s="186">
        <v>0.13</v>
      </c>
      <c r="G51" s="187">
        <f t="shared" si="16"/>
        <v>1.410318</v>
      </c>
      <c r="H51" s="188">
        <f t="shared" si="48"/>
        <v>10.848599999999999</v>
      </c>
      <c r="I51" s="183">
        <f t="shared" si="1"/>
        <v>8</v>
      </c>
      <c r="J51" s="188">
        <f t="shared" si="17"/>
        <v>0.17</v>
      </c>
      <c r="K51" s="183">
        <f t="shared" si="18"/>
        <v>18</v>
      </c>
      <c r="L51" s="189">
        <f t="shared" si="19"/>
        <v>5.4600000000000003E-2</v>
      </c>
      <c r="M51" s="189">
        <f>0.3+0.23</f>
        <v>0.53</v>
      </c>
      <c r="N51" s="189">
        <f t="shared" si="20"/>
        <v>-0.04</v>
      </c>
      <c r="O51" s="189">
        <f>3.19*0.3</f>
        <v>0.95699999999999996</v>
      </c>
      <c r="P51" s="188">
        <f t="shared" si="34"/>
        <v>5.1915999999999993</v>
      </c>
      <c r="Q51" s="183">
        <f t="shared" si="2"/>
        <v>8</v>
      </c>
      <c r="R51" s="188">
        <f t="shared" si="3"/>
        <v>0.17</v>
      </c>
      <c r="S51" s="183">
        <f t="shared" si="4"/>
        <v>17</v>
      </c>
      <c r="T51" s="189">
        <f t="shared" si="5"/>
        <v>5.4600000000000003E-2</v>
      </c>
      <c r="U51" s="189">
        <f>0.3+0.23</f>
        <v>0.53</v>
      </c>
      <c r="V51" s="189">
        <f t="shared" si="21"/>
        <v>-0.04</v>
      </c>
      <c r="W51" s="189">
        <f>2.62*0.3</f>
        <v>0.78600000000000003</v>
      </c>
      <c r="X51" s="188">
        <f t="shared" si="47"/>
        <v>5.0206</v>
      </c>
      <c r="Y51" s="183">
        <f t="shared" si="6"/>
        <v>8</v>
      </c>
      <c r="Z51" s="188">
        <f t="shared" si="7"/>
        <v>0.24</v>
      </c>
      <c r="AA51" s="183">
        <f t="shared" si="8"/>
        <v>16</v>
      </c>
      <c r="AB51" s="189">
        <f t="shared" si="9"/>
        <v>5.4600000000000003E-2</v>
      </c>
      <c r="AC51" s="189">
        <f>0.3+0.23</f>
        <v>0.53</v>
      </c>
      <c r="AD51" s="189">
        <f t="shared" si="22"/>
        <v>-0.04</v>
      </c>
      <c r="AE51" s="189">
        <f>2.47*0.3</f>
        <v>0.74099999999999999</v>
      </c>
      <c r="AF51" s="188">
        <f t="shared" si="23"/>
        <v>4.2256</v>
      </c>
      <c r="AG51" s="183">
        <f t="shared" si="10"/>
        <v>8</v>
      </c>
      <c r="AH51" s="182">
        <f t="shared" si="11"/>
        <v>0.24</v>
      </c>
      <c r="AI51" s="183">
        <f t="shared" si="12"/>
        <v>15</v>
      </c>
      <c r="AJ51" s="189">
        <f t="shared" si="13"/>
        <v>5.4600000000000003E-2</v>
      </c>
      <c r="AK51" s="189">
        <f>0.3+0.23</f>
        <v>0.53</v>
      </c>
      <c r="AL51" s="189">
        <f t="shared" si="24"/>
        <v>-0.04</v>
      </c>
      <c r="AM51" s="189">
        <f>2.78*0.3</f>
        <v>0.83399999999999996</v>
      </c>
      <c r="AN51" s="188">
        <f t="shared" si="37"/>
        <v>4.3186</v>
      </c>
      <c r="AO51" s="183">
        <v>0</v>
      </c>
      <c r="AP51" s="182">
        <f t="shared" si="14"/>
        <v>8</v>
      </c>
      <c r="AQ51" s="182">
        <v>1.5</v>
      </c>
      <c r="AR51" s="187">
        <f t="shared" si="25"/>
        <v>178.79899999999998</v>
      </c>
      <c r="AS51" s="187">
        <f t="shared" si="26"/>
        <v>0</v>
      </c>
      <c r="AT51" s="187">
        <f t="shared" si="27"/>
        <v>0</v>
      </c>
      <c r="AU51" s="187">
        <f t="shared" si="28"/>
        <v>132.3886</v>
      </c>
      <c r="AV51" s="187">
        <f t="shared" si="15"/>
        <v>0</v>
      </c>
      <c r="AW51" s="187">
        <f t="shared" si="29"/>
        <v>0</v>
      </c>
      <c r="AX51" s="187">
        <f t="shared" si="30"/>
        <v>12</v>
      </c>
      <c r="AY51" s="190"/>
      <c r="AZ51" s="240"/>
      <c r="BA51" s="232"/>
      <c r="BF51" s="206"/>
      <c r="BG51" s="206"/>
      <c r="BK51" s="126"/>
      <c r="BL51" s="126"/>
      <c r="BN51" s="126"/>
      <c r="BO51" s="126"/>
      <c r="BQ51" s="126"/>
      <c r="BR51" s="126"/>
      <c r="BT51" s="126"/>
      <c r="BU51" s="126"/>
      <c r="BW51" s="126"/>
      <c r="BX51" s="126"/>
      <c r="BZ51" s="126"/>
      <c r="CA51" s="126"/>
      <c r="CC51" s="126"/>
      <c r="CD51" s="126"/>
      <c r="CF51" s="126"/>
      <c r="CG51" s="126"/>
    </row>
    <row r="52" spans="1:85" s="197" customFormat="1" x14ac:dyDescent="0.3">
      <c r="A52" s="182" t="s">
        <v>223</v>
      </c>
      <c r="B52" s="183">
        <v>1</v>
      </c>
      <c r="C52" s="184" t="s">
        <v>276</v>
      </c>
      <c r="D52" s="187">
        <v>2.62</v>
      </c>
      <c r="E52" s="187">
        <v>5.64</v>
      </c>
      <c r="F52" s="186">
        <v>0.13</v>
      </c>
      <c r="G52" s="187">
        <f t="shared" si="16"/>
        <v>1.920984</v>
      </c>
      <c r="H52" s="188">
        <f t="shared" si="48"/>
        <v>14.7768</v>
      </c>
      <c r="I52" s="183">
        <f t="shared" si="1"/>
        <v>8</v>
      </c>
      <c r="J52" s="188">
        <f t="shared" si="17"/>
        <v>0.2</v>
      </c>
      <c r="K52" s="183">
        <f t="shared" si="18"/>
        <v>29</v>
      </c>
      <c r="L52" s="189">
        <f t="shared" si="19"/>
        <v>5.4600000000000003E-2</v>
      </c>
      <c r="M52" s="189">
        <f t="shared" si="38"/>
        <v>0.6</v>
      </c>
      <c r="N52" s="189">
        <f t="shared" si="20"/>
        <v>-0.04</v>
      </c>
      <c r="O52" s="189">
        <f>3.69*0.3</f>
        <v>1.107</v>
      </c>
      <c r="P52" s="188">
        <f t="shared" si="34"/>
        <v>4.3415999999999997</v>
      </c>
      <c r="Q52" s="183">
        <f t="shared" si="2"/>
        <v>8</v>
      </c>
      <c r="R52" s="188">
        <f t="shared" si="3"/>
        <v>0.2</v>
      </c>
      <c r="S52" s="183">
        <f t="shared" si="4"/>
        <v>28</v>
      </c>
      <c r="T52" s="189">
        <f t="shared" si="5"/>
        <v>5.4600000000000003E-2</v>
      </c>
      <c r="U52" s="189">
        <f t="shared" si="39"/>
        <v>0.6</v>
      </c>
      <c r="V52" s="189">
        <f t="shared" si="21"/>
        <v>-0.04</v>
      </c>
      <c r="W52" s="189">
        <f>2.42*0.3</f>
        <v>0.72599999999999998</v>
      </c>
      <c r="X52" s="188">
        <f t="shared" si="47"/>
        <v>3.9605999999999999</v>
      </c>
      <c r="Y52" s="183">
        <f t="shared" si="6"/>
        <v>8</v>
      </c>
      <c r="Z52" s="188">
        <f t="shared" si="7"/>
        <v>0.36</v>
      </c>
      <c r="AA52" s="183">
        <f t="shared" si="8"/>
        <v>8</v>
      </c>
      <c r="AB52" s="189">
        <f t="shared" si="9"/>
        <v>5.4600000000000003E-2</v>
      </c>
      <c r="AC52" s="189">
        <f t="shared" si="42"/>
        <v>0.6</v>
      </c>
      <c r="AD52" s="189">
        <f t="shared" si="22"/>
        <v>-0.04</v>
      </c>
      <c r="AE52" s="189">
        <f>3.3499*0.3</f>
        <v>1.0049699999999999</v>
      </c>
      <c r="AF52" s="188">
        <f t="shared" si="23"/>
        <v>7.2595700000000001</v>
      </c>
      <c r="AG52" s="183">
        <f t="shared" si="10"/>
        <v>8</v>
      </c>
      <c r="AH52" s="182">
        <f t="shared" si="11"/>
        <v>0.36</v>
      </c>
      <c r="AI52" s="183">
        <f t="shared" si="12"/>
        <v>7</v>
      </c>
      <c r="AJ52" s="189">
        <f t="shared" si="13"/>
        <v>5.4600000000000003E-2</v>
      </c>
      <c r="AK52" s="189">
        <f t="shared" si="43"/>
        <v>0.6</v>
      </c>
      <c r="AL52" s="189">
        <f t="shared" si="24"/>
        <v>-0.04</v>
      </c>
      <c r="AM52" s="189">
        <f>2.783*0.3</f>
        <v>0.83489999999999998</v>
      </c>
      <c r="AN52" s="188">
        <f t="shared" si="37"/>
        <v>7.0894999999999992</v>
      </c>
      <c r="AO52" s="183">
        <v>0</v>
      </c>
      <c r="AP52" s="182">
        <f t="shared" si="14"/>
        <v>12</v>
      </c>
      <c r="AQ52" s="182">
        <v>1.5</v>
      </c>
      <c r="AR52" s="187">
        <f t="shared" si="25"/>
        <v>236.8032</v>
      </c>
      <c r="AS52" s="187">
        <f t="shared" si="26"/>
        <v>0</v>
      </c>
      <c r="AT52" s="187">
        <f t="shared" si="27"/>
        <v>0</v>
      </c>
      <c r="AU52" s="187">
        <f t="shared" si="28"/>
        <v>107.70305999999999</v>
      </c>
      <c r="AV52" s="187">
        <f t="shared" si="15"/>
        <v>0</v>
      </c>
      <c r="AW52" s="187">
        <f t="shared" si="29"/>
        <v>0</v>
      </c>
      <c r="AX52" s="187">
        <f t="shared" si="30"/>
        <v>18</v>
      </c>
      <c r="AY52" s="190"/>
      <c r="AZ52" s="240"/>
      <c r="BA52" s="232"/>
      <c r="BF52" s="206"/>
      <c r="BG52" s="206"/>
      <c r="BK52" s="126"/>
      <c r="BL52" s="126"/>
      <c r="BN52" s="126"/>
      <c r="BO52" s="126"/>
      <c r="BQ52" s="126"/>
      <c r="BR52" s="126"/>
      <c r="BT52" s="126"/>
      <c r="BU52" s="126"/>
      <c r="BW52" s="126"/>
      <c r="BX52" s="126"/>
      <c r="BZ52" s="126"/>
      <c r="CA52" s="126"/>
      <c r="CC52" s="126"/>
      <c r="CD52" s="126"/>
      <c r="CF52" s="126"/>
      <c r="CG52" s="126"/>
    </row>
    <row r="53" spans="1:85" s="197" customFormat="1" x14ac:dyDescent="0.3">
      <c r="A53" s="182" t="s">
        <v>223</v>
      </c>
      <c r="B53" s="183">
        <v>2</v>
      </c>
      <c r="C53" s="184" t="s">
        <v>277</v>
      </c>
      <c r="D53" s="187">
        <v>2.42</v>
      </c>
      <c r="E53" s="187">
        <v>5.6150000000000002</v>
      </c>
      <c r="F53" s="186">
        <v>0.13</v>
      </c>
      <c r="G53" s="187">
        <f t="shared" si="16"/>
        <v>3.5329580000000003</v>
      </c>
      <c r="H53" s="188">
        <f t="shared" si="48"/>
        <v>27.176600000000001</v>
      </c>
      <c r="I53" s="183">
        <f t="shared" si="1"/>
        <v>8</v>
      </c>
      <c r="J53" s="188">
        <f t="shared" si="17"/>
        <v>0.2</v>
      </c>
      <c r="K53" s="183">
        <f t="shared" si="18"/>
        <v>29</v>
      </c>
      <c r="L53" s="189">
        <f t="shared" si="19"/>
        <v>5.4600000000000003E-2</v>
      </c>
      <c r="M53" s="189">
        <f t="shared" si="38"/>
        <v>0.6</v>
      </c>
      <c r="N53" s="189">
        <f t="shared" si="20"/>
        <v>-0.04</v>
      </c>
      <c r="O53" s="189">
        <f>2.62*0.3</f>
        <v>0.78600000000000003</v>
      </c>
      <c r="P53" s="188">
        <f t="shared" si="34"/>
        <v>3.8205999999999998</v>
      </c>
      <c r="Q53" s="183">
        <f t="shared" si="2"/>
        <v>8</v>
      </c>
      <c r="R53" s="188">
        <f t="shared" si="3"/>
        <v>0.2</v>
      </c>
      <c r="S53" s="183">
        <f t="shared" si="4"/>
        <v>28</v>
      </c>
      <c r="T53" s="189">
        <f t="shared" si="5"/>
        <v>5.4600000000000003E-2</v>
      </c>
      <c r="U53" s="189">
        <f t="shared" si="39"/>
        <v>0.6</v>
      </c>
      <c r="V53" s="189">
        <f t="shared" si="21"/>
        <v>-0.04</v>
      </c>
      <c r="W53" s="189">
        <f>2.12*0.3</f>
        <v>0.63600000000000001</v>
      </c>
      <c r="X53" s="188">
        <f t="shared" si="47"/>
        <v>3.6705999999999999</v>
      </c>
      <c r="Y53" s="183">
        <f t="shared" si="6"/>
        <v>8</v>
      </c>
      <c r="Z53" s="188">
        <f t="shared" si="7"/>
        <v>0.36</v>
      </c>
      <c r="AA53" s="183">
        <f t="shared" si="8"/>
        <v>8</v>
      </c>
      <c r="AB53" s="189">
        <f t="shared" si="9"/>
        <v>5.4600000000000003E-2</v>
      </c>
      <c r="AC53" s="189">
        <f t="shared" si="42"/>
        <v>0.6</v>
      </c>
      <c r="AD53" s="189">
        <f t="shared" si="22"/>
        <v>-0.04</v>
      </c>
      <c r="AE53" s="189">
        <f>2.78*0.3</f>
        <v>0.83399999999999996</v>
      </c>
      <c r="AF53" s="188">
        <f t="shared" si="23"/>
        <v>7.0636000000000001</v>
      </c>
      <c r="AG53" s="183">
        <f t="shared" si="10"/>
        <v>8</v>
      </c>
      <c r="AH53" s="182">
        <f t="shared" si="11"/>
        <v>0.36</v>
      </c>
      <c r="AI53" s="183">
        <f t="shared" si="12"/>
        <v>7</v>
      </c>
      <c r="AJ53" s="189">
        <f t="shared" si="13"/>
        <v>5.4600000000000003E-2</v>
      </c>
      <c r="AK53" s="189">
        <f t="shared" si="43"/>
        <v>0.6</v>
      </c>
      <c r="AL53" s="189">
        <f t="shared" si="24"/>
        <v>-0.04</v>
      </c>
      <c r="AM53" s="189">
        <f>3.465*0.3</f>
        <v>1.0394999999999999</v>
      </c>
      <c r="AN53" s="188">
        <f t="shared" si="37"/>
        <v>7.2690999999999999</v>
      </c>
      <c r="AO53" s="183">
        <v>0</v>
      </c>
      <c r="AP53" s="182">
        <f t="shared" si="14"/>
        <v>12</v>
      </c>
      <c r="AQ53" s="182">
        <v>1.5</v>
      </c>
      <c r="AR53" s="187">
        <f t="shared" si="25"/>
        <v>427.14839999999998</v>
      </c>
      <c r="AS53" s="187">
        <f t="shared" si="26"/>
        <v>0</v>
      </c>
      <c r="AT53" s="187">
        <f t="shared" si="27"/>
        <v>0</v>
      </c>
      <c r="AU53" s="187">
        <f t="shared" si="28"/>
        <v>214.785</v>
      </c>
      <c r="AV53" s="187">
        <f t="shared" si="15"/>
        <v>0</v>
      </c>
      <c r="AW53" s="187">
        <f t="shared" si="29"/>
        <v>0</v>
      </c>
      <c r="AX53" s="187">
        <f t="shared" si="30"/>
        <v>36</v>
      </c>
      <c r="AY53" s="190"/>
      <c r="AZ53" s="240"/>
      <c r="BA53" s="232"/>
      <c r="BF53" s="206"/>
      <c r="BG53" s="206"/>
      <c r="BK53" s="126"/>
      <c r="BL53" s="126"/>
      <c r="BN53" s="126"/>
      <c r="BO53" s="126"/>
      <c r="BQ53" s="126"/>
      <c r="BR53" s="126"/>
      <c r="BT53" s="126"/>
      <c r="BU53" s="126"/>
      <c r="BW53" s="126"/>
      <c r="BX53" s="126"/>
      <c r="BZ53" s="126"/>
      <c r="CA53" s="126"/>
      <c r="CC53" s="126"/>
      <c r="CD53" s="126"/>
      <c r="CF53" s="126"/>
      <c r="CG53" s="126"/>
    </row>
    <row r="54" spans="1:85" s="197" customFormat="1" x14ac:dyDescent="0.3">
      <c r="A54" s="182" t="s">
        <v>223</v>
      </c>
      <c r="B54" s="183">
        <v>2</v>
      </c>
      <c r="C54" s="184" t="s">
        <v>278</v>
      </c>
      <c r="D54" s="187">
        <v>2.12</v>
      </c>
      <c r="E54" s="187">
        <v>5.6150000000000002</v>
      </c>
      <c r="F54" s="186">
        <v>0.13</v>
      </c>
      <c r="G54" s="187">
        <f t="shared" si="16"/>
        <v>3.0949880000000003</v>
      </c>
      <c r="H54" s="188">
        <f t="shared" si="48"/>
        <v>23.807600000000001</v>
      </c>
      <c r="I54" s="183">
        <f t="shared" si="1"/>
        <v>8</v>
      </c>
      <c r="J54" s="188">
        <f t="shared" si="17"/>
        <v>0.2</v>
      </c>
      <c r="K54" s="183">
        <f t="shared" si="18"/>
        <v>29</v>
      </c>
      <c r="L54" s="189">
        <f t="shared" si="19"/>
        <v>5.4600000000000003E-2</v>
      </c>
      <c r="M54" s="189">
        <f t="shared" si="38"/>
        <v>0.6</v>
      </c>
      <c r="N54" s="189">
        <f t="shared" si="20"/>
        <v>-0.04</v>
      </c>
      <c r="O54" s="189">
        <f>2.42*0.3</f>
        <v>0.72599999999999998</v>
      </c>
      <c r="P54" s="188">
        <f t="shared" si="34"/>
        <v>3.4605999999999999</v>
      </c>
      <c r="Q54" s="183">
        <f t="shared" si="2"/>
        <v>8</v>
      </c>
      <c r="R54" s="188">
        <f t="shared" si="3"/>
        <v>0.2</v>
      </c>
      <c r="S54" s="183">
        <f t="shared" si="4"/>
        <v>28</v>
      </c>
      <c r="T54" s="189">
        <f t="shared" si="5"/>
        <v>5.4600000000000003E-2</v>
      </c>
      <c r="U54" s="189">
        <f t="shared" si="39"/>
        <v>0.6</v>
      </c>
      <c r="V54" s="189">
        <f t="shared" si="21"/>
        <v>-0.04</v>
      </c>
      <c r="W54" s="189">
        <f>2.42*0.3</f>
        <v>0.72599999999999998</v>
      </c>
      <c r="X54" s="188">
        <f t="shared" si="47"/>
        <v>3.4605999999999999</v>
      </c>
      <c r="Y54" s="183">
        <f t="shared" si="6"/>
        <v>8</v>
      </c>
      <c r="Z54" s="188">
        <f t="shared" si="7"/>
        <v>0.36</v>
      </c>
      <c r="AA54" s="183">
        <f t="shared" si="8"/>
        <v>7</v>
      </c>
      <c r="AB54" s="189">
        <f t="shared" si="9"/>
        <v>5.4600000000000003E-2</v>
      </c>
      <c r="AC54" s="189">
        <f t="shared" si="42"/>
        <v>0.6</v>
      </c>
      <c r="AD54" s="189">
        <f t="shared" si="22"/>
        <v>-0.04</v>
      </c>
      <c r="AE54" s="189">
        <f>3.465*0.3</f>
        <v>1.0394999999999999</v>
      </c>
      <c r="AF54" s="188">
        <f t="shared" si="23"/>
        <v>7.2690999999999999</v>
      </c>
      <c r="AG54" s="183">
        <f t="shared" si="10"/>
        <v>8</v>
      </c>
      <c r="AH54" s="182">
        <f t="shared" si="11"/>
        <v>0.36</v>
      </c>
      <c r="AI54" s="183">
        <f t="shared" si="12"/>
        <v>6</v>
      </c>
      <c r="AJ54" s="189">
        <f t="shared" si="13"/>
        <v>5.4600000000000003E-2</v>
      </c>
      <c r="AK54" s="189">
        <f t="shared" si="43"/>
        <v>0.6</v>
      </c>
      <c r="AL54" s="189">
        <f t="shared" si="24"/>
        <v>-0.04</v>
      </c>
      <c r="AM54" s="189">
        <f>2.784*0.3</f>
        <v>0.83519999999999994</v>
      </c>
      <c r="AN54" s="188">
        <f t="shared" si="37"/>
        <v>7.0648</v>
      </c>
      <c r="AO54" s="183">
        <v>0</v>
      </c>
      <c r="AP54" s="182">
        <f t="shared" si="14"/>
        <v>10</v>
      </c>
      <c r="AQ54" s="182">
        <v>1.5</v>
      </c>
      <c r="AR54" s="187">
        <f t="shared" si="25"/>
        <v>394.50839999999999</v>
      </c>
      <c r="AS54" s="187">
        <f t="shared" si="26"/>
        <v>0</v>
      </c>
      <c r="AT54" s="187">
        <f t="shared" si="27"/>
        <v>0</v>
      </c>
      <c r="AU54" s="187">
        <f t="shared" si="28"/>
        <v>186.54500000000002</v>
      </c>
      <c r="AV54" s="187">
        <f t="shared" si="15"/>
        <v>0</v>
      </c>
      <c r="AW54" s="187">
        <f t="shared" si="29"/>
        <v>0</v>
      </c>
      <c r="AX54" s="187">
        <f t="shared" si="30"/>
        <v>30</v>
      </c>
      <c r="AY54" s="190"/>
      <c r="AZ54" s="240"/>
      <c r="BA54" s="232"/>
      <c r="BF54" s="206"/>
      <c r="BG54" s="206"/>
      <c r="BK54" s="126"/>
      <c r="BL54" s="126"/>
      <c r="BN54" s="126"/>
      <c r="BO54" s="126"/>
      <c r="BQ54" s="126"/>
      <c r="BR54" s="126"/>
      <c r="BT54" s="126"/>
      <c r="BU54" s="126"/>
      <c r="BW54" s="126"/>
      <c r="BX54" s="126"/>
      <c r="BZ54" s="126"/>
      <c r="CA54" s="126"/>
      <c r="CC54" s="126"/>
      <c r="CD54" s="126"/>
      <c r="CF54" s="126"/>
      <c r="CG54" s="126"/>
    </row>
    <row r="55" spans="1:85" s="197" customFormat="1" x14ac:dyDescent="0.3">
      <c r="A55" s="182" t="s">
        <v>223</v>
      </c>
      <c r="B55" s="183">
        <v>1</v>
      </c>
      <c r="C55" s="184" t="s">
        <v>279</v>
      </c>
      <c r="D55" s="187">
        <v>6.2850000000000001</v>
      </c>
      <c r="E55" s="187">
        <v>2.41</v>
      </c>
      <c r="F55" s="186">
        <v>0.13</v>
      </c>
      <c r="G55" s="187">
        <f t="shared" si="16"/>
        <v>1.9690905000000001</v>
      </c>
      <c r="H55" s="188">
        <f t="shared" si="48"/>
        <v>15.146850000000001</v>
      </c>
      <c r="I55" s="183">
        <f t="shared" si="1"/>
        <v>8</v>
      </c>
      <c r="J55" s="188">
        <f t="shared" si="17"/>
        <v>0.2</v>
      </c>
      <c r="K55" s="183">
        <f t="shared" si="18"/>
        <v>13</v>
      </c>
      <c r="L55" s="189">
        <f t="shared" si="19"/>
        <v>5.4600000000000003E-2</v>
      </c>
      <c r="M55" s="189">
        <f>0.45+0.23</f>
        <v>0.68</v>
      </c>
      <c r="N55" s="189">
        <f t="shared" si="20"/>
        <v>-0.04</v>
      </c>
      <c r="O55" s="189">
        <f>2.6*0.3</f>
        <v>0.78</v>
      </c>
      <c r="P55" s="188">
        <f t="shared" si="34"/>
        <v>7.7596000000000007</v>
      </c>
      <c r="Q55" s="183">
        <f t="shared" si="2"/>
        <v>8</v>
      </c>
      <c r="R55" s="188">
        <f t="shared" si="3"/>
        <v>0.2</v>
      </c>
      <c r="S55" s="183">
        <f t="shared" si="4"/>
        <v>12</v>
      </c>
      <c r="T55" s="189">
        <f t="shared" si="5"/>
        <v>5.4600000000000003E-2</v>
      </c>
      <c r="U55" s="189">
        <f>0.45+0.23</f>
        <v>0.68</v>
      </c>
      <c r="V55" s="189">
        <f t="shared" si="21"/>
        <v>-0.04</v>
      </c>
      <c r="W55" s="189">
        <f>2.74*0.3</f>
        <v>0.82200000000000006</v>
      </c>
      <c r="X55" s="188">
        <f t="shared" si="47"/>
        <v>7.8016000000000005</v>
      </c>
      <c r="Y55" s="183">
        <f t="shared" si="6"/>
        <v>8</v>
      </c>
      <c r="Z55" s="188">
        <f t="shared" si="7"/>
        <v>0.36</v>
      </c>
      <c r="AA55" s="183">
        <f t="shared" si="8"/>
        <v>18</v>
      </c>
      <c r="AB55" s="189">
        <f t="shared" si="9"/>
        <v>5.4600000000000003E-2</v>
      </c>
      <c r="AC55" s="189">
        <f>0.3+0.38</f>
        <v>0.67999999999999994</v>
      </c>
      <c r="AD55" s="189">
        <f t="shared" si="22"/>
        <v>-0.04</v>
      </c>
      <c r="AE55" s="189">
        <f>5.05*0.3</f>
        <v>1.5149999999999999</v>
      </c>
      <c r="AF55" s="188">
        <f t="shared" si="23"/>
        <v>4.6196000000000002</v>
      </c>
      <c r="AG55" s="183">
        <f t="shared" si="10"/>
        <v>8</v>
      </c>
      <c r="AH55" s="182">
        <f t="shared" si="11"/>
        <v>0.36</v>
      </c>
      <c r="AI55" s="183">
        <f t="shared" si="12"/>
        <v>17</v>
      </c>
      <c r="AJ55" s="189">
        <f t="shared" si="13"/>
        <v>5.4600000000000003E-2</v>
      </c>
      <c r="AK55" s="189">
        <f>0.3+0.38</f>
        <v>0.67999999999999994</v>
      </c>
      <c r="AL55" s="189">
        <f t="shared" si="24"/>
        <v>-0.04</v>
      </c>
      <c r="AM55" s="189">
        <f>2.94*0.3</f>
        <v>0.88200000000000001</v>
      </c>
      <c r="AN55" s="188">
        <f t="shared" si="37"/>
        <v>3.9866000000000001</v>
      </c>
      <c r="AO55" s="183">
        <v>0</v>
      </c>
      <c r="AP55" s="182">
        <f t="shared" si="14"/>
        <v>12</v>
      </c>
      <c r="AQ55" s="182">
        <v>1.5</v>
      </c>
      <c r="AR55" s="187">
        <f t="shared" si="25"/>
        <v>194.49400000000003</v>
      </c>
      <c r="AS55" s="187">
        <f t="shared" si="26"/>
        <v>0</v>
      </c>
      <c r="AT55" s="187">
        <f t="shared" si="27"/>
        <v>0</v>
      </c>
      <c r="AU55" s="187">
        <f t="shared" si="28"/>
        <v>150.92500000000001</v>
      </c>
      <c r="AV55" s="187">
        <f t="shared" si="15"/>
        <v>0</v>
      </c>
      <c r="AW55" s="187">
        <f t="shared" si="29"/>
        <v>0</v>
      </c>
      <c r="AX55" s="187">
        <f t="shared" si="30"/>
        <v>18</v>
      </c>
      <c r="AY55" s="190"/>
      <c r="AZ55" s="240"/>
      <c r="BA55" s="232"/>
      <c r="BF55" s="206"/>
      <c r="BG55" s="206"/>
      <c r="BK55" s="126"/>
      <c r="BL55" s="126"/>
      <c r="BN55" s="126"/>
      <c r="BO55" s="126"/>
      <c r="BQ55" s="126"/>
      <c r="BR55" s="126"/>
      <c r="BT55" s="126"/>
      <c r="BU55" s="126"/>
      <c r="BW55" s="126"/>
      <c r="BX55" s="126"/>
      <c r="BZ55" s="126"/>
      <c r="CA55" s="126"/>
      <c r="CC55" s="126"/>
      <c r="CD55" s="126"/>
      <c r="CF55" s="126"/>
      <c r="CG55" s="126"/>
    </row>
    <row r="56" spans="1:85" s="197" customFormat="1" x14ac:dyDescent="0.3">
      <c r="A56" s="182" t="s">
        <v>239</v>
      </c>
      <c r="B56" s="183">
        <v>1</v>
      </c>
      <c r="C56" s="184" t="s">
        <v>280</v>
      </c>
      <c r="D56" s="187">
        <v>2.74</v>
      </c>
      <c r="E56" s="187">
        <v>2.4500000000000002</v>
      </c>
      <c r="F56" s="186">
        <v>0.125</v>
      </c>
      <c r="G56" s="187">
        <f t="shared" si="16"/>
        <v>0.83912500000000012</v>
      </c>
      <c r="H56" s="188">
        <f t="shared" si="48"/>
        <v>6.713000000000001</v>
      </c>
      <c r="I56" s="183">
        <f t="shared" si="1"/>
        <v>8</v>
      </c>
      <c r="J56" s="188">
        <f t="shared" si="17"/>
        <v>0.23</v>
      </c>
      <c r="K56" s="183">
        <f t="shared" si="18"/>
        <v>12</v>
      </c>
      <c r="L56" s="189">
        <f t="shared" si="19"/>
        <v>5.2499999999999998E-2</v>
      </c>
      <c r="M56" s="189">
        <f>0.23*2</f>
        <v>0.46</v>
      </c>
      <c r="N56" s="189">
        <f t="shared" si="20"/>
        <v>-0.04</v>
      </c>
      <c r="O56" s="189">
        <f>6.285*0.3</f>
        <v>1.8855</v>
      </c>
      <c r="P56" s="188">
        <f t="shared" si="34"/>
        <v>5.0980000000000008</v>
      </c>
      <c r="Q56" s="183">
        <f t="shared" si="2"/>
        <v>8</v>
      </c>
      <c r="R56" s="188">
        <f t="shared" si="3"/>
        <v>0.23</v>
      </c>
      <c r="S56" s="183">
        <f t="shared" si="4"/>
        <v>11</v>
      </c>
      <c r="T56" s="189">
        <f t="shared" si="5"/>
        <v>5.2499999999999998E-2</v>
      </c>
      <c r="U56" s="189">
        <f>0.23*2</f>
        <v>0.46</v>
      </c>
      <c r="V56" s="189">
        <f t="shared" si="21"/>
        <v>-0.04</v>
      </c>
      <c r="W56" s="189">
        <f>0.99*0.3</f>
        <v>0.29699999999999999</v>
      </c>
      <c r="X56" s="188">
        <f t="shared" si="47"/>
        <v>3.5095000000000001</v>
      </c>
      <c r="Y56" s="183">
        <f t="shared" si="6"/>
        <v>8</v>
      </c>
      <c r="Z56" s="188">
        <f t="shared" si="7"/>
        <v>0.3</v>
      </c>
      <c r="AA56" s="183">
        <f t="shared" si="8"/>
        <v>10</v>
      </c>
      <c r="AB56" s="189">
        <f t="shared" si="9"/>
        <v>5.2499999999999998E-2</v>
      </c>
      <c r="AC56" s="189">
        <f>0.3+0.23</f>
        <v>0.53</v>
      </c>
      <c r="AD56" s="189">
        <f t="shared" si="22"/>
        <v>-0.04</v>
      </c>
      <c r="AE56" s="189">
        <f>3.05*0.3</f>
        <v>0.91499999999999992</v>
      </c>
      <c r="AF56" s="188">
        <f t="shared" si="23"/>
        <v>3.9075000000000002</v>
      </c>
      <c r="AG56" s="183">
        <f t="shared" si="10"/>
        <v>8</v>
      </c>
      <c r="AH56" s="182">
        <f t="shared" si="11"/>
        <v>0.3</v>
      </c>
      <c r="AI56" s="183">
        <f t="shared" si="12"/>
        <v>9</v>
      </c>
      <c r="AJ56" s="189">
        <f t="shared" si="13"/>
        <v>5.2499999999999998E-2</v>
      </c>
      <c r="AK56" s="189">
        <f>0.3+0.23</f>
        <v>0.53</v>
      </c>
      <c r="AL56" s="189">
        <f t="shared" si="24"/>
        <v>-0.04</v>
      </c>
      <c r="AM56" s="189">
        <f>3.01*0.3</f>
        <v>0.90299999999999991</v>
      </c>
      <c r="AN56" s="188">
        <f t="shared" si="37"/>
        <v>3.8955000000000002</v>
      </c>
      <c r="AO56" s="183">
        <v>0</v>
      </c>
      <c r="AP56" s="182">
        <f t="shared" si="14"/>
        <v>8</v>
      </c>
      <c r="AQ56" s="182">
        <v>1.5</v>
      </c>
      <c r="AR56" s="187">
        <f t="shared" si="25"/>
        <v>99.780500000000018</v>
      </c>
      <c r="AS56" s="187">
        <f t="shared" si="26"/>
        <v>0</v>
      </c>
      <c r="AT56" s="187">
        <f t="shared" si="27"/>
        <v>0</v>
      </c>
      <c r="AU56" s="187">
        <f t="shared" si="28"/>
        <v>74.134500000000003</v>
      </c>
      <c r="AV56" s="187">
        <f t="shared" si="15"/>
        <v>0</v>
      </c>
      <c r="AW56" s="187">
        <f t="shared" si="29"/>
        <v>0</v>
      </c>
      <c r="AX56" s="187">
        <f t="shared" si="30"/>
        <v>12</v>
      </c>
      <c r="AY56" s="190"/>
      <c r="AZ56" s="240"/>
      <c r="BA56" s="232"/>
      <c r="BF56" s="206"/>
      <c r="BG56" s="206"/>
      <c r="BK56" s="126"/>
      <c r="BL56" s="126"/>
      <c r="BN56" s="126"/>
      <c r="BO56" s="126"/>
      <c r="BQ56" s="126"/>
      <c r="BR56" s="126"/>
      <c r="BT56" s="126"/>
      <c r="BU56" s="126"/>
      <c r="BW56" s="126"/>
      <c r="BX56" s="126"/>
      <c r="BZ56" s="126"/>
      <c r="CA56" s="126"/>
      <c r="CC56" s="126"/>
      <c r="CD56" s="126"/>
      <c r="CF56" s="126"/>
      <c r="CG56" s="126"/>
    </row>
    <row r="57" spans="1:85" s="197" customFormat="1" x14ac:dyDescent="0.3">
      <c r="A57" s="182" t="s">
        <v>245</v>
      </c>
      <c r="B57" s="183">
        <v>2</v>
      </c>
      <c r="C57" s="184" t="s">
        <v>281</v>
      </c>
      <c r="D57" s="187">
        <v>0.99</v>
      </c>
      <c r="E57" s="187">
        <v>1.38</v>
      </c>
      <c r="F57" s="186">
        <v>0.14000000000000001</v>
      </c>
      <c r="G57" s="187">
        <f t="shared" si="16"/>
        <v>0.38253599999999999</v>
      </c>
      <c r="H57" s="188">
        <f t="shared" si="48"/>
        <v>2.7323999999999997</v>
      </c>
      <c r="I57" s="183">
        <f t="shared" si="1"/>
        <v>10</v>
      </c>
      <c r="J57" s="188">
        <f t="shared" si="17"/>
        <v>0.2</v>
      </c>
      <c r="K57" s="183">
        <f t="shared" si="18"/>
        <v>8</v>
      </c>
      <c r="L57" s="189">
        <f t="shared" si="19"/>
        <v>5.8800000000000005E-2</v>
      </c>
      <c r="M57" s="189">
        <f>0.23*2</f>
        <v>0.46</v>
      </c>
      <c r="N57" s="189">
        <f t="shared" si="20"/>
        <v>-0.04</v>
      </c>
      <c r="O57" s="189">
        <f>2.74*0.3</f>
        <v>0.82200000000000006</v>
      </c>
      <c r="P57" s="188">
        <f t="shared" si="34"/>
        <v>2.2907999999999999</v>
      </c>
      <c r="Q57" s="183">
        <f t="shared" si="2"/>
        <v>10</v>
      </c>
      <c r="R57" s="188">
        <f t="shared" si="3"/>
        <v>0.2</v>
      </c>
      <c r="S57" s="183">
        <f t="shared" si="4"/>
        <v>7</v>
      </c>
      <c r="T57" s="189">
        <f t="shared" si="5"/>
        <v>5.8800000000000005E-2</v>
      </c>
      <c r="U57" s="189">
        <f>0.23*2</f>
        <v>0.46</v>
      </c>
      <c r="V57" s="189">
        <f t="shared" si="21"/>
        <v>-0.04</v>
      </c>
      <c r="W57" s="189">
        <v>0</v>
      </c>
      <c r="X57" s="188">
        <f t="shared" si="47"/>
        <v>1.4688000000000001</v>
      </c>
      <c r="Y57" s="183">
        <f t="shared" si="6"/>
        <v>10</v>
      </c>
      <c r="Z57" s="188">
        <f t="shared" si="7"/>
        <v>0.24</v>
      </c>
      <c r="AA57" s="183">
        <f t="shared" si="8"/>
        <v>5</v>
      </c>
      <c r="AB57" s="189">
        <f t="shared" si="9"/>
        <v>5.8800000000000005E-2</v>
      </c>
      <c r="AC57" s="189">
        <f>0.3+0.23</f>
        <v>0.53</v>
      </c>
      <c r="AD57" s="189">
        <f t="shared" si="22"/>
        <v>-0.04</v>
      </c>
      <c r="AE57" s="189">
        <v>0</v>
      </c>
      <c r="AF57" s="188">
        <f t="shared" si="23"/>
        <v>1.9287999999999998</v>
      </c>
      <c r="AG57" s="183">
        <f t="shared" si="10"/>
        <v>10</v>
      </c>
      <c r="AH57" s="182">
        <f t="shared" si="11"/>
        <v>0.24</v>
      </c>
      <c r="AI57" s="183">
        <f t="shared" si="12"/>
        <v>4</v>
      </c>
      <c r="AJ57" s="189">
        <f t="shared" si="13"/>
        <v>5.8800000000000005E-2</v>
      </c>
      <c r="AK57" s="189">
        <f>0.3+0.23</f>
        <v>0.53</v>
      </c>
      <c r="AL57" s="189">
        <f t="shared" si="24"/>
        <v>-0.04</v>
      </c>
      <c r="AM57" s="189">
        <v>0</v>
      </c>
      <c r="AN57" s="188">
        <f t="shared" si="37"/>
        <v>1.9287999999999998</v>
      </c>
      <c r="AO57" s="183">
        <v>0</v>
      </c>
      <c r="AP57" s="182">
        <f t="shared" si="14"/>
        <v>4</v>
      </c>
      <c r="AQ57" s="182">
        <v>1.5</v>
      </c>
      <c r="AR57" s="187">
        <f t="shared" si="25"/>
        <v>0</v>
      </c>
      <c r="AS57" s="187">
        <f t="shared" si="26"/>
        <v>57.216000000000001</v>
      </c>
      <c r="AT57" s="187">
        <f t="shared" si="27"/>
        <v>0</v>
      </c>
      <c r="AU57" s="187">
        <f t="shared" si="28"/>
        <v>0</v>
      </c>
      <c r="AV57" s="187">
        <f t="shared" si="15"/>
        <v>34.718399999999995</v>
      </c>
      <c r="AW57" s="187">
        <f t="shared" si="29"/>
        <v>0</v>
      </c>
      <c r="AX57" s="187">
        <f t="shared" si="30"/>
        <v>12</v>
      </c>
      <c r="AY57" s="190"/>
      <c r="AZ57" s="240"/>
      <c r="BA57" s="232"/>
      <c r="BF57" s="206"/>
      <c r="BG57" s="206"/>
      <c r="BK57" s="126"/>
      <c r="BL57" s="126"/>
      <c r="BN57" s="126"/>
      <c r="BO57" s="126"/>
      <c r="BQ57" s="126"/>
      <c r="BR57" s="126"/>
      <c r="BT57" s="126"/>
      <c r="BU57" s="126"/>
      <c r="BW57" s="126"/>
      <c r="BX57" s="126"/>
      <c r="BZ57" s="126"/>
      <c r="CA57" s="126"/>
      <c r="CC57" s="126"/>
      <c r="CD57" s="126"/>
      <c r="CF57" s="126"/>
      <c r="CG57" s="126"/>
    </row>
    <row r="58" spans="1:85" s="197" customFormat="1" x14ac:dyDescent="0.3">
      <c r="A58" s="182" t="s">
        <v>245</v>
      </c>
      <c r="B58" s="183">
        <v>1</v>
      </c>
      <c r="C58" s="184" t="s">
        <v>282</v>
      </c>
      <c r="D58" s="187">
        <v>1.29</v>
      </c>
      <c r="E58" s="187">
        <v>4.1100000000000003</v>
      </c>
      <c r="F58" s="186">
        <v>0.14000000000000001</v>
      </c>
      <c r="G58" s="187">
        <f t="shared" si="16"/>
        <v>0.7422660000000002</v>
      </c>
      <c r="H58" s="188">
        <f t="shared" si="48"/>
        <v>5.3019000000000007</v>
      </c>
      <c r="I58" s="183">
        <f t="shared" si="1"/>
        <v>10</v>
      </c>
      <c r="J58" s="188">
        <f t="shared" si="17"/>
        <v>0.2</v>
      </c>
      <c r="K58" s="183">
        <f t="shared" si="18"/>
        <v>22</v>
      </c>
      <c r="L58" s="189">
        <f t="shared" si="19"/>
        <v>5.8800000000000005E-2</v>
      </c>
      <c r="M58" s="189">
        <f>0.23+0.3</f>
        <v>0.53</v>
      </c>
      <c r="N58" s="189">
        <f t="shared" si="20"/>
        <v>-0.04</v>
      </c>
      <c r="O58" s="189">
        <f>4.19*0.3</f>
        <v>1.2570000000000001</v>
      </c>
      <c r="P58" s="188">
        <f t="shared" si="34"/>
        <v>3.0958000000000001</v>
      </c>
      <c r="Q58" s="183">
        <f t="shared" si="2"/>
        <v>10</v>
      </c>
      <c r="R58" s="188">
        <f t="shared" si="3"/>
        <v>0.2</v>
      </c>
      <c r="S58" s="183">
        <f t="shared" si="4"/>
        <v>21</v>
      </c>
      <c r="T58" s="189">
        <f t="shared" si="5"/>
        <v>5.8800000000000005E-2</v>
      </c>
      <c r="U58" s="189">
        <f>0.23+0.3</f>
        <v>0.53</v>
      </c>
      <c r="V58" s="189">
        <f t="shared" si="21"/>
        <v>-0.04</v>
      </c>
      <c r="W58" s="189">
        <v>0</v>
      </c>
      <c r="X58" s="188">
        <f t="shared" si="47"/>
        <v>1.8388</v>
      </c>
      <c r="Y58" s="183">
        <f t="shared" si="6"/>
        <v>10</v>
      </c>
      <c r="Z58" s="188">
        <f t="shared" si="7"/>
        <v>0.24</v>
      </c>
      <c r="AA58" s="183">
        <f t="shared" si="8"/>
        <v>6</v>
      </c>
      <c r="AB58" s="189">
        <f t="shared" si="9"/>
        <v>5.8800000000000005E-2</v>
      </c>
      <c r="AC58" s="189">
        <f>0.23*2</f>
        <v>0.46</v>
      </c>
      <c r="AD58" s="189">
        <f t="shared" si="22"/>
        <v>-0.04</v>
      </c>
      <c r="AE58" s="189">
        <v>0</v>
      </c>
      <c r="AF58" s="188">
        <f t="shared" si="23"/>
        <v>4.5888</v>
      </c>
      <c r="AG58" s="183">
        <f t="shared" si="10"/>
        <v>10</v>
      </c>
      <c r="AH58" s="182">
        <f t="shared" si="11"/>
        <v>0.24</v>
      </c>
      <c r="AI58" s="183">
        <f t="shared" si="12"/>
        <v>5</v>
      </c>
      <c r="AJ58" s="189">
        <f t="shared" si="13"/>
        <v>5.8800000000000005E-2</v>
      </c>
      <c r="AK58" s="189">
        <f>0.23*2</f>
        <v>0.46</v>
      </c>
      <c r="AL58" s="189">
        <f t="shared" si="24"/>
        <v>-0.04</v>
      </c>
      <c r="AM58" s="189">
        <v>0</v>
      </c>
      <c r="AN58" s="188">
        <f t="shared" si="37"/>
        <v>4.5888</v>
      </c>
      <c r="AO58" s="183">
        <v>0</v>
      </c>
      <c r="AP58" s="182">
        <f t="shared" si="14"/>
        <v>8</v>
      </c>
      <c r="AQ58" s="182">
        <v>1.5</v>
      </c>
      <c r="AR58" s="187">
        <f t="shared" si="25"/>
        <v>0</v>
      </c>
      <c r="AS58" s="187">
        <f t="shared" si="26"/>
        <v>106.72240000000001</v>
      </c>
      <c r="AT58" s="187">
        <f t="shared" si="27"/>
        <v>0</v>
      </c>
      <c r="AU58" s="187">
        <f t="shared" si="28"/>
        <v>0</v>
      </c>
      <c r="AV58" s="187">
        <f t="shared" si="15"/>
        <v>50.476799999999997</v>
      </c>
      <c r="AW58" s="187">
        <f t="shared" si="29"/>
        <v>0</v>
      </c>
      <c r="AX58" s="187">
        <f t="shared" si="30"/>
        <v>12</v>
      </c>
      <c r="AY58" s="190"/>
      <c r="AZ58" s="240"/>
      <c r="BA58" s="232"/>
      <c r="BF58" s="206"/>
      <c r="BG58" s="206"/>
      <c r="BK58" s="126"/>
      <c r="BL58" s="126"/>
      <c r="BN58" s="126"/>
      <c r="BO58" s="126"/>
      <c r="BQ58" s="126"/>
      <c r="BR58" s="126"/>
      <c r="BT58" s="126"/>
      <c r="BU58" s="126"/>
      <c r="BW58" s="126"/>
      <c r="BX58" s="126"/>
      <c r="BZ58" s="126"/>
      <c r="CA58" s="126"/>
      <c r="CC58" s="126"/>
      <c r="CD58" s="126"/>
      <c r="CF58" s="126"/>
      <c r="CG58" s="126"/>
    </row>
    <row r="59" spans="1:85" s="197" customFormat="1" x14ac:dyDescent="0.3">
      <c r="A59" s="182" t="s">
        <v>239</v>
      </c>
      <c r="B59" s="183">
        <v>1</v>
      </c>
      <c r="C59" s="184" t="s">
        <v>283</v>
      </c>
      <c r="D59" s="187">
        <v>2.74</v>
      </c>
      <c r="E59" s="187">
        <v>2.52</v>
      </c>
      <c r="F59" s="186">
        <v>0.125</v>
      </c>
      <c r="G59" s="187">
        <f t="shared" si="16"/>
        <v>0.86310000000000009</v>
      </c>
      <c r="H59" s="188">
        <f t="shared" si="48"/>
        <v>6.9048000000000007</v>
      </c>
      <c r="I59" s="183">
        <f t="shared" si="1"/>
        <v>8</v>
      </c>
      <c r="J59" s="188">
        <f t="shared" si="17"/>
        <v>0.23</v>
      </c>
      <c r="K59" s="183">
        <f t="shared" si="18"/>
        <v>12</v>
      </c>
      <c r="L59" s="189">
        <f t="shared" si="19"/>
        <v>5.2499999999999998E-2</v>
      </c>
      <c r="M59" s="189">
        <f>0.23*2</f>
        <v>0.46</v>
      </c>
      <c r="N59" s="189">
        <f t="shared" si="20"/>
        <v>-0.04</v>
      </c>
      <c r="O59" s="189">
        <f>1.9*0.3</f>
        <v>0.56999999999999995</v>
      </c>
      <c r="P59" s="188">
        <f t="shared" si="34"/>
        <v>3.7825000000000002</v>
      </c>
      <c r="Q59" s="183">
        <f t="shared" si="2"/>
        <v>8</v>
      </c>
      <c r="R59" s="188">
        <f t="shared" si="3"/>
        <v>0.23</v>
      </c>
      <c r="S59" s="183">
        <f t="shared" si="4"/>
        <v>11</v>
      </c>
      <c r="T59" s="189">
        <f t="shared" si="5"/>
        <v>5.2499999999999998E-2</v>
      </c>
      <c r="U59" s="189">
        <f>0.23*2</f>
        <v>0.46</v>
      </c>
      <c r="V59" s="189">
        <f t="shared" si="21"/>
        <v>-0.04</v>
      </c>
      <c r="W59" s="189">
        <f>2.92*0.3</f>
        <v>0.876</v>
      </c>
      <c r="X59" s="188">
        <f t="shared" si="47"/>
        <v>4.0884999999999998</v>
      </c>
      <c r="Y59" s="183">
        <f t="shared" si="6"/>
        <v>8</v>
      </c>
      <c r="Z59" s="188">
        <f t="shared" si="7"/>
        <v>0.3</v>
      </c>
      <c r="AA59" s="183">
        <f t="shared" si="8"/>
        <v>10</v>
      </c>
      <c r="AB59" s="189">
        <f t="shared" si="9"/>
        <v>5.2499999999999998E-2</v>
      </c>
      <c r="AC59" s="189">
        <f>0.3+0.23</f>
        <v>0.53</v>
      </c>
      <c r="AD59" s="189">
        <f t="shared" si="22"/>
        <v>-0.04</v>
      </c>
      <c r="AE59" s="189">
        <f>3.05*0.3</f>
        <v>0.91499999999999992</v>
      </c>
      <c r="AF59" s="188">
        <f t="shared" si="23"/>
        <v>3.9775</v>
      </c>
      <c r="AG59" s="183">
        <f t="shared" si="10"/>
        <v>8</v>
      </c>
      <c r="AH59" s="182">
        <f t="shared" si="11"/>
        <v>0.3</v>
      </c>
      <c r="AI59" s="183">
        <f t="shared" si="12"/>
        <v>9</v>
      </c>
      <c r="AJ59" s="189">
        <f t="shared" si="13"/>
        <v>5.2499999999999998E-2</v>
      </c>
      <c r="AK59" s="189">
        <f>0.3+0.23</f>
        <v>0.53</v>
      </c>
      <c r="AL59" s="189">
        <f t="shared" si="24"/>
        <v>-0.04</v>
      </c>
      <c r="AM59" s="189">
        <f>2.94*0.3</f>
        <v>0.88200000000000001</v>
      </c>
      <c r="AN59" s="188">
        <f t="shared" si="37"/>
        <v>3.9445000000000001</v>
      </c>
      <c r="AO59" s="183">
        <v>0</v>
      </c>
      <c r="AP59" s="182">
        <f t="shared" si="14"/>
        <v>8</v>
      </c>
      <c r="AQ59" s="182">
        <v>1.5</v>
      </c>
      <c r="AR59" s="187">
        <f t="shared" si="25"/>
        <v>90.363500000000002</v>
      </c>
      <c r="AS59" s="187">
        <f t="shared" si="26"/>
        <v>0</v>
      </c>
      <c r="AT59" s="187">
        <f t="shared" si="27"/>
        <v>0</v>
      </c>
      <c r="AU59" s="187">
        <f t="shared" si="28"/>
        <v>75.275499999999994</v>
      </c>
      <c r="AV59" s="187">
        <f t="shared" si="15"/>
        <v>0</v>
      </c>
      <c r="AW59" s="187">
        <f t="shared" si="29"/>
        <v>0</v>
      </c>
      <c r="AX59" s="187">
        <f t="shared" si="30"/>
        <v>12</v>
      </c>
      <c r="AY59" s="190"/>
      <c r="AZ59" s="240"/>
      <c r="BA59" s="232"/>
      <c r="BF59" s="206"/>
      <c r="BG59" s="206"/>
      <c r="BK59" s="126"/>
      <c r="BL59" s="126"/>
      <c r="BN59" s="126"/>
      <c r="BO59" s="126"/>
      <c r="BQ59" s="126"/>
      <c r="BR59" s="126"/>
      <c r="BT59" s="126"/>
      <c r="BU59" s="126"/>
      <c r="BW59" s="126"/>
      <c r="BX59" s="126"/>
      <c r="BZ59" s="126"/>
      <c r="CA59" s="126"/>
      <c r="CC59" s="126"/>
      <c r="CD59" s="126"/>
      <c r="CF59" s="126"/>
      <c r="CG59" s="126"/>
    </row>
    <row r="60" spans="1:85" s="197" customFormat="1" x14ac:dyDescent="0.3">
      <c r="A60" s="182" t="s">
        <v>239</v>
      </c>
      <c r="B60" s="183">
        <v>1</v>
      </c>
      <c r="C60" s="184" t="s">
        <v>284</v>
      </c>
      <c r="D60" s="187">
        <v>2.92</v>
      </c>
      <c r="E60" s="187">
        <v>2.4700000000000002</v>
      </c>
      <c r="F60" s="186">
        <v>0.125</v>
      </c>
      <c r="G60" s="187">
        <f t="shared" si="16"/>
        <v>0.90155000000000007</v>
      </c>
      <c r="H60" s="188">
        <f t="shared" si="48"/>
        <v>7.2124000000000006</v>
      </c>
      <c r="I60" s="183">
        <f t="shared" si="1"/>
        <v>8</v>
      </c>
      <c r="J60" s="188">
        <f t="shared" si="17"/>
        <v>0.23</v>
      </c>
      <c r="K60" s="183">
        <f t="shared" si="18"/>
        <v>12</v>
      </c>
      <c r="L60" s="189">
        <f t="shared" si="19"/>
        <v>5.2499999999999998E-2</v>
      </c>
      <c r="M60" s="189">
        <f>0.23+0.3</f>
        <v>0.53</v>
      </c>
      <c r="N60" s="189">
        <f t="shared" si="20"/>
        <v>-0.04</v>
      </c>
      <c r="O60" s="248">
        <f>2.74*0.3</f>
        <v>0.82200000000000006</v>
      </c>
      <c r="P60" s="188">
        <f t="shared" si="34"/>
        <v>4.2844999999999995</v>
      </c>
      <c r="Q60" s="183">
        <f t="shared" si="2"/>
        <v>8</v>
      </c>
      <c r="R60" s="188">
        <f t="shared" si="3"/>
        <v>0.23</v>
      </c>
      <c r="S60" s="183">
        <f t="shared" si="4"/>
        <v>11</v>
      </c>
      <c r="T60" s="189">
        <f t="shared" si="5"/>
        <v>5.2499999999999998E-2</v>
      </c>
      <c r="U60" s="189">
        <f>0.23+0.3</f>
        <v>0.53</v>
      </c>
      <c r="V60" s="189">
        <f t="shared" si="21"/>
        <v>-0.04</v>
      </c>
      <c r="W60" s="189">
        <f>2.62*0.3</f>
        <v>0.78600000000000003</v>
      </c>
      <c r="X60" s="188">
        <f t="shared" si="47"/>
        <v>4.2484999999999999</v>
      </c>
      <c r="Y60" s="183">
        <f t="shared" si="6"/>
        <v>8</v>
      </c>
      <c r="Z60" s="188">
        <f t="shared" si="7"/>
        <v>0.3</v>
      </c>
      <c r="AA60" s="183">
        <f t="shared" si="8"/>
        <v>11</v>
      </c>
      <c r="AB60" s="189">
        <f t="shared" si="9"/>
        <v>5.2499999999999998E-2</v>
      </c>
      <c r="AC60" s="189">
        <f>0.23+0.3</f>
        <v>0.53</v>
      </c>
      <c r="AD60" s="189">
        <f t="shared" si="22"/>
        <v>-0.04</v>
      </c>
      <c r="AE60" s="189">
        <f>3.35*0.3</f>
        <v>1.0049999999999999</v>
      </c>
      <c r="AF60" s="188">
        <f t="shared" si="23"/>
        <v>4.0175000000000001</v>
      </c>
      <c r="AG60" s="183">
        <f t="shared" si="10"/>
        <v>8</v>
      </c>
      <c r="AH60" s="182">
        <f t="shared" si="11"/>
        <v>0.3</v>
      </c>
      <c r="AI60" s="183">
        <f t="shared" si="12"/>
        <v>10</v>
      </c>
      <c r="AJ60" s="189">
        <f t="shared" si="13"/>
        <v>5.2499999999999998E-2</v>
      </c>
      <c r="AK60" s="189">
        <f>0.23+0.3</f>
        <v>0.53</v>
      </c>
      <c r="AL60" s="189">
        <f t="shared" si="24"/>
        <v>-0.04</v>
      </c>
      <c r="AM60" s="189">
        <f>2.94*0.3</f>
        <v>0.88200000000000001</v>
      </c>
      <c r="AN60" s="188">
        <f t="shared" si="37"/>
        <v>3.8945000000000003</v>
      </c>
      <c r="AO60" s="183">
        <v>0</v>
      </c>
      <c r="AP60" s="182">
        <f t="shared" si="14"/>
        <v>8</v>
      </c>
      <c r="AQ60" s="182">
        <v>1.5</v>
      </c>
      <c r="AR60" s="187">
        <f t="shared" si="25"/>
        <v>98.147499999999994</v>
      </c>
      <c r="AS60" s="187">
        <f t="shared" si="26"/>
        <v>0</v>
      </c>
      <c r="AT60" s="187">
        <f t="shared" si="27"/>
        <v>0</v>
      </c>
      <c r="AU60" s="187">
        <f t="shared" si="28"/>
        <v>83.137500000000003</v>
      </c>
      <c r="AV60" s="187">
        <f t="shared" si="15"/>
        <v>0</v>
      </c>
      <c r="AW60" s="187">
        <f t="shared" si="29"/>
        <v>0</v>
      </c>
      <c r="AX60" s="187">
        <f t="shared" si="30"/>
        <v>12</v>
      </c>
      <c r="AY60" s="190"/>
      <c r="AZ60" s="240"/>
      <c r="BA60" s="232"/>
      <c r="BF60" s="206"/>
      <c r="BG60" s="206"/>
      <c r="BK60" s="126"/>
      <c r="BL60" s="126"/>
      <c r="BN60" s="126"/>
      <c r="BO60" s="126"/>
      <c r="BQ60" s="126"/>
      <c r="BR60" s="126"/>
      <c r="BT60" s="126"/>
      <c r="BU60" s="126"/>
      <c r="BW60" s="126"/>
      <c r="BX60" s="126"/>
      <c r="BZ60" s="126"/>
      <c r="CA60" s="126"/>
      <c r="CC60" s="126"/>
      <c r="CD60" s="126"/>
      <c r="CF60" s="126"/>
      <c r="CG60" s="126"/>
    </row>
    <row r="61" spans="1:85" s="197" customFormat="1" x14ac:dyDescent="0.3">
      <c r="A61" s="182" t="s">
        <v>223</v>
      </c>
      <c r="B61" s="183">
        <v>1</v>
      </c>
      <c r="C61" s="184" t="s">
        <v>285</v>
      </c>
      <c r="D61" s="187">
        <v>2.52</v>
      </c>
      <c r="E61" s="187">
        <v>5.05</v>
      </c>
      <c r="F61" s="186">
        <v>0.13</v>
      </c>
      <c r="G61" s="187">
        <f t="shared" si="16"/>
        <v>1.65438</v>
      </c>
      <c r="H61" s="188">
        <f t="shared" si="48"/>
        <v>12.725999999999999</v>
      </c>
      <c r="I61" s="183">
        <f t="shared" si="1"/>
        <v>8</v>
      </c>
      <c r="J61" s="188">
        <f t="shared" si="17"/>
        <v>0.2</v>
      </c>
      <c r="K61" s="183">
        <f t="shared" si="18"/>
        <v>26</v>
      </c>
      <c r="L61" s="189">
        <f t="shared" si="19"/>
        <v>5.4600000000000003E-2</v>
      </c>
      <c r="M61" s="189">
        <f>0.45+0.3</f>
        <v>0.75</v>
      </c>
      <c r="N61" s="189">
        <f t="shared" si="20"/>
        <v>-0.04</v>
      </c>
      <c r="O61" s="189">
        <f>2.6*0.3</f>
        <v>0.78</v>
      </c>
      <c r="P61" s="188">
        <f t="shared" si="34"/>
        <v>4.0646000000000004</v>
      </c>
      <c r="Q61" s="183">
        <f t="shared" si="2"/>
        <v>8</v>
      </c>
      <c r="R61" s="188">
        <f t="shared" si="3"/>
        <v>0.2</v>
      </c>
      <c r="S61" s="183">
        <f t="shared" si="4"/>
        <v>25</v>
      </c>
      <c r="T61" s="189">
        <f t="shared" si="5"/>
        <v>5.4600000000000003E-2</v>
      </c>
      <c r="U61" s="189">
        <f>0.45+0.3</f>
        <v>0.75</v>
      </c>
      <c r="V61" s="189">
        <f t="shared" si="21"/>
        <v>-0.04</v>
      </c>
      <c r="W61" s="189">
        <f>2.595*0.3</f>
        <v>0.77850000000000008</v>
      </c>
      <c r="X61" s="188">
        <f t="shared" si="47"/>
        <v>4.0631000000000004</v>
      </c>
      <c r="Y61" s="183">
        <f t="shared" si="6"/>
        <v>8</v>
      </c>
      <c r="Z61" s="188">
        <f t="shared" si="7"/>
        <v>0.36</v>
      </c>
      <c r="AA61" s="183">
        <f t="shared" si="8"/>
        <v>8</v>
      </c>
      <c r="AB61" s="189">
        <f t="shared" si="9"/>
        <v>5.4600000000000003E-2</v>
      </c>
      <c r="AC61" s="189">
        <f>0.38+0.3</f>
        <v>0.67999999999999994</v>
      </c>
      <c r="AD61" s="189">
        <f t="shared" si="22"/>
        <v>-0.04</v>
      </c>
      <c r="AE61" s="189">
        <f>3.64*0.3</f>
        <v>1.0920000000000001</v>
      </c>
      <c r="AF61" s="188">
        <f t="shared" si="23"/>
        <v>6.8365999999999998</v>
      </c>
      <c r="AG61" s="183">
        <f t="shared" si="10"/>
        <v>8</v>
      </c>
      <c r="AH61" s="182">
        <f t="shared" si="11"/>
        <v>0.36</v>
      </c>
      <c r="AI61" s="183">
        <f t="shared" si="12"/>
        <v>7</v>
      </c>
      <c r="AJ61" s="189">
        <f t="shared" si="13"/>
        <v>5.4600000000000003E-2</v>
      </c>
      <c r="AK61" s="189">
        <f>0.38+0.3</f>
        <v>0.67999999999999994</v>
      </c>
      <c r="AL61" s="189">
        <f t="shared" si="24"/>
        <v>-0.04</v>
      </c>
      <c r="AM61" s="189">
        <f>2.41*0.3</f>
        <v>0.72299999999999998</v>
      </c>
      <c r="AN61" s="188">
        <f t="shared" si="37"/>
        <v>6.4675999999999991</v>
      </c>
      <c r="AO61" s="183">
        <v>0</v>
      </c>
      <c r="AP61" s="182">
        <f t="shared" si="14"/>
        <v>10</v>
      </c>
      <c r="AQ61" s="182">
        <v>1.5</v>
      </c>
      <c r="AR61" s="187">
        <f t="shared" si="25"/>
        <v>207.25710000000004</v>
      </c>
      <c r="AS61" s="187">
        <f t="shared" si="26"/>
        <v>0</v>
      </c>
      <c r="AT61" s="187">
        <f t="shared" si="27"/>
        <v>0</v>
      </c>
      <c r="AU61" s="187">
        <f t="shared" si="28"/>
        <v>99.965999999999994</v>
      </c>
      <c r="AV61" s="187">
        <f t="shared" si="15"/>
        <v>0</v>
      </c>
      <c r="AW61" s="187">
        <f t="shared" si="29"/>
        <v>0</v>
      </c>
      <c r="AX61" s="187">
        <f t="shared" si="30"/>
        <v>15</v>
      </c>
      <c r="AY61" s="190"/>
      <c r="AZ61" s="240"/>
      <c r="BA61" s="232"/>
      <c r="BF61" s="206"/>
      <c r="BG61" s="206"/>
      <c r="BK61" s="126"/>
      <c r="BL61" s="126"/>
      <c r="BN61" s="126"/>
      <c r="BO61" s="126"/>
      <c r="BQ61" s="126"/>
      <c r="BR61" s="126"/>
      <c r="BT61" s="126"/>
      <c r="BU61" s="126"/>
      <c r="BW61" s="126"/>
      <c r="BX61" s="126"/>
      <c r="BZ61" s="126"/>
      <c r="CA61" s="126"/>
      <c r="CC61" s="126"/>
      <c r="CD61" s="126"/>
      <c r="CF61" s="126"/>
      <c r="CG61" s="126"/>
    </row>
    <row r="62" spans="1:85" s="197" customFormat="1" x14ac:dyDescent="0.3">
      <c r="A62" s="182" t="s">
        <v>223</v>
      </c>
      <c r="B62" s="183">
        <v>1</v>
      </c>
      <c r="C62" s="184" t="s">
        <v>286</v>
      </c>
      <c r="D62" s="187">
        <v>2.5950000000000002</v>
      </c>
      <c r="E62" s="187">
        <v>5.05</v>
      </c>
      <c r="F62" s="186">
        <v>0.13</v>
      </c>
      <c r="G62" s="187">
        <f t="shared" si="16"/>
        <v>1.7036175000000002</v>
      </c>
      <c r="H62" s="188">
        <f t="shared" si="48"/>
        <v>13.104750000000001</v>
      </c>
      <c r="I62" s="183">
        <f t="shared" si="1"/>
        <v>8</v>
      </c>
      <c r="J62" s="188">
        <f t="shared" si="17"/>
        <v>0.2</v>
      </c>
      <c r="K62" s="183">
        <f t="shared" si="18"/>
        <v>26</v>
      </c>
      <c r="L62" s="189">
        <f t="shared" si="19"/>
        <v>5.4600000000000003E-2</v>
      </c>
      <c r="M62" s="189">
        <f t="shared" si="38"/>
        <v>0.6</v>
      </c>
      <c r="N62" s="189">
        <f t="shared" si="20"/>
        <v>-0.04</v>
      </c>
      <c r="O62" s="189">
        <f>2.52*0.3</f>
        <v>0.75600000000000001</v>
      </c>
      <c r="P62" s="188">
        <f t="shared" si="34"/>
        <v>3.9656000000000002</v>
      </c>
      <c r="Q62" s="183">
        <f t="shared" si="2"/>
        <v>8</v>
      </c>
      <c r="R62" s="188">
        <f t="shared" si="3"/>
        <v>0.2</v>
      </c>
      <c r="S62" s="183">
        <f t="shared" si="4"/>
        <v>25</v>
      </c>
      <c r="T62" s="189">
        <f t="shared" si="5"/>
        <v>5.4600000000000003E-2</v>
      </c>
      <c r="U62" s="189">
        <f t="shared" si="39"/>
        <v>0.6</v>
      </c>
      <c r="V62" s="189">
        <f t="shared" si="21"/>
        <v>-0.04</v>
      </c>
      <c r="W62" s="189">
        <f>2.7*0.3</f>
        <v>0.81</v>
      </c>
      <c r="X62" s="188">
        <f t="shared" si="47"/>
        <v>4.0196000000000005</v>
      </c>
      <c r="Y62" s="183">
        <f t="shared" si="6"/>
        <v>8</v>
      </c>
      <c r="Z62" s="188">
        <f t="shared" si="7"/>
        <v>0.36</v>
      </c>
      <c r="AA62" s="183">
        <f t="shared" si="8"/>
        <v>8</v>
      </c>
      <c r="AB62" s="189">
        <f t="shared" si="9"/>
        <v>5.4600000000000003E-2</v>
      </c>
      <c r="AC62" s="189">
        <f>0.3+0.38</f>
        <v>0.67999999999999994</v>
      </c>
      <c r="AD62" s="189">
        <f t="shared" si="22"/>
        <v>-0.04</v>
      </c>
      <c r="AE62" s="189">
        <f>3.64*0.3</f>
        <v>1.0920000000000001</v>
      </c>
      <c r="AF62" s="188">
        <f t="shared" si="23"/>
        <v>6.8365999999999998</v>
      </c>
      <c r="AG62" s="183">
        <f t="shared" si="10"/>
        <v>8</v>
      </c>
      <c r="AH62" s="182">
        <f t="shared" si="11"/>
        <v>0.36</v>
      </c>
      <c r="AI62" s="183">
        <f t="shared" si="12"/>
        <v>7</v>
      </c>
      <c r="AJ62" s="189">
        <f t="shared" si="13"/>
        <v>5.4600000000000003E-2</v>
      </c>
      <c r="AK62" s="189">
        <f>0.3+0.38</f>
        <v>0.67999999999999994</v>
      </c>
      <c r="AL62" s="189">
        <f t="shared" si="24"/>
        <v>-0.04</v>
      </c>
      <c r="AM62" s="189">
        <f>2.41*0.3</f>
        <v>0.72299999999999998</v>
      </c>
      <c r="AN62" s="188">
        <f t="shared" si="37"/>
        <v>6.4675999999999991</v>
      </c>
      <c r="AO62" s="183">
        <v>0</v>
      </c>
      <c r="AP62" s="182">
        <f t="shared" si="14"/>
        <v>10</v>
      </c>
      <c r="AQ62" s="182">
        <v>1.5</v>
      </c>
      <c r="AR62" s="187">
        <f t="shared" si="25"/>
        <v>203.59560000000002</v>
      </c>
      <c r="AS62" s="187">
        <f t="shared" si="26"/>
        <v>0</v>
      </c>
      <c r="AT62" s="187">
        <f t="shared" si="27"/>
        <v>0</v>
      </c>
      <c r="AU62" s="187">
        <f t="shared" si="28"/>
        <v>99.965999999999994</v>
      </c>
      <c r="AV62" s="187">
        <f t="shared" si="15"/>
        <v>0</v>
      </c>
      <c r="AW62" s="187">
        <f t="shared" si="29"/>
        <v>0</v>
      </c>
      <c r="AX62" s="187">
        <f t="shared" si="30"/>
        <v>15</v>
      </c>
      <c r="AY62" s="190"/>
      <c r="AZ62" s="240"/>
      <c r="BA62" s="232"/>
      <c r="BF62" s="206"/>
      <c r="BG62" s="206"/>
      <c r="BK62" s="126"/>
      <c r="BL62" s="126"/>
      <c r="BN62" s="126"/>
      <c r="BO62" s="126"/>
      <c r="BQ62" s="126"/>
      <c r="BR62" s="126"/>
      <c r="BT62" s="126"/>
      <c r="BU62" s="126"/>
      <c r="BW62" s="126"/>
      <c r="BX62" s="126"/>
      <c r="BZ62" s="126"/>
      <c r="CA62" s="126"/>
      <c r="CC62" s="126"/>
      <c r="CD62" s="126"/>
      <c r="CF62" s="126"/>
      <c r="CG62" s="126"/>
    </row>
    <row r="63" spans="1:85" s="197" customFormat="1" x14ac:dyDescent="0.3">
      <c r="A63" s="182" t="s">
        <v>229</v>
      </c>
      <c r="B63" s="183">
        <v>1</v>
      </c>
      <c r="C63" s="184" t="s">
        <v>287</v>
      </c>
      <c r="D63" s="187">
        <v>2.7</v>
      </c>
      <c r="E63" s="187">
        <v>3.05</v>
      </c>
      <c r="F63" s="186">
        <v>0.13</v>
      </c>
      <c r="G63" s="187">
        <f t="shared" si="16"/>
        <v>1.0705499999999999</v>
      </c>
      <c r="H63" s="188">
        <f t="shared" si="48"/>
        <v>8.2349999999999994</v>
      </c>
      <c r="I63" s="183">
        <f t="shared" si="1"/>
        <v>8</v>
      </c>
      <c r="J63" s="188">
        <f t="shared" si="17"/>
        <v>0.17</v>
      </c>
      <c r="K63" s="183">
        <f t="shared" si="18"/>
        <v>19</v>
      </c>
      <c r="L63" s="189">
        <f t="shared" si="19"/>
        <v>5.4600000000000003E-2</v>
      </c>
      <c r="M63" s="189">
        <f>0.3+0.23</f>
        <v>0.53</v>
      </c>
      <c r="N63" s="189">
        <f t="shared" si="20"/>
        <v>-0.04</v>
      </c>
      <c r="O63" s="189">
        <f>2.595*0.3</f>
        <v>0.77850000000000008</v>
      </c>
      <c r="P63" s="188">
        <f t="shared" si="34"/>
        <v>4.0231000000000003</v>
      </c>
      <c r="Q63" s="183">
        <f t="shared" si="2"/>
        <v>8</v>
      </c>
      <c r="R63" s="188">
        <f t="shared" si="3"/>
        <v>0.17</v>
      </c>
      <c r="S63" s="183">
        <f t="shared" si="4"/>
        <v>18</v>
      </c>
      <c r="T63" s="189">
        <f t="shared" si="5"/>
        <v>5.4600000000000003E-2</v>
      </c>
      <c r="U63" s="189">
        <f>0.3+0.23</f>
        <v>0.53</v>
      </c>
      <c r="V63" s="189">
        <f t="shared" si="21"/>
        <v>-0.04</v>
      </c>
      <c r="W63" s="189">
        <f>2.74*0.3</f>
        <v>0.82200000000000006</v>
      </c>
      <c r="X63" s="188">
        <f t="shared" si="47"/>
        <v>4.0666000000000002</v>
      </c>
      <c r="Y63" s="183">
        <f t="shared" si="6"/>
        <v>8</v>
      </c>
      <c r="Z63" s="188">
        <f t="shared" si="7"/>
        <v>0.24</v>
      </c>
      <c r="AA63" s="183">
        <f t="shared" si="8"/>
        <v>12</v>
      </c>
      <c r="AB63" s="189">
        <f t="shared" si="9"/>
        <v>5.4600000000000003E-2</v>
      </c>
      <c r="AC63" s="189">
        <f t="shared" si="42"/>
        <v>0.6</v>
      </c>
      <c r="AD63" s="189">
        <f t="shared" si="22"/>
        <v>-0.04</v>
      </c>
      <c r="AE63" s="189">
        <f>2.73*0.3</f>
        <v>0.81899999999999995</v>
      </c>
      <c r="AF63" s="188">
        <f t="shared" si="23"/>
        <v>4.4835999999999991</v>
      </c>
      <c r="AG63" s="183">
        <f t="shared" si="10"/>
        <v>8</v>
      </c>
      <c r="AH63" s="182">
        <f t="shared" si="11"/>
        <v>0.24</v>
      </c>
      <c r="AI63" s="183">
        <f t="shared" si="12"/>
        <v>11</v>
      </c>
      <c r="AJ63" s="189">
        <f t="shared" si="13"/>
        <v>5.4600000000000003E-2</v>
      </c>
      <c r="AK63" s="189">
        <f t="shared" si="43"/>
        <v>0.6</v>
      </c>
      <c r="AL63" s="189">
        <f t="shared" si="24"/>
        <v>-0.04</v>
      </c>
      <c r="AM63" s="189">
        <f>2.45*0.3</f>
        <v>0.73499999999999999</v>
      </c>
      <c r="AN63" s="188">
        <f t="shared" si="37"/>
        <v>4.3995999999999995</v>
      </c>
      <c r="AO63" s="183">
        <v>0</v>
      </c>
      <c r="AP63" s="182">
        <f t="shared" si="14"/>
        <v>8</v>
      </c>
      <c r="AQ63" s="182">
        <v>1.5</v>
      </c>
      <c r="AR63" s="187">
        <f t="shared" si="25"/>
        <v>149.6377</v>
      </c>
      <c r="AS63" s="187">
        <f t="shared" si="26"/>
        <v>0</v>
      </c>
      <c r="AT63" s="187">
        <f t="shared" si="27"/>
        <v>0</v>
      </c>
      <c r="AU63" s="187">
        <f t="shared" si="28"/>
        <v>102.19879999999998</v>
      </c>
      <c r="AV63" s="187">
        <f t="shared" si="15"/>
        <v>0</v>
      </c>
      <c r="AW63" s="187">
        <f t="shared" si="29"/>
        <v>0</v>
      </c>
      <c r="AX63" s="187">
        <f t="shared" si="30"/>
        <v>12</v>
      </c>
      <c r="AY63" s="190"/>
      <c r="AZ63" s="240"/>
      <c r="BA63" s="232"/>
      <c r="BF63" s="206"/>
      <c r="BG63" s="206"/>
      <c r="BK63" s="126"/>
      <c r="BL63" s="126"/>
      <c r="BN63" s="126"/>
      <c r="BO63" s="126"/>
      <c r="BQ63" s="126"/>
      <c r="BR63" s="126"/>
      <c r="BT63" s="126"/>
      <c r="BU63" s="126"/>
      <c r="BW63" s="126"/>
      <c r="BX63" s="126"/>
      <c r="BZ63" s="126"/>
      <c r="CA63" s="126"/>
      <c r="CC63" s="126"/>
      <c r="CD63" s="126"/>
      <c r="CF63" s="126"/>
      <c r="CG63" s="126"/>
    </row>
    <row r="64" spans="1:85" s="197" customFormat="1" x14ac:dyDescent="0.3">
      <c r="A64" s="182" t="s">
        <v>227</v>
      </c>
      <c r="B64" s="183">
        <v>1</v>
      </c>
      <c r="C64" s="184" t="s">
        <v>288</v>
      </c>
      <c r="D64" s="187">
        <v>1.9</v>
      </c>
      <c r="E64" s="187">
        <v>1.07</v>
      </c>
      <c r="F64" s="186">
        <v>0.125</v>
      </c>
      <c r="G64" s="187">
        <f t="shared" si="16"/>
        <v>0.25412499999999999</v>
      </c>
      <c r="H64" s="188">
        <f t="shared" si="48"/>
        <v>2.0329999999999999</v>
      </c>
      <c r="I64" s="183">
        <f t="shared" si="1"/>
        <v>8</v>
      </c>
      <c r="J64" s="188">
        <f t="shared" si="17"/>
        <v>0.2</v>
      </c>
      <c r="K64" s="183">
        <f t="shared" si="18"/>
        <v>6</v>
      </c>
      <c r="L64" s="189">
        <f t="shared" si="19"/>
        <v>5.2499999999999998E-2</v>
      </c>
      <c r="M64" s="189">
        <f>0.23*2</f>
        <v>0.46</v>
      </c>
      <c r="N64" s="189">
        <f t="shared" si="20"/>
        <v>-0.04</v>
      </c>
      <c r="O64" s="189">
        <f>2.74*0.3</f>
        <v>0.82200000000000006</v>
      </c>
      <c r="P64" s="188">
        <f t="shared" si="34"/>
        <v>3.1945000000000001</v>
      </c>
      <c r="Q64" s="183">
        <f t="shared" si="2"/>
        <v>8</v>
      </c>
      <c r="R64" s="188">
        <f t="shared" si="3"/>
        <v>0.2</v>
      </c>
      <c r="S64" s="183">
        <f t="shared" si="4"/>
        <v>5</v>
      </c>
      <c r="T64" s="189">
        <f t="shared" si="5"/>
        <v>5.2499999999999998E-2</v>
      </c>
      <c r="U64" s="189">
        <f>0.23*2</f>
        <v>0.46</v>
      </c>
      <c r="V64" s="189">
        <f t="shared" si="21"/>
        <v>-0.04</v>
      </c>
      <c r="W64" s="189">
        <f>2.29*0.3</f>
        <v>0.68699999999999994</v>
      </c>
      <c r="X64" s="188">
        <f t="shared" si="47"/>
        <v>3.0594999999999999</v>
      </c>
      <c r="Y64" s="183">
        <f t="shared" si="6"/>
        <v>8</v>
      </c>
      <c r="Z64" s="188">
        <f t="shared" si="7"/>
        <v>0.2</v>
      </c>
      <c r="AA64" s="183">
        <f t="shared" si="8"/>
        <v>11</v>
      </c>
      <c r="AB64" s="189">
        <f t="shared" si="9"/>
        <v>5.2499999999999998E-2</v>
      </c>
      <c r="AC64" s="189">
        <v>0.3</v>
      </c>
      <c r="AD64" s="189">
        <f t="shared" si="22"/>
        <v>-0.04</v>
      </c>
      <c r="AE64" s="189">
        <f>1.29*0.3</f>
        <v>0.38700000000000001</v>
      </c>
      <c r="AF64" s="188">
        <f t="shared" si="23"/>
        <v>1.7695000000000001</v>
      </c>
      <c r="AG64" s="183">
        <f t="shared" si="10"/>
        <v>8</v>
      </c>
      <c r="AH64" s="182">
        <f t="shared" si="11"/>
        <v>0.2</v>
      </c>
      <c r="AI64" s="183">
        <f t="shared" si="12"/>
        <v>10</v>
      </c>
      <c r="AJ64" s="189">
        <f t="shared" si="13"/>
        <v>5.2499999999999998E-2</v>
      </c>
      <c r="AK64" s="189">
        <v>0.3</v>
      </c>
      <c r="AL64" s="189">
        <f t="shared" si="24"/>
        <v>-0.04</v>
      </c>
      <c r="AM64" s="189">
        <v>0</v>
      </c>
      <c r="AN64" s="188">
        <f t="shared" si="37"/>
        <v>1.3825000000000001</v>
      </c>
      <c r="AO64" s="183">
        <v>0</v>
      </c>
      <c r="AP64" s="182">
        <f t="shared" si="14"/>
        <v>4</v>
      </c>
      <c r="AQ64" s="182">
        <v>1.5</v>
      </c>
      <c r="AR64" s="187">
        <f t="shared" si="25"/>
        <v>34.464500000000001</v>
      </c>
      <c r="AS64" s="187">
        <f t="shared" si="26"/>
        <v>0</v>
      </c>
      <c r="AT64" s="187">
        <f t="shared" si="27"/>
        <v>0</v>
      </c>
      <c r="AU64" s="187">
        <f t="shared" si="28"/>
        <v>33.289500000000004</v>
      </c>
      <c r="AV64" s="187">
        <f t="shared" si="15"/>
        <v>0</v>
      </c>
      <c r="AW64" s="187">
        <f t="shared" si="29"/>
        <v>0</v>
      </c>
      <c r="AX64" s="187">
        <f t="shared" si="30"/>
        <v>6</v>
      </c>
      <c r="AY64" s="190"/>
      <c r="AZ64" s="240"/>
      <c r="BA64" s="232"/>
      <c r="BF64" s="206"/>
      <c r="BG64" s="206"/>
      <c r="BK64" s="126"/>
      <c r="BL64" s="126"/>
      <c r="BN64" s="126"/>
      <c r="BO64" s="126"/>
      <c r="BQ64" s="126"/>
      <c r="BR64" s="126"/>
      <c r="BT64" s="126"/>
      <c r="BU64" s="126"/>
      <c r="BW64" s="126"/>
      <c r="BX64" s="126"/>
      <c r="BZ64" s="126"/>
      <c r="CA64" s="126"/>
      <c r="CC64" s="126"/>
      <c r="CD64" s="126"/>
      <c r="CF64" s="126"/>
      <c r="CG64" s="126"/>
    </row>
    <row r="65" spans="1:85" s="197" customFormat="1" x14ac:dyDescent="0.3">
      <c r="A65" s="182" t="s">
        <v>227</v>
      </c>
      <c r="B65" s="183">
        <v>1</v>
      </c>
      <c r="C65" s="184" t="s">
        <v>288</v>
      </c>
      <c r="D65" s="187">
        <v>2.74</v>
      </c>
      <c r="E65" s="187">
        <v>3.05</v>
      </c>
      <c r="F65" s="186">
        <v>0.125</v>
      </c>
      <c r="G65" s="187">
        <f t="shared" si="16"/>
        <v>1.0446249999999999</v>
      </c>
      <c r="H65" s="188">
        <f t="shared" si="48"/>
        <v>8.3569999999999993</v>
      </c>
      <c r="I65" s="183">
        <f t="shared" si="1"/>
        <v>8</v>
      </c>
      <c r="J65" s="188">
        <f t="shared" si="17"/>
        <v>0.2</v>
      </c>
      <c r="K65" s="183">
        <f t="shared" si="18"/>
        <v>16</v>
      </c>
      <c r="L65" s="189">
        <f t="shared" si="19"/>
        <v>5.2499999999999998E-2</v>
      </c>
      <c r="M65" s="189">
        <f>0.23*2</f>
        <v>0.46</v>
      </c>
      <c r="N65" s="189">
        <f t="shared" si="20"/>
        <v>-0.04</v>
      </c>
      <c r="O65" s="189">
        <f>2.7*0.3</f>
        <v>0.81</v>
      </c>
      <c r="P65" s="188">
        <f t="shared" si="34"/>
        <v>4.0225000000000009</v>
      </c>
      <c r="Q65" s="183">
        <f t="shared" si="2"/>
        <v>8</v>
      </c>
      <c r="R65" s="188">
        <f t="shared" si="3"/>
        <v>0.2</v>
      </c>
      <c r="S65" s="183">
        <f t="shared" si="4"/>
        <v>15</v>
      </c>
      <c r="T65" s="189">
        <f t="shared" si="5"/>
        <v>5.2499999999999998E-2</v>
      </c>
      <c r="U65" s="189">
        <f>0.23*2</f>
        <v>0.46</v>
      </c>
      <c r="V65" s="189">
        <f t="shared" si="21"/>
        <v>-0.04</v>
      </c>
      <c r="W65" s="189">
        <f>2.29*0.3</f>
        <v>0.68699999999999994</v>
      </c>
      <c r="X65" s="188">
        <f t="shared" si="47"/>
        <v>3.8995000000000002</v>
      </c>
      <c r="Y65" s="183">
        <f t="shared" si="6"/>
        <v>8</v>
      </c>
      <c r="Z65" s="188">
        <f t="shared" si="7"/>
        <v>0.2</v>
      </c>
      <c r="AA65" s="183">
        <f t="shared" si="8"/>
        <v>15</v>
      </c>
      <c r="AB65" s="189">
        <f t="shared" si="9"/>
        <v>5.2499999999999998E-2</v>
      </c>
      <c r="AC65" s="189">
        <v>0.23</v>
      </c>
      <c r="AD65" s="189">
        <f t="shared" si="22"/>
        <v>-0.04</v>
      </c>
      <c r="AE65" s="189">
        <f>2.43*0.3</f>
        <v>0.72899999999999998</v>
      </c>
      <c r="AF65" s="188">
        <f t="shared" si="23"/>
        <v>4.0214999999999996</v>
      </c>
      <c r="AG65" s="183">
        <f t="shared" si="10"/>
        <v>8</v>
      </c>
      <c r="AH65" s="182">
        <f t="shared" si="11"/>
        <v>0.2</v>
      </c>
      <c r="AI65" s="183">
        <f t="shared" si="12"/>
        <v>14</v>
      </c>
      <c r="AJ65" s="189">
        <f t="shared" si="13"/>
        <v>5.2499999999999998E-2</v>
      </c>
      <c r="AK65" s="189">
        <v>0.23</v>
      </c>
      <c r="AL65" s="189">
        <f t="shared" si="24"/>
        <v>-0.04</v>
      </c>
      <c r="AM65" s="189">
        <v>0</v>
      </c>
      <c r="AN65" s="188">
        <f t="shared" si="37"/>
        <v>3.2925</v>
      </c>
      <c r="AO65" s="183">
        <v>0</v>
      </c>
      <c r="AP65" s="182">
        <f t="shared" si="14"/>
        <v>8</v>
      </c>
      <c r="AQ65" s="182">
        <v>1.5</v>
      </c>
      <c r="AR65" s="187">
        <f t="shared" si="25"/>
        <v>122.85250000000002</v>
      </c>
      <c r="AS65" s="187">
        <f t="shared" si="26"/>
        <v>0</v>
      </c>
      <c r="AT65" s="187">
        <f t="shared" si="27"/>
        <v>0</v>
      </c>
      <c r="AU65" s="187">
        <f t="shared" si="28"/>
        <v>106.41749999999999</v>
      </c>
      <c r="AV65" s="187">
        <f t="shared" si="15"/>
        <v>0</v>
      </c>
      <c r="AW65" s="187">
        <f t="shared" si="29"/>
        <v>0</v>
      </c>
      <c r="AX65" s="187">
        <f t="shared" si="30"/>
        <v>12</v>
      </c>
      <c r="AY65" s="190"/>
      <c r="AZ65" s="240"/>
      <c r="BA65" s="232"/>
      <c r="BF65" s="206"/>
      <c r="BG65" s="206"/>
      <c r="BK65" s="126"/>
      <c r="BL65" s="126"/>
      <c r="BN65" s="126"/>
      <c r="BO65" s="126"/>
      <c r="BQ65" s="126"/>
      <c r="BR65" s="126"/>
      <c r="BT65" s="126"/>
      <c r="BU65" s="126"/>
      <c r="BW65" s="126"/>
      <c r="BX65" s="126"/>
      <c r="BZ65" s="126"/>
      <c r="CA65" s="126"/>
      <c r="CC65" s="126"/>
      <c r="CD65" s="126"/>
      <c r="CF65" s="126"/>
      <c r="CG65" s="126"/>
    </row>
    <row r="66" spans="1:85" s="197" customFormat="1" x14ac:dyDescent="0.3">
      <c r="A66" s="182" t="s">
        <v>223</v>
      </c>
      <c r="B66" s="183">
        <v>1</v>
      </c>
      <c r="C66" s="184" t="s">
        <v>289</v>
      </c>
      <c r="D66" s="187">
        <v>2.29</v>
      </c>
      <c r="E66" s="187">
        <v>4.1900000000000004</v>
      </c>
      <c r="F66" s="186">
        <v>0.13</v>
      </c>
      <c r="G66" s="187">
        <f t="shared" si="16"/>
        <v>1.247363</v>
      </c>
      <c r="H66" s="188">
        <f t="shared" si="48"/>
        <v>9.5951000000000004</v>
      </c>
      <c r="I66" s="183">
        <f t="shared" si="1"/>
        <v>8</v>
      </c>
      <c r="J66" s="188">
        <f t="shared" si="17"/>
        <v>0.2</v>
      </c>
      <c r="K66" s="183">
        <f t="shared" si="18"/>
        <v>22</v>
      </c>
      <c r="L66" s="189">
        <f t="shared" si="19"/>
        <v>5.4600000000000003E-2</v>
      </c>
      <c r="M66" s="189">
        <f>0.23*2</f>
        <v>0.46</v>
      </c>
      <c r="N66" s="189">
        <f t="shared" si="20"/>
        <v>-0.04</v>
      </c>
      <c r="O66" s="189">
        <f>2.74*0.3</f>
        <v>0.82200000000000006</v>
      </c>
      <c r="P66" s="188">
        <f t="shared" si="34"/>
        <v>3.5866000000000002</v>
      </c>
      <c r="Q66" s="183">
        <f t="shared" si="2"/>
        <v>8</v>
      </c>
      <c r="R66" s="188">
        <f t="shared" si="3"/>
        <v>0.2</v>
      </c>
      <c r="S66" s="183">
        <f t="shared" si="4"/>
        <v>21</v>
      </c>
      <c r="T66" s="189">
        <f t="shared" si="5"/>
        <v>5.4600000000000003E-2</v>
      </c>
      <c r="U66" s="189">
        <f>0.23*2</f>
        <v>0.46</v>
      </c>
      <c r="V66" s="189">
        <f t="shared" si="21"/>
        <v>-0.04</v>
      </c>
      <c r="W66" s="189">
        <f>3.07*0.3</f>
        <v>0.92099999999999993</v>
      </c>
      <c r="X66" s="188">
        <f t="shared" si="47"/>
        <v>3.6856</v>
      </c>
      <c r="Y66" s="183">
        <f t="shared" si="6"/>
        <v>8</v>
      </c>
      <c r="Z66" s="188">
        <f t="shared" si="7"/>
        <v>0.36</v>
      </c>
      <c r="AA66" s="183">
        <f t="shared" si="8"/>
        <v>7</v>
      </c>
      <c r="AB66" s="189">
        <f t="shared" si="9"/>
        <v>5.4600000000000003E-2</v>
      </c>
      <c r="AC66" s="189">
        <f>0.3+0.23</f>
        <v>0.53</v>
      </c>
      <c r="AD66" s="189">
        <f t="shared" si="22"/>
        <v>-0.04</v>
      </c>
      <c r="AE66" s="189">
        <f>3.93*0.3</f>
        <v>1.179</v>
      </c>
      <c r="AF66" s="188">
        <f t="shared" si="23"/>
        <v>5.9136000000000006</v>
      </c>
      <c r="AG66" s="183">
        <f t="shared" si="10"/>
        <v>8</v>
      </c>
      <c r="AH66" s="182">
        <f t="shared" si="11"/>
        <v>0.36</v>
      </c>
      <c r="AI66" s="183">
        <f t="shared" si="12"/>
        <v>6</v>
      </c>
      <c r="AJ66" s="189">
        <f t="shared" si="13"/>
        <v>5.4600000000000003E-2</v>
      </c>
      <c r="AK66" s="189">
        <f>0.3+0.23</f>
        <v>0.53</v>
      </c>
      <c r="AL66" s="189">
        <f t="shared" si="24"/>
        <v>-0.04</v>
      </c>
      <c r="AM66" s="189">
        <f>1.29*0.3</f>
        <v>0.38700000000000001</v>
      </c>
      <c r="AN66" s="188">
        <f t="shared" si="37"/>
        <v>5.1216000000000008</v>
      </c>
      <c r="AO66" s="183">
        <v>0</v>
      </c>
      <c r="AP66" s="182">
        <f t="shared" si="14"/>
        <v>10</v>
      </c>
      <c r="AQ66" s="182">
        <v>1.5</v>
      </c>
      <c r="AR66" s="187">
        <f t="shared" si="25"/>
        <v>156.30279999999999</v>
      </c>
      <c r="AS66" s="187">
        <f t="shared" si="26"/>
        <v>0</v>
      </c>
      <c r="AT66" s="187">
        <f t="shared" si="27"/>
        <v>0</v>
      </c>
      <c r="AU66" s="187">
        <f t="shared" si="28"/>
        <v>72.124800000000008</v>
      </c>
      <c r="AV66" s="187">
        <f t="shared" si="15"/>
        <v>0</v>
      </c>
      <c r="AW66" s="187">
        <f t="shared" si="29"/>
        <v>0</v>
      </c>
      <c r="AX66" s="187">
        <f t="shared" si="30"/>
        <v>15</v>
      </c>
      <c r="AY66" s="190"/>
      <c r="AZ66" s="240"/>
      <c r="BA66" s="232"/>
      <c r="BF66" s="206"/>
      <c r="BG66" s="206"/>
      <c r="BK66" s="126"/>
      <c r="BL66" s="126"/>
      <c r="BN66" s="126"/>
      <c r="BO66" s="126"/>
      <c r="BQ66" s="126"/>
      <c r="BR66" s="126"/>
      <c r="BT66" s="126"/>
      <c r="BU66" s="126"/>
      <c r="BW66" s="126"/>
      <c r="BX66" s="126"/>
      <c r="BZ66" s="126"/>
      <c r="CA66" s="126"/>
      <c r="CC66" s="126"/>
      <c r="CD66" s="126"/>
      <c r="CF66" s="126"/>
      <c r="CG66" s="126"/>
    </row>
    <row r="67" spans="1:85" s="197" customFormat="1" x14ac:dyDescent="0.3">
      <c r="A67" s="182" t="s">
        <v>229</v>
      </c>
      <c r="B67" s="183">
        <v>1</v>
      </c>
      <c r="C67" s="184" t="s">
        <v>290</v>
      </c>
      <c r="D67" s="187">
        <v>1.9</v>
      </c>
      <c r="E67" s="187">
        <v>1.07</v>
      </c>
      <c r="F67" s="186">
        <v>0.13</v>
      </c>
      <c r="G67" s="187">
        <f t="shared" si="16"/>
        <v>0.26429000000000002</v>
      </c>
      <c r="H67" s="188">
        <f t="shared" si="48"/>
        <v>2.0329999999999999</v>
      </c>
      <c r="I67" s="183">
        <f t="shared" si="1"/>
        <v>8</v>
      </c>
      <c r="J67" s="188">
        <f t="shared" si="17"/>
        <v>0.17</v>
      </c>
      <c r="K67" s="183">
        <f t="shared" si="18"/>
        <v>7</v>
      </c>
      <c r="L67" s="189">
        <f t="shared" si="19"/>
        <v>5.4600000000000003E-2</v>
      </c>
      <c r="M67" s="189">
        <f>0.23*2</f>
        <v>0.46</v>
      </c>
      <c r="N67" s="189">
        <f t="shared" si="20"/>
        <v>-0.04</v>
      </c>
      <c r="O67" s="189">
        <f>2.29*0.3</f>
        <v>0.68699999999999994</v>
      </c>
      <c r="P67" s="188">
        <f t="shared" si="34"/>
        <v>3.0615999999999999</v>
      </c>
      <c r="Q67" s="183">
        <f t="shared" si="2"/>
        <v>8</v>
      </c>
      <c r="R67" s="188">
        <f t="shared" si="3"/>
        <v>0.17</v>
      </c>
      <c r="S67" s="183">
        <f t="shared" si="4"/>
        <v>6</v>
      </c>
      <c r="T67" s="189">
        <f t="shared" si="5"/>
        <v>5.4600000000000003E-2</v>
      </c>
      <c r="U67" s="189">
        <f>0.23*2</f>
        <v>0.46</v>
      </c>
      <c r="V67" s="189">
        <f t="shared" si="21"/>
        <v>-0.04</v>
      </c>
      <c r="W67" s="189">
        <f>2.74*0.3</f>
        <v>0.82200000000000006</v>
      </c>
      <c r="X67" s="188">
        <f t="shared" si="47"/>
        <v>3.1966000000000001</v>
      </c>
      <c r="Y67" s="183">
        <f t="shared" si="6"/>
        <v>8</v>
      </c>
      <c r="Z67" s="188">
        <f t="shared" si="7"/>
        <v>0.24</v>
      </c>
      <c r="AA67" s="183">
        <f t="shared" si="8"/>
        <v>9</v>
      </c>
      <c r="AB67" s="189">
        <f t="shared" si="9"/>
        <v>5.4600000000000003E-2</v>
      </c>
      <c r="AC67" s="189">
        <v>0.3</v>
      </c>
      <c r="AD67" s="189">
        <f t="shared" si="22"/>
        <v>-0.04</v>
      </c>
      <c r="AE67" s="189">
        <v>0</v>
      </c>
      <c r="AF67" s="188">
        <f t="shared" si="23"/>
        <v>1.3846000000000001</v>
      </c>
      <c r="AG67" s="183">
        <f t="shared" si="10"/>
        <v>8</v>
      </c>
      <c r="AH67" s="182">
        <f t="shared" si="11"/>
        <v>0.24</v>
      </c>
      <c r="AI67" s="183">
        <f t="shared" si="12"/>
        <v>8</v>
      </c>
      <c r="AJ67" s="189">
        <f t="shared" si="13"/>
        <v>5.4600000000000003E-2</v>
      </c>
      <c r="AK67" s="189">
        <v>0.3</v>
      </c>
      <c r="AL67" s="189">
        <f t="shared" si="24"/>
        <v>-0.04</v>
      </c>
      <c r="AM67" s="189">
        <f>1.29*0.3</f>
        <v>0.38700000000000001</v>
      </c>
      <c r="AN67" s="188">
        <f t="shared" si="37"/>
        <v>1.7716000000000001</v>
      </c>
      <c r="AO67" s="183">
        <v>0</v>
      </c>
      <c r="AP67" s="182">
        <f t="shared" si="14"/>
        <v>4</v>
      </c>
      <c r="AQ67" s="182">
        <v>1.5</v>
      </c>
      <c r="AR67" s="187">
        <f t="shared" si="25"/>
        <v>40.610799999999998</v>
      </c>
      <c r="AS67" s="187">
        <f t="shared" si="26"/>
        <v>0</v>
      </c>
      <c r="AT67" s="187">
        <f t="shared" si="27"/>
        <v>0</v>
      </c>
      <c r="AU67" s="187">
        <f t="shared" si="28"/>
        <v>26.6342</v>
      </c>
      <c r="AV67" s="187">
        <f t="shared" si="15"/>
        <v>0</v>
      </c>
      <c r="AW67" s="187">
        <f t="shared" si="29"/>
        <v>0</v>
      </c>
      <c r="AX67" s="187">
        <f t="shared" si="30"/>
        <v>6</v>
      </c>
      <c r="AY67" s="190"/>
      <c r="AZ67" s="240"/>
      <c r="BA67" s="232"/>
      <c r="BF67" s="206"/>
      <c r="BG67" s="206"/>
      <c r="BK67" s="126"/>
      <c r="BL67" s="126"/>
      <c r="BN67" s="126"/>
      <c r="BO67" s="126"/>
      <c r="BQ67" s="126"/>
      <c r="BR67" s="126"/>
      <c r="BT67" s="126"/>
      <c r="BU67" s="126"/>
      <c r="BW67" s="126"/>
      <c r="BX67" s="126"/>
      <c r="BZ67" s="126"/>
      <c r="CA67" s="126"/>
      <c r="CC67" s="126"/>
      <c r="CD67" s="126"/>
      <c r="CF67" s="126"/>
      <c r="CG67" s="126"/>
    </row>
    <row r="68" spans="1:85" s="197" customFormat="1" x14ac:dyDescent="0.3">
      <c r="A68" s="182" t="s">
        <v>229</v>
      </c>
      <c r="B68" s="183">
        <v>1</v>
      </c>
      <c r="C68" s="184" t="s">
        <v>290</v>
      </c>
      <c r="D68" s="187">
        <v>3.07</v>
      </c>
      <c r="E68" s="187">
        <v>3.05</v>
      </c>
      <c r="F68" s="186">
        <v>0.13</v>
      </c>
      <c r="G68" s="187">
        <f t="shared" si="16"/>
        <v>1.2172549999999998</v>
      </c>
      <c r="H68" s="188">
        <f t="shared" si="48"/>
        <v>9.3634999999999984</v>
      </c>
      <c r="I68" s="183">
        <f t="shared" si="1"/>
        <v>8</v>
      </c>
      <c r="J68" s="188">
        <f t="shared" si="17"/>
        <v>0.17</v>
      </c>
      <c r="K68" s="183">
        <f t="shared" si="18"/>
        <v>19</v>
      </c>
      <c r="L68" s="189">
        <f t="shared" si="19"/>
        <v>5.4600000000000003E-2</v>
      </c>
      <c r="M68" s="189">
        <f>0.23*2</f>
        <v>0.46</v>
      </c>
      <c r="N68" s="189">
        <f t="shared" si="20"/>
        <v>-0.04</v>
      </c>
      <c r="O68" s="189">
        <f>2.29*0.3</f>
        <v>0.68699999999999994</v>
      </c>
      <c r="P68" s="188">
        <f t="shared" si="34"/>
        <v>4.2316000000000003</v>
      </c>
      <c r="Q68" s="183">
        <f t="shared" si="2"/>
        <v>8</v>
      </c>
      <c r="R68" s="188">
        <f t="shared" si="3"/>
        <v>0.17</v>
      </c>
      <c r="S68" s="183">
        <f t="shared" si="4"/>
        <v>18</v>
      </c>
      <c r="T68" s="189">
        <f t="shared" si="5"/>
        <v>5.4600000000000003E-2</v>
      </c>
      <c r="U68" s="189">
        <f>0.23*2</f>
        <v>0.46</v>
      </c>
      <c r="V68" s="189">
        <f t="shared" si="21"/>
        <v>-0.04</v>
      </c>
      <c r="W68" s="189">
        <f>2.05*0.3</f>
        <v>0.61499999999999988</v>
      </c>
      <c r="X68" s="188">
        <f t="shared" si="47"/>
        <v>4.1595999999999993</v>
      </c>
      <c r="Y68" s="183">
        <f t="shared" si="6"/>
        <v>8</v>
      </c>
      <c r="Z68" s="188">
        <f t="shared" si="7"/>
        <v>0.24</v>
      </c>
      <c r="AA68" s="183">
        <f t="shared" si="8"/>
        <v>14</v>
      </c>
      <c r="AB68" s="189">
        <f t="shared" si="9"/>
        <v>5.4600000000000003E-2</v>
      </c>
      <c r="AC68" s="189">
        <v>0.3</v>
      </c>
      <c r="AD68" s="189">
        <f t="shared" si="22"/>
        <v>-0.04</v>
      </c>
      <c r="AE68" s="189">
        <f>3.93*0.3</f>
        <v>1.179</v>
      </c>
      <c r="AF68" s="188">
        <f t="shared" si="23"/>
        <v>4.5435999999999996</v>
      </c>
      <c r="AG68" s="183">
        <f t="shared" si="10"/>
        <v>8</v>
      </c>
      <c r="AH68" s="182">
        <f t="shared" si="11"/>
        <v>0.24</v>
      </c>
      <c r="AI68" s="183">
        <f t="shared" si="12"/>
        <v>13</v>
      </c>
      <c r="AJ68" s="189">
        <f t="shared" si="13"/>
        <v>5.4600000000000003E-2</v>
      </c>
      <c r="AK68" s="189">
        <v>0.3</v>
      </c>
      <c r="AL68" s="189">
        <f t="shared" si="24"/>
        <v>-0.04</v>
      </c>
      <c r="AM68" s="189">
        <v>0</v>
      </c>
      <c r="AN68" s="188">
        <f t="shared" si="37"/>
        <v>3.3645999999999998</v>
      </c>
      <c r="AO68" s="183">
        <v>0</v>
      </c>
      <c r="AP68" s="182">
        <f t="shared" si="14"/>
        <v>8</v>
      </c>
      <c r="AQ68" s="182">
        <v>1.5</v>
      </c>
      <c r="AR68" s="187">
        <f t="shared" si="25"/>
        <v>155.27319999999997</v>
      </c>
      <c r="AS68" s="187">
        <f t="shared" si="26"/>
        <v>0</v>
      </c>
      <c r="AT68" s="187">
        <f t="shared" si="27"/>
        <v>0</v>
      </c>
      <c r="AU68" s="187">
        <f t="shared" si="28"/>
        <v>107.3502</v>
      </c>
      <c r="AV68" s="187">
        <f t="shared" si="15"/>
        <v>0</v>
      </c>
      <c r="AW68" s="187">
        <f t="shared" si="29"/>
        <v>0</v>
      </c>
      <c r="AX68" s="187">
        <f t="shared" si="30"/>
        <v>12</v>
      </c>
      <c r="AY68" s="190"/>
      <c r="AZ68" s="240"/>
      <c r="BA68" s="232"/>
      <c r="BF68" s="206"/>
      <c r="BG68" s="206"/>
      <c r="BK68" s="126"/>
      <c r="BL68" s="126"/>
      <c r="BN68" s="126"/>
      <c r="BO68" s="126"/>
      <c r="BQ68" s="126"/>
      <c r="BR68" s="126"/>
      <c r="BT68" s="126"/>
      <c r="BU68" s="126"/>
      <c r="BW68" s="126"/>
      <c r="BX68" s="126"/>
      <c r="BZ68" s="126"/>
      <c r="CA68" s="126"/>
      <c r="CC68" s="126"/>
      <c r="CD68" s="126"/>
      <c r="CF68" s="126"/>
      <c r="CG68" s="126"/>
    </row>
    <row r="69" spans="1:85" s="197" customFormat="1" x14ac:dyDescent="0.3">
      <c r="A69" s="182" t="s">
        <v>229</v>
      </c>
      <c r="B69" s="183">
        <v>1</v>
      </c>
      <c r="C69" s="184" t="s">
        <v>291</v>
      </c>
      <c r="D69" s="187">
        <v>2.0499999999999998</v>
      </c>
      <c r="E69" s="187">
        <v>3.1</v>
      </c>
      <c r="F69" s="186">
        <v>0.13</v>
      </c>
      <c r="G69" s="187">
        <f t="shared" si="16"/>
        <v>0.82614999999999994</v>
      </c>
      <c r="H69" s="188">
        <f t="shared" si="48"/>
        <v>6.3549999999999995</v>
      </c>
      <c r="I69" s="183">
        <f t="shared" si="1"/>
        <v>8</v>
      </c>
      <c r="J69" s="188">
        <f t="shared" si="17"/>
        <v>0.17</v>
      </c>
      <c r="K69" s="183">
        <f t="shared" si="18"/>
        <v>19</v>
      </c>
      <c r="L69" s="189">
        <f t="shared" si="19"/>
        <v>5.4600000000000003E-2</v>
      </c>
      <c r="M69" s="189">
        <f>0.23+0.3</f>
        <v>0.53</v>
      </c>
      <c r="N69" s="189">
        <f t="shared" si="20"/>
        <v>-0.04</v>
      </c>
      <c r="O69" s="189">
        <f>3.07*0.3</f>
        <v>0.92099999999999993</v>
      </c>
      <c r="P69" s="188">
        <f t="shared" si="34"/>
        <v>3.5155999999999996</v>
      </c>
      <c r="Q69" s="183">
        <f t="shared" si="2"/>
        <v>8</v>
      </c>
      <c r="R69" s="188">
        <f t="shared" si="3"/>
        <v>0.17</v>
      </c>
      <c r="S69" s="183">
        <f t="shared" si="4"/>
        <v>18</v>
      </c>
      <c r="T69" s="189">
        <f t="shared" si="5"/>
        <v>5.4600000000000003E-2</v>
      </c>
      <c r="U69" s="189">
        <f>0.23+0.3</f>
        <v>0.53</v>
      </c>
      <c r="V69" s="189">
        <f t="shared" si="21"/>
        <v>-0.04</v>
      </c>
      <c r="W69" s="189">
        <f>5.29*0.3</f>
        <v>1.587</v>
      </c>
      <c r="X69" s="188">
        <f t="shared" si="47"/>
        <v>4.1815999999999995</v>
      </c>
      <c r="Y69" s="183">
        <f t="shared" si="6"/>
        <v>8</v>
      </c>
      <c r="Z69" s="188">
        <f t="shared" si="7"/>
        <v>0.24</v>
      </c>
      <c r="AA69" s="183">
        <f t="shared" si="8"/>
        <v>10</v>
      </c>
      <c r="AB69" s="189">
        <f t="shared" si="9"/>
        <v>5.4600000000000003E-2</v>
      </c>
      <c r="AC69" s="189">
        <f t="shared" si="42"/>
        <v>0.6</v>
      </c>
      <c r="AD69" s="189">
        <f t="shared" si="22"/>
        <v>-0.04</v>
      </c>
      <c r="AE69" s="189">
        <f>1.86*0.3</f>
        <v>0.55800000000000005</v>
      </c>
      <c r="AF69" s="188">
        <f t="shared" si="23"/>
        <v>4.2726000000000006</v>
      </c>
      <c r="AG69" s="183">
        <f t="shared" si="10"/>
        <v>8</v>
      </c>
      <c r="AH69" s="182">
        <f t="shared" si="11"/>
        <v>0.24</v>
      </c>
      <c r="AI69" s="183">
        <f t="shared" si="12"/>
        <v>9</v>
      </c>
      <c r="AJ69" s="189">
        <f t="shared" si="13"/>
        <v>5.4600000000000003E-2</v>
      </c>
      <c r="AK69" s="189">
        <f t="shared" si="43"/>
        <v>0.6</v>
      </c>
      <c r="AL69" s="189">
        <f t="shared" si="24"/>
        <v>-0.04</v>
      </c>
      <c r="AM69" s="189">
        <f>2.52*0.3</f>
        <v>0.75600000000000001</v>
      </c>
      <c r="AN69" s="188">
        <f t="shared" si="37"/>
        <v>4.4706000000000001</v>
      </c>
      <c r="AO69" s="183">
        <v>0</v>
      </c>
      <c r="AP69" s="182">
        <f t="shared" si="14"/>
        <v>6</v>
      </c>
      <c r="AQ69" s="182">
        <v>1.5</v>
      </c>
      <c r="AR69" s="187">
        <f t="shared" si="25"/>
        <v>142.0652</v>
      </c>
      <c r="AS69" s="187">
        <f t="shared" si="26"/>
        <v>0</v>
      </c>
      <c r="AT69" s="187">
        <f t="shared" si="27"/>
        <v>0</v>
      </c>
      <c r="AU69" s="187">
        <f t="shared" si="28"/>
        <v>82.961399999999998</v>
      </c>
      <c r="AV69" s="187">
        <f t="shared" si="15"/>
        <v>0</v>
      </c>
      <c r="AW69" s="187">
        <f t="shared" si="29"/>
        <v>0</v>
      </c>
      <c r="AX69" s="187">
        <f t="shared" si="30"/>
        <v>9</v>
      </c>
      <c r="AY69" s="190"/>
      <c r="AZ69" s="240"/>
      <c r="BA69" s="232"/>
      <c r="BF69" s="206"/>
      <c r="BG69" s="206"/>
      <c r="BK69" s="126"/>
      <c r="BL69" s="126"/>
      <c r="BN69" s="126"/>
      <c r="BO69" s="126"/>
      <c r="BQ69" s="126"/>
      <c r="BR69" s="126"/>
      <c r="BT69" s="126"/>
      <c r="BU69" s="126"/>
      <c r="BW69" s="126"/>
      <c r="BX69" s="126"/>
      <c r="BZ69" s="126"/>
      <c r="CA69" s="126"/>
      <c r="CC69" s="126"/>
      <c r="CD69" s="126"/>
      <c r="CF69" s="126"/>
      <c r="CG69" s="126"/>
    </row>
    <row r="70" spans="1:85" s="197" customFormat="1" x14ac:dyDescent="0.3">
      <c r="A70" s="182" t="s">
        <v>254</v>
      </c>
      <c r="B70" s="183">
        <v>1</v>
      </c>
      <c r="C70" s="184" t="s">
        <v>292</v>
      </c>
      <c r="D70" s="187">
        <v>5.29</v>
      </c>
      <c r="E70" s="187">
        <v>3.35</v>
      </c>
      <c r="F70" s="186">
        <v>0.15</v>
      </c>
      <c r="G70" s="187">
        <f t="shared" si="16"/>
        <v>2.6582249999999998</v>
      </c>
      <c r="H70" s="188">
        <f t="shared" si="48"/>
        <v>17.721499999999999</v>
      </c>
      <c r="I70" s="183">
        <f t="shared" si="1"/>
        <v>10</v>
      </c>
      <c r="J70" s="188">
        <f t="shared" si="17"/>
        <v>0.18</v>
      </c>
      <c r="K70" s="183">
        <f t="shared" si="18"/>
        <v>20</v>
      </c>
      <c r="L70" s="189">
        <f t="shared" si="19"/>
        <v>6.3E-2</v>
      </c>
      <c r="M70" s="189">
        <f t="shared" si="38"/>
        <v>0.6</v>
      </c>
      <c r="N70" s="189">
        <f t="shared" si="20"/>
        <v>-0.04</v>
      </c>
      <c r="O70" s="189">
        <f>2.05*0.3</f>
        <v>0.61499999999999988</v>
      </c>
      <c r="P70" s="188">
        <f t="shared" si="34"/>
        <v>6.5280000000000005</v>
      </c>
      <c r="Q70" s="183">
        <f t="shared" si="2"/>
        <v>10</v>
      </c>
      <c r="R70" s="188">
        <f t="shared" si="3"/>
        <v>0.18</v>
      </c>
      <c r="S70" s="183">
        <f t="shared" si="4"/>
        <v>19</v>
      </c>
      <c r="T70" s="189">
        <f t="shared" si="5"/>
        <v>6.3E-2</v>
      </c>
      <c r="U70" s="189">
        <f t="shared" si="39"/>
        <v>0.6</v>
      </c>
      <c r="V70" s="189">
        <f t="shared" si="21"/>
        <v>-0.04</v>
      </c>
      <c r="W70" s="189">
        <f>4.84*0.3</f>
        <v>1.452</v>
      </c>
      <c r="X70" s="188">
        <f t="shared" si="47"/>
        <v>7.3650000000000002</v>
      </c>
      <c r="Y70" s="183">
        <f t="shared" si="6"/>
        <v>8</v>
      </c>
      <c r="Z70" s="188">
        <f t="shared" si="7"/>
        <v>0.2</v>
      </c>
      <c r="AA70" s="183">
        <f t="shared" si="8"/>
        <v>27</v>
      </c>
      <c r="AB70" s="189">
        <f t="shared" si="9"/>
        <v>6.3E-2</v>
      </c>
      <c r="AC70" s="189">
        <f t="shared" si="42"/>
        <v>0.6</v>
      </c>
      <c r="AD70" s="189">
        <f t="shared" si="22"/>
        <v>-0.04</v>
      </c>
      <c r="AE70" s="189">
        <f>2.27*0.3</f>
        <v>0.68099999999999994</v>
      </c>
      <c r="AF70" s="188">
        <f t="shared" si="23"/>
        <v>4.6539999999999999</v>
      </c>
      <c r="AG70" s="183">
        <f t="shared" si="10"/>
        <v>8</v>
      </c>
      <c r="AH70" s="182">
        <f t="shared" si="11"/>
        <v>0.2</v>
      </c>
      <c r="AI70" s="183">
        <f t="shared" si="12"/>
        <v>26</v>
      </c>
      <c r="AJ70" s="189">
        <f t="shared" si="13"/>
        <v>6.3E-2</v>
      </c>
      <c r="AK70" s="189">
        <f t="shared" si="43"/>
        <v>0.6</v>
      </c>
      <c r="AL70" s="189">
        <f t="shared" si="24"/>
        <v>-0.04</v>
      </c>
      <c r="AM70" s="189">
        <f>5.64*0.3</f>
        <v>1.6919999999999999</v>
      </c>
      <c r="AN70" s="188">
        <f t="shared" si="37"/>
        <v>5.665</v>
      </c>
      <c r="AO70" s="183">
        <v>0</v>
      </c>
      <c r="AP70" s="182">
        <f t="shared" si="14"/>
        <v>12</v>
      </c>
      <c r="AQ70" s="182">
        <v>1.5</v>
      </c>
      <c r="AR70" s="187">
        <f t="shared" si="25"/>
        <v>0</v>
      </c>
      <c r="AS70" s="187">
        <f t="shared" si="26"/>
        <v>270.495</v>
      </c>
      <c r="AT70" s="187">
        <f t="shared" si="27"/>
        <v>0</v>
      </c>
      <c r="AU70" s="187">
        <f t="shared" si="28"/>
        <v>272.94799999999998</v>
      </c>
      <c r="AV70" s="187">
        <f t="shared" si="15"/>
        <v>0</v>
      </c>
      <c r="AW70" s="187">
        <f t="shared" si="29"/>
        <v>0</v>
      </c>
      <c r="AX70" s="187">
        <f t="shared" si="30"/>
        <v>18</v>
      </c>
      <c r="AY70" s="190"/>
      <c r="AZ70" s="240"/>
      <c r="BA70" s="232"/>
      <c r="BF70" s="206"/>
      <c r="BG70" s="206"/>
      <c r="BK70" s="126"/>
      <c r="BL70" s="126"/>
      <c r="BN70" s="126"/>
      <c r="BO70" s="126"/>
      <c r="BQ70" s="126"/>
      <c r="BR70" s="126"/>
      <c r="BT70" s="126"/>
      <c r="BU70" s="126"/>
      <c r="BW70" s="126"/>
      <c r="BX70" s="126"/>
      <c r="BZ70" s="126"/>
      <c r="CA70" s="126"/>
      <c r="CC70" s="126"/>
      <c r="CD70" s="126"/>
      <c r="CF70" s="126"/>
      <c r="CG70" s="126"/>
    </row>
    <row r="71" spans="1:85" s="197" customFormat="1" x14ac:dyDescent="0.3">
      <c r="A71" s="182" t="s">
        <v>254</v>
      </c>
      <c r="B71" s="183">
        <v>1</v>
      </c>
      <c r="C71" s="184" t="s">
        <v>293</v>
      </c>
      <c r="D71" s="187">
        <v>4.84</v>
      </c>
      <c r="E71" s="187">
        <v>3.47</v>
      </c>
      <c r="F71" s="186">
        <v>0.15</v>
      </c>
      <c r="G71" s="187">
        <f t="shared" si="16"/>
        <v>2.5192200000000002</v>
      </c>
      <c r="H71" s="188">
        <f t="shared" si="48"/>
        <v>16.794800000000002</v>
      </c>
      <c r="I71" s="183">
        <f t="shared" si="1"/>
        <v>10</v>
      </c>
      <c r="J71" s="188">
        <f t="shared" si="17"/>
        <v>0.18</v>
      </c>
      <c r="K71" s="183">
        <f t="shared" si="18"/>
        <v>20</v>
      </c>
      <c r="L71" s="189">
        <f t="shared" si="19"/>
        <v>6.3E-2</v>
      </c>
      <c r="M71" s="189">
        <f t="shared" si="38"/>
        <v>0.6</v>
      </c>
      <c r="N71" s="189">
        <f t="shared" si="20"/>
        <v>-0.04</v>
      </c>
      <c r="O71" s="189">
        <f>5.29*0.3</f>
        <v>1.587</v>
      </c>
      <c r="P71" s="188">
        <f t="shared" si="34"/>
        <v>7.05</v>
      </c>
      <c r="Q71" s="183">
        <f t="shared" si="2"/>
        <v>10</v>
      </c>
      <c r="R71" s="188">
        <f t="shared" si="3"/>
        <v>0.18</v>
      </c>
      <c r="S71" s="183">
        <f t="shared" si="4"/>
        <v>19</v>
      </c>
      <c r="T71" s="189">
        <f t="shared" si="5"/>
        <v>6.3E-2</v>
      </c>
      <c r="U71" s="189">
        <f t="shared" si="39"/>
        <v>0.6</v>
      </c>
      <c r="V71" s="189">
        <f t="shared" si="21"/>
        <v>-0.04</v>
      </c>
      <c r="W71" s="189">
        <f>4.84*0.3</f>
        <v>1.452</v>
      </c>
      <c r="X71" s="188">
        <f t="shared" si="47"/>
        <v>6.915</v>
      </c>
      <c r="Y71" s="183">
        <f t="shared" si="6"/>
        <v>8</v>
      </c>
      <c r="Z71" s="188">
        <f t="shared" si="7"/>
        <v>0.2</v>
      </c>
      <c r="AA71" s="183">
        <f t="shared" si="8"/>
        <v>25</v>
      </c>
      <c r="AB71" s="189">
        <f t="shared" si="9"/>
        <v>6.3E-2</v>
      </c>
      <c r="AC71" s="189">
        <f t="shared" si="42"/>
        <v>0.6</v>
      </c>
      <c r="AD71" s="189">
        <f t="shared" si="22"/>
        <v>-0.04</v>
      </c>
      <c r="AE71" s="189">
        <f>4.42*0.3</f>
        <v>1.3259999999999998</v>
      </c>
      <c r="AF71" s="188">
        <f t="shared" si="23"/>
        <v>5.4190000000000005</v>
      </c>
      <c r="AG71" s="183">
        <f t="shared" si="10"/>
        <v>8</v>
      </c>
      <c r="AH71" s="182">
        <f t="shared" si="11"/>
        <v>0.2</v>
      </c>
      <c r="AI71" s="183">
        <f t="shared" si="12"/>
        <v>24</v>
      </c>
      <c r="AJ71" s="189">
        <f t="shared" si="13"/>
        <v>6.3E-2</v>
      </c>
      <c r="AK71" s="189">
        <f t="shared" si="43"/>
        <v>0.6</v>
      </c>
      <c r="AL71" s="189">
        <f t="shared" si="24"/>
        <v>-0.04</v>
      </c>
      <c r="AM71" s="189">
        <f>5.615*0.3</f>
        <v>1.6845000000000001</v>
      </c>
      <c r="AN71" s="188">
        <f t="shared" si="37"/>
        <v>5.7774999999999999</v>
      </c>
      <c r="AO71" s="183">
        <v>0</v>
      </c>
      <c r="AP71" s="182">
        <f t="shared" si="14"/>
        <v>10</v>
      </c>
      <c r="AQ71" s="182">
        <v>1.5</v>
      </c>
      <c r="AR71" s="187">
        <f t="shared" si="25"/>
        <v>0</v>
      </c>
      <c r="AS71" s="187">
        <f t="shared" si="26"/>
        <v>272.38499999999999</v>
      </c>
      <c r="AT71" s="187">
        <f t="shared" si="27"/>
        <v>0</v>
      </c>
      <c r="AU71" s="187">
        <f t="shared" si="28"/>
        <v>274.13499999999999</v>
      </c>
      <c r="AV71" s="187">
        <f t="shared" si="15"/>
        <v>0</v>
      </c>
      <c r="AW71" s="187">
        <f t="shared" si="29"/>
        <v>0</v>
      </c>
      <c r="AX71" s="187">
        <f t="shared" si="30"/>
        <v>15</v>
      </c>
      <c r="AY71" s="190"/>
      <c r="AZ71" s="240"/>
      <c r="BA71" s="232"/>
      <c r="BF71" s="206"/>
      <c r="BG71" s="206"/>
      <c r="BK71" s="126"/>
      <c r="BL71" s="126"/>
      <c r="BN71" s="126"/>
      <c r="BO71" s="126"/>
      <c r="BQ71" s="126"/>
      <c r="BR71" s="126"/>
      <c r="BT71" s="126"/>
      <c r="BU71" s="126"/>
      <c r="BW71" s="126"/>
      <c r="BX71" s="126"/>
      <c r="BZ71" s="126"/>
      <c r="CA71" s="126"/>
      <c r="CC71" s="126"/>
      <c r="CD71" s="126"/>
      <c r="CF71" s="126"/>
      <c r="CG71" s="126"/>
    </row>
    <row r="72" spans="1:85" s="197" customFormat="1" x14ac:dyDescent="0.3">
      <c r="A72" s="182" t="s">
        <v>243</v>
      </c>
      <c r="B72" s="183">
        <v>1</v>
      </c>
      <c r="C72" s="184" t="s">
        <v>294</v>
      </c>
      <c r="D72" s="187">
        <v>4.84</v>
      </c>
      <c r="E72" s="187">
        <v>3.75</v>
      </c>
      <c r="F72" s="186">
        <v>0.15</v>
      </c>
      <c r="G72" s="187">
        <f t="shared" si="16"/>
        <v>2.7224999999999997</v>
      </c>
      <c r="H72" s="188">
        <f t="shared" si="48"/>
        <v>18.149999999999999</v>
      </c>
      <c r="I72" s="183">
        <f t="shared" si="1"/>
        <v>10</v>
      </c>
      <c r="J72" s="188">
        <f t="shared" si="17"/>
        <v>0.2</v>
      </c>
      <c r="K72" s="183">
        <f t="shared" si="18"/>
        <v>20</v>
      </c>
      <c r="L72" s="189">
        <f t="shared" si="19"/>
        <v>6.3E-2</v>
      </c>
      <c r="M72" s="189">
        <f t="shared" si="38"/>
        <v>0.6</v>
      </c>
      <c r="N72" s="189">
        <f t="shared" si="20"/>
        <v>-0.04</v>
      </c>
      <c r="O72" s="189">
        <f>4.84*0.3</f>
        <v>1.452</v>
      </c>
      <c r="P72" s="188">
        <f t="shared" si="34"/>
        <v>6.915</v>
      </c>
      <c r="Q72" s="183">
        <f t="shared" si="2"/>
        <v>10</v>
      </c>
      <c r="R72" s="188">
        <f t="shared" si="3"/>
        <v>0.2</v>
      </c>
      <c r="S72" s="183">
        <f t="shared" si="4"/>
        <v>19</v>
      </c>
      <c r="T72" s="189">
        <f t="shared" si="5"/>
        <v>6.3E-2</v>
      </c>
      <c r="U72" s="189">
        <f t="shared" si="39"/>
        <v>0.6</v>
      </c>
      <c r="V72" s="189">
        <f t="shared" si="21"/>
        <v>-0.04</v>
      </c>
      <c r="W72" s="189">
        <f>4.3447*0.3</f>
        <v>1.3034099999999997</v>
      </c>
      <c r="X72" s="188">
        <f t="shared" si="47"/>
        <v>6.7664099999999996</v>
      </c>
      <c r="Y72" s="183">
        <f t="shared" si="6"/>
        <v>8</v>
      </c>
      <c r="Z72" s="188">
        <f t="shared" si="7"/>
        <v>0.24</v>
      </c>
      <c r="AA72" s="183">
        <f t="shared" si="8"/>
        <v>21</v>
      </c>
      <c r="AB72" s="189">
        <f t="shared" si="9"/>
        <v>6.3E-2</v>
      </c>
      <c r="AC72" s="189">
        <f t="shared" si="42"/>
        <v>0.6</v>
      </c>
      <c r="AD72" s="189">
        <f t="shared" si="22"/>
        <v>-0.04</v>
      </c>
      <c r="AE72" s="189">
        <f>5.615*0.3</f>
        <v>1.6845000000000001</v>
      </c>
      <c r="AF72" s="188">
        <f>+E72+SUM(AB72:AE72)</f>
        <v>6.0575000000000001</v>
      </c>
      <c r="AG72" s="183">
        <f t="shared" si="10"/>
        <v>8</v>
      </c>
      <c r="AH72" s="182">
        <f t="shared" si="11"/>
        <v>0.24</v>
      </c>
      <c r="AI72" s="183">
        <f t="shared" si="12"/>
        <v>20</v>
      </c>
      <c r="AJ72" s="189">
        <f t="shared" si="13"/>
        <v>6.3E-2</v>
      </c>
      <c r="AK72" s="189">
        <f t="shared" si="43"/>
        <v>0.6</v>
      </c>
      <c r="AL72" s="189">
        <f t="shared" si="24"/>
        <v>-0.04</v>
      </c>
      <c r="AM72" s="189">
        <f>4.42*0.3</f>
        <v>1.3259999999999998</v>
      </c>
      <c r="AN72" s="188">
        <f t="shared" si="37"/>
        <v>5.6989999999999998</v>
      </c>
      <c r="AO72" s="183">
        <v>0</v>
      </c>
      <c r="AP72" s="182">
        <f t="shared" si="14"/>
        <v>12</v>
      </c>
      <c r="AQ72" s="182">
        <v>1.5</v>
      </c>
      <c r="AR72" s="187">
        <f t="shared" si="25"/>
        <v>0</v>
      </c>
      <c r="AS72" s="187">
        <f t="shared" si="26"/>
        <v>266.86179000000004</v>
      </c>
      <c r="AT72" s="187">
        <f t="shared" si="27"/>
        <v>0</v>
      </c>
      <c r="AU72" s="187">
        <f t="shared" si="28"/>
        <v>241.1875</v>
      </c>
      <c r="AV72" s="187">
        <f t="shared" si="15"/>
        <v>0</v>
      </c>
      <c r="AW72" s="187">
        <f t="shared" si="29"/>
        <v>0</v>
      </c>
      <c r="AX72" s="187">
        <f t="shared" si="30"/>
        <v>18</v>
      </c>
      <c r="AY72" s="190"/>
      <c r="AZ72" s="240"/>
      <c r="BA72" s="232"/>
      <c r="BF72" s="206"/>
      <c r="BG72" s="206"/>
      <c r="BK72" s="126"/>
      <c r="BL72" s="126"/>
      <c r="BN72" s="126"/>
      <c r="BO72" s="126"/>
      <c r="BQ72" s="126"/>
      <c r="BR72" s="126"/>
      <c r="BT72" s="126"/>
      <c r="BU72" s="126"/>
      <c r="BW72" s="126"/>
      <c r="BX72" s="126"/>
      <c r="BZ72" s="126"/>
      <c r="CA72" s="126"/>
      <c r="CC72" s="126"/>
      <c r="CD72" s="126"/>
      <c r="CF72" s="126"/>
      <c r="CG72" s="126"/>
    </row>
    <row r="73" spans="1:85" s="197" customFormat="1" x14ac:dyDescent="0.3">
      <c r="A73" s="182" t="s">
        <v>254</v>
      </c>
      <c r="B73" s="183">
        <v>1</v>
      </c>
      <c r="C73" s="184" t="s">
        <v>295</v>
      </c>
      <c r="D73" s="187">
        <v>4.3446999999999996</v>
      </c>
      <c r="E73" s="187">
        <v>4.1559999999999997</v>
      </c>
      <c r="F73" s="186">
        <v>0.15</v>
      </c>
      <c r="G73" s="187">
        <f t="shared" si="16"/>
        <v>2.7084859799999994</v>
      </c>
      <c r="H73" s="188">
        <f t="shared" si="48"/>
        <v>18.056573199999995</v>
      </c>
      <c r="I73" s="183">
        <f t="shared" si="1"/>
        <v>10</v>
      </c>
      <c r="J73" s="188">
        <f t="shared" si="17"/>
        <v>0.18</v>
      </c>
      <c r="K73" s="183">
        <f t="shared" si="18"/>
        <v>24</v>
      </c>
      <c r="L73" s="189">
        <f t="shared" si="19"/>
        <v>6.3E-2</v>
      </c>
      <c r="M73" s="189">
        <f>0.3+0.74</f>
        <v>1.04</v>
      </c>
      <c r="N73" s="189">
        <f t="shared" si="20"/>
        <v>-0.04</v>
      </c>
      <c r="O73" s="189">
        <f>4.84*0.3</f>
        <v>1.452</v>
      </c>
      <c r="P73" s="188">
        <f t="shared" si="34"/>
        <v>6.8596999999999992</v>
      </c>
      <c r="Q73" s="183">
        <f t="shared" si="2"/>
        <v>10</v>
      </c>
      <c r="R73" s="188">
        <f t="shared" si="3"/>
        <v>0.18</v>
      </c>
      <c r="S73" s="183">
        <f t="shared" si="4"/>
        <v>23</v>
      </c>
      <c r="T73" s="189">
        <f t="shared" si="5"/>
        <v>6.3E-2</v>
      </c>
      <c r="U73" s="189">
        <f>0.3+0.74</f>
        <v>1.04</v>
      </c>
      <c r="V73" s="189">
        <f t="shared" si="21"/>
        <v>-0.04</v>
      </c>
      <c r="W73" s="189">
        <f>6.27*0.3</f>
        <v>1.8809999999999998</v>
      </c>
      <c r="X73" s="188">
        <f t="shared" si="47"/>
        <v>7.2886999999999995</v>
      </c>
      <c r="Y73" s="183">
        <f t="shared" si="6"/>
        <v>8</v>
      </c>
      <c r="Z73" s="188">
        <f t="shared" si="7"/>
        <v>0.2</v>
      </c>
      <c r="AA73" s="183">
        <f t="shared" si="8"/>
        <v>23</v>
      </c>
      <c r="AB73" s="189">
        <f t="shared" si="9"/>
        <v>6.3E-2</v>
      </c>
      <c r="AC73" s="189">
        <f>0.3+0.47</f>
        <v>0.77</v>
      </c>
      <c r="AD73" s="189">
        <f t="shared" si="22"/>
        <v>-0.04</v>
      </c>
      <c r="AE73" s="189">
        <f>3.74*0.3</f>
        <v>1.1220000000000001</v>
      </c>
      <c r="AF73" s="188">
        <f t="shared" ref="AF73:AF90" si="49">+E73+SUM(AB73:AE73)</f>
        <v>6.0709999999999997</v>
      </c>
      <c r="AG73" s="183">
        <f t="shared" si="10"/>
        <v>8</v>
      </c>
      <c r="AH73" s="182">
        <f t="shared" si="11"/>
        <v>0.2</v>
      </c>
      <c r="AI73" s="183">
        <f t="shared" si="12"/>
        <v>22</v>
      </c>
      <c r="AJ73" s="189">
        <f t="shared" si="13"/>
        <v>6.3E-2</v>
      </c>
      <c r="AK73" s="189">
        <f>0.3+0.47</f>
        <v>0.77</v>
      </c>
      <c r="AL73" s="189">
        <f t="shared" si="24"/>
        <v>-0.04</v>
      </c>
      <c r="AM73" s="189">
        <f>2.42*0.3</f>
        <v>0.72599999999999998</v>
      </c>
      <c r="AN73" s="188">
        <f t="shared" si="37"/>
        <v>5.6749999999999998</v>
      </c>
      <c r="AO73" s="183">
        <v>0</v>
      </c>
      <c r="AP73" s="182">
        <f t="shared" si="14"/>
        <v>12</v>
      </c>
      <c r="AQ73" s="182">
        <v>1.5</v>
      </c>
      <c r="AR73" s="187">
        <f t="shared" si="25"/>
        <v>0</v>
      </c>
      <c r="AS73" s="187">
        <f t="shared" si="26"/>
        <v>332.27289999999994</v>
      </c>
      <c r="AT73" s="187">
        <f t="shared" si="27"/>
        <v>0</v>
      </c>
      <c r="AU73" s="187">
        <f t="shared" si="28"/>
        <v>264.48299999999995</v>
      </c>
      <c r="AV73" s="187">
        <f t="shared" si="15"/>
        <v>0</v>
      </c>
      <c r="AW73" s="187">
        <f t="shared" si="29"/>
        <v>0</v>
      </c>
      <c r="AX73" s="187">
        <f t="shared" si="30"/>
        <v>18</v>
      </c>
      <c r="AY73" s="190"/>
      <c r="AZ73" s="240"/>
      <c r="BA73" s="232"/>
      <c r="BF73" s="206"/>
      <c r="BG73" s="206"/>
      <c r="BK73" s="126"/>
      <c r="BL73" s="126"/>
      <c r="BN73" s="126"/>
      <c r="BO73" s="126"/>
      <c r="BQ73" s="126"/>
      <c r="BR73" s="126"/>
      <c r="BT73" s="126"/>
      <c r="BU73" s="126"/>
      <c r="BW73" s="126"/>
      <c r="BX73" s="126"/>
      <c r="BZ73" s="126"/>
      <c r="CA73" s="126"/>
      <c r="CC73" s="126"/>
      <c r="CD73" s="126"/>
      <c r="CF73" s="126"/>
      <c r="CG73" s="126"/>
    </row>
    <row r="74" spans="1:85" s="197" customFormat="1" x14ac:dyDescent="0.3">
      <c r="A74" s="182" t="s">
        <v>232</v>
      </c>
      <c r="B74" s="183">
        <v>1</v>
      </c>
      <c r="C74" s="184" t="s">
        <v>296</v>
      </c>
      <c r="D74" s="187">
        <v>2.7</v>
      </c>
      <c r="E74" s="187">
        <v>2.73</v>
      </c>
      <c r="F74" s="186">
        <v>0.13</v>
      </c>
      <c r="G74" s="187">
        <f t="shared" si="16"/>
        <v>0.95823000000000014</v>
      </c>
      <c r="H74" s="188">
        <f t="shared" si="48"/>
        <v>7.3710000000000004</v>
      </c>
      <c r="I74" s="183">
        <f t="shared" si="1"/>
        <v>8</v>
      </c>
      <c r="J74" s="188">
        <f t="shared" si="17"/>
        <v>0.2</v>
      </c>
      <c r="K74" s="183">
        <f t="shared" si="18"/>
        <v>15</v>
      </c>
      <c r="L74" s="189">
        <f t="shared" si="19"/>
        <v>5.4600000000000003E-2</v>
      </c>
      <c r="M74" s="189">
        <f>0.3+0.23</f>
        <v>0.53</v>
      </c>
      <c r="N74" s="189">
        <f t="shared" si="20"/>
        <v>-0.04</v>
      </c>
      <c r="O74" s="189">
        <f>2.595*0.3</f>
        <v>0.77850000000000008</v>
      </c>
      <c r="P74" s="188">
        <f t="shared" si="34"/>
        <v>4.0231000000000003</v>
      </c>
      <c r="Q74" s="183">
        <f t="shared" si="2"/>
        <v>8</v>
      </c>
      <c r="R74" s="188">
        <f t="shared" si="3"/>
        <v>0.2</v>
      </c>
      <c r="S74" s="183">
        <f t="shared" si="4"/>
        <v>14</v>
      </c>
      <c r="T74" s="189">
        <f t="shared" si="5"/>
        <v>5.4600000000000003E-2</v>
      </c>
      <c r="U74" s="189">
        <f>0.3+0.23</f>
        <v>0.53</v>
      </c>
      <c r="V74" s="189">
        <f t="shared" si="21"/>
        <v>-0.04</v>
      </c>
      <c r="W74" s="189">
        <f>2.74*0.3</f>
        <v>0.82200000000000006</v>
      </c>
      <c r="X74" s="188">
        <f t="shared" si="47"/>
        <v>4.0666000000000002</v>
      </c>
      <c r="Y74" s="183">
        <f t="shared" si="6"/>
        <v>8</v>
      </c>
      <c r="Z74" s="188">
        <f t="shared" si="7"/>
        <v>0.24</v>
      </c>
      <c r="AA74" s="183">
        <f t="shared" si="8"/>
        <v>12</v>
      </c>
      <c r="AB74" s="189">
        <f t="shared" si="9"/>
        <v>5.4600000000000003E-2</v>
      </c>
      <c r="AC74" s="189">
        <f>0.3+0.23</f>
        <v>0.53</v>
      </c>
      <c r="AD74" s="189">
        <f t="shared" si="22"/>
        <v>-0.04</v>
      </c>
      <c r="AE74" s="189">
        <f>3.93*0.3</f>
        <v>1.179</v>
      </c>
      <c r="AF74" s="188">
        <f t="shared" si="49"/>
        <v>4.4535999999999998</v>
      </c>
      <c r="AG74" s="183">
        <f t="shared" si="10"/>
        <v>8</v>
      </c>
      <c r="AH74" s="182">
        <f t="shared" si="11"/>
        <v>0.24</v>
      </c>
      <c r="AI74" s="183">
        <f t="shared" si="12"/>
        <v>11</v>
      </c>
      <c r="AJ74" s="189">
        <f t="shared" si="13"/>
        <v>5.4600000000000003E-2</v>
      </c>
      <c r="AK74" s="189">
        <f>0.3+0.23</f>
        <v>0.53</v>
      </c>
      <c r="AL74" s="189">
        <f t="shared" si="24"/>
        <v>-0.04</v>
      </c>
      <c r="AM74" s="189">
        <f>3.05*0.3</f>
        <v>0.91499999999999992</v>
      </c>
      <c r="AN74" s="188">
        <f t="shared" si="37"/>
        <v>4.1896000000000004</v>
      </c>
      <c r="AO74" s="183">
        <v>0</v>
      </c>
      <c r="AP74" s="182">
        <f t="shared" si="14"/>
        <v>8</v>
      </c>
      <c r="AQ74" s="182">
        <v>1.5</v>
      </c>
      <c r="AR74" s="187">
        <f t="shared" si="25"/>
        <v>117.27890000000001</v>
      </c>
      <c r="AS74" s="187">
        <f t="shared" si="26"/>
        <v>0</v>
      </c>
      <c r="AT74" s="187">
        <f t="shared" si="27"/>
        <v>0</v>
      </c>
      <c r="AU74" s="187">
        <f t="shared" si="28"/>
        <v>99.528800000000004</v>
      </c>
      <c r="AV74" s="187">
        <f t="shared" si="15"/>
        <v>0</v>
      </c>
      <c r="AW74" s="187">
        <f t="shared" si="29"/>
        <v>0</v>
      </c>
      <c r="AX74" s="187">
        <f t="shared" si="30"/>
        <v>12</v>
      </c>
      <c r="AY74" s="190"/>
      <c r="AZ74" s="240"/>
      <c r="BA74" s="232"/>
      <c r="BF74" s="206"/>
      <c r="BG74" s="206"/>
      <c r="BK74" s="126"/>
      <c r="BL74" s="126"/>
      <c r="BN74" s="126"/>
      <c r="BO74" s="126"/>
      <c r="BQ74" s="126"/>
      <c r="BR74" s="126"/>
      <c r="BT74" s="126"/>
      <c r="BU74" s="126"/>
      <c r="BW74" s="126"/>
      <c r="BX74" s="126"/>
      <c r="BZ74" s="126"/>
      <c r="CA74" s="126"/>
      <c r="CC74" s="126"/>
      <c r="CD74" s="126"/>
      <c r="CF74" s="126"/>
      <c r="CG74" s="126"/>
    </row>
    <row r="75" spans="1:85" s="197" customFormat="1" x14ac:dyDescent="0.3">
      <c r="A75" s="182" t="s">
        <v>239</v>
      </c>
      <c r="B75" s="183">
        <v>1</v>
      </c>
      <c r="C75" s="184" t="s">
        <v>297</v>
      </c>
      <c r="D75" s="187">
        <v>2.74</v>
      </c>
      <c r="E75" s="187">
        <v>2.4300000000000002</v>
      </c>
      <c r="F75" s="186">
        <v>0.125</v>
      </c>
      <c r="G75" s="187">
        <f t="shared" si="16"/>
        <v>0.8322750000000001</v>
      </c>
      <c r="H75" s="188">
        <f t="shared" si="48"/>
        <v>6.6582000000000008</v>
      </c>
      <c r="I75" s="183">
        <f t="shared" ref="I75:I138" si="50">GETPIVOTDATA($BN$20,A75)</f>
        <v>8</v>
      </c>
      <c r="J75" s="188">
        <f t="shared" si="17"/>
        <v>0.23</v>
      </c>
      <c r="K75" s="183">
        <f t="shared" si="18"/>
        <v>12</v>
      </c>
      <c r="L75" s="189">
        <f t="shared" si="19"/>
        <v>5.2499999999999998E-2</v>
      </c>
      <c r="M75" s="189">
        <f>0.23*2</f>
        <v>0.46</v>
      </c>
      <c r="N75" s="189">
        <f t="shared" si="20"/>
        <v>-0.04</v>
      </c>
      <c r="O75" s="189">
        <f>2.7*0.3</f>
        <v>0.81</v>
      </c>
      <c r="P75" s="188">
        <f t="shared" si="34"/>
        <v>4.0225000000000009</v>
      </c>
      <c r="Q75" s="183">
        <f t="shared" ref="Q75:Q138" si="51">GETPIVOTDATA($BN$20,A75)</f>
        <v>8</v>
      </c>
      <c r="R75" s="188">
        <f t="shared" ref="R75:R138" si="52">GETPIVOTDATA($BQ$20,A75)*2</f>
        <v>0.23</v>
      </c>
      <c r="S75" s="183">
        <f t="shared" ref="S75:S138" si="53">(ROUND(E75/R75,0))*GETPIVOTDATA($CF$20,A75)</f>
        <v>11</v>
      </c>
      <c r="T75" s="189">
        <f t="shared" ref="T75:T138" si="54">GETPIVOTDATA($BT$20,A75)</f>
        <v>5.2499999999999998E-2</v>
      </c>
      <c r="U75" s="189">
        <f>0.23*2</f>
        <v>0.46</v>
      </c>
      <c r="V75" s="189">
        <f t="shared" si="21"/>
        <v>-0.04</v>
      </c>
      <c r="W75" s="189">
        <f>2.29*0.3</f>
        <v>0.68699999999999994</v>
      </c>
      <c r="X75" s="188">
        <f t="shared" si="47"/>
        <v>3.8995000000000002</v>
      </c>
      <c r="Y75" s="183">
        <f t="shared" ref="Y75:Y138" si="55">GETPIVOTDATA($BW$20,A75)</f>
        <v>8</v>
      </c>
      <c r="Z75" s="188">
        <f t="shared" ref="Z75:Z138" si="56">GETPIVOTDATA($CC$20,A75)*2</f>
        <v>0.3</v>
      </c>
      <c r="AA75" s="183">
        <f t="shared" ref="AA75:AA138" si="57">(ROUND(D75/Z75,0)+1)*GETPIVOTDATA($CF$20,A75)</f>
        <v>10</v>
      </c>
      <c r="AB75" s="189">
        <f t="shared" ref="AB75:AB138" si="58">GETPIVOTDATA($BZ$20,A75)</f>
        <v>5.2499999999999998E-2</v>
      </c>
      <c r="AC75" s="189">
        <f>0.23+0.3</f>
        <v>0.53</v>
      </c>
      <c r="AD75" s="189">
        <f t="shared" si="22"/>
        <v>-0.04</v>
      </c>
      <c r="AE75" s="189">
        <v>0</v>
      </c>
      <c r="AF75" s="188">
        <f t="shared" si="49"/>
        <v>2.9725000000000001</v>
      </c>
      <c r="AG75" s="183">
        <f t="shared" ref="AG75:AG138" si="59">GETPIVOTDATA($BW$20,A75)</f>
        <v>8</v>
      </c>
      <c r="AH75" s="182">
        <f t="shared" ref="AH75:AH138" si="60">GETPIVOTDATA($CC$20,A75)*2</f>
        <v>0.3</v>
      </c>
      <c r="AI75" s="183">
        <f t="shared" ref="AI75:AI138" si="61">(ROUND(D75/AH75,0))*GETPIVOTDATA($CF$20,A75)</f>
        <v>9</v>
      </c>
      <c r="AJ75" s="189">
        <f t="shared" ref="AJ75:AJ138" si="62">GETPIVOTDATA($BZ$20,A75)</f>
        <v>5.2499999999999998E-2</v>
      </c>
      <c r="AK75" s="189">
        <f>0.23+0.3</f>
        <v>0.53</v>
      </c>
      <c r="AL75" s="189">
        <f t="shared" si="24"/>
        <v>-0.04</v>
      </c>
      <c r="AM75" s="189">
        <f>4.19*0.3</f>
        <v>1.2570000000000001</v>
      </c>
      <c r="AN75" s="188">
        <f t="shared" si="37"/>
        <v>4.2294999999999998</v>
      </c>
      <c r="AO75" s="183">
        <v>0</v>
      </c>
      <c r="AP75" s="182">
        <f t="shared" ref="AP75:AP138" si="63">(ROUND(D75/1.5,0)+ROUND(E75/1.5,0))*2</f>
        <v>8</v>
      </c>
      <c r="AQ75" s="182">
        <v>1.5</v>
      </c>
      <c r="AR75" s="187">
        <f t="shared" si="25"/>
        <v>91.164500000000004</v>
      </c>
      <c r="AS75" s="187">
        <f t="shared" si="26"/>
        <v>0</v>
      </c>
      <c r="AT75" s="187">
        <f t="shared" si="27"/>
        <v>0</v>
      </c>
      <c r="AU75" s="187">
        <f t="shared" si="28"/>
        <v>67.790500000000009</v>
      </c>
      <c r="AV75" s="187">
        <f t="shared" ref="AV75:AV138" si="64">IF(AG75=10,AI75*AN75*B75,0)+IF(Y75=10,B75*AA75*AF75,0)</f>
        <v>0</v>
      </c>
      <c r="AW75" s="187">
        <f t="shared" si="29"/>
        <v>0</v>
      </c>
      <c r="AX75" s="187">
        <f t="shared" si="30"/>
        <v>12</v>
      </c>
      <c r="AY75" s="190"/>
      <c r="AZ75" s="240"/>
      <c r="BA75" s="232"/>
      <c r="BF75" s="206"/>
      <c r="BG75" s="206"/>
      <c r="BK75" s="126"/>
      <c r="BL75" s="126"/>
      <c r="BN75" s="126"/>
      <c r="BO75" s="126"/>
      <c r="BQ75" s="126"/>
      <c r="BR75" s="126"/>
      <c r="BT75" s="126"/>
      <c r="BU75" s="126"/>
      <c r="BW75" s="126"/>
      <c r="BX75" s="126"/>
      <c r="BZ75" s="126"/>
      <c r="CA75" s="126"/>
      <c r="CC75" s="126"/>
      <c r="CD75" s="126"/>
      <c r="CF75" s="126"/>
      <c r="CG75" s="126"/>
    </row>
    <row r="76" spans="1:85" s="197" customFormat="1" x14ac:dyDescent="0.3">
      <c r="A76" s="182" t="s">
        <v>223</v>
      </c>
      <c r="B76" s="183">
        <v>1</v>
      </c>
      <c r="C76" s="184" t="s">
        <v>298</v>
      </c>
      <c r="D76" s="187">
        <v>2.29</v>
      </c>
      <c r="E76" s="187">
        <v>3.93</v>
      </c>
      <c r="F76" s="186">
        <v>0.13</v>
      </c>
      <c r="G76" s="187">
        <f t="shared" ref="G76:G139" si="65">D76*E76*F76*B76</f>
        <v>1.169961</v>
      </c>
      <c r="H76" s="188">
        <f t="shared" si="48"/>
        <v>8.9997000000000007</v>
      </c>
      <c r="I76" s="183">
        <f t="shared" si="50"/>
        <v>8</v>
      </c>
      <c r="J76" s="188">
        <f t="shared" ref="J76:J139" si="66">GETPIVOTDATA($BQ$20,A76)*2</f>
        <v>0.2</v>
      </c>
      <c r="K76" s="183">
        <f t="shared" ref="K76:K139" si="67">(ROUND(E76/J76,0)+1)*GETPIVOTDATA($CF$20,A76)</f>
        <v>21</v>
      </c>
      <c r="L76" s="189">
        <f t="shared" ref="L76:L139" si="68">GETPIVOTDATA($BT$20,A76)</f>
        <v>5.4600000000000003E-2</v>
      </c>
      <c r="M76" s="189">
        <f>0.23*2</f>
        <v>0.46</v>
      </c>
      <c r="N76" s="189">
        <f t="shared" ref="N76:N139" si="69">-(0.02*2)</f>
        <v>-0.04</v>
      </c>
      <c r="O76" s="189">
        <f>2.74*0.3</f>
        <v>0.82200000000000006</v>
      </c>
      <c r="P76" s="188">
        <f t="shared" ref="P76:P88" si="70">+D76+SUM(L76:O76)</f>
        <v>3.5866000000000002</v>
      </c>
      <c r="Q76" s="183">
        <f t="shared" si="51"/>
        <v>8</v>
      </c>
      <c r="R76" s="188">
        <f t="shared" si="52"/>
        <v>0.2</v>
      </c>
      <c r="S76" s="183">
        <f t="shared" si="53"/>
        <v>20</v>
      </c>
      <c r="T76" s="189">
        <f t="shared" si="54"/>
        <v>5.4600000000000003E-2</v>
      </c>
      <c r="U76" s="189">
        <f>0.23*2</f>
        <v>0.46</v>
      </c>
      <c r="V76" s="189">
        <f t="shared" ref="V76:V139" si="71">-(0.02*2)</f>
        <v>-0.04</v>
      </c>
      <c r="W76" s="189">
        <f>2.5*0.3</f>
        <v>0.75</v>
      </c>
      <c r="X76" s="188">
        <f t="shared" si="47"/>
        <v>3.5146000000000002</v>
      </c>
      <c r="Y76" s="183">
        <f t="shared" si="55"/>
        <v>8</v>
      </c>
      <c r="Z76" s="188">
        <f t="shared" si="56"/>
        <v>0.36</v>
      </c>
      <c r="AA76" s="183">
        <f t="shared" si="57"/>
        <v>7</v>
      </c>
      <c r="AB76" s="189">
        <f t="shared" si="58"/>
        <v>5.4600000000000003E-2</v>
      </c>
      <c r="AC76" s="189">
        <f>0.23*2</f>
        <v>0.46</v>
      </c>
      <c r="AD76" s="189">
        <f t="shared" ref="AD76:AD139" si="72">-(0.02*2)</f>
        <v>-0.04</v>
      </c>
      <c r="AE76" s="189">
        <f>2.5*0.3</f>
        <v>0.75</v>
      </c>
      <c r="AF76" s="188">
        <f t="shared" si="49"/>
        <v>5.1546000000000003</v>
      </c>
      <c r="AG76" s="183">
        <f t="shared" si="59"/>
        <v>8</v>
      </c>
      <c r="AH76" s="182">
        <f t="shared" si="60"/>
        <v>0.36</v>
      </c>
      <c r="AI76" s="183">
        <f t="shared" si="61"/>
        <v>6</v>
      </c>
      <c r="AJ76" s="189">
        <f t="shared" si="62"/>
        <v>5.4600000000000003E-2</v>
      </c>
      <c r="AK76" s="189">
        <f>0.23*2</f>
        <v>0.46</v>
      </c>
      <c r="AL76" s="189">
        <f t="shared" ref="AL76:AL139" si="73">-(0.02*2)</f>
        <v>-0.04</v>
      </c>
      <c r="AM76" s="189">
        <f>4.19*0.3</f>
        <v>1.2570000000000001</v>
      </c>
      <c r="AN76" s="188">
        <f t="shared" si="37"/>
        <v>5.6616</v>
      </c>
      <c r="AO76" s="183">
        <v>0</v>
      </c>
      <c r="AP76" s="182">
        <f t="shared" si="63"/>
        <v>10</v>
      </c>
      <c r="AQ76" s="182">
        <v>1.5</v>
      </c>
      <c r="AR76" s="187">
        <f t="shared" ref="AR76:AR139" si="74">IF(I76=8,K76*P76*B76,0)+IF(Q76=8,S76*X76*B76,0)</f>
        <v>145.61060000000001</v>
      </c>
      <c r="AS76" s="187">
        <f t="shared" ref="AS76:AS139" si="75">IF(I76=10,K76*P76*B76,0)+IF(Q76=10,S76*X76*B76,0)</f>
        <v>0</v>
      </c>
      <c r="AT76" s="187">
        <f t="shared" ref="AT76:AT139" si="76">IF(I76=12,K76*P76*B76,0)+IF(Q76=12,S76*X76*B76,0)</f>
        <v>0</v>
      </c>
      <c r="AU76" s="187">
        <f t="shared" ref="AU76:AU139" si="77">IF(AG76=8,AI76*AN76*B76,0)+IF(Y76=8,B76*AA76*AF76,0)</f>
        <v>70.0518</v>
      </c>
      <c r="AV76" s="187">
        <f t="shared" si="64"/>
        <v>0</v>
      </c>
      <c r="AW76" s="187">
        <f t="shared" ref="AW76:AW139" si="78">IF(AG76=12,AI76*AN76*B76,0)+IF(Y76=12,B76*AA76*AF76,0)</f>
        <v>0</v>
      </c>
      <c r="AX76" s="187">
        <f t="shared" ref="AX76:AX139" si="79">AP76*AQ76*B76</f>
        <v>15</v>
      </c>
      <c r="AY76" s="190"/>
      <c r="AZ76" s="240"/>
      <c r="BA76" s="232"/>
      <c r="BF76" s="206"/>
      <c r="BG76" s="206"/>
      <c r="BK76" s="126"/>
      <c r="BL76" s="126"/>
      <c r="BN76" s="126"/>
      <c r="BO76" s="126"/>
      <c r="BQ76" s="126"/>
      <c r="BR76" s="126"/>
      <c r="BT76" s="126"/>
      <c r="BU76" s="126"/>
      <c r="BW76" s="126"/>
      <c r="BX76" s="126"/>
      <c r="BZ76" s="126"/>
      <c r="CA76" s="126"/>
      <c r="CC76" s="126"/>
      <c r="CD76" s="126"/>
      <c r="CF76" s="126"/>
      <c r="CG76" s="126"/>
    </row>
    <row r="77" spans="1:85" s="197" customFormat="1" x14ac:dyDescent="0.3">
      <c r="A77" s="182" t="s">
        <v>223</v>
      </c>
      <c r="B77" s="183">
        <v>1</v>
      </c>
      <c r="C77" s="184" t="s">
        <v>299</v>
      </c>
      <c r="D77" s="187">
        <v>2.5</v>
      </c>
      <c r="E77" s="187">
        <v>3.93</v>
      </c>
      <c r="F77" s="186">
        <v>0.13</v>
      </c>
      <c r="G77" s="187">
        <f t="shared" si="65"/>
        <v>1.2772500000000002</v>
      </c>
      <c r="H77" s="188">
        <f t="shared" si="48"/>
        <v>9.8250000000000011</v>
      </c>
      <c r="I77" s="183">
        <f t="shared" si="50"/>
        <v>8</v>
      </c>
      <c r="J77" s="188">
        <f t="shared" si="66"/>
        <v>0.2</v>
      </c>
      <c r="K77" s="183">
        <f t="shared" si="67"/>
        <v>21</v>
      </c>
      <c r="L77" s="189">
        <f t="shared" si="68"/>
        <v>5.4600000000000003E-2</v>
      </c>
      <c r="M77" s="189">
        <f>0.23*2</f>
        <v>0.46</v>
      </c>
      <c r="N77" s="189">
        <f t="shared" si="69"/>
        <v>-0.04</v>
      </c>
      <c r="O77" s="189">
        <f>2.29*0.3</f>
        <v>0.68699999999999994</v>
      </c>
      <c r="P77" s="188">
        <f t="shared" si="70"/>
        <v>3.6616</v>
      </c>
      <c r="Q77" s="183">
        <f t="shared" si="51"/>
        <v>8</v>
      </c>
      <c r="R77" s="188">
        <f t="shared" si="52"/>
        <v>0.2</v>
      </c>
      <c r="S77" s="183">
        <f t="shared" si="53"/>
        <v>20</v>
      </c>
      <c r="T77" s="189">
        <f t="shared" si="54"/>
        <v>5.4600000000000003E-2</v>
      </c>
      <c r="U77" s="189">
        <f>0.23*2</f>
        <v>0.46</v>
      </c>
      <c r="V77" s="189">
        <f t="shared" si="71"/>
        <v>-0.04</v>
      </c>
      <c r="W77" s="189">
        <f>4.19*0.3</f>
        <v>1.2570000000000001</v>
      </c>
      <c r="X77" s="188">
        <f t="shared" si="47"/>
        <v>4.2316000000000003</v>
      </c>
      <c r="Y77" s="183">
        <f t="shared" si="55"/>
        <v>8</v>
      </c>
      <c r="Z77" s="188">
        <f t="shared" si="56"/>
        <v>0.36</v>
      </c>
      <c r="AA77" s="183">
        <f t="shared" si="57"/>
        <v>8</v>
      </c>
      <c r="AB77" s="189">
        <f t="shared" si="58"/>
        <v>5.4600000000000003E-2</v>
      </c>
      <c r="AC77" s="189">
        <f>0.3+0.23</f>
        <v>0.53</v>
      </c>
      <c r="AD77" s="189">
        <f t="shared" si="72"/>
        <v>-0.04</v>
      </c>
      <c r="AE77" s="189">
        <v>0</v>
      </c>
      <c r="AF77" s="188">
        <f t="shared" si="49"/>
        <v>4.4746000000000006</v>
      </c>
      <c r="AG77" s="183">
        <f t="shared" si="59"/>
        <v>8</v>
      </c>
      <c r="AH77" s="182">
        <f t="shared" si="60"/>
        <v>0.36</v>
      </c>
      <c r="AI77" s="183">
        <f t="shared" si="61"/>
        <v>7</v>
      </c>
      <c r="AJ77" s="189">
        <f t="shared" si="62"/>
        <v>5.4600000000000003E-2</v>
      </c>
      <c r="AK77" s="189">
        <f>0.3+0.23</f>
        <v>0.53</v>
      </c>
      <c r="AL77" s="189">
        <f t="shared" si="73"/>
        <v>-0.04</v>
      </c>
      <c r="AM77" s="189">
        <f>3.05*0.3</f>
        <v>0.91499999999999992</v>
      </c>
      <c r="AN77" s="188">
        <f t="shared" si="37"/>
        <v>5.3895999999999997</v>
      </c>
      <c r="AO77" s="183">
        <v>0</v>
      </c>
      <c r="AP77" s="182">
        <f t="shared" si="63"/>
        <v>10</v>
      </c>
      <c r="AQ77" s="182">
        <v>1.5</v>
      </c>
      <c r="AR77" s="187">
        <f t="shared" si="74"/>
        <v>161.5256</v>
      </c>
      <c r="AS77" s="187">
        <f t="shared" si="75"/>
        <v>0</v>
      </c>
      <c r="AT77" s="187">
        <f t="shared" si="76"/>
        <v>0</v>
      </c>
      <c r="AU77" s="187">
        <f t="shared" si="77"/>
        <v>73.524000000000001</v>
      </c>
      <c r="AV77" s="187">
        <f t="shared" si="64"/>
        <v>0</v>
      </c>
      <c r="AW77" s="187">
        <f t="shared" si="78"/>
        <v>0</v>
      </c>
      <c r="AX77" s="187">
        <f t="shared" si="79"/>
        <v>15</v>
      </c>
      <c r="AY77" s="190"/>
      <c r="AZ77" s="240"/>
      <c r="BA77" s="232"/>
      <c r="BF77" s="206"/>
      <c r="BG77" s="206"/>
      <c r="BK77" s="126"/>
      <c r="BL77" s="126"/>
      <c r="BN77" s="126"/>
      <c r="BO77" s="126"/>
      <c r="BQ77" s="126"/>
      <c r="BR77" s="126"/>
      <c r="BT77" s="126"/>
      <c r="BU77" s="126"/>
      <c r="BW77" s="126"/>
      <c r="BX77" s="126"/>
      <c r="BZ77" s="126"/>
      <c r="CA77" s="126"/>
      <c r="CC77" s="126"/>
      <c r="CD77" s="126"/>
      <c r="CF77" s="126"/>
      <c r="CG77" s="126"/>
    </row>
    <row r="78" spans="1:85" s="197" customFormat="1" x14ac:dyDescent="0.3">
      <c r="A78" s="182" t="s">
        <v>218</v>
      </c>
      <c r="B78" s="183">
        <v>1</v>
      </c>
      <c r="C78" s="184" t="s">
        <v>300</v>
      </c>
      <c r="D78" s="187">
        <v>4.1900000000000004</v>
      </c>
      <c r="E78" s="187">
        <v>1.86</v>
      </c>
      <c r="F78" s="186">
        <v>0.16500000000000001</v>
      </c>
      <c r="G78" s="187">
        <f t="shared" si="65"/>
        <v>1.2859110000000002</v>
      </c>
      <c r="H78" s="188">
        <f t="shared" si="48"/>
        <v>7.793400000000001</v>
      </c>
      <c r="I78" s="183">
        <f t="shared" si="50"/>
        <v>10</v>
      </c>
      <c r="J78" s="188">
        <f t="shared" si="66"/>
        <v>0.2</v>
      </c>
      <c r="K78" s="183">
        <f t="shared" si="67"/>
        <v>10</v>
      </c>
      <c r="L78" s="189">
        <f t="shared" si="68"/>
        <v>6.93E-2</v>
      </c>
      <c r="M78" s="189">
        <f>0.23+0.3</f>
        <v>0.53</v>
      </c>
      <c r="N78" s="189">
        <f t="shared" si="69"/>
        <v>-0.04</v>
      </c>
      <c r="O78" s="189">
        <f>2.5*0.3</f>
        <v>0.75</v>
      </c>
      <c r="P78" s="188">
        <f t="shared" si="70"/>
        <v>5.4992999999999999</v>
      </c>
      <c r="Q78" s="183">
        <f t="shared" si="51"/>
        <v>10</v>
      </c>
      <c r="R78" s="188">
        <f t="shared" si="52"/>
        <v>0.2</v>
      </c>
      <c r="S78" s="183">
        <f t="shared" si="53"/>
        <v>9</v>
      </c>
      <c r="T78" s="189">
        <f t="shared" si="54"/>
        <v>6.93E-2</v>
      </c>
      <c r="U78" s="189">
        <f>0.23+0.3</f>
        <v>0.53</v>
      </c>
      <c r="V78" s="189">
        <f t="shared" si="71"/>
        <v>-0.04</v>
      </c>
      <c r="W78" s="189">
        <f>2.75*0.3</f>
        <v>0.82499999999999996</v>
      </c>
      <c r="X78" s="188">
        <f t="shared" si="47"/>
        <v>5.5743000000000009</v>
      </c>
      <c r="Y78" s="183">
        <f t="shared" si="55"/>
        <v>10</v>
      </c>
      <c r="Z78" s="188">
        <f t="shared" si="56"/>
        <v>0.2</v>
      </c>
      <c r="AA78" s="183">
        <f t="shared" si="57"/>
        <v>22</v>
      </c>
      <c r="AB78" s="189">
        <f t="shared" si="58"/>
        <v>6.93E-2</v>
      </c>
      <c r="AC78" s="189">
        <f>0.23+0.3</f>
        <v>0.53</v>
      </c>
      <c r="AD78" s="189">
        <f t="shared" si="72"/>
        <v>-0.04</v>
      </c>
      <c r="AE78" s="189">
        <f>1.83*0.3</f>
        <v>0.54900000000000004</v>
      </c>
      <c r="AF78" s="188">
        <f t="shared" si="49"/>
        <v>2.9683000000000002</v>
      </c>
      <c r="AG78" s="183">
        <f t="shared" si="59"/>
        <v>10</v>
      </c>
      <c r="AH78" s="182">
        <f t="shared" si="60"/>
        <v>0.2</v>
      </c>
      <c r="AI78" s="183">
        <f t="shared" si="61"/>
        <v>21</v>
      </c>
      <c r="AJ78" s="189">
        <f t="shared" si="62"/>
        <v>6.93E-2</v>
      </c>
      <c r="AK78" s="189">
        <f>0.23+0.3</f>
        <v>0.53</v>
      </c>
      <c r="AL78" s="189">
        <f t="shared" si="73"/>
        <v>-0.04</v>
      </c>
      <c r="AM78" s="189">
        <f>3.1*0.3</f>
        <v>0.92999999999999994</v>
      </c>
      <c r="AN78" s="188">
        <f t="shared" si="37"/>
        <v>3.3493000000000004</v>
      </c>
      <c r="AO78" s="183">
        <v>0</v>
      </c>
      <c r="AP78" s="182">
        <f t="shared" si="63"/>
        <v>8</v>
      </c>
      <c r="AQ78" s="182">
        <v>1.5</v>
      </c>
      <c r="AR78" s="187">
        <f t="shared" si="74"/>
        <v>0</v>
      </c>
      <c r="AS78" s="187">
        <f t="shared" si="75"/>
        <v>105.1617</v>
      </c>
      <c r="AT78" s="187">
        <f t="shared" si="76"/>
        <v>0</v>
      </c>
      <c r="AU78" s="187">
        <f t="shared" si="77"/>
        <v>0</v>
      </c>
      <c r="AV78" s="187">
        <f t="shared" si="64"/>
        <v>135.6379</v>
      </c>
      <c r="AW78" s="187">
        <f t="shared" si="78"/>
        <v>0</v>
      </c>
      <c r="AX78" s="187">
        <f t="shared" si="79"/>
        <v>12</v>
      </c>
      <c r="AY78" s="190"/>
      <c r="AZ78" s="240"/>
      <c r="BA78" s="232"/>
      <c r="BF78" s="206"/>
      <c r="BG78" s="206"/>
      <c r="BK78" s="126"/>
      <c r="BL78" s="126"/>
      <c r="BN78" s="126"/>
      <c r="BO78" s="126"/>
      <c r="BQ78" s="126"/>
      <c r="BR78" s="126"/>
      <c r="BT78" s="126"/>
      <c r="BU78" s="126"/>
      <c r="BW78" s="126"/>
      <c r="BX78" s="126"/>
      <c r="BZ78" s="126"/>
      <c r="CA78" s="126"/>
      <c r="CC78" s="126"/>
      <c r="CD78" s="126"/>
      <c r="CF78" s="126"/>
      <c r="CG78" s="126"/>
    </row>
    <row r="79" spans="1:85" s="197" customFormat="1" x14ac:dyDescent="0.3">
      <c r="A79" s="182" t="s">
        <v>218</v>
      </c>
      <c r="B79" s="183">
        <v>1</v>
      </c>
      <c r="C79" s="184" t="s">
        <v>301</v>
      </c>
      <c r="D79" s="187">
        <v>4.1900000000000004</v>
      </c>
      <c r="E79" s="187">
        <v>1.83</v>
      </c>
      <c r="F79" s="186">
        <v>0.16500000000000001</v>
      </c>
      <c r="G79" s="187">
        <f t="shared" si="65"/>
        <v>1.2651705000000002</v>
      </c>
      <c r="H79" s="188">
        <f t="shared" si="48"/>
        <v>7.6677000000000008</v>
      </c>
      <c r="I79" s="183">
        <f t="shared" si="50"/>
        <v>10</v>
      </c>
      <c r="J79" s="188">
        <f t="shared" si="66"/>
        <v>0.2</v>
      </c>
      <c r="K79" s="183">
        <f t="shared" si="67"/>
        <v>10</v>
      </c>
      <c r="L79" s="189">
        <f t="shared" si="68"/>
        <v>6.93E-2</v>
      </c>
      <c r="M79" s="189">
        <f>0.23+0.3</f>
        <v>0.53</v>
      </c>
      <c r="N79" s="189">
        <f t="shared" si="69"/>
        <v>-0.04</v>
      </c>
      <c r="O79" s="189">
        <f>2.5*0.3</f>
        <v>0.75</v>
      </c>
      <c r="P79" s="188">
        <f t="shared" ref="P79" si="80">+D79+SUM(L79:O79)</f>
        <v>5.4992999999999999</v>
      </c>
      <c r="Q79" s="183">
        <f t="shared" si="51"/>
        <v>10</v>
      </c>
      <c r="R79" s="188">
        <f t="shared" si="52"/>
        <v>0.2</v>
      </c>
      <c r="S79" s="183">
        <f t="shared" si="53"/>
        <v>9</v>
      </c>
      <c r="T79" s="189">
        <f t="shared" si="54"/>
        <v>6.93E-2</v>
      </c>
      <c r="U79" s="189">
        <f>0.23+0.3</f>
        <v>0.53</v>
      </c>
      <c r="V79" s="189">
        <f t="shared" si="71"/>
        <v>-0.04</v>
      </c>
      <c r="W79" s="189">
        <f>2.75*0.3</f>
        <v>0.82499999999999996</v>
      </c>
      <c r="X79" s="188">
        <f t="shared" si="47"/>
        <v>5.5743000000000009</v>
      </c>
      <c r="Y79" s="183">
        <f t="shared" si="55"/>
        <v>10</v>
      </c>
      <c r="Z79" s="188">
        <f t="shared" si="56"/>
        <v>0.2</v>
      </c>
      <c r="AA79" s="183">
        <f t="shared" si="57"/>
        <v>22</v>
      </c>
      <c r="AB79" s="189">
        <f t="shared" si="58"/>
        <v>6.93E-2</v>
      </c>
      <c r="AC79" s="189">
        <f>0.23*2</f>
        <v>0.46</v>
      </c>
      <c r="AD79" s="189">
        <f t="shared" si="72"/>
        <v>-0.04</v>
      </c>
      <c r="AE79" s="189">
        <f>2.64*0.3</f>
        <v>0.79200000000000004</v>
      </c>
      <c r="AF79" s="188">
        <f t="shared" si="49"/>
        <v>3.1113</v>
      </c>
      <c r="AG79" s="183">
        <f t="shared" si="59"/>
        <v>10</v>
      </c>
      <c r="AH79" s="182">
        <f t="shared" si="60"/>
        <v>0.2</v>
      </c>
      <c r="AI79" s="183">
        <f t="shared" si="61"/>
        <v>21</v>
      </c>
      <c r="AJ79" s="189">
        <f t="shared" si="62"/>
        <v>6.93E-2</v>
      </c>
      <c r="AK79" s="189">
        <f>0.23*2</f>
        <v>0.46</v>
      </c>
      <c r="AL79" s="189">
        <f t="shared" si="73"/>
        <v>-0.04</v>
      </c>
      <c r="AM79" s="189">
        <f>1.86*0.3</f>
        <v>0.55800000000000005</v>
      </c>
      <c r="AN79" s="188">
        <f t="shared" si="37"/>
        <v>2.8773</v>
      </c>
      <c r="AO79" s="183">
        <v>0</v>
      </c>
      <c r="AP79" s="182">
        <f t="shared" si="63"/>
        <v>8</v>
      </c>
      <c r="AQ79" s="182">
        <v>1.5</v>
      </c>
      <c r="AR79" s="187">
        <f t="shared" si="74"/>
        <v>0</v>
      </c>
      <c r="AS79" s="187">
        <f t="shared" si="75"/>
        <v>105.1617</v>
      </c>
      <c r="AT79" s="187">
        <f t="shared" si="76"/>
        <v>0</v>
      </c>
      <c r="AU79" s="187">
        <f t="shared" si="77"/>
        <v>0</v>
      </c>
      <c r="AV79" s="187">
        <f t="shared" si="64"/>
        <v>128.87189999999998</v>
      </c>
      <c r="AW79" s="187">
        <f t="shared" si="78"/>
        <v>0</v>
      </c>
      <c r="AX79" s="187">
        <f t="shared" si="79"/>
        <v>12</v>
      </c>
      <c r="AY79" s="190"/>
      <c r="AZ79" s="240"/>
      <c r="BA79" s="232"/>
      <c r="BF79" s="206"/>
      <c r="BG79" s="206"/>
      <c r="BK79" s="126"/>
      <c r="BL79" s="126"/>
      <c r="BN79" s="126"/>
      <c r="BO79" s="126"/>
      <c r="BQ79" s="126"/>
      <c r="BR79" s="126"/>
      <c r="BT79" s="126"/>
      <c r="BU79" s="126"/>
      <c r="BW79" s="126"/>
      <c r="BX79" s="126"/>
      <c r="BZ79" s="126"/>
      <c r="CA79" s="126"/>
      <c r="CC79" s="126"/>
      <c r="CD79" s="126"/>
      <c r="CF79" s="126"/>
      <c r="CG79" s="126"/>
    </row>
    <row r="80" spans="1:85" s="197" customFormat="1" x14ac:dyDescent="0.3">
      <c r="A80" s="182" t="s">
        <v>232</v>
      </c>
      <c r="B80" s="183">
        <v>1</v>
      </c>
      <c r="C80" s="184" t="s">
        <v>302</v>
      </c>
      <c r="D80" s="187">
        <v>2.75</v>
      </c>
      <c r="E80" s="187">
        <v>2.27</v>
      </c>
      <c r="F80" s="186">
        <v>0.13</v>
      </c>
      <c r="G80" s="187">
        <f t="shared" si="65"/>
        <v>0.81152499999999994</v>
      </c>
      <c r="H80" s="188">
        <f t="shared" si="48"/>
        <v>6.2424999999999997</v>
      </c>
      <c r="I80" s="183">
        <f t="shared" si="50"/>
        <v>8</v>
      </c>
      <c r="J80" s="188">
        <f t="shared" si="66"/>
        <v>0.2</v>
      </c>
      <c r="K80" s="183">
        <f t="shared" si="67"/>
        <v>12</v>
      </c>
      <c r="L80" s="189">
        <f t="shared" si="68"/>
        <v>5.4600000000000003E-2</v>
      </c>
      <c r="M80" s="189">
        <f t="shared" si="38"/>
        <v>0.6</v>
      </c>
      <c r="N80" s="189">
        <f t="shared" si="69"/>
        <v>-0.04</v>
      </c>
      <c r="O80" s="189">
        <f>4.19*0.3</f>
        <v>1.2570000000000001</v>
      </c>
      <c r="P80" s="188">
        <f t="shared" si="70"/>
        <v>4.6215999999999999</v>
      </c>
      <c r="Q80" s="183">
        <f t="shared" si="51"/>
        <v>8</v>
      </c>
      <c r="R80" s="188">
        <f t="shared" si="52"/>
        <v>0.2</v>
      </c>
      <c r="S80" s="183">
        <f t="shared" si="53"/>
        <v>11</v>
      </c>
      <c r="T80" s="189">
        <f t="shared" si="54"/>
        <v>5.4600000000000003E-2</v>
      </c>
      <c r="U80" s="189">
        <f t="shared" si="39"/>
        <v>0.6</v>
      </c>
      <c r="V80" s="189">
        <f t="shared" si="71"/>
        <v>-0.04</v>
      </c>
      <c r="W80" s="189">
        <f>1.9*0.3</f>
        <v>0.56999999999999995</v>
      </c>
      <c r="X80" s="188">
        <f t="shared" si="47"/>
        <v>3.9345999999999997</v>
      </c>
      <c r="Y80" s="183">
        <f t="shared" si="55"/>
        <v>8</v>
      </c>
      <c r="Z80" s="188">
        <f t="shared" si="56"/>
        <v>0.24</v>
      </c>
      <c r="AA80" s="183">
        <f t="shared" si="57"/>
        <v>12</v>
      </c>
      <c r="AB80" s="189">
        <f t="shared" si="58"/>
        <v>5.4600000000000003E-2</v>
      </c>
      <c r="AC80" s="189">
        <f>0.3+0.23</f>
        <v>0.53</v>
      </c>
      <c r="AD80" s="189">
        <f t="shared" si="72"/>
        <v>-0.04</v>
      </c>
      <c r="AE80" s="189">
        <f>2.09*0.3</f>
        <v>0.62699999999999989</v>
      </c>
      <c r="AF80" s="188">
        <f t="shared" si="49"/>
        <v>3.4415999999999998</v>
      </c>
      <c r="AG80" s="183">
        <f t="shared" si="59"/>
        <v>8</v>
      </c>
      <c r="AH80" s="182">
        <f t="shared" si="60"/>
        <v>0.24</v>
      </c>
      <c r="AI80" s="183">
        <f t="shared" si="61"/>
        <v>11</v>
      </c>
      <c r="AJ80" s="189">
        <f t="shared" si="62"/>
        <v>5.4600000000000003E-2</v>
      </c>
      <c r="AK80" s="189">
        <f>0.3+0.23</f>
        <v>0.53</v>
      </c>
      <c r="AL80" s="189">
        <f t="shared" si="73"/>
        <v>-0.04</v>
      </c>
      <c r="AM80" s="189">
        <f>3.35*0.3</f>
        <v>1.0049999999999999</v>
      </c>
      <c r="AN80" s="188">
        <f t="shared" ref="AN80:AN90" si="81">+E80+SUM(AJ80:AM80)</f>
        <v>3.8195999999999999</v>
      </c>
      <c r="AO80" s="183">
        <v>0</v>
      </c>
      <c r="AP80" s="182">
        <f t="shared" si="63"/>
        <v>8</v>
      </c>
      <c r="AQ80" s="182">
        <v>1.5</v>
      </c>
      <c r="AR80" s="187">
        <f t="shared" si="74"/>
        <v>98.739799999999988</v>
      </c>
      <c r="AS80" s="187">
        <f t="shared" si="75"/>
        <v>0</v>
      </c>
      <c r="AT80" s="187">
        <f t="shared" si="76"/>
        <v>0</v>
      </c>
      <c r="AU80" s="187">
        <f t="shared" si="77"/>
        <v>83.314799999999991</v>
      </c>
      <c r="AV80" s="187">
        <f t="shared" si="64"/>
        <v>0</v>
      </c>
      <c r="AW80" s="187">
        <f t="shared" si="78"/>
        <v>0</v>
      </c>
      <c r="AX80" s="187">
        <f t="shared" si="79"/>
        <v>12</v>
      </c>
      <c r="AY80" s="190"/>
      <c r="AZ80" s="240"/>
      <c r="BA80" s="232"/>
      <c r="BF80" s="206"/>
      <c r="BG80" s="206"/>
      <c r="BK80" s="126"/>
      <c r="BL80" s="126"/>
      <c r="BN80" s="126"/>
      <c r="BO80" s="126"/>
      <c r="BQ80" s="126"/>
      <c r="BR80" s="126"/>
      <c r="BT80" s="126"/>
      <c r="BU80" s="126"/>
      <c r="BW80" s="126"/>
      <c r="BX80" s="126"/>
      <c r="BZ80" s="126"/>
      <c r="CA80" s="126"/>
      <c r="CC80" s="126"/>
      <c r="CD80" s="126"/>
      <c r="CF80" s="126"/>
      <c r="CG80" s="126"/>
    </row>
    <row r="81" spans="1:85" s="197" customFormat="1" x14ac:dyDescent="0.3">
      <c r="A81" s="182" t="s">
        <v>239</v>
      </c>
      <c r="B81" s="183">
        <v>1</v>
      </c>
      <c r="C81" s="184" t="s">
        <v>303</v>
      </c>
      <c r="D81" s="187">
        <v>2.79</v>
      </c>
      <c r="E81" s="187">
        <v>2.09</v>
      </c>
      <c r="F81" s="186">
        <v>0.125</v>
      </c>
      <c r="G81" s="187">
        <f t="shared" si="65"/>
        <v>0.72888749999999991</v>
      </c>
      <c r="H81" s="188">
        <f t="shared" si="48"/>
        <v>5.8310999999999993</v>
      </c>
      <c r="I81" s="183">
        <f t="shared" si="50"/>
        <v>8</v>
      </c>
      <c r="J81" s="188">
        <f t="shared" si="66"/>
        <v>0.23</v>
      </c>
      <c r="K81" s="183">
        <f t="shared" si="67"/>
        <v>10</v>
      </c>
      <c r="L81" s="189">
        <f t="shared" si="68"/>
        <v>5.2499999999999998E-2</v>
      </c>
      <c r="M81" s="189">
        <f>0.3+0.23</f>
        <v>0.53</v>
      </c>
      <c r="N81" s="189">
        <f t="shared" si="69"/>
        <v>-0.04</v>
      </c>
      <c r="O81" s="189">
        <f>4.19*0.3</f>
        <v>1.2570000000000001</v>
      </c>
      <c r="P81" s="188">
        <f t="shared" si="70"/>
        <v>4.5895000000000001</v>
      </c>
      <c r="Q81" s="183">
        <f t="shared" si="51"/>
        <v>8</v>
      </c>
      <c r="R81" s="188">
        <f t="shared" si="52"/>
        <v>0.23</v>
      </c>
      <c r="S81" s="183">
        <f t="shared" si="53"/>
        <v>9</v>
      </c>
      <c r="T81" s="189">
        <f t="shared" si="54"/>
        <v>5.2499999999999998E-2</v>
      </c>
      <c r="U81" s="189">
        <f>0.3+0.23</f>
        <v>0.53</v>
      </c>
      <c r="V81" s="189">
        <f t="shared" si="71"/>
        <v>-0.04</v>
      </c>
      <c r="W81" s="189">
        <f>2.215*0.3</f>
        <v>0.66449999999999998</v>
      </c>
      <c r="X81" s="188">
        <f t="shared" si="47"/>
        <v>3.9969999999999999</v>
      </c>
      <c r="Y81" s="183">
        <f t="shared" si="55"/>
        <v>8</v>
      </c>
      <c r="Z81" s="188">
        <f t="shared" si="56"/>
        <v>0.3</v>
      </c>
      <c r="AA81" s="183">
        <f t="shared" si="57"/>
        <v>10</v>
      </c>
      <c r="AB81" s="189">
        <f t="shared" si="58"/>
        <v>5.2499999999999998E-2</v>
      </c>
      <c r="AC81" s="189">
        <f>0.23*2</f>
        <v>0.46</v>
      </c>
      <c r="AD81" s="189">
        <f t="shared" si="72"/>
        <v>-0.04</v>
      </c>
      <c r="AE81" s="189">
        <f>1.72*0.3</f>
        <v>0.51600000000000001</v>
      </c>
      <c r="AF81" s="188">
        <f t="shared" si="49"/>
        <v>3.0785</v>
      </c>
      <c r="AG81" s="183">
        <f t="shared" si="59"/>
        <v>8</v>
      </c>
      <c r="AH81" s="182">
        <f t="shared" si="60"/>
        <v>0.3</v>
      </c>
      <c r="AI81" s="183">
        <f t="shared" si="61"/>
        <v>9</v>
      </c>
      <c r="AJ81" s="189">
        <f t="shared" si="62"/>
        <v>5.2499999999999998E-2</v>
      </c>
      <c r="AK81" s="189">
        <f>0.23*2</f>
        <v>0.46</v>
      </c>
      <c r="AL81" s="189">
        <f t="shared" si="73"/>
        <v>-0.04</v>
      </c>
      <c r="AM81" s="189">
        <f>2.27*0.3</f>
        <v>0.68099999999999994</v>
      </c>
      <c r="AN81" s="188">
        <f t="shared" si="81"/>
        <v>3.2435</v>
      </c>
      <c r="AO81" s="183">
        <v>0</v>
      </c>
      <c r="AP81" s="182">
        <f t="shared" si="63"/>
        <v>6</v>
      </c>
      <c r="AQ81" s="182">
        <v>1.5</v>
      </c>
      <c r="AR81" s="187">
        <f t="shared" si="74"/>
        <v>81.867999999999995</v>
      </c>
      <c r="AS81" s="187">
        <f t="shared" si="75"/>
        <v>0</v>
      </c>
      <c r="AT81" s="187">
        <f t="shared" si="76"/>
        <v>0</v>
      </c>
      <c r="AU81" s="187">
        <f t="shared" si="77"/>
        <v>59.976500000000001</v>
      </c>
      <c r="AV81" s="187">
        <f t="shared" si="64"/>
        <v>0</v>
      </c>
      <c r="AW81" s="187">
        <f t="shared" si="78"/>
        <v>0</v>
      </c>
      <c r="AX81" s="187">
        <f t="shared" si="79"/>
        <v>9</v>
      </c>
      <c r="AY81" s="190"/>
      <c r="AZ81" s="240"/>
      <c r="BA81" s="232"/>
      <c r="BF81" s="206"/>
      <c r="BG81" s="206"/>
      <c r="BK81" s="126"/>
      <c r="BL81" s="126"/>
      <c r="BN81" s="126"/>
      <c r="BO81" s="126"/>
      <c r="BQ81" s="126"/>
      <c r="BR81" s="126"/>
      <c r="BT81" s="126"/>
      <c r="BU81" s="126"/>
      <c r="BW81" s="126"/>
      <c r="BX81" s="126"/>
      <c r="BZ81" s="126"/>
      <c r="CA81" s="126"/>
      <c r="CC81" s="126"/>
      <c r="CD81" s="126"/>
      <c r="CF81" s="126"/>
      <c r="CG81" s="126"/>
    </row>
    <row r="82" spans="1:85" s="197" customFormat="1" x14ac:dyDescent="0.3">
      <c r="A82" s="182" t="s">
        <v>223</v>
      </c>
      <c r="B82" s="183">
        <v>1</v>
      </c>
      <c r="C82" s="184" t="s">
        <v>304</v>
      </c>
      <c r="D82" s="187">
        <v>2.2149999999999999</v>
      </c>
      <c r="E82" s="187">
        <v>4.4320000000000004</v>
      </c>
      <c r="F82" s="186">
        <v>0.13</v>
      </c>
      <c r="G82" s="187">
        <f t="shared" si="65"/>
        <v>1.2761944000000001</v>
      </c>
      <c r="H82" s="188">
        <f t="shared" si="48"/>
        <v>9.8168799999999994</v>
      </c>
      <c r="I82" s="183">
        <f t="shared" si="50"/>
        <v>8</v>
      </c>
      <c r="J82" s="188">
        <f t="shared" si="66"/>
        <v>0.2</v>
      </c>
      <c r="K82" s="183">
        <f t="shared" si="67"/>
        <v>23</v>
      </c>
      <c r="L82" s="189">
        <f t="shared" si="68"/>
        <v>5.4600000000000003E-2</v>
      </c>
      <c r="M82" s="189">
        <f t="shared" si="38"/>
        <v>0.6</v>
      </c>
      <c r="N82" s="189">
        <f t="shared" si="69"/>
        <v>-0.04</v>
      </c>
      <c r="O82" s="189">
        <f>2.75*0.3</f>
        <v>0.82499999999999996</v>
      </c>
      <c r="P82" s="188">
        <f t="shared" si="70"/>
        <v>3.6545999999999998</v>
      </c>
      <c r="Q82" s="183">
        <f t="shared" si="51"/>
        <v>8</v>
      </c>
      <c r="R82" s="188">
        <f t="shared" si="52"/>
        <v>0.2</v>
      </c>
      <c r="S82" s="183">
        <f t="shared" si="53"/>
        <v>22</v>
      </c>
      <c r="T82" s="189">
        <f t="shared" si="54"/>
        <v>5.4600000000000003E-2</v>
      </c>
      <c r="U82" s="189">
        <f t="shared" si="39"/>
        <v>0.6</v>
      </c>
      <c r="V82" s="189">
        <f t="shared" si="71"/>
        <v>-0.04</v>
      </c>
      <c r="W82" s="189">
        <f>1.9*0.3</f>
        <v>0.56999999999999995</v>
      </c>
      <c r="X82" s="188">
        <f t="shared" si="47"/>
        <v>3.3995999999999995</v>
      </c>
      <c r="Y82" s="183">
        <f t="shared" si="55"/>
        <v>8</v>
      </c>
      <c r="Z82" s="188">
        <f t="shared" si="56"/>
        <v>0.36</v>
      </c>
      <c r="AA82" s="183">
        <f t="shared" si="57"/>
        <v>7</v>
      </c>
      <c r="AB82" s="189">
        <f t="shared" si="58"/>
        <v>5.4600000000000003E-2</v>
      </c>
      <c r="AC82" s="189">
        <f>0.3+0.23</f>
        <v>0.53</v>
      </c>
      <c r="AD82" s="189">
        <f t="shared" si="72"/>
        <v>-0.04</v>
      </c>
      <c r="AE82" s="189">
        <f>2.895*0.3</f>
        <v>0.86849999999999994</v>
      </c>
      <c r="AF82" s="188">
        <f t="shared" si="49"/>
        <v>5.8451000000000004</v>
      </c>
      <c r="AG82" s="183">
        <f t="shared" si="59"/>
        <v>8</v>
      </c>
      <c r="AH82" s="182">
        <f t="shared" si="60"/>
        <v>0.36</v>
      </c>
      <c r="AI82" s="183">
        <f t="shared" si="61"/>
        <v>6</v>
      </c>
      <c r="AJ82" s="189">
        <f t="shared" si="62"/>
        <v>5.4600000000000003E-2</v>
      </c>
      <c r="AK82" s="189">
        <f>0.3+0.23</f>
        <v>0.53</v>
      </c>
      <c r="AL82" s="189">
        <f t="shared" si="73"/>
        <v>-0.04</v>
      </c>
      <c r="AM82" s="189">
        <f>3.465*0.3</f>
        <v>1.0394999999999999</v>
      </c>
      <c r="AN82" s="188">
        <f t="shared" si="81"/>
        <v>6.0160999999999998</v>
      </c>
      <c r="AO82" s="183">
        <v>0</v>
      </c>
      <c r="AP82" s="182">
        <f t="shared" si="63"/>
        <v>8</v>
      </c>
      <c r="AQ82" s="182">
        <v>1.5</v>
      </c>
      <c r="AR82" s="187">
        <f t="shared" si="74"/>
        <v>158.84699999999998</v>
      </c>
      <c r="AS82" s="187">
        <f t="shared" si="75"/>
        <v>0</v>
      </c>
      <c r="AT82" s="187">
        <f t="shared" si="76"/>
        <v>0</v>
      </c>
      <c r="AU82" s="187">
        <f t="shared" si="77"/>
        <v>77.012299999999996</v>
      </c>
      <c r="AV82" s="187">
        <f t="shared" si="64"/>
        <v>0</v>
      </c>
      <c r="AW82" s="187">
        <f t="shared" si="78"/>
        <v>0</v>
      </c>
      <c r="AX82" s="187">
        <f t="shared" si="79"/>
        <v>12</v>
      </c>
      <c r="AY82" s="190"/>
      <c r="AZ82" s="240"/>
      <c r="BA82" s="232"/>
      <c r="BF82" s="206"/>
      <c r="BG82" s="206"/>
      <c r="BK82" s="126"/>
      <c r="BL82" s="126"/>
      <c r="BN82" s="126"/>
      <c r="BO82" s="126"/>
      <c r="BQ82" s="126"/>
      <c r="BR82" s="126"/>
      <c r="BT82" s="126"/>
      <c r="BU82" s="126"/>
      <c r="BW82" s="126"/>
      <c r="BX82" s="126"/>
      <c r="BZ82" s="126"/>
      <c r="CA82" s="126"/>
      <c r="CC82" s="126"/>
      <c r="CD82" s="126"/>
      <c r="CF82" s="126"/>
      <c r="CG82" s="126"/>
    </row>
    <row r="83" spans="1:85" s="197" customFormat="1" x14ac:dyDescent="0.3">
      <c r="A83" s="182" t="s">
        <v>227</v>
      </c>
      <c r="B83" s="183">
        <v>1</v>
      </c>
      <c r="C83" s="184" t="s">
        <v>305</v>
      </c>
      <c r="D83" s="187">
        <v>1.9</v>
      </c>
      <c r="E83" s="187">
        <v>4.42</v>
      </c>
      <c r="F83" s="186">
        <v>0.125</v>
      </c>
      <c r="G83" s="187">
        <f t="shared" si="65"/>
        <v>1.04975</v>
      </c>
      <c r="H83" s="188">
        <f t="shared" si="48"/>
        <v>8.3979999999999997</v>
      </c>
      <c r="I83" s="183">
        <f t="shared" si="50"/>
        <v>8</v>
      </c>
      <c r="J83" s="188">
        <f t="shared" si="66"/>
        <v>0.2</v>
      </c>
      <c r="K83" s="183">
        <f t="shared" si="67"/>
        <v>23</v>
      </c>
      <c r="L83" s="189">
        <f t="shared" si="68"/>
        <v>5.2499999999999998E-2</v>
      </c>
      <c r="M83" s="189">
        <f t="shared" si="38"/>
        <v>0.6</v>
      </c>
      <c r="N83" s="189">
        <f t="shared" si="69"/>
        <v>-0.04</v>
      </c>
      <c r="O83" s="189">
        <f>2.215*0.3</f>
        <v>0.66449999999999998</v>
      </c>
      <c r="P83" s="188">
        <f t="shared" si="70"/>
        <v>3.1769999999999996</v>
      </c>
      <c r="Q83" s="183">
        <f t="shared" si="51"/>
        <v>8</v>
      </c>
      <c r="R83" s="188">
        <f t="shared" si="52"/>
        <v>0.2</v>
      </c>
      <c r="S83" s="183">
        <f t="shared" si="53"/>
        <v>22</v>
      </c>
      <c r="T83" s="189">
        <f t="shared" si="54"/>
        <v>5.2499999999999998E-2</v>
      </c>
      <c r="U83" s="189">
        <f t="shared" si="39"/>
        <v>0.6</v>
      </c>
      <c r="V83" s="189">
        <f t="shared" si="71"/>
        <v>-0.04</v>
      </c>
      <c r="W83" s="189">
        <f>4.87*0.3</f>
        <v>1.4610000000000001</v>
      </c>
      <c r="X83" s="188">
        <f t="shared" si="47"/>
        <v>3.9735</v>
      </c>
      <c r="Y83" s="183">
        <f t="shared" si="55"/>
        <v>8</v>
      </c>
      <c r="Z83" s="188">
        <f t="shared" si="56"/>
        <v>0.2</v>
      </c>
      <c r="AA83" s="183">
        <f t="shared" si="57"/>
        <v>11</v>
      </c>
      <c r="AB83" s="189">
        <f t="shared" si="58"/>
        <v>5.2499999999999998E-2</v>
      </c>
      <c r="AC83" s="189">
        <f t="shared" si="42"/>
        <v>0.6</v>
      </c>
      <c r="AD83" s="189">
        <f t="shared" si="72"/>
        <v>-0.04</v>
      </c>
      <c r="AE83" s="189">
        <f>2.895*0.3</f>
        <v>0.86849999999999994</v>
      </c>
      <c r="AF83" s="188">
        <f t="shared" si="49"/>
        <v>5.9009999999999998</v>
      </c>
      <c r="AG83" s="183">
        <f t="shared" si="59"/>
        <v>8</v>
      </c>
      <c r="AH83" s="182">
        <f t="shared" si="60"/>
        <v>0.2</v>
      </c>
      <c r="AI83" s="183">
        <f t="shared" si="61"/>
        <v>10</v>
      </c>
      <c r="AJ83" s="189">
        <f t="shared" si="62"/>
        <v>5.2499999999999998E-2</v>
      </c>
      <c r="AK83" s="189">
        <f t="shared" si="43"/>
        <v>0.6</v>
      </c>
      <c r="AL83" s="189">
        <f t="shared" si="73"/>
        <v>-0.04</v>
      </c>
      <c r="AM83" s="189">
        <f>3.465*0.3</f>
        <v>1.0394999999999999</v>
      </c>
      <c r="AN83" s="188">
        <f t="shared" si="81"/>
        <v>6.0719999999999992</v>
      </c>
      <c r="AO83" s="183">
        <v>0</v>
      </c>
      <c r="AP83" s="182">
        <f t="shared" si="63"/>
        <v>8</v>
      </c>
      <c r="AQ83" s="182">
        <v>1.5</v>
      </c>
      <c r="AR83" s="187">
        <f t="shared" si="74"/>
        <v>160.488</v>
      </c>
      <c r="AS83" s="187">
        <f t="shared" si="75"/>
        <v>0</v>
      </c>
      <c r="AT83" s="187">
        <f t="shared" si="76"/>
        <v>0</v>
      </c>
      <c r="AU83" s="187">
        <f t="shared" si="77"/>
        <v>125.631</v>
      </c>
      <c r="AV83" s="187">
        <f t="shared" si="64"/>
        <v>0</v>
      </c>
      <c r="AW83" s="187">
        <f t="shared" si="78"/>
        <v>0</v>
      </c>
      <c r="AX83" s="187">
        <f t="shared" si="79"/>
        <v>12</v>
      </c>
      <c r="AY83" s="190"/>
      <c r="AZ83" s="240"/>
      <c r="BA83" s="232"/>
      <c r="BF83" s="206"/>
      <c r="BG83" s="206"/>
      <c r="BK83" s="126"/>
      <c r="BL83" s="126"/>
      <c r="BN83" s="126"/>
      <c r="BO83" s="126"/>
      <c r="BQ83" s="126"/>
      <c r="BR83" s="126"/>
      <c r="BT83" s="126"/>
      <c r="BU83" s="126"/>
      <c r="BW83" s="126"/>
      <c r="BX83" s="126"/>
      <c r="BZ83" s="126"/>
      <c r="CA83" s="126"/>
      <c r="CC83" s="126"/>
      <c r="CD83" s="126"/>
      <c r="CF83" s="126"/>
      <c r="CG83" s="126"/>
    </row>
    <row r="84" spans="1:85" s="197" customFormat="1" x14ac:dyDescent="0.3">
      <c r="A84" s="182" t="s">
        <v>259</v>
      </c>
      <c r="B84" s="183">
        <v>1</v>
      </c>
      <c r="C84" s="184" t="s">
        <v>306</v>
      </c>
      <c r="D84" s="187">
        <v>4.87</v>
      </c>
      <c r="E84" s="187">
        <v>4.42</v>
      </c>
      <c r="F84" s="186">
        <v>0.17499999999999999</v>
      </c>
      <c r="G84" s="187">
        <f t="shared" si="65"/>
        <v>3.7669449999999998</v>
      </c>
      <c r="H84" s="188">
        <f t="shared" si="48"/>
        <v>21.525400000000001</v>
      </c>
      <c r="I84" s="183">
        <f t="shared" si="50"/>
        <v>10</v>
      </c>
      <c r="J84" s="188">
        <f t="shared" si="66"/>
        <v>1.5</v>
      </c>
      <c r="K84" s="183">
        <f t="shared" si="67"/>
        <v>4</v>
      </c>
      <c r="L84" s="189">
        <f t="shared" si="68"/>
        <v>7.3499999999999996E-2</v>
      </c>
      <c r="M84" s="189">
        <f t="shared" si="38"/>
        <v>0.6</v>
      </c>
      <c r="N84" s="189">
        <f t="shared" si="69"/>
        <v>-0.04</v>
      </c>
      <c r="O84" s="189">
        <f>1.9*0.3</f>
        <v>0.56999999999999995</v>
      </c>
      <c r="P84" s="188">
        <f t="shared" si="70"/>
        <v>6.0735000000000001</v>
      </c>
      <c r="Q84" s="183">
        <f t="shared" si="51"/>
        <v>10</v>
      </c>
      <c r="R84" s="188">
        <f t="shared" si="52"/>
        <v>1.5</v>
      </c>
      <c r="S84" s="183">
        <f t="shared" si="53"/>
        <v>3</v>
      </c>
      <c r="T84" s="189">
        <f t="shared" si="54"/>
        <v>7.3499999999999996E-2</v>
      </c>
      <c r="U84" s="189">
        <f t="shared" si="39"/>
        <v>0.6</v>
      </c>
      <c r="V84" s="189">
        <f t="shared" si="71"/>
        <v>-0.04</v>
      </c>
      <c r="W84" s="189">
        <f>4.315*0.3</f>
        <v>1.2945</v>
      </c>
      <c r="X84" s="188">
        <f t="shared" si="47"/>
        <v>6.798</v>
      </c>
      <c r="Y84" s="183">
        <f t="shared" si="55"/>
        <v>10</v>
      </c>
      <c r="Z84" s="188">
        <f t="shared" si="56"/>
        <v>0.17</v>
      </c>
      <c r="AA84" s="183">
        <f t="shared" si="57"/>
        <v>30</v>
      </c>
      <c r="AB84" s="189">
        <f t="shared" si="58"/>
        <v>7.3499999999999996E-2</v>
      </c>
      <c r="AC84" s="189">
        <f>0.3+0.34</f>
        <v>0.64</v>
      </c>
      <c r="AD84" s="189">
        <f t="shared" si="72"/>
        <v>-0.04</v>
      </c>
      <c r="AE84" s="189">
        <f>2.745*0.3</f>
        <v>0.82350000000000001</v>
      </c>
      <c r="AF84" s="188">
        <f t="shared" si="49"/>
        <v>5.9169999999999998</v>
      </c>
      <c r="AG84" s="183">
        <f t="shared" si="59"/>
        <v>10</v>
      </c>
      <c r="AH84" s="182">
        <f t="shared" si="60"/>
        <v>0.17</v>
      </c>
      <c r="AI84" s="183">
        <f t="shared" si="61"/>
        <v>29</v>
      </c>
      <c r="AJ84" s="189">
        <f t="shared" si="62"/>
        <v>7.3499999999999996E-2</v>
      </c>
      <c r="AK84" s="189">
        <f>0.3+0.34</f>
        <v>0.64</v>
      </c>
      <c r="AL84" s="189">
        <f t="shared" si="73"/>
        <v>-0.04</v>
      </c>
      <c r="AM84" s="189">
        <f>3.75*0.3</f>
        <v>1.125</v>
      </c>
      <c r="AN84" s="188">
        <f t="shared" si="81"/>
        <v>6.2184999999999997</v>
      </c>
      <c r="AO84" s="183">
        <v>0</v>
      </c>
      <c r="AP84" s="182">
        <f t="shared" si="63"/>
        <v>12</v>
      </c>
      <c r="AQ84" s="182">
        <v>1.5</v>
      </c>
      <c r="AR84" s="187">
        <f t="shared" si="74"/>
        <v>0</v>
      </c>
      <c r="AS84" s="187">
        <f t="shared" si="75"/>
        <v>44.688000000000002</v>
      </c>
      <c r="AT84" s="187">
        <f t="shared" si="76"/>
        <v>0</v>
      </c>
      <c r="AU84" s="187">
        <f t="shared" si="77"/>
        <v>0</v>
      </c>
      <c r="AV84" s="187">
        <f t="shared" si="64"/>
        <v>357.84649999999999</v>
      </c>
      <c r="AW84" s="187">
        <f t="shared" si="78"/>
        <v>0</v>
      </c>
      <c r="AX84" s="187">
        <f t="shared" si="79"/>
        <v>18</v>
      </c>
      <c r="AY84" s="190"/>
      <c r="AZ84" s="240"/>
      <c r="BA84" s="232"/>
      <c r="BF84" s="206"/>
      <c r="BG84" s="206"/>
      <c r="BK84" s="126"/>
      <c r="BL84" s="126"/>
      <c r="BN84" s="126"/>
      <c r="BO84" s="126"/>
      <c r="BQ84" s="126"/>
      <c r="BR84" s="126"/>
      <c r="BT84" s="126"/>
      <c r="BU84" s="126"/>
      <c r="BW84" s="126"/>
      <c r="BX84" s="126"/>
      <c r="BZ84" s="126"/>
      <c r="CA84" s="126"/>
      <c r="CC84" s="126"/>
      <c r="CD84" s="126"/>
      <c r="CF84" s="126"/>
      <c r="CG84" s="126"/>
    </row>
    <row r="85" spans="1:85" s="197" customFormat="1" x14ac:dyDescent="0.3">
      <c r="A85" s="182" t="s">
        <v>243</v>
      </c>
      <c r="B85" s="183">
        <v>1</v>
      </c>
      <c r="C85" s="184" t="s">
        <v>307</v>
      </c>
      <c r="D85" s="187">
        <v>4.3150000000000004</v>
      </c>
      <c r="E85" s="187">
        <v>3.74</v>
      </c>
      <c r="F85" s="186">
        <v>0.15</v>
      </c>
      <c r="G85" s="187">
        <f t="shared" si="65"/>
        <v>2.420715</v>
      </c>
      <c r="H85" s="188">
        <f t="shared" si="48"/>
        <v>16.138100000000001</v>
      </c>
      <c r="I85" s="183">
        <f t="shared" si="50"/>
        <v>10</v>
      </c>
      <c r="J85" s="188">
        <f t="shared" si="66"/>
        <v>0.2</v>
      </c>
      <c r="K85" s="183">
        <f t="shared" si="67"/>
        <v>20</v>
      </c>
      <c r="L85" s="189">
        <f t="shared" si="68"/>
        <v>6.3E-2</v>
      </c>
      <c r="M85" s="189">
        <f>0.3+0.38</f>
        <v>0.67999999999999994</v>
      </c>
      <c r="N85" s="189">
        <f t="shared" si="69"/>
        <v>-0.04</v>
      </c>
      <c r="O85" s="189">
        <f>4.87*0.3</f>
        <v>1.4610000000000001</v>
      </c>
      <c r="P85" s="188">
        <f t="shared" si="70"/>
        <v>6.4790000000000001</v>
      </c>
      <c r="Q85" s="183">
        <f t="shared" si="51"/>
        <v>10</v>
      </c>
      <c r="R85" s="188">
        <f t="shared" si="52"/>
        <v>0.2</v>
      </c>
      <c r="S85" s="183">
        <f t="shared" si="53"/>
        <v>19</v>
      </c>
      <c r="T85" s="189">
        <f t="shared" si="54"/>
        <v>6.3E-2</v>
      </c>
      <c r="U85" s="189">
        <f>0.3+0.38</f>
        <v>0.67999999999999994</v>
      </c>
      <c r="V85" s="189">
        <f t="shared" si="71"/>
        <v>-0.04</v>
      </c>
      <c r="W85" s="189">
        <f>6*0.3</f>
        <v>1.7999999999999998</v>
      </c>
      <c r="X85" s="188">
        <f t="shared" si="47"/>
        <v>6.8179999999999996</v>
      </c>
      <c r="Y85" s="183">
        <f t="shared" si="55"/>
        <v>8</v>
      </c>
      <c r="Z85" s="188">
        <f t="shared" si="56"/>
        <v>0.24</v>
      </c>
      <c r="AA85" s="183">
        <f t="shared" si="57"/>
        <v>19</v>
      </c>
      <c r="AB85" s="189">
        <f t="shared" si="58"/>
        <v>6.3E-2</v>
      </c>
      <c r="AC85" s="189">
        <f>0.3+0.34</f>
        <v>0.64</v>
      </c>
      <c r="AD85" s="189">
        <f t="shared" si="72"/>
        <v>-0.04</v>
      </c>
      <c r="AE85" s="189">
        <f>2.75*0.3</f>
        <v>0.82499999999999996</v>
      </c>
      <c r="AF85" s="188">
        <f t="shared" si="49"/>
        <v>5.2279999999999998</v>
      </c>
      <c r="AG85" s="183">
        <f t="shared" si="59"/>
        <v>8</v>
      </c>
      <c r="AH85" s="182">
        <f t="shared" si="60"/>
        <v>0.24</v>
      </c>
      <c r="AI85" s="183">
        <f t="shared" si="61"/>
        <v>18</v>
      </c>
      <c r="AJ85" s="189">
        <f t="shared" si="62"/>
        <v>6.3E-2</v>
      </c>
      <c r="AK85" s="189">
        <f>0.3+0.34</f>
        <v>0.64</v>
      </c>
      <c r="AL85" s="189">
        <f t="shared" si="73"/>
        <v>-0.04</v>
      </c>
      <c r="AM85" s="189">
        <f>4.156*0.3</f>
        <v>1.2467999999999999</v>
      </c>
      <c r="AN85" s="188">
        <f t="shared" si="81"/>
        <v>5.6497999999999999</v>
      </c>
      <c r="AO85" s="183">
        <v>0</v>
      </c>
      <c r="AP85" s="182">
        <f t="shared" si="63"/>
        <v>10</v>
      </c>
      <c r="AQ85" s="182">
        <v>1.5</v>
      </c>
      <c r="AR85" s="187">
        <f t="shared" si="74"/>
        <v>0</v>
      </c>
      <c r="AS85" s="187">
        <f t="shared" si="75"/>
        <v>259.12200000000001</v>
      </c>
      <c r="AT85" s="187">
        <f t="shared" si="76"/>
        <v>0</v>
      </c>
      <c r="AU85" s="187">
        <f t="shared" si="77"/>
        <v>201.02839999999998</v>
      </c>
      <c r="AV85" s="187">
        <f t="shared" si="64"/>
        <v>0</v>
      </c>
      <c r="AW85" s="187">
        <f t="shared" si="78"/>
        <v>0</v>
      </c>
      <c r="AX85" s="187">
        <f t="shared" si="79"/>
        <v>15</v>
      </c>
      <c r="AY85" s="190"/>
      <c r="AZ85" s="240"/>
      <c r="BA85" s="232"/>
      <c r="BF85" s="206"/>
      <c r="BG85" s="206"/>
      <c r="BK85" s="126"/>
      <c r="BL85" s="126"/>
      <c r="BN85" s="126"/>
      <c r="BO85" s="126"/>
      <c r="BQ85" s="126"/>
      <c r="BR85" s="126"/>
      <c r="BT85" s="126"/>
      <c r="BU85" s="126"/>
      <c r="BW85" s="126"/>
      <c r="BX85" s="126"/>
      <c r="BZ85" s="126"/>
      <c r="CA85" s="126"/>
      <c r="CC85" s="126"/>
      <c r="CD85" s="126"/>
      <c r="CF85" s="126"/>
      <c r="CG85" s="126"/>
    </row>
    <row r="86" spans="1:85" s="197" customFormat="1" x14ac:dyDescent="0.3">
      <c r="A86" s="182" t="s">
        <v>239</v>
      </c>
      <c r="B86" s="183">
        <v>1</v>
      </c>
      <c r="C86" s="184" t="s">
        <v>308</v>
      </c>
      <c r="D86" s="187">
        <v>2.9</v>
      </c>
      <c r="E86" s="187">
        <v>2.0099999999999998</v>
      </c>
      <c r="F86" s="186">
        <v>0.125</v>
      </c>
      <c r="G86" s="187">
        <f t="shared" si="65"/>
        <v>0.72862499999999986</v>
      </c>
      <c r="H86" s="188">
        <f t="shared" si="48"/>
        <v>5.8289999999999988</v>
      </c>
      <c r="I86" s="183">
        <f t="shared" si="50"/>
        <v>8</v>
      </c>
      <c r="J86" s="188">
        <f t="shared" si="66"/>
        <v>0.23</v>
      </c>
      <c r="K86" s="183">
        <f t="shared" si="67"/>
        <v>10</v>
      </c>
      <c r="L86" s="189">
        <f t="shared" si="68"/>
        <v>5.2499999999999998E-2</v>
      </c>
      <c r="M86" s="189">
        <f>0.3+0.23</f>
        <v>0.53</v>
      </c>
      <c r="N86" s="189">
        <f t="shared" si="69"/>
        <v>-0.04</v>
      </c>
      <c r="O86" s="189">
        <f>0+(F86-0.02*2)</f>
        <v>8.4999999999999992E-2</v>
      </c>
      <c r="P86" s="188">
        <f>+D86+SUM(L86:O86)</f>
        <v>3.5274999999999999</v>
      </c>
      <c r="Q86" s="183">
        <f t="shared" si="51"/>
        <v>8</v>
      </c>
      <c r="R86" s="188">
        <f t="shared" si="52"/>
        <v>0.23</v>
      </c>
      <c r="S86" s="183">
        <f t="shared" si="53"/>
        <v>9</v>
      </c>
      <c r="T86" s="189">
        <f t="shared" si="54"/>
        <v>5.2499999999999998E-2</v>
      </c>
      <c r="U86" s="189">
        <f>0.3+0.23</f>
        <v>0.53</v>
      </c>
      <c r="V86" s="189">
        <f t="shared" si="71"/>
        <v>-0.04</v>
      </c>
      <c r="W86" s="189">
        <f>2.82*0.3</f>
        <v>0.84599999999999997</v>
      </c>
      <c r="X86" s="188">
        <f t="shared" si="47"/>
        <v>4.2885</v>
      </c>
      <c r="Y86" s="183">
        <f t="shared" si="55"/>
        <v>8</v>
      </c>
      <c r="Z86" s="188">
        <f t="shared" si="56"/>
        <v>0.3</v>
      </c>
      <c r="AA86" s="183">
        <f t="shared" si="57"/>
        <v>11</v>
      </c>
      <c r="AB86" s="189">
        <f t="shared" si="58"/>
        <v>5.2499999999999998E-2</v>
      </c>
      <c r="AC86" s="189">
        <f t="shared" si="42"/>
        <v>0.6</v>
      </c>
      <c r="AD86" s="189">
        <f t="shared" si="72"/>
        <v>-0.04</v>
      </c>
      <c r="AE86" s="189">
        <f>2.11*0.3</f>
        <v>0.6329999999999999</v>
      </c>
      <c r="AF86" s="188">
        <f t="shared" si="49"/>
        <v>3.2554999999999996</v>
      </c>
      <c r="AG86" s="183">
        <f t="shared" si="59"/>
        <v>8</v>
      </c>
      <c r="AH86" s="182">
        <f t="shared" si="60"/>
        <v>0.3</v>
      </c>
      <c r="AI86" s="183">
        <f t="shared" si="61"/>
        <v>10</v>
      </c>
      <c r="AJ86" s="189">
        <f t="shared" si="62"/>
        <v>5.2499999999999998E-2</v>
      </c>
      <c r="AK86" s="189">
        <f t="shared" si="43"/>
        <v>0.6</v>
      </c>
      <c r="AL86" s="189">
        <f t="shared" si="73"/>
        <v>-0.04</v>
      </c>
      <c r="AM86" s="189">
        <f>10.19*0.3</f>
        <v>3.0569999999999999</v>
      </c>
      <c r="AN86" s="188">
        <f>+E86+SUM(AJ86:AM86)</f>
        <v>5.6794999999999991</v>
      </c>
      <c r="AO86" s="183">
        <v>0</v>
      </c>
      <c r="AP86" s="182">
        <f t="shared" si="63"/>
        <v>6</v>
      </c>
      <c r="AQ86" s="182">
        <v>1.5</v>
      </c>
      <c r="AR86" s="187">
        <f t="shared" si="74"/>
        <v>73.871499999999997</v>
      </c>
      <c r="AS86" s="187">
        <f t="shared" si="75"/>
        <v>0</v>
      </c>
      <c r="AT86" s="187">
        <f t="shared" si="76"/>
        <v>0</v>
      </c>
      <c r="AU86" s="187">
        <f t="shared" si="77"/>
        <v>92.605499999999978</v>
      </c>
      <c r="AV86" s="187">
        <f t="shared" si="64"/>
        <v>0</v>
      </c>
      <c r="AW86" s="187">
        <f t="shared" si="78"/>
        <v>0</v>
      </c>
      <c r="AX86" s="187">
        <f t="shared" si="79"/>
        <v>9</v>
      </c>
      <c r="AY86" s="190"/>
      <c r="AZ86" s="240"/>
      <c r="BA86" s="232"/>
      <c r="BF86" s="206"/>
      <c r="BG86" s="206"/>
      <c r="BK86" s="126"/>
      <c r="BL86" s="126"/>
      <c r="BN86" s="126"/>
      <c r="BO86" s="126"/>
      <c r="BQ86" s="126"/>
      <c r="BR86" s="126"/>
      <c r="BT86" s="126"/>
      <c r="BU86" s="126"/>
      <c r="BW86" s="126"/>
      <c r="BX86" s="126"/>
      <c r="BZ86" s="126"/>
      <c r="CA86" s="126"/>
      <c r="CC86" s="126"/>
      <c r="CD86" s="126"/>
      <c r="CF86" s="126"/>
      <c r="CG86" s="126"/>
    </row>
    <row r="87" spans="1:85" s="197" customFormat="1" x14ac:dyDescent="0.3">
      <c r="A87" s="182" t="s">
        <v>239</v>
      </c>
      <c r="B87" s="183">
        <v>1</v>
      </c>
      <c r="C87" s="184" t="s">
        <v>309</v>
      </c>
      <c r="D87" s="187">
        <v>3.04</v>
      </c>
      <c r="E87" s="187">
        <v>2.11</v>
      </c>
      <c r="F87" s="186">
        <v>0.125</v>
      </c>
      <c r="G87" s="187">
        <f t="shared" si="65"/>
        <v>0.80179999999999996</v>
      </c>
      <c r="H87" s="188">
        <f t="shared" si="48"/>
        <v>6.4143999999999997</v>
      </c>
      <c r="I87" s="183">
        <f t="shared" si="50"/>
        <v>8</v>
      </c>
      <c r="J87" s="188">
        <f t="shared" si="66"/>
        <v>0.23</v>
      </c>
      <c r="K87" s="183">
        <f t="shared" si="67"/>
        <v>10</v>
      </c>
      <c r="L87" s="189">
        <f t="shared" si="68"/>
        <v>5.2499999999999998E-2</v>
      </c>
      <c r="M87" s="189">
        <f>0.23*2</f>
        <v>0.46</v>
      </c>
      <c r="N87" s="189">
        <f t="shared" si="69"/>
        <v>-0.04</v>
      </c>
      <c r="O87" s="189">
        <f>0+(F87-0.02*2)</f>
        <v>8.4999999999999992E-2</v>
      </c>
      <c r="P87" s="188">
        <f t="shared" si="70"/>
        <v>3.5975000000000001</v>
      </c>
      <c r="Q87" s="183">
        <f t="shared" si="51"/>
        <v>8</v>
      </c>
      <c r="R87" s="188">
        <f t="shared" si="52"/>
        <v>0.23</v>
      </c>
      <c r="S87" s="183">
        <f t="shared" si="53"/>
        <v>9</v>
      </c>
      <c r="T87" s="189">
        <f t="shared" si="54"/>
        <v>5.2499999999999998E-2</v>
      </c>
      <c r="U87" s="189">
        <f>0.23*2</f>
        <v>0.46</v>
      </c>
      <c r="V87" s="189">
        <f t="shared" si="71"/>
        <v>-0.04</v>
      </c>
      <c r="W87" s="189">
        <f>2.785*0.3</f>
        <v>0.83550000000000002</v>
      </c>
      <c r="X87" s="188">
        <f t="shared" si="47"/>
        <v>4.3479999999999999</v>
      </c>
      <c r="Y87" s="183">
        <f t="shared" si="55"/>
        <v>8</v>
      </c>
      <c r="Z87" s="188">
        <f t="shared" si="56"/>
        <v>0.3</v>
      </c>
      <c r="AA87" s="183">
        <f t="shared" si="57"/>
        <v>11</v>
      </c>
      <c r="AB87" s="189">
        <f t="shared" si="58"/>
        <v>5.2499999999999998E-2</v>
      </c>
      <c r="AC87" s="189">
        <f>0.3+0.23</f>
        <v>0.53</v>
      </c>
      <c r="AD87" s="189">
        <f t="shared" si="72"/>
        <v>-0.04</v>
      </c>
      <c r="AE87" s="189">
        <f>2.01*0.3</f>
        <v>0.60299999999999987</v>
      </c>
      <c r="AF87" s="188">
        <f t="shared" si="49"/>
        <v>3.2554999999999996</v>
      </c>
      <c r="AG87" s="183">
        <f t="shared" si="59"/>
        <v>8</v>
      </c>
      <c r="AH87" s="182">
        <f t="shared" si="60"/>
        <v>0.3</v>
      </c>
      <c r="AI87" s="183">
        <f t="shared" si="61"/>
        <v>10</v>
      </c>
      <c r="AJ87" s="189">
        <f t="shared" si="62"/>
        <v>5.2499999999999998E-2</v>
      </c>
      <c r="AK87" s="189">
        <f>0.3+0.23</f>
        <v>0.53</v>
      </c>
      <c r="AL87" s="189">
        <f t="shared" si="73"/>
        <v>-0.04</v>
      </c>
      <c r="AM87" s="189">
        <v>0</v>
      </c>
      <c r="AN87" s="188">
        <f t="shared" si="81"/>
        <v>2.6524999999999999</v>
      </c>
      <c r="AO87" s="183">
        <v>0</v>
      </c>
      <c r="AP87" s="182">
        <f t="shared" si="63"/>
        <v>6</v>
      </c>
      <c r="AQ87" s="182">
        <v>1.5</v>
      </c>
      <c r="AR87" s="187">
        <f t="shared" si="74"/>
        <v>75.106999999999999</v>
      </c>
      <c r="AS87" s="187">
        <f t="shared" si="75"/>
        <v>0</v>
      </c>
      <c r="AT87" s="187">
        <f t="shared" si="76"/>
        <v>0</v>
      </c>
      <c r="AU87" s="187">
        <f t="shared" si="77"/>
        <v>62.335499999999996</v>
      </c>
      <c r="AV87" s="187">
        <f t="shared" si="64"/>
        <v>0</v>
      </c>
      <c r="AW87" s="187">
        <f t="shared" si="78"/>
        <v>0</v>
      </c>
      <c r="AX87" s="187">
        <f t="shared" si="79"/>
        <v>9</v>
      </c>
      <c r="AY87" s="190"/>
      <c r="AZ87" s="240"/>
      <c r="BA87" s="232"/>
      <c r="BF87" s="206"/>
      <c r="BG87" s="206"/>
      <c r="BK87" s="126"/>
      <c r="BL87" s="126"/>
      <c r="BN87" s="126"/>
      <c r="BO87" s="126"/>
      <c r="BQ87" s="126"/>
      <c r="BR87" s="126"/>
      <c r="BT87" s="126"/>
      <c r="BU87" s="126"/>
      <c r="BW87" s="126"/>
      <c r="BX87" s="126"/>
      <c r="BZ87" s="126"/>
      <c r="CA87" s="126"/>
      <c r="CC87" s="126"/>
      <c r="CD87" s="126"/>
      <c r="CF87" s="126"/>
      <c r="CG87" s="126"/>
    </row>
    <row r="88" spans="1:85" s="197" customFormat="1" x14ac:dyDescent="0.3">
      <c r="A88" s="182" t="s">
        <v>232</v>
      </c>
      <c r="B88" s="183">
        <v>1</v>
      </c>
      <c r="C88" s="184" t="s">
        <v>310</v>
      </c>
      <c r="D88" s="187">
        <v>2.82</v>
      </c>
      <c r="E88" s="187">
        <v>2.85</v>
      </c>
      <c r="F88" s="186">
        <v>0.13</v>
      </c>
      <c r="G88" s="187">
        <f t="shared" si="65"/>
        <v>1.04481</v>
      </c>
      <c r="H88" s="188">
        <f t="shared" si="48"/>
        <v>8.036999999999999</v>
      </c>
      <c r="I88" s="183">
        <f t="shared" si="50"/>
        <v>8</v>
      </c>
      <c r="J88" s="188">
        <f t="shared" si="66"/>
        <v>0.2</v>
      </c>
      <c r="K88" s="183">
        <f t="shared" si="67"/>
        <v>15</v>
      </c>
      <c r="L88" s="189">
        <f t="shared" si="68"/>
        <v>5.4600000000000003E-2</v>
      </c>
      <c r="M88" s="189">
        <f>0.23+0.3</f>
        <v>0.53</v>
      </c>
      <c r="N88" s="189">
        <f t="shared" si="69"/>
        <v>-0.04</v>
      </c>
      <c r="O88" s="189">
        <f>2.9*0.3</f>
        <v>0.87</v>
      </c>
      <c r="P88" s="188">
        <f t="shared" si="70"/>
        <v>4.2346000000000004</v>
      </c>
      <c r="Q88" s="183">
        <f t="shared" si="51"/>
        <v>8</v>
      </c>
      <c r="R88" s="188">
        <f t="shared" si="52"/>
        <v>0.2</v>
      </c>
      <c r="S88" s="183">
        <f t="shared" si="53"/>
        <v>14</v>
      </c>
      <c r="T88" s="189">
        <f t="shared" si="54"/>
        <v>5.4600000000000003E-2</v>
      </c>
      <c r="U88" s="189">
        <f>0.23+0.3</f>
        <v>0.53</v>
      </c>
      <c r="V88" s="189">
        <f t="shared" si="71"/>
        <v>-0.04</v>
      </c>
      <c r="W88" s="189">
        <f>5.49*0.3</f>
        <v>1.647</v>
      </c>
      <c r="X88" s="188">
        <f t="shared" si="47"/>
        <v>5.0115999999999996</v>
      </c>
      <c r="Y88" s="183">
        <f t="shared" si="55"/>
        <v>8</v>
      </c>
      <c r="Z88" s="188">
        <f t="shared" si="56"/>
        <v>0.24</v>
      </c>
      <c r="AA88" s="183">
        <f t="shared" si="57"/>
        <v>13</v>
      </c>
      <c r="AB88" s="189">
        <f t="shared" si="58"/>
        <v>5.4600000000000003E-2</v>
      </c>
      <c r="AC88" s="189">
        <f t="shared" si="42"/>
        <v>0.6</v>
      </c>
      <c r="AD88" s="189">
        <f t="shared" si="72"/>
        <v>-0.04</v>
      </c>
      <c r="AE88" s="189">
        <f>1.87*0.3</f>
        <v>0.56100000000000005</v>
      </c>
      <c r="AF88" s="188">
        <f t="shared" si="49"/>
        <v>4.0255999999999998</v>
      </c>
      <c r="AG88" s="183">
        <f t="shared" si="59"/>
        <v>8</v>
      </c>
      <c r="AH88" s="182">
        <f t="shared" si="60"/>
        <v>0.24</v>
      </c>
      <c r="AI88" s="183">
        <f t="shared" si="61"/>
        <v>12</v>
      </c>
      <c r="AJ88" s="189">
        <f t="shared" si="62"/>
        <v>5.4600000000000003E-2</v>
      </c>
      <c r="AK88" s="189">
        <f t="shared" si="43"/>
        <v>0.6</v>
      </c>
      <c r="AL88" s="189">
        <f t="shared" si="73"/>
        <v>-0.04</v>
      </c>
      <c r="AM88" s="189">
        <f>9.59*0.3</f>
        <v>2.8769999999999998</v>
      </c>
      <c r="AN88" s="188">
        <f t="shared" si="81"/>
        <v>6.3415999999999997</v>
      </c>
      <c r="AO88" s="183">
        <v>0</v>
      </c>
      <c r="AP88" s="182">
        <f t="shared" si="63"/>
        <v>8</v>
      </c>
      <c r="AQ88" s="182">
        <v>1.5</v>
      </c>
      <c r="AR88" s="187">
        <f t="shared" si="74"/>
        <v>133.6814</v>
      </c>
      <c r="AS88" s="187">
        <f t="shared" si="75"/>
        <v>0</v>
      </c>
      <c r="AT88" s="187">
        <f t="shared" si="76"/>
        <v>0</v>
      </c>
      <c r="AU88" s="187">
        <f t="shared" si="77"/>
        <v>128.43199999999999</v>
      </c>
      <c r="AV88" s="187">
        <f t="shared" si="64"/>
        <v>0</v>
      </c>
      <c r="AW88" s="187">
        <f t="shared" si="78"/>
        <v>0</v>
      </c>
      <c r="AX88" s="187">
        <f t="shared" si="79"/>
        <v>12</v>
      </c>
      <c r="AY88" s="190"/>
      <c r="AZ88" s="240"/>
      <c r="BA88" s="232"/>
      <c r="BF88" s="206"/>
      <c r="BG88" s="206"/>
      <c r="BK88" s="126"/>
      <c r="BL88" s="126"/>
      <c r="BN88" s="126"/>
      <c r="BO88" s="126"/>
      <c r="BQ88" s="126"/>
      <c r="BR88" s="126"/>
      <c r="BT88" s="126"/>
      <c r="BU88" s="126"/>
      <c r="BW88" s="126"/>
      <c r="BX88" s="126"/>
      <c r="BZ88" s="126"/>
      <c r="CA88" s="126"/>
      <c r="CC88" s="126"/>
      <c r="CD88" s="126"/>
      <c r="CF88" s="126"/>
      <c r="CG88" s="126"/>
    </row>
    <row r="89" spans="1:85" s="197" customFormat="1" x14ac:dyDescent="0.3">
      <c r="A89" s="182" t="s">
        <v>239</v>
      </c>
      <c r="B89" s="183">
        <v>1</v>
      </c>
      <c r="C89" s="184" t="s">
        <v>311</v>
      </c>
      <c r="D89" s="187">
        <v>2.7850000000000001</v>
      </c>
      <c r="E89" s="187">
        <v>1.87</v>
      </c>
      <c r="F89" s="186">
        <v>0.125</v>
      </c>
      <c r="G89" s="187">
        <f t="shared" si="65"/>
        <v>0.65099375000000004</v>
      </c>
      <c r="H89" s="188">
        <f t="shared" si="48"/>
        <v>5.2079500000000003</v>
      </c>
      <c r="I89" s="183">
        <f t="shared" si="50"/>
        <v>8</v>
      </c>
      <c r="J89" s="188">
        <f t="shared" si="66"/>
        <v>0.23</v>
      </c>
      <c r="K89" s="183">
        <f t="shared" si="67"/>
        <v>9</v>
      </c>
      <c r="L89" s="189">
        <f t="shared" si="68"/>
        <v>5.2499999999999998E-2</v>
      </c>
      <c r="M89" s="189">
        <f>0.23*2</f>
        <v>0.46</v>
      </c>
      <c r="N89" s="189">
        <f t="shared" si="69"/>
        <v>-0.04</v>
      </c>
      <c r="O89" s="189">
        <f>3.04*0.3</f>
        <v>0.91199999999999992</v>
      </c>
      <c r="P89" s="188">
        <f t="shared" ref="P89:P152" si="82">+D89+SUM(L89:O89)</f>
        <v>4.1695000000000002</v>
      </c>
      <c r="Q89" s="183">
        <f t="shared" si="51"/>
        <v>8</v>
      </c>
      <c r="R89" s="188">
        <f t="shared" si="52"/>
        <v>0.23</v>
      </c>
      <c r="S89" s="183">
        <f t="shared" si="53"/>
        <v>8</v>
      </c>
      <c r="T89" s="189">
        <f t="shared" si="54"/>
        <v>5.2499999999999998E-2</v>
      </c>
      <c r="U89" s="189">
        <f>0.23*2</f>
        <v>0.46</v>
      </c>
      <c r="V89" s="189">
        <f t="shared" si="71"/>
        <v>-0.04</v>
      </c>
      <c r="W89" s="189">
        <f>5.49*0.3</f>
        <v>1.647</v>
      </c>
      <c r="X89" s="188">
        <f t="shared" si="47"/>
        <v>4.9045000000000005</v>
      </c>
      <c r="Y89" s="183">
        <f t="shared" si="55"/>
        <v>8</v>
      </c>
      <c r="Z89" s="188">
        <f t="shared" si="56"/>
        <v>0.3</v>
      </c>
      <c r="AA89" s="183">
        <f t="shared" si="57"/>
        <v>10</v>
      </c>
      <c r="AB89" s="189">
        <f t="shared" si="58"/>
        <v>5.2499999999999998E-2</v>
      </c>
      <c r="AC89" s="189">
        <f>0.3+0.23</f>
        <v>0.53</v>
      </c>
      <c r="AD89" s="189">
        <f t="shared" si="72"/>
        <v>-0.04</v>
      </c>
      <c r="AE89" s="189">
        <f>4.25*0.3</f>
        <v>1.2749999999999999</v>
      </c>
      <c r="AF89" s="188">
        <f t="shared" si="49"/>
        <v>3.6875</v>
      </c>
      <c r="AG89" s="183">
        <f t="shared" si="59"/>
        <v>8</v>
      </c>
      <c r="AH89" s="182">
        <f t="shared" si="60"/>
        <v>0.3</v>
      </c>
      <c r="AI89" s="183">
        <f t="shared" si="61"/>
        <v>9</v>
      </c>
      <c r="AJ89" s="189">
        <f t="shared" si="62"/>
        <v>5.2499999999999998E-2</v>
      </c>
      <c r="AK89" s="189">
        <f>0.3+0.23</f>
        <v>0.53</v>
      </c>
      <c r="AL89" s="189">
        <f t="shared" si="73"/>
        <v>-0.04</v>
      </c>
      <c r="AM89" s="189">
        <f>2.85*0.3</f>
        <v>0.85499999999999998</v>
      </c>
      <c r="AN89" s="188">
        <f t="shared" si="81"/>
        <v>3.2675000000000001</v>
      </c>
      <c r="AO89" s="183">
        <v>0</v>
      </c>
      <c r="AP89" s="182">
        <f t="shared" si="63"/>
        <v>6</v>
      </c>
      <c r="AQ89" s="182">
        <v>1.5</v>
      </c>
      <c r="AR89" s="187">
        <f t="shared" si="74"/>
        <v>76.761500000000012</v>
      </c>
      <c r="AS89" s="187">
        <f t="shared" si="75"/>
        <v>0</v>
      </c>
      <c r="AT89" s="187">
        <f t="shared" si="76"/>
        <v>0</v>
      </c>
      <c r="AU89" s="187">
        <f t="shared" si="77"/>
        <v>66.282499999999999</v>
      </c>
      <c r="AV89" s="187">
        <f t="shared" si="64"/>
        <v>0</v>
      </c>
      <c r="AW89" s="187">
        <f t="shared" si="78"/>
        <v>0</v>
      </c>
      <c r="AX89" s="187">
        <f t="shared" si="79"/>
        <v>9</v>
      </c>
      <c r="AY89" s="190"/>
      <c r="AZ89" s="240"/>
      <c r="BA89" s="232"/>
      <c r="BF89" s="206"/>
      <c r="BG89" s="206"/>
      <c r="BK89" s="126"/>
      <c r="BL89" s="126"/>
      <c r="BN89" s="126"/>
      <c r="BO89" s="126"/>
      <c r="BQ89" s="126"/>
      <c r="BR89" s="126"/>
      <c r="BT89" s="126"/>
      <c r="BU89" s="126"/>
      <c r="BW89" s="126"/>
      <c r="BX89" s="126"/>
      <c r="BZ89" s="126"/>
      <c r="CA89" s="126"/>
      <c r="CC89" s="126"/>
      <c r="CD89" s="126"/>
      <c r="CF89" s="126"/>
      <c r="CG89" s="126"/>
    </row>
    <row r="90" spans="1:85" s="197" customFormat="1" x14ac:dyDescent="0.3">
      <c r="A90" s="182" t="s">
        <v>254</v>
      </c>
      <c r="B90" s="183">
        <v>1</v>
      </c>
      <c r="C90" s="184" t="s">
        <v>312</v>
      </c>
      <c r="D90" s="187">
        <v>5.49</v>
      </c>
      <c r="E90" s="187">
        <v>3.64</v>
      </c>
      <c r="F90" s="186">
        <v>0.15</v>
      </c>
      <c r="G90" s="187">
        <f t="shared" si="65"/>
        <v>2.9975400000000003</v>
      </c>
      <c r="H90" s="188">
        <f t="shared" si="48"/>
        <v>19.983600000000003</v>
      </c>
      <c r="I90" s="183">
        <f t="shared" si="50"/>
        <v>10</v>
      </c>
      <c r="J90" s="188">
        <f t="shared" si="66"/>
        <v>0.18</v>
      </c>
      <c r="K90" s="183">
        <f t="shared" si="67"/>
        <v>21</v>
      </c>
      <c r="L90" s="189">
        <f t="shared" si="68"/>
        <v>6.3E-2</v>
      </c>
      <c r="M90" s="189">
        <f t="shared" ref="M90:M149" si="83">0.3*2</f>
        <v>0.6</v>
      </c>
      <c r="N90" s="189">
        <f t="shared" si="69"/>
        <v>-0.04</v>
      </c>
      <c r="O90" s="189">
        <f>2.785*0.3</f>
        <v>0.83550000000000002</v>
      </c>
      <c r="P90" s="188">
        <f t="shared" si="82"/>
        <v>6.9485000000000001</v>
      </c>
      <c r="Q90" s="183">
        <f t="shared" si="51"/>
        <v>10</v>
      </c>
      <c r="R90" s="188">
        <f t="shared" si="52"/>
        <v>0.18</v>
      </c>
      <c r="S90" s="183">
        <f t="shared" si="53"/>
        <v>20</v>
      </c>
      <c r="T90" s="189">
        <f t="shared" si="54"/>
        <v>6.3E-2</v>
      </c>
      <c r="U90" s="189">
        <f t="shared" ref="U90:U152" si="84">0.3*2</f>
        <v>0.6</v>
      </c>
      <c r="V90" s="189">
        <f t="shared" si="71"/>
        <v>-0.04</v>
      </c>
      <c r="W90" s="189">
        <f>3.75*0.3</f>
        <v>1.125</v>
      </c>
      <c r="X90" s="188">
        <f t="shared" si="47"/>
        <v>7.2380000000000004</v>
      </c>
      <c r="Y90" s="183">
        <f t="shared" si="55"/>
        <v>8</v>
      </c>
      <c r="Z90" s="188">
        <f t="shared" si="56"/>
        <v>0.2</v>
      </c>
      <c r="AA90" s="183">
        <f t="shared" si="57"/>
        <v>28</v>
      </c>
      <c r="AB90" s="189">
        <f t="shared" si="58"/>
        <v>6.3E-2</v>
      </c>
      <c r="AC90" s="189">
        <f>0.3+0.23</f>
        <v>0.53</v>
      </c>
      <c r="AD90" s="189">
        <f t="shared" si="72"/>
        <v>-0.04</v>
      </c>
      <c r="AE90" s="189">
        <f>4.25*0.3</f>
        <v>1.2749999999999999</v>
      </c>
      <c r="AF90" s="188">
        <f t="shared" si="49"/>
        <v>5.468</v>
      </c>
      <c r="AG90" s="183">
        <f t="shared" si="59"/>
        <v>8</v>
      </c>
      <c r="AH90" s="182">
        <f t="shared" si="60"/>
        <v>0.2</v>
      </c>
      <c r="AI90" s="183">
        <f t="shared" si="61"/>
        <v>27</v>
      </c>
      <c r="AJ90" s="189">
        <f t="shared" si="62"/>
        <v>6.3E-2</v>
      </c>
      <c r="AK90" s="189">
        <f>0.3+0.23</f>
        <v>0.53</v>
      </c>
      <c r="AL90" s="189">
        <f t="shared" si="73"/>
        <v>-0.04</v>
      </c>
      <c r="AM90" s="189">
        <f>5.05*0.3</f>
        <v>1.5149999999999999</v>
      </c>
      <c r="AN90" s="188">
        <f t="shared" si="81"/>
        <v>5.7080000000000002</v>
      </c>
      <c r="AO90" s="183">
        <v>0</v>
      </c>
      <c r="AP90" s="182">
        <f t="shared" si="63"/>
        <v>12</v>
      </c>
      <c r="AQ90" s="182">
        <v>1.5</v>
      </c>
      <c r="AR90" s="187">
        <f t="shared" si="74"/>
        <v>0</v>
      </c>
      <c r="AS90" s="187">
        <f t="shared" si="75"/>
        <v>290.67849999999999</v>
      </c>
      <c r="AT90" s="187">
        <f t="shared" si="76"/>
        <v>0</v>
      </c>
      <c r="AU90" s="187">
        <f t="shared" si="77"/>
        <v>307.22000000000003</v>
      </c>
      <c r="AV90" s="187">
        <f t="shared" si="64"/>
        <v>0</v>
      </c>
      <c r="AW90" s="187">
        <f t="shared" si="78"/>
        <v>0</v>
      </c>
      <c r="AX90" s="187">
        <f t="shared" si="79"/>
        <v>18</v>
      </c>
      <c r="AY90" s="190"/>
      <c r="AZ90" s="240"/>
      <c r="BA90" s="232"/>
      <c r="BF90" s="206"/>
      <c r="BG90" s="206"/>
      <c r="BK90" s="126"/>
      <c r="BL90" s="126"/>
      <c r="BN90" s="126"/>
      <c r="BO90" s="126"/>
      <c r="BQ90" s="126"/>
      <c r="BR90" s="126"/>
      <c r="BT90" s="126"/>
      <c r="BU90" s="126"/>
      <c r="BW90" s="126"/>
      <c r="BX90" s="126"/>
      <c r="BZ90" s="126"/>
      <c r="CA90" s="126"/>
      <c r="CC90" s="126"/>
      <c r="CD90" s="126"/>
      <c r="CF90" s="126"/>
      <c r="CG90" s="126"/>
    </row>
    <row r="91" spans="1:85" s="197" customFormat="1" x14ac:dyDescent="0.3">
      <c r="A91" s="182" t="s">
        <v>245</v>
      </c>
      <c r="B91" s="183">
        <v>1</v>
      </c>
      <c r="C91" s="184" t="s">
        <v>313</v>
      </c>
      <c r="D91" s="187">
        <v>1.62</v>
      </c>
      <c r="E91" s="187">
        <v>3.93</v>
      </c>
      <c r="F91" s="186">
        <v>0.14000000000000001</v>
      </c>
      <c r="G91" s="187">
        <f t="shared" si="65"/>
        <v>0.89132400000000023</v>
      </c>
      <c r="H91" s="188">
        <f t="shared" si="48"/>
        <v>6.3666000000000009</v>
      </c>
      <c r="I91" s="183">
        <f t="shared" si="50"/>
        <v>10</v>
      </c>
      <c r="J91" s="188">
        <f t="shared" si="66"/>
        <v>0.2</v>
      </c>
      <c r="K91" s="183">
        <f t="shared" si="67"/>
        <v>21</v>
      </c>
      <c r="L91" s="189">
        <f t="shared" si="68"/>
        <v>5.8800000000000005E-2</v>
      </c>
      <c r="M91" s="189">
        <f>0.3+0.23</f>
        <v>0.53</v>
      </c>
      <c r="N91" s="189">
        <f t="shared" si="69"/>
        <v>-0.04</v>
      </c>
      <c r="O91" s="189">
        <f>3.93*0.3</f>
        <v>1.179</v>
      </c>
      <c r="P91" s="188">
        <f t="shared" si="82"/>
        <v>3.3478000000000003</v>
      </c>
      <c r="Q91" s="183">
        <f t="shared" si="51"/>
        <v>10</v>
      </c>
      <c r="R91" s="188">
        <f t="shared" si="52"/>
        <v>0.2</v>
      </c>
      <c r="S91" s="183">
        <f t="shared" si="53"/>
        <v>20</v>
      </c>
      <c r="T91" s="189">
        <f t="shared" si="54"/>
        <v>5.8800000000000005E-2</v>
      </c>
      <c r="U91" s="189">
        <f>0.3+0.23</f>
        <v>0.53</v>
      </c>
      <c r="V91" s="189">
        <f t="shared" si="71"/>
        <v>-0.04</v>
      </c>
      <c r="W91" s="189">
        <f>2.29*0.3</f>
        <v>0.68699999999999994</v>
      </c>
      <c r="X91" s="188">
        <f t="shared" si="47"/>
        <v>2.8557999999999999</v>
      </c>
      <c r="Y91" s="183">
        <f t="shared" si="55"/>
        <v>10</v>
      </c>
      <c r="Z91" s="188">
        <f t="shared" si="56"/>
        <v>0.24</v>
      </c>
      <c r="AA91" s="183">
        <f t="shared" si="57"/>
        <v>8</v>
      </c>
      <c r="AB91" s="189">
        <f t="shared" si="58"/>
        <v>5.8800000000000005E-2</v>
      </c>
      <c r="AC91" s="189">
        <f t="shared" si="42"/>
        <v>0.6</v>
      </c>
      <c r="AD91" s="189">
        <f t="shared" si="72"/>
        <v>-0.04</v>
      </c>
      <c r="AE91" s="189">
        <v>0</v>
      </c>
      <c r="AF91" s="188">
        <f>+E91+SUM(AB91:AE91)</f>
        <v>4.5488</v>
      </c>
      <c r="AG91" s="183">
        <f t="shared" si="59"/>
        <v>10</v>
      </c>
      <c r="AH91" s="182">
        <f t="shared" si="60"/>
        <v>0.24</v>
      </c>
      <c r="AI91" s="183">
        <f t="shared" si="61"/>
        <v>7</v>
      </c>
      <c r="AJ91" s="189">
        <f t="shared" si="62"/>
        <v>5.8800000000000005E-2</v>
      </c>
      <c r="AK91" s="189">
        <f t="shared" si="43"/>
        <v>0.6</v>
      </c>
      <c r="AL91" s="189">
        <f t="shared" si="73"/>
        <v>-0.04</v>
      </c>
      <c r="AM91" s="189">
        <v>0</v>
      </c>
      <c r="AN91" s="188">
        <f>+E91+SUM(AJ91:AM91)</f>
        <v>4.5488</v>
      </c>
      <c r="AO91" s="183">
        <v>0</v>
      </c>
      <c r="AP91" s="182">
        <f t="shared" si="63"/>
        <v>8</v>
      </c>
      <c r="AQ91" s="182">
        <v>1.5</v>
      </c>
      <c r="AR91" s="187">
        <f t="shared" si="74"/>
        <v>0</v>
      </c>
      <c r="AS91" s="187">
        <f t="shared" si="75"/>
        <v>127.41980000000001</v>
      </c>
      <c r="AT91" s="187">
        <f t="shared" si="76"/>
        <v>0</v>
      </c>
      <c r="AU91" s="187">
        <f t="shared" si="77"/>
        <v>0</v>
      </c>
      <c r="AV91" s="187">
        <f t="shared" si="64"/>
        <v>68.231999999999999</v>
      </c>
      <c r="AW91" s="187">
        <f t="shared" si="78"/>
        <v>0</v>
      </c>
      <c r="AX91" s="187">
        <f t="shared" si="79"/>
        <v>12</v>
      </c>
      <c r="AY91" s="190"/>
      <c r="AZ91" s="240"/>
      <c r="BA91" s="232"/>
      <c r="BF91" s="206"/>
      <c r="BG91" s="206"/>
      <c r="BK91" s="126"/>
      <c r="BL91" s="126"/>
      <c r="BN91" s="126"/>
      <c r="BO91" s="126"/>
      <c r="BQ91" s="126"/>
      <c r="BR91" s="126"/>
      <c r="BT91" s="126"/>
      <c r="BU91" s="126"/>
      <c r="BW91" s="126"/>
      <c r="BX91" s="126"/>
      <c r="BZ91" s="126"/>
      <c r="CA91" s="126"/>
      <c r="CC91" s="126"/>
      <c r="CD91" s="126"/>
      <c r="CF91" s="126"/>
      <c r="CG91" s="126"/>
    </row>
    <row r="92" spans="1:85" s="197" customFormat="1" x14ac:dyDescent="0.3">
      <c r="A92" s="182" t="s">
        <v>239</v>
      </c>
      <c r="B92" s="183">
        <v>1</v>
      </c>
      <c r="C92" s="184" t="s">
        <v>314</v>
      </c>
      <c r="D92" s="187">
        <v>2.29</v>
      </c>
      <c r="E92" s="187">
        <v>2.5</v>
      </c>
      <c r="F92" s="186">
        <v>0.125</v>
      </c>
      <c r="G92" s="187">
        <f t="shared" si="65"/>
        <v>0.71562499999999996</v>
      </c>
      <c r="H92" s="188">
        <f t="shared" si="48"/>
        <v>5.7249999999999996</v>
      </c>
      <c r="I92" s="183">
        <f t="shared" si="50"/>
        <v>8</v>
      </c>
      <c r="J92" s="188">
        <f t="shared" si="66"/>
        <v>0.23</v>
      </c>
      <c r="K92" s="183">
        <f t="shared" si="67"/>
        <v>12</v>
      </c>
      <c r="L92" s="189">
        <f t="shared" si="68"/>
        <v>5.2499999999999998E-2</v>
      </c>
      <c r="M92" s="189">
        <f>0.23*2</f>
        <v>0.46</v>
      </c>
      <c r="N92" s="189">
        <f t="shared" si="69"/>
        <v>-0.04</v>
      </c>
      <c r="O92" s="189">
        <f>1.62*0.3</f>
        <v>0.48599999999999999</v>
      </c>
      <c r="P92" s="188">
        <f t="shared" si="82"/>
        <v>3.2484999999999999</v>
      </c>
      <c r="Q92" s="183">
        <f t="shared" si="51"/>
        <v>8</v>
      </c>
      <c r="R92" s="188">
        <f t="shared" si="52"/>
        <v>0.23</v>
      </c>
      <c r="S92" s="183">
        <f t="shared" si="53"/>
        <v>11</v>
      </c>
      <c r="T92" s="189">
        <f t="shared" si="54"/>
        <v>5.2499999999999998E-2</v>
      </c>
      <c r="U92" s="189">
        <f>0.23*2</f>
        <v>0.46</v>
      </c>
      <c r="V92" s="189">
        <f t="shared" si="71"/>
        <v>-0.04</v>
      </c>
      <c r="W92" s="189">
        <v>0</v>
      </c>
      <c r="X92" s="188">
        <f t="shared" si="47"/>
        <v>2.7625000000000002</v>
      </c>
      <c r="Y92" s="183">
        <f t="shared" si="55"/>
        <v>8</v>
      </c>
      <c r="Z92" s="188">
        <f t="shared" si="56"/>
        <v>0.3</v>
      </c>
      <c r="AA92" s="183">
        <f t="shared" si="57"/>
        <v>9</v>
      </c>
      <c r="AB92" s="189">
        <f t="shared" si="58"/>
        <v>5.2499999999999998E-2</v>
      </c>
      <c r="AC92" s="189">
        <f>0.23*2</f>
        <v>0.46</v>
      </c>
      <c r="AD92" s="189">
        <f t="shared" si="72"/>
        <v>-0.04</v>
      </c>
      <c r="AE92" s="189">
        <f>2.29*0.3</f>
        <v>0.68699999999999994</v>
      </c>
      <c r="AF92" s="188">
        <f t="shared" ref="AF92:AF155" si="85">+E92+SUM(AB92:AE92)</f>
        <v>3.6595</v>
      </c>
      <c r="AG92" s="183">
        <f t="shared" si="59"/>
        <v>8</v>
      </c>
      <c r="AH92" s="182">
        <f t="shared" si="60"/>
        <v>0.3</v>
      </c>
      <c r="AI92" s="183">
        <f t="shared" si="61"/>
        <v>8</v>
      </c>
      <c r="AJ92" s="189">
        <f t="shared" si="62"/>
        <v>5.2499999999999998E-2</v>
      </c>
      <c r="AK92" s="189">
        <f>0.23*2</f>
        <v>0.46</v>
      </c>
      <c r="AL92" s="189">
        <f t="shared" si="73"/>
        <v>-0.04</v>
      </c>
      <c r="AM92" s="189">
        <f>3.93*0.3</f>
        <v>1.179</v>
      </c>
      <c r="AN92" s="188">
        <f t="shared" ref="AN92:AN155" si="86">+E92+SUM(AJ92:AM92)</f>
        <v>4.1515000000000004</v>
      </c>
      <c r="AO92" s="183">
        <v>0</v>
      </c>
      <c r="AP92" s="182">
        <f t="shared" si="63"/>
        <v>8</v>
      </c>
      <c r="AQ92" s="182">
        <v>1.5</v>
      </c>
      <c r="AR92" s="187">
        <f t="shared" si="74"/>
        <v>69.369500000000002</v>
      </c>
      <c r="AS92" s="187">
        <f t="shared" si="75"/>
        <v>0</v>
      </c>
      <c r="AT92" s="187">
        <f t="shared" si="76"/>
        <v>0</v>
      </c>
      <c r="AU92" s="187">
        <f t="shared" si="77"/>
        <v>66.147500000000008</v>
      </c>
      <c r="AV92" s="187">
        <f t="shared" si="64"/>
        <v>0</v>
      </c>
      <c r="AW92" s="187">
        <f t="shared" si="78"/>
        <v>0</v>
      </c>
      <c r="AX92" s="187">
        <f t="shared" si="79"/>
        <v>12</v>
      </c>
      <c r="AY92" s="190"/>
      <c r="AZ92" s="240"/>
      <c r="BA92" s="232"/>
      <c r="BF92" s="206"/>
      <c r="BG92" s="206"/>
      <c r="BK92" s="126"/>
      <c r="BL92" s="126"/>
      <c r="BN92" s="126"/>
      <c r="BO92" s="126"/>
      <c r="BQ92" s="126"/>
      <c r="BR92" s="126"/>
      <c r="BT92" s="126"/>
      <c r="BU92" s="126"/>
      <c r="BW92" s="126"/>
      <c r="BX92" s="126"/>
      <c r="BZ92" s="126"/>
      <c r="CA92" s="126"/>
      <c r="CC92" s="126"/>
      <c r="CD92" s="126"/>
      <c r="CF92" s="126"/>
      <c r="CG92" s="126"/>
    </row>
    <row r="93" spans="1:85" s="197" customFormat="1" x14ac:dyDescent="0.3">
      <c r="A93" s="182" t="s">
        <v>245</v>
      </c>
      <c r="B93" s="183">
        <v>1</v>
      </c>
      <c r="C93" s="184" t="s">
        <v>315</v>
      </c>
      <c r="D93" s="187">
        <v>2.5</v>
      </c>
      <c r="E93" s="187">
        <v>1.6</v>
      </c>
      <c r="F93" s="186">
        <v>0.14000000000000001</v>
      </c>
      <c r="G93" s="187">
        <f t="shared" si="65"/>
        <v>0.56000000000000005</v>
      </c>
      <c r="H93" s="188">
        <f t="shared" si="48"/>
        <v>4</v>
      </c>
      <c r="I93" s="183">
        <f t="shared" si="50"/>
        <v>10</v>
      </c>
      <c r="J93" s="188">
        <f t="shared" si="66"/>
        <v>0.2</v>
      </c>
      <c r="K93" s="183">
        <f t="shared" si="67"/>
        <v>9</v>
      </c>
      <c r="L93" s="189">
        <f t="shared" si="68"/>
        <v>5.8800000000000005E-2</v>
      </c>
      <c r="M93" s="189">
        <f>0.23*2</f>
        <v>0.46</v>
      </c>
      <c r="N93" s="189">
        <f t="shared" si="69"/>
        <v>-0.04</v>
      </c>
      <c r="O93" s="189">
        <f>2.29*0.3</f>
        <v>0.68699999999999994</v>
      </c>
      <c r="P93" s="188">
        <f t="shared" si="82"/>
        <v>3.6657999999999999</v>
      </c>
      <c r="Q93" s="183">
        <f t="shared" si="51"/>
        <v>10</v>
      </c>
      <c r="R93" s="188">
        <f t="shared" si="52"/>
        <v>0.2</v>
      </c>
      <c r="S93" s="183">
        <f t="shared" si="53"/>
        <v>8</v>
      </c>
      <c r="T93" s="189">
        <f t="shared" si="54"/>
        <v>5.8800000000000005E-2</v>
      </c>
      <c r="U93" s="189">
        <f>0.23*2</f>
        <v>0.46</v>
      </c>
      <c r="V93" s="189">
        <f t="shared" si="71"/>
        <v>-0.04</v>
      </c>
      <c r="W93" s="189">
        <f>1.83*0.3</f>
        <v>0.54900000000000004</v>
      </c>
      <c r="X93" s="188">
        <f t="shared" si="47"/>
        <v>3.5278</v>
      </c>
      <c r="Y93" s="183">
        <f t="shared" si="55"/>
        <v>10</v>
      </c>
      <c r="Z93" s="188">
        <f t="shared" si="56"/>
        <v>0.24</v>
      </c>
      <c r="AA93" s="183">
        <f t="shared" si="57"/>
        <v>11</v>
      </c>
      <c r="AB93" s="189">
        <f t="shared" si="58"/>
        <v>5.8800000000000005E-2</v>
      </c>
      <c r="AC93" s="189">
        <f>0.3+0.23</f>
        <v>0.53</v>
      </c>
      <c r="AD93" s="189">
        <f t="shared" si="72"/>
        <v>-0.04</v>
      </c>
      <c r="AE93" s="189">
        <v>0</v>
      </c>
      <c r="AF93" s="188">
        <f t="shared" si="85"/>
        <v>2.1488</v>
      </c>
      <c r="AG93" s="183">
        <f t="shared" si="59"/>
        <v>10</v>
      </c>
      <c r="AH93" s="182">
        <f t="shared" si="60"/>
        <v>0.24</v>
      </c>
      <c r="AI93" s="183">
        <f t="shared" si="61"/>
        <v>10</v>
      </c>
      <c r="AJ93" s="189">
        <f t="shared" si="62"/>
        <v>5.8800000000000005E-2</v>
      </c>
      <c r="AK93" s="189">
        <f>0.3+0.23</f>
        <v>0.53</v>
      </c>
      <c r="AL93" s="189">
        <f t="shared" si="73"/>
        <v>-0.04</v>
      </c>
      <c r="AM93" s="189">
        <v>0</v>
      </c>
      <c r="AN93" s="188">
        <f t="shared" si="86"/>
        <v>2.1488</v>
      </c>
      <c r="AO93" s="183">
        <v>0</v>
      </c>
      <c r="AP93" s="182">
        <f t="shared" si="63"/>
        <v>6</v>
      </c>
      <c r="AQ93" s="182">
        <v>1.5</v>
      </c>
      <c r="AR93" s="187">
        <f t="shared" si="74"/>
        <v>0</v>
      </c>
      <c r="AS93" s="187">
        <f t="shared" si="75"/>
        <v>61.214599999999997</v>
      </c>
      <c r="AT93" s="187">
        <f t="shared" si="76"/>
        <v>0</v>
      </c>
      <c r="AU93" s="187">
        <f t="shared" si="77"/>
        <v>0</v>
      </c>
      <c r="AV93" s="187">
        <f t="shared" si="64"/>
        <v>45.1248</v>
      </c>
      <c r="AW93" s="187">
        <f t="shared" si="78"/>
        <v>0</v>
      </c>
      <c r="AX93" s="187">
        <f t="shared" si="79"/>
        <v>9</v>
      </c>
      <c r="AY93" s="190"/>
      <c r="AZ93" s="240"/>
      <c r="BA93" s="232"/>
      <c r="BF93" s="206"/>
      <c r="BG93" s="206"/>
      <c r="BK93" s="126"/>
      <c r="BL93" s="126"/>
      <c r="BN93" s="126"/>
      <c r="BO93" s="126"/>
      <c r="BQ93" s="126"/>
      <c r="BR93" s="126"/>
      <c r="BT93" s="126"/>
      <c r="BU93" s="126"/>
      <c r="BW93" s="126"/>
      <c r="BX93" s="126"/>
      <c r="BZ93" s="126"/>
      <c r="CA93" s="126"/>
      <c r="CC93" s="126"/>
      <c r="CD93" s="126"/>
      <c r="CF93" s="126"/>
      <c r="CG93" s="126"/>
    </row>
    <row r="94" spans="1:85" s="197" customFormat="1" x14ac:dyDescent="0.3">
      <c r="A94" s="182" t="s">
        <v>239</v>
      </c>
      <c r="B94" s="183">
        <v>1</v>
      </c>
      <c r="C94" s="184" t="s">
        <v>316</v>
      </c>
      <c r="D94" s="187">
        <v>2.29</v>
      </c>
      <c r="E94" s="187">
        <v>2.64</v>
      </c>
      <c r="F94" s="186">
        <v>0.125</v>
      </c>
      <c r="G94" s="187">
        <f t="shared" si="65"/>
        <v>0.75570000000000004</v>
      </c>
      <c r="H94" s="188">
        <f t="shared" si="48"/>
        <v>6.0456000000000003</v>
      </c>
      <c r="I94" s="183">
        <f t="shared" si="50"/>
        <v>8</v>
      </c>
      <c r="J94" s="188">
        <f t="shared" si="66"/>
        <v>0.23</v>
      </c>
      <c r="K94" s="183">
        <f t="shared" si="67"/>
        <v>12</v>
      </c>
      <c r="L94" s="189">
        <f t="shared" si="68"/>
        <v>5.2499999999999998E-2</v>
      </c>
      <c r="M94" s="189">
        <f t="shared" si="83"/>
        <v>0.6</v>
      </c>
      <c r="N94" s="189">
        <f t="shared" si="69"/>
        <v>-0.04</v>
      </c>
      <c r="O94" s="189">
        <f>1.6*0.3</f>
        <v>0.48</v>
      </c>
      <c r="P94" s="188">
        <f t="shared" si="82"/>
        <v>3.3824999999999998</v>
      </c>
      <c r="Q94" s="183">
        <f t="shared" si="51"/>
        <v>8</v>
      </c>
      <c r="R94" s="188">
        <f t="shared" si="52"/>
        <v>0.23</v>
      </c>
      <c r="S94" s="183">
        <f t="shared" si="53"/>
        <v>11</v>
      </c>
      <c r="T94" s="189">
        <f t="shared" si="54"/>
        <v>5.2499999999999998E-2</v>
      </c>
      <c r="U94" s="189">
        <f t="shared" si="84"/>
        <v>0.6</v>
      </c>
      <c r="V94" s="189">
        <f t="shared" si="71"/>
        <v>-0.04</v>
      </c>
      <c r="W94" s="189">
        <f>4.12*0.3</f>
        <v>1.236</v>
      </c>
      <c r="X94" s="188">
        <f t="shared" si="47"/>
        <v>4.1385000000000005</v>
      </c>
      <c r="Y94" s="183">
        <f t="shared" si="55"/>
        <v>8</v>
      </c>
      <c r="Z94" s="188">
        <f t="shared" si="56"/>
        <v>0.3</v>
      </c>
      <c r="AA94" s="183">
        <f t="shared" si="57"/>
        <v>9</v>
      </c>
      <c r="AB94" s="189">
        <f t="shared" si="58"/>
        <v>5.2499999999999998E-2</v>
      </c>
      <c r="AC94" s="189">
        <f>0.23*2</f>
        <v>0.46</v>
      </c>
      <c r="AD94" s="189">
        <f t="shared" si="72"/>
        <v>-0.04</v>
      </c>
      <c r="AE94" s="189">
        <f>2.19*0.3</f>
        <v>0.65699999999999992</v>
      </c>
      <c r="AF94" s="188">
        <f t="shared" si="85"/>
        <v>3.7694999999999999</v>
      </c>
      <c r="AG94" s="183">
        <f t="shared" si="59"/>
        <v>8</v>
      </c>
      <c r="AH94" s="182">
        <f t="shared" si="60"/>
        <v>0.3</v>
      </c>
      <c r="AI94" s="183">
        <f t="shared" si="61"/>
        <v>8</v>
      </c>
      <c r="AJ94" s="189">
        <f t="shared" si="62"/>
        <v>5.2499999999999998E-2</v>
      </c>
      <c r="AK94" s="189">
        <f>0.23*2</f>
        <v>0.46</v>
      </c>
      <c r="AL94" s="189">
        <f t="shared" si="73"/>
        <v>-0.04</v>
      </c>
      <c r="AM94" s="189">
        <f>1.83*0.3</f>
        <v>0.54900000000000004</v>
      </c>
      <c r="AN94" s="188">
        <f t="shared" si="86"/>
        <v>3.6615000000000002</v>
      </c>
      <c r="AO94" s="183">
        <v>0</v>
      </c>
      <c r="AP94" s="182">
        <f t="shared" si="63"/>
        <v>8</v>
      </c>
      <c r="AQ94" s="182">
        <v>1.5</v>
      </c>
      <c r="AR94" s="187">
        <f t="shared" si="74"/>
        <v>86.113500000000002</v>
      </c>
      <c r="AS94" s="187">
        <f t="shared" si="75"/>
        <v>0</v>
      </c>
      <c r="AT94" s="187">
        <f t="shared" si="76"/>
        <v>0</v>
      </c>
      <c r="AU94" s="187">
        <f t="shared" si="77"/>
        <v>63.217500000000001</v>
      </c>
      <c r="AV94" s="187">
        <f t="shared" si="64"/>
        <v>0</v>
      </c>
      <c r="AW94" s="187">
        <f t="shared" si="78"/>
        <v>0</v>
      </c>
      <c r="AX94" s="187">
        <f t="shared" si="79"/>
        <v>12</v>
      </c>
      <c r="AY94" s="190"/>
      <c r="AZ94" s="240"/>
      <c r="BA94" s="232"/>
      <c r="BF94" s="206"/>
      <c r="BG94" s="206"/>
      <c r="BK94" s="126"/>
      <c r="BL94" s="126"/>
      <c r="BN94" s="126"/>
      <c r="BO94" s="126"/>
      <c r="BQ94" s="126"/>
      <c r="BR94" s="126"/>
      <c r="BT94" s="126"/>
      <c r="BU94" s="126"/>
      <c r="BW94" s="126"/>
      <c r="BX94" s="126"/>
      <c r="BZ94" s="126"/>
      <c r="CA94" s="126"/>
      <c r="CC94" s="126"/>
      <c r="CD94" s="126"/>
      <c r="CF94" s="126"/>
      <c r="CG94" s="126"/>
    </row>
    <row r="95" spans="1:85" s="197" customFormat="1" x14ac:dyDescent="0.3">
      <c r="A95" s="182" t="s">
        <v>227</v>
      </c>
      <c r="B95" s="183">
        <v>1</v>
      </c>
      <c r="C95" s="184" t="s">
        <v>317</v>
      </c>
      <c r="D95" s="187">
        <v>4.12</v>
      </c>
      <c r="E95" s="187">
        <v>1.72</v>
      </c>
      <c r="F95" s="186">
        <v>0.125</v>
      </c>
      <c r="G95" s="187">
        <f t="shared" si="65"/>
        <v>0.88580000000000003</v>
      </c>
      <c r="H95" s="188">
        <f t="shared" si="48"/>
        <v>7.0864000000000003</v>
      </c>
      <c r="I95" s="183">
        <f t="shared" si="50"/>
        <v>8</v>
      </c>
      <c r="J95" s="188">
        <f t="shared" si="66"/>
        <v>0.2</v>
      </c>
      <c r="K95" s="183">
        <f t="shared" si="67"/>
        <v>10</v>
      </c>
      <c r="L95" s="189">
        <f t="shared" si="68"/>
        <v>5.2499999999999998E-2</v>
      </c>
      <c r="M95" s="189">
        <f t="shared" si="83"/>
        <v>0.6</v>
      </c>
      <c r="N95" s="189">
        <f t="shared" si="69"/>
        <v>-0.04</v>
      </c>
      <c r="O95" s="189">
        <f>2.29*0.3</f>
        <v>0.68699999999999994</v>
      </c>
      <c r="P95" s="188">
        <f t="shared" si="82"/>
        <v>5.4195000000000002</v>
      </c>
      <c r="Q95" s="183">
        <f t="shared" si="51"/>
        <v>8</v>
      </c>
      <c r="R95" s="188">
        <f t="shared" si="52"/>
        <v>0.2</v>
      </c>
      <c r="S95" s="183">
        <f t="shared" si="53"/>
        <v>9</v>
      </c>
      <c r="T95" s="189">
        <f t="shared" si="54"/>
        <v>5.2499999999999998E-2</v>
      </c>
      <c r="U95" s="189">
        <f t="shared" si="84"/>
        <v>0.6</v>
      </c>
      <c r="V95" s="189">
        <f t="shared" si="71"/>
        <v>-0.04</v>
      </c>
      <c r="W95" s="189">
        <f>3.01*0.3</f>
        <v>0.90299999999999991</v>
      </c>
      <c r="X95" s="188">
        <f t="shared" si="47"/>
        <v>5.6355000000000004</v>
      </c>
      <c r="Y95" s="183">
        <f t="shared" si="55"/>
        <v>8</v>
      </c>
      <c r="Z95" s="188">
        <f t="shared" si="56"/>
        <v>0.2</v>
      </c>
      <c r="AA95" s="183">
        <f t="shared" si="57"/>
        <v>22</v>
      </c>
      <c r="AB95" s="189">
        <f t="shared" si="58"/>
        <v>5.2499999999999998E-2</v>
      </c>
      <c r="AC95" s="189">
        <f>0.23*2</f>
        <v>0.46</v>
      </c>
      <c r="AD95" s="189">
        <f t="shared" si="72"/>
        <v>-0.04</v>
      </c>
      <c r="AE95" s="189">
        <f>2.19*0.3</f>
        <v>0.65699999999999992</v>
      </c>
      <c r="AF95" s="188">
        <f t="shared" si="85"/>
        <v>2.8494999999999999</v>
      </c>
      <c r="AG95" s="183">
        <f t="shared" si="59"/>
        <v>8</v>
      </c>
      <c r="AH95" s="182">
        <f t="shared" si="60"/>
        <v>0.2</v>
      </c>
      <c r="AI95" s="183">
        <f t="shared" si="61"/>
        <v>21</v>
      </c>
      <c r="AJ95" s="189">
        <f t="shared" si="62"/>
        <v>5.2499999999999998E-2</v>
      </c>
      <c r="AK95" s="189">
        <f>0.23*2</f>
        <v>0.46</v>
      </c>
      <c r="AL95" s="189">
        <f t="shared" si="73"/>
        <v>-0.04</v>
      </c>
      <c r="AM95" s="189">
        <f>2.09*0.3</f>
        <v>0.62699999999999989</v>
      </c>
      <c r="AN95" s="188">
        <f t="shared" si="86"/>
        <v>2.8194999999999997</v>
      </c>
      <c r="AO95" s="183">
        <v>0</v>
      </c>
      <c r="AP95" s="182">
        <f t="shared" si="63"/>
        <v>8</v>
      </c>
      <c r="AQ95" s="182">
        <v>1.5</v>
      </c>
      <c r="AR95" s="187">
        <f t="shared" si="74"/>
        <v>104.9145</v>
      </c>
      <c r="AS95" s="187">
        <f t="shared" si="75"/>
        <v>0</v>
      </c>
      <c r="AT95" s="187">
        <f t="shared" si="76"/>
        <v>0</v>
      </c>
      <c r="AU95" s="187">
        <f t="shared" si="77"/>
        <v>121.89849999999998</v>
      </c>
      <c r="AV95" s="187">
        <f t="shared" si="64"/>
        <v>0</v>
      </c>
      <c r="AW95" s="187">
        <f t="shared" si="78"/>
        <v>0</v>
      </c>
      <c r="AX95" s="187">
        <f t="shared" si="79"/>
        <v>12</v>
      </c>
      <c r="AY95" s="190"/>
      <c r="AZ95" s="240"/>
      <c r="BA95" s="232"/>
      <c r="BF95" s="206"/>
      <c r="BG95" s="206"/>
      <c r="BK95" s="126"/>
      <c r="BL95" s="126"/>
      <c r="BN95" s="126"/>
      <c r="BO95" s="126"/>
      <c r="BQ95" s="126"/>
      <c r="BR95" s="126"/>
      <c r="BT95" s="126"/>
      <c r="BU95" s="126"/>
      <c r="BW95" s="126"/>
      <c r="BX95" s="126"/>
      <c r="BZ95" s="126"/>
      <c r="CA95" s="126"/>
      <c r="CC95" s="126"/>
      <c r="CD95" s="126"/>
      <c r="CF95" s="126"/>
      <c r="CG95" s="126"/>
    </row>
    <row r="96" spans="1:85" s="197" customFormat="1" x14ac:dyDescent="0.3">
      <c r="A96" s="182" t="s">
        <v>239</v>
      </c>
      <c r="B96" s="183">
        <v>1</v>
      </c>
      <c r="C96" s="184" t="s">
        <v>318</v>
      </c>
      <c r="D96" s="187">
        <v>3.01</v>
      </c>
      <c r="E96" s="187">
        <v>2.895</v>
      </c>
      <c r="F96" s="186">
        <v>0.125</v>
      </c>
      <c r="G96" s="187">
        <f t="shared" si="65"/>
        <v>1.0892437499999998</v>
      </c>
      <c r="H96" s="188">
        <f t="shared" si="48"/>
        <v>8.7139499999999988</v>
      </c>
      <c r="I96" s="183">
        <f t="shared" si="50"/>
        <v>8</v>
      </c>
      <c r="J96" s="188">
        <f t="shared" si="66"/>
        <v>0.23</v>
      </c>
      <c r="K96" s="183">
        <f t="shared" si="67"/>
        <v>14</v>
      </c>
      <c r="L96" s="189">
        <f t="shared" si="68"/>
        <v>5.2499999999999998E-2</v>
      </c>
      <c r="M96" s="189">
        <f t="shared" si="83"/>
        <v>0.6</v>
      </c>
      <c r="N96" s="189">
        <f t="shared" si="69"/>
        <v>-0.04</v>
      </c>
      <c r="O96" s="189">
        <f>4.12*0.3</f>
        <v>1.236</v>
      </c>
      <c r="P96" s="188">
        <f t="shared" si="82"/>
        <v>4.8584999999999994</v>
      </c>
      <c r="Q96" s="183">
        <f t="shared" si="51"/>
        <v>8</v>
      </c>
      <c r="R96" s="188">
        <f t="shared" si="52"/>
        <v>0.23</v>
      </c>
      <c r="S96" s="183">
        <f t="shared" si="53"/>
        <v>13</v>
      </c>
      <c r="T96" s="189">
        <f t="shared" si="54"/>
        <v>5.2499999999999998E-2</v>
      </c>
      <c r="U96" s="189">
        <f t="shared" si="84"/>
        <v>0.6</v>
      </c>
      <c r="V96" s="189">
        <f t="shared" si="71"/>
        <v>-0.04</v>
      </c>
      <c r="W96" s="189">
        <f>4.871*0.3</f>
        <v>1.4613</v>
      </c>
      <c r="X96" s="188">
        <f t="shared" si="47"/>
        <v>5.0838000000000001</v>
      </c>
      <c r="Y96" s="183">
        <f t="shared" si="55"/>
        <v>8</v>
      </c>
      <c r="Z96" s="188">
        <f t="shared" si="56"/>
        <v>0.3</v>
      </c>
      <c r="AA96" s="183">
        <f t="shared" si="57"/>
        <v>11</v>
      </c>
      <c r="AB96" s="189">
        <f t="shared" si="58"/>
        <v>5.2499999999999998E-2</v>
      </c>
      <c r="AC96" s="189">
        <f t="shared" ref="AC96:AC156" si="87">0.3*2</f>
        <v>0.6</v>
      </c>
      <c r="AD96" s="189">
        <f t="shared" si="72"/>
        <v>-0.04</v>
      </c>
      <c r="AE96" s="189">
        <f>2.895*0.3</f>
        <v>0.86849999999999994</v>
      </c>
      <c r="AF96" s="188">
        <f t="shared" si="85"/>
        <v>4.3759999999999994</v>
      </c>
      <c r="AG96" s="183">
        <f t="shared" si="59"/>
        <v>8</v>
      </c>
      <c r="AH96" s="182">
        <f t="shared" si="60"/>
        <v>0.3</v>
      </c>
      <c r="AI96" s="183">
        <f t="shared" si="61"/>
        <v>10</v>
      </c>
      <c r="AJ96" s="189">
        <f t="shared" si="62"/>
        <v>5.2499999999999998E-2</v>
      </c>
      <c r="AK96" s="189">
        <f t="shared" ref="AK96:AK156" si="88">0.3*2</f>
        <v>0.6</v>
      </c>
      <c r="AL96" s="189">
        <f t="shared" si="73"/>
        <v>-0.04</v>
      </c>
      <c r="AM96" s="189">
        <f>4.42*0.3</f>
        <v>1.3259999999999998</v>
      </c>
      <c r="AN96" s="188">
        <f t="shared" si="86"/>
        <v>4.8334999999999999</v>
      </c>
      <c r="AO96" s="183">
        <v>0</v>
      </c>
      <c r="AP96" s="182">
        <f t="shared" si="63"/>
        <v>8</v>
      </c>
      <c r="AQ96" s="182">
        <v>1.5</v>
      </c>
      <c r="AR96" s="187">
        <f t="shared" si="74"/>
        <v>134.10839999999999</v>
      </c>
      <c r="AS96" s="187">
        <f t="shared" si="75"/>
        <v>0</v>
      </c>
      <c r="AT96" s="187">
        <f t="shared" si="76"/>
        <v>0</v>
      </c>
      <c r="AU96" s="187">
        <f t="shared" si="77"/>
        <v>96.471000000000004</v>
      </c>
      <c r="AV96" s="187">
        <f t="shared" si="64"/>
        <v>0</v>
      </c>
      <c r="AW96" s="187">
        <f t="shared" si="78"/>
        <v>0</v>
      </c>
      <c r="AX96" s="187">
        <f t="shared" si="79"/>
        <v>12</v>
      </c>
      <c r="AY96" s="190"/>
      <c r="AZ96" s="240"/>
      <c r="BA96" s="232"/>
      <c r="BF96" s="206"/>
      <c r="BG96" s="206"/>
      <c r="BK96" s="126"/>
      <c r="BL96" s="126"/>
      <c r="BN96" s="126"/>
      <c r="BO96" s="126"/>
      <c r="BQ96" s="126"/>
      <c r="BR96" s="126"/>
      <c r="BT96" s="126"/>
      <c r="BU96" s="126"/>
      <c r="BW96" s="126"/>
      <c r="BX96" s="126"/>
      <c r="BZ96" s="126"/>
      <c r="CA96" s="126"/>
      <c r="CC96" s="126"/>
      <c r="CD96" s="126"/>
      <c r="CF96" s="126"/>
      <c r="CG96" s="126"/>
    </row>
    <row r="97" spans="1:85" s="197" customFormat="1" x14ac:dyDescent="0.3">
      <c r="A97" s="182" t="s">
        <v>243</v>
      </c>
      <c r="B97" s="183">
        <v>1</v>
      </c>
      <c r="C97" s="184" t="s">
        <v>319</v>
      </c>
      <c r="D97" s="187">
        <v>4.8710000000000004</v>
      </c>
      <c r="E97" s="187">
        <v>2.75</v>
      </c>
      <c r="F97" s="186">
        <v>0.15</v>
      </c>
      <c r="G97" s="187">
        <f t="shared" si="65"/>
        <v>2.0092875000000001</v>
      </c>
      <c r="H97" s="188">
        <f t="shared" si="48"/>
        <v>13.395250000000001</v>
      </c>
      <c r="I97" s="183">
        <f t="shared" si="50"/>
        <v>10</v>
      </c>
      <c r="J97" s="188">
        <f t="shared" si="66"/>
        <v>0.2</v>
      </c>
      <c r="K97" s="183">
        <f t="shared" si="67"/>
        <v>15</v>
      </c>
      <c r="L97" s="189">
        <f t="shared" si="68"/>
        <v>6.3E-2</v>
      </c>
      <c r="M97" s="189">
        <f t="shared" si="83"/>
        <v>0.6</v>
      </c>
      <c r="N97" s="189">
        <f t="shared" si="69"/>
        <v>-0.04</v>
      </c>
      <c r="O97" s="189">
        <f>3.01*0.3</f>
        <v>0.90299999999999991</v>
      </c>
      <c r="P97" s="188">
        <f t="shared" si="82"/>
        <v>6.3970000000000002</v>
      </c>
      <c r="Q97" s="183">
        <f t="shared" si="51"/>
        <v>10</v>
      </c>
      <c r="R97" s="188">
        <f t="shared" si="52"/>
        <v>0.2</v>
      </c>
      <c r="S97" s="183">
        <f t="shared" si="53"/>
        <v>14</v>
      </c>
      <c r="T97" s="189">
        <f t="shared" si="54"/>
        <v>6.3E-2</v>
      </c>
      <c r="U97" s="189">
        <f t="shared" si="84"/>
        <v>0.6</v>
      </c>
      <c r="V97" s="189">
        <f t="shared" si="71"/>
        <v>-0.04</v>
      </c>
      <c r="W97" s="189">
        <f>3.66*0.3</f>
        <v>1.0980000000000001</v>
      </c>
      <c r="X97" s="188">
        <f t="shared" si="47"/>
        <v>6.5920000000000005</v>
      </c>
      <c r="Y97" s="183">
        <f t="shared" si="55"/>
        <v>8</v>
      </c>
      <c r="Z97" s="188">
        <f t="shared" si="56"/>
        <v>0.24</v>
      </c>
      <c r="AA97" s="183">
        <f t="shared" si="57"/>
        <v>21</v>
      </c>
      <c r="AB97" s="189">
        <f t="shared" si="58"/>
        <v>6.3E-2</v>
      </c>
      <c r="AC97" s="189">
        <f>0.38+0.34</f>
        <v>0.72</v>
      </c>
      <c r="AD97" s="189">
        <f t="shared" si="72"/>
        <v>-0.04</v>
      </c>
      <c r="AE97" s="189">
        <f>2.75*0.3</f>
        <v>0.82499999999999996</v>
      </c>
      <c r="AF97" s="188">
        <f t="shared" si="85"/>
        <v>4.3179999999999996</v>
      </c>
      <c r="AG97" s="183">
        <f t="shared" si="59"/>
        <v>8</v>
      </c>
      <c r="AH97" s="182">
        <f t="shared" si="60"/>
        <v>0.24</v>
      </c>
      <c r="AI97" s="183">
        <f t="shared" si="61"/>
        <v>20</v>
      </c>
      <c r="AJ97" s="189">
        <f t="shared" si="62"/>
        <v>6.3E-2</v>
      </c>
      <c r="AK97" s="189">
        <f>0.38+0.34</f>
        <v>0.72</v>
      </c>
      <c r="AL97" s="189">
        <f t="shared" si="73"/>
        <v>-0.04</v>
      </c>
      <c r="AM97" s="189">
        <f>4.42*0.3</f>
        <v>1.3259999999999998</v>
      </c>
      <c r="AN97" s="188">
        <f t="shared" si="86"/>
        <v>4.819</v>
      </c>
      <c r="AO97" s="183">
        <v>0</v>
      </c>
      <c r="AP97" s="182">
        <f t="shared" si="63"/>
        <v>10</v>
      </c>
      <c r="AQ97" s="182">
        <v>1.5</v>
      </c>
      <c r="AR97" s="187">
        <f t="shared" si="74"/>
        <v>0</v>
      </c>
      <c r="AS97" s="187">
        <f t="shared" si="75"/>
        <v>188.24299999999999</v>
      </c>
      <c r="AT97" s="187">
        <f t="shared" si="76"/>
        <v>0</v>
      </c>
      <c r="AU97" s="187">
        <f t="shared" si="77"/>
        <v>187.05799999999999</v>
      </c>
      <c r="AV97" s="187">
        <f t="shared" si="64"/>
        <v>0</v>
      </c>
      <c r="AW97" s="187">
        <f t="shared" si="78"/>
        <v>0</v>
      </c>
      <c r="AX97" s="187">
        <f t="shared" si="79"/>
        <v>15</v>
      </c>
      <c r="AY97" s="190"/>
      <c r="AZ97" s="240"/>
      <c r="BA97" s="232"/>
      <c r="BF97" s="206"/>
      <c r="BG97" s="206"/>
      <c r="BK97" s="126"/>
      <c r="BL97" s="126"/>
      <c r="BN97" s="126"/>
      <c r="BO97" s="126"/>
      <c r="BQ97" s="126"/>
      <c r="BR97" s="126"/>
      <c r="BT97" s="126"/>
      <c r="BU97" s="126"/>
      <c r="BW97" s="126"/>
      <c r="BX97" s="126"/>
      <c r="BZ97" s="126"/>
      <c r="CA97" s="126"/>
      <c r="CC97" s="126"/>
      <c r="CD97" s="126"/>
      <c r="CF97" s="126"/>
      <c r="CG97" s="126"/>
    </row>
    <row r="98" spans="1:85" s="197" customFormat="1" x14ac:dyDescent="0.3">
      <c r="A98" s="182" t="s">
        <v>232</v>
      </c>
      <c r="B98" s="183">
        <v>1</v>
      </c>
      <c r="C98" s="184" t="s">
        <v>320</v>
      </c>
      <c r="D98" s="187">
        <v>3.66</v>
      </c>
      <c r="E98" s="187">
        <v>2.75</v>
      </c>
      <c r="F98" s="186">
        <v>0.13</v>
      </c>
      <c r="G98" s="187">
        <f t="shared" si="65"/>
        <v>1.3084500000000001</v>
      </c>
      <c r="H98" s="188">
        <f t="shared" si="48"/>
        <v>10.065000000000001</v>
      </c>
      <c r="I98" s="183">
        <f t="shared" si="50"/>
        <v>8</v>
      </c>
      <c r="J98" s="188">
        <f t="shared" si="66"/>
        <v>0.2</v>
      </c>
      <c r="K98" s="183">
        <f t="shared" si="67"/>
        <v>15</v>
      </c>
      <c r="L98" s="189">
        <f t="shared" si="68"/>
        <v>5.4600000000000003E-2</v>
      </c>
      <c r="M98" s="189">
        <f t="shared" si="83"/>
        <v>0.6</v>
      </c>
      <c r="N98" s="189">
        <f t="shared" si="69"/>
        <v>-0.04</v>
      </c>
      <c r="O98" s="189">
        <f>4.87*0.3</f>
        <v>1.4610000000000001</v>
      </c>
      <c r="P98" s="188">
        <f t="shared" si="82"/>
        <v>5.7355999999999998</v>
      </c>
      <c r="Q98" s="183">
        <f t="shared" si="51"/>
        <v>8</v>
      </c>
      <c r="R98" s="188">
        <f t="shared" si="52"/>
        <v>0.2</v>
      </c>
      <c r="S98" s="183">
        <f t="shared" si="53"/>
        <v>14</v>
      </c>
      <c r="T98" s="189">
        <f t="shared" si="54"/>
        <v>5.4600000000000003E-2</v>
      </c>
      <c r="U98" s="189">
        <f t="shared" si="84"/>
        <v>0.6</v>
      </c>
      <c r="V98" s="189">
        <f t="shared" si="71"/>
        <v>-0.04</v>
      </c>
      <c r="W98" s="189">
        <f>6*0.3</f>
        <v>1.7999999999999998</v>
      </c>
      <c r="X98" s="188">
        <f t="shared" si="47"/>
        <v>6.0746000000000002</v>
      </c>
      <c r="Y98" s="183">
        <f t="shared" si="55"/>
        <v>8</v>
      </c>
      <c r="Z98" s="188">
        <f t="shared" si="56"/>
        <v>0.24</v>
      </c>
      <c r="AA98" s="183">
        <f t="shared" si="57"/>
        <v>16</v>
      </c>
      <c r="AB98" s="189">
        <f t="shared" si="58"/>
        <v>5.4600000000000003E-2</v>
      </c>
      <c r="AC98" s="189">
        <f>0.38+0.34</f>
        <v>0.72</v>
      </c>
      <c r="AD98" s="189">
        <f t="shared" si="72"/>
        <v>-0.04</v>
      </c>
      <c r="AE98" s="189">
        <f>2.75*0.3</f>
        <v>0.82499999999999996</v>
      </c>
      <c r="AF98" s="188">
        <f t="shared" si="85"/>
        <v>4.3095999999999997</v>
      </c>
      <c r="AG98" s="183">
        <f t="shared" si="59"/>
        <v>8</v>
      </c>
      <c r="AH98" s="182">
        <f t="shared" si="60"/>
        <v>0.24</v>
      </c>
      <c r="AI98" s="183">
        <f t="shared" si="61"/>
        <v>15</v>
      </c>
      <c r="AJ98" s="189">
        <f t="shared" si="62"/>
        <v>5.4600000000000003E-2</v>
      </c>
      <c r="AK98" s="189">
        <f>0.38+0.34</f>
        <v>0.72</v>
      </c>
      <c r="AL98" s="189">
        <f t="shared" si="73"/>
        <v>-0.04</v>
      </c>
      <c r="AM98" s="189">
        <f>2.75*0.3</f>
        <v>0.82499999999999996</v>
      </c>
      <c r="AN98" s="188">
        <f t="shared" si="86"/>
        <v>4.3095999999999997</v>
      </c>
      <c r="AO98" s="183">
        <v>0</v>
      </c>
      <c r="AP98" s="182">
        <f t="shared" si="63"/>
        <v>8</v>
      </c>
      <c r="AQ98" s="182">
        <v>1.5</v>
      </c>
      <c r="AR98" s="187">
        <f t="shared" si="74"/>
        <v>171.07839999999999</v>
      </c>
      <c r="AS98" s="187">
        <f t="shared" si="75"/>
        <v>0</v>
      </c>
      <c r="AT98" s="187">
        <f t="shared" si="76"/>
        <v>0</v>
      </c>
      <c r="AU98" s="187">
        <f t="shared" si="77"/>
        <v>133.5976</v>
      </c>
      <c r="AV98" s="187">
        <f t="shared" si="64"/>
        <v>0</v>
      </c>
      <c r="AW98" s="187">
        <f t="shared" si="78"/>
        <v>0</v>
      </c>
      <c r="AX98" s="187">
        <f t="shared" si="79"/>
        <v>12</v>
      </c>
      <c r="AY98" s="190"/>
      <c r="AZ98" s="240"/>
      <c r="BA98" s="232"/>
      <c r="BF98" s="206"/>
      <c r="BG98" s="206"/>
      <c r="BK98" s="126"/>
      <c r="BL98" s="126"/>
      <c r="BN98" s="126"/>
      <c r="BO98" s="126"/>
      <c r="BQ98" s="126"/>
      <c r="BR98" s="126"/>
      <c r="BT98" s="126"/>
      <c r="BU98" s="126"/>
      <c r="BW98" s="126"/>
      <c r="BX98" s="126"/>
      <c r="BZ98" s="126"/>
      <c r="CA98" s="126"/>
      <c r="CC98" s="126"/>
      <c r="CD98" s="126"/>
      <c r="CF98" s="126"/>
      <c r="CG98" s="126"/>
    </row>
    <row r="99" spans="1:85" s="197" customFormat="1" x14ac:dyDescent="0.3">
      <c r="A99" s="182" t="s">
        <v>245</v>
      </c>
      <c r="B99" s="183">
        <v>1</v>
      </c>
      <c r="C99" s="184" t="s">
        <v>321</v>
      </c>
      <c r="D99" s="187">
        <v>1.36</v>
      </c>
      <c r="E99" s="187">
        <v>4.25</v>
      </c>
      <c r="F99" s="186">
        <v>0.14000000000000001</v>
      </c>
      <c r="G99" s="187">
        <f t="shared" si="65"/>
        <v>0.80920000000000014</v>
      </c>
      <c r="H99" s="188">
        <f t="shared" si="48"/>
        <v>5.78</v>
      </c>
      <c r="I99" s="183">
        <f t="shared" si="50"/>
        <v>10</v>
      </c>
      <c r="J99" s="188">
        <f t="shared" si="66"/>
        <v>0.2</v>
      </c>
      <c r="K99" s="183">
        <f t="shared" si="67"/>
        <v>22</v>
      </c>
      <c r="L99" s="189">
        <f t="shared" si="68"/>
        <v>5.8800000000000005E-2</v>
      </c>
      <c r="M99" s="189">
        <f>0.23*2</f>
        <v>0.46</v>
      </c>
      <c r="N99" s="189">
        <f t="shared" si="69"/>
        <v>-0.04</v>
      </c>
      <c r="O99" s="189">
        <v>0</v>
      </c>
      <c r="P99" s="188">
        <f t="shared" si="82"/>
        <v>1.8388000000000002</v>
      </c>
      <c r="Q99" s="183">
        <f t="shared" si="51"/>
        <v>10</v>
      </c>
      <c r="R99" s="188">
        <f t="shared" si="52"/>
        <v>0.2</v>
      </c>
      <c r="S99" s="183">
        <f t="shared" si="53"/>
        <v>21</v>
      </c>
      <c r="T99" s="189">
        <f t="shared" si="54"/>
        <v>5.8800000000000005E-2</v>
      </c>
      <c r="U99" s="189">
        <f>0.23*2</f>
        <v>0.46</v>
      </c>
      <c r="V99" s="189">
        <f t="shared" si="71"/>
        <v>-0.04</v>
      </c>
      <c r="W99" s="189">
        <f>1.68*0.3</f>
        <v>0.504</v>
      </c>
      <c r="X99" s="188">
        <f t="shared" si="47"/>
        <v>2.3428000000000004</v>
      </c>
      <c r="Y99" s="183">
        <f t="shared" si="55"/>
        <v>10</v>
      </c>
      <c r="Z99" s="188">
        <f t="shared" si="56"/>
        <v>0.24</v>
      </c>
      <c r="AA99" s="183">
        <f t="shared" si="57"/>
        <v>7</v>
      </c>
      <c r="AB99" s="189">
        <f t="shared" si="58"/>
        <v>5.8800000000000005E-2</v>
      </c>
      <c r="AC99" s="189">
        <f>0.23*2</f>
        <v>0.46</v>
      </c>
      <c r="AD99" s="189">
        <f t="shared" si="72"/>
        <v>-0.04</v>
      </c>
      <c r="AE99" s="189">
        <v>0</v>
      </c>
      <c r="AF99" s="188">
        <f t="shared" si="85"/>
        <v>4.7287999999999997</v>
      </c>
      <c r="AG99" s="183">
        <f t="shared" si="59"/>
        <v>10</v>
      </c>
      <c r="AH99" s="182">
        <f t="shared" si="60"/>
        <v>0.24</v>
      </c>
      <c r="AI99" s="183">
        <f t="shared" si="61"/>
        <v>6</v>
      </c>
      <c r="AJ99" s="189">
        <f t="shared" si="62"/>
        <v>5.8800000000000005E-2</v>
      </c>
      <c r="AK99" s="189">
        <f>0.23*2</f>
        <v>0.46</v>
      </c>
      <c r="AL99" s="189">
        <f t="shared" si="73"/>
        <v>-0.04</v>
      </c>
      <c r="AM99" s="189">
        <v>0</v>
      </c>
      <c r="AN99" s="188">
        <f t="shared" si="86"/>
        <v>4.7287999999999997</v>
      </c>
      <c r="AO99" s="183">
        <v>0</v>
      </c>
      <c r="AP99" s="182">
        <f t="shared" si="63"/>
        <v>8</v>
      </c>
      <c r="AQ99" s="182">
        <v>1.5</v>
      </c>
      <c r="AR99" s="187">
        <f t="shared" si="74"/>
        <v>0</v>
      </c>
      <c r="AS99" s="187">
        <f t="shared" si="75"/>
        <v>89.6524</v>
      </c>
      <c r="AT99" s="187">
        <f t="shared" si="76"/>
        <v>0</v>
      </c>
      <c r="AU99" s="187">
        <f t="shared" si="77"/>
        <v>0</v>
      </c>
      <c r="AV99" s="187">
        <f t="shared" si="64"/>
        <v>61.474399999999996</v>
      </c>
      <c r="AW99" s="187">
        <f t="shared" si="78"/>
        <v>0</v>
      </c>
      <c r="AX99" s="187">
        <f t="shared" si="79"/>
        <v>12</v>
      </c>
      <c r="AY99" s="190"/>
      <c r="AZ99" s="240"/>
      <c r="BA99" s="232"/>
      <c r="BF99" s="206"/>
      <c r="BG99" s="206"/>
      <c r="BK99" s="126"/>
      <c r="BL99" s="126"/>
      <c r="BN99" s="126"/>
      <c r="BO99" s="126"/>
      <c r="BQ99" s="126"/>
      <c r="BR99" s="126"/>
      <c r="BT99" s="126"/>
      <c r="BU99" s="126"/>
      <c r="BW99" s="126"/>
      <c r="BX99" s="126"/>
      <c r="BZ99" s="126"/>
      <c r="CA99" s="126"/>
      <c r="CC99" s="126"/>
      <c r="CD99" s="126"/>
      <c r="CF99" s="126"/>
      <c r="CG99" s="126"/>
    </row>
    <row r="100" spans="1:85" s="197" customFormat="1" x14ac:dyDescent="0.3">
      <c r="A100" s="182" t="s">
        <v>245</v>
      </c>
      <c r="B100" s="183">
        <v>1</v>
      </c>
      <c r="C100" s="184" t="s">
        <v>322</v>
      </c>
      <c r="D100" s="187">
        <v>1.68</v>
      </c>
      <c r="E100" s="187">
        <v>4.25</v>
      </c>
      <c r="F100" s="186">
        <v>0.14000000000000001</v>
      </c>
      <c r="G100" s="187">
        <f t="shared" si="65"/>
        <v>0.99960000000000004</v>
      </c>
      <c r="H100" s="188">
        <f t="shared" si="48"/>
        <v>7.14</v>
      </c>
      <c r="I100" s="183">
        <f t="shared" si="50"/>
        <v>10</v>
      </c>
      <c r="J100" s="188">
        <f t="shared" si="66"/>
        <v>0.2</v>
      </c>
      <c r="K100" s="183">
        <f t="shared" si="67"/>
        <v>22</v>
      </c>
      <c r="L100" s="189">
        <f t="shared" si="68"/>
        <v>5.8800000000000005E-2</v>
      </c>
      <c r="M100" s="189">
        <f>0.23*2</f>
        <v>0.46</v>
      </c>
      <c r="N100" s="189">
        <f t="shared" si="69"/>
        <v>-0.04</v>
      </c>
      <c r="O100" s="189">
        <f>1.36*0.3</f>
        <v>0.40800000000000003</v>
      </c>
      <c r="P100" s="188">
        <f t="shared" si="82"/>
        <v>2.5667999999999997</v>
      </c>
      <c r="Q100" s="183">
        <f t="shared" si="51"/>
        <v>10</v>
      </c>
      <c r="R100" s="188">
        <f t="shared" si="52"/>
        <v>0.2</v>
      </c>
      <c r="S100" s="183">
        <f t="shared" si="53"/>
        <v>21</v>
      </c>
      <c r="T100" s="189">
        <f t="shared" si="54"/>
        <v>5.8800000000000005E-2</v>
      </c>
      <c r="U100" s="189">
        <f>0.23*2</f>
        <v>0.46</v>
      </c>
      <c r="V100" s="189">
        <f t="shared" si="71"/>
        <v>-0.04</v>
      </c>
      <c r="W100" s="189">
        <f>3.165*0.3</f>
        <v>0.94950000000000001</v>
      </c>
      <c r="X100" s="188">
        <f t="shared" si="47"/>
        <v>3.1082999999999998</v>
      </c>
      <c r="Y100" s="183">
        <f t="shared" si="55"/>
        <v>10</v>
      </c>
      <c r="Z100" s="188">
        <f t="shared" si="56"/>
        <v>0.24</v>
      </c>
      <c r="AA100" s="183">
        <f t="shared" si="57"/>
        <v>8</v>
      </c>
      <c r="AB100" s="189">
        <f t="shared" si="58"/>
        <v>5.8800000000000005E-2</v>
      </c>
      <c r="AC100" s="189">
        <f>0.23*2</f>
        <v>0.46</v>
      </c>
      <c r="AD100" s="189">
        <f t="shared" si="72"/>
        <v>-0.04</v>
      </c>
      <c r="AE100" s="189">
        <v>0</v>
      </c>
      <c r="AF100" s="188">
        <f t="shared" si="85"/>
        <v>4.7287999999999997</v>
      </c>
      <c r="AG100" s="183">
        <f t="shared" si="59"/>
        <v>10</v>
      </c>
      <c r="AH100" s="182">
        <f t="shared" si="60"/>
        <v>0.24</v>
      </c>
      <c r="AI100" s="183">
        <f t="shared" si="61"/>
        <v>7</v>
      </c>
      <c r="AJ100" s="189">
        <f t="shared" si="62"/>
        <v>5.8800000000000005E-2</v>
      </c>
      <c r="AK100" s="189">
        <f>0.23*2</f>
        <v>0.46</v>
      </c>
      <c r="AL100" s="189">
        <f t="shared" si="73"/>
        <v>-0.04</v>
      </c>
      <c r="AM100" s="189">
        <v>0</v>
      </c>
      <c r="AN100" s="188">
        <f t="shared" si="86"/>
        <v>4.7287999999999997</v>
      </c>
      <c r="AO100" s="183">
        <v>0</v>
      </c>
      <c r="AP100" s="182">
        <f t="shared" si="63"/>
        <v>8</v>
      </c>
      <c r="AQ100" s="182">
        <v>1.5</v>
      </c>
      <c r="AR100" s="187">
        <f t="shared" si="74"/>
        <v>0</v>
      </c>
      <c r="AS100" s="187">
        <f t="shared" si="75"/>
        <v>121.7439</v>
      </c>
      <c r="AT100" s="187">
        <f t="shared" si="76"/>
        <v>0</v>
      </c>
      <c r="AU100" s="187">
        <f t="shared" si="77"/>
        <v>0</v>
      </c>
      <c r="AV100" s="187">
        <f t="shared" si="64"/>
        <v>70.931999999999988</v>
      </c>
      <c r="AW100" s="187">
        <f t="shared" si="78"/>
        <v>0</v>
      </c>
      <c r="AX100" s="187">
        <f t="shared" si="79"/>
        <v>12</v>
      </c>
      <c r="AY100" s="190"/>
      <c r="AZ100" s="240"/>
      <c r="BA100" s="232"/>
      <c r="BF100" s="206"/>
      <c r="BG100" s="206"/>
      <c r="BK100" s="126"/>
      <c r="BL100" s="126"/>
      <c r="BN100" s="126"/>
      <c r="BO100" s="126"/>
      <c r="BQ100" s="126"/>
      <c r="BR100" s="126"/>
      <c r="BT100" s="126"/>
      <c r="BU100" s="126"/>
      <c r="BW100" s="126"/>
      <c r="BX100" s="126"/>
      <c r="BZ100" s="126"/>
      <c r="CA100" s="126"/>
      <c r="CC100" s="126"/>
      <c r="CD100" s="126"/>
      <c r="CF100" s="126"/>
      <c r="CG100" s="126"/>
    </row>
    <row r="101" spans="1:85" s="197" customFormat="1" x14ac:dyDescent="0.3">
      <c r="A101" s="182" t="s">
        <v>243</v>
      </c>
      <c r="B101" s="183">
        <v>1</v>
      </c>
      <c r="C101" s="184" t="s">
        <v>323</v>
      </c>
      <c r="D101" s="187">
        <v>3.165</v>
      </c>
      <c r="E101" s="187">
        <v>4.25</v>
      </c>
      <c r="F101" s="186">
        <v>0.15</v>
      </c>
      <c r="G101" s="187">
        <f t="shared" si="65"/>
        <v>2.0176875000000001</v>
      </c>
      <c r="H101" s="188">
        <f t="shared" si="48"/>
        <v>13.45125</v>
      </c>
      <c r="I101" s="183">
        <f t="shared" si="50"/>
        <v>10</v>
      </c>
      <c r="J101" s="188">
        <f t="shared" si="66"/>
        <v>0.2</v>
      </c>
      <c r="K101" s="183">
        <f t="shared" si="67"/>
        <v>22</v>
      </c>
      <c r="L101" s="189">
        <f t="shared" si="68"/>
        <v>6.3E-2</v>
      </c>
      <c r="M101" s="189">
        <f>0.3+0.23</f>
        <v>0.53</v>
      </c>
      <c r="N101" s="189">
        <f t="shared" si="69"/>
        <v>-0.04</v>
      </c>
      <c r="O101" s="189">
        <f>1.68*0.3</f>
        <v>0.504</v>
      </c>
      <c r="P101" s="188">
        <f t="shared" si="82"/>
        <v>4.2219999999999995</v>
      </c>
      <c r="Q101" s="183">
        <f t="shared" si="51"/>
        <v>10</v>
      </c>
      <c r="R101" s="188">
        <f t="shared" si="52"/>
        <v>0.2</v>
      </c>
      <c r="S101" s="183">
        <f t="shared" si="53"/>
        <v>21</v>
      </c>
      <c r="T101" s="189">
        <f t="shared" si="54"/>
        <v>6.3E-2</v>
      </c>
      <c r="U101" s="189">
        <f>0.3+0.23</f>
        <v>0.53</v>
      </c>
      <c r="V101" s="189">
        <f t="shared" si="71"/>
        <v>-0.04</v>
      </c>
      <c r="W101" s="189">
        <f>3.235*0.3</f>
        <v>0.97049999999999992</v>
      </c>
      <c r="X101" s="188">
        <f t="shared" si="47"/>
        <v>4.6884999999999994</v>
      </c>
      <c r="Y101" s="183">
        <f t="shared" si="55"/>
        <v>8</v>
      </c>
      <c r="Z101" s="188">
        <f t="shared" si="56"/>
        <v>0.24</v>
      </c>
      <c r="AA101" s="183">
        <f t="shared" si="57"/>
        <v>14</v>
      </c>
      <c r="AB101" s="189">
        <f t="shared" si="58"/>
        <v>6.3E-2</v>
      </c>
      <c r="AC101" s="189">
        <f>0.23*2</f>
        <v>0.46</v>
      </c>
      <c r="AD101" s="189">
        <f t="shared" si="72"/>
        <v>-0.04</v>
      </c>
      <c r="AE101" s="189">
        <f>1.95*0.3</f>
        <v>0.58499999999999996</v>
      </c>
      <c r="AF101" s="188">
        <f t="shared" si="85"/>
        <v>5.3179999999999996</v>
      </c>
      <c r="AG101" s="183">
        <f t="shared" si="59"/>
        <v>8</v>
      </c>
      <c r="AH101" s="182">
        <f t="shared" si="60"/>
        <v>0.24</v>
      </c>
      <c r="AI101" s="183">
        <f t="shared" si="61"/>
        <v>13</v>
      </c>
      <c r="AJ101" s="189">
        <f t="shared" si="62"/>
        <v>6.3E-2</v>
      </c>
      <c r="AK101" s="189">
        <f>0.23*2</f>
        <v>0.46</v>
      </c>
      <c r="AL101" s="189">
        <f t="shared" si="73"/>
        <v>-0.04</v>
      </c>
      <c r="AM101" s="189">
        <f>3.64*0.3</f>
        <v>1.0920000000000001</v>
      </c>
      <c r="AN101" s="188">
        <f t="shared" si="86"/>
        <v>5.8250000000000002</v>
      </c>
      <c r="AO101" s="183">
        <v>0</v>
      </c>
      <c r="AP101" s="182">
        <f t="shared" si="63"/>
        <v>10</v>
      </c>
      <c r="AQ101" s="182">
        <v>1.5</v>
      </c>
      <c r="AR101" s="187">
        <f t="shared" si="74"/>
        <v>0</v>
      </c>
      <c r="AS101" s="187">
        <f t="shared" si="75"/>
        <v>191.34249999999997</v>
      </c>
      <c r="AT101" s="187">
        <f t="shared" si="76"/>
        <v>0</v>
      </c>
      <c r="AU101" s="187">
        <f t="shared" si="77"/>
        <v>150.17700000000002</v>
      </c>
      <c r="AV101" s="187">
        <f t="shared" si="64"/>
        <v>0</v>
      </c>
      <c r="AW101" s="187">
        <f t="shared" si="78"/>
        <v>0</v>
      </c>
      <c r="AX101" s="187">
        <f t="shared" si="79"/>
        <v>15</v>
      </c>
      <c r="AY101" s="190"/>
      <c r="AZ101" s="240"/>
      <c r="BA101" s="232"/>
      <c r="BF101" s="206"/>
      <c r="BG101" s="206"/>
      <c r="BK101" s="126"/>
      <c r="BL101" s="126"/>
      <c r="BN101" s="126"/>
      <c r="BO101" s="126"/>
      <c r="BQ101" s="126"/>
      <c r="BR101" s="126"/>
      <c r="BT101" s="126"/>
      <c r="BU101" s="126"/>
      <c r="BW101" s="126"/>
      <c r="BX101" s="126"/>
      <c r="BZ101" s="126"/>
      <c r="CA101" s="126"/>
      <c r="CC101" s="126"/>
      <c r="CD101" s="126"/>
      <c r="CF101" s="126"/>
      <c r="CG101" s="126"/>
    </row>
    <row r="102" spans="1:85" s="197" customFormat="1" x14ac:dyDescent="0.3">
      <c r="A102" s="182" t="s">
        <v>243</v>
      </c>
      <c r="B102" s="183">
        <v>1</v>
      </c>
      <c r="C102" s="184" t="s">
        <v>324</v>
      </c>
      <c r="D102" s="187">
        <v>3.2349999999999999</v>
      </c>
      <c r="E102" s="187">
        <v>4.25</v>
      </c>
      <c r="F102" s="186">
        <v>0.15</v>
      </c>
      <c r="G102" s="187">
        <f t="shared" si="65"/>
        <v>2.0623125</v>
      </c>
      <c r="H102" s="188">
        <f t="shared" si="48"/>
        <v>13.748749999999999</v>
      </c>
      <c r="I102" s="183">
        <f t="shared" si="50"/>
        <v>10</v>
      </c>
      <c r="J102" s="188">
        <f t="shared" si="66"/>
        <v>0.2</v>
      </c>
      <c r="K102" s="183">
        <f t="shared" si="67"/>
        <v>22</v>
      </c>
      <c r="L102" s="189">
        <f t="shared" si="68"/>
        <v>6.3E-2</v>
      </c>
      <c r="M102" s="189">
        <f>0.23*2</f>
        <v>0.46</v>
      </c>
      <c r="N102" s="189">
        <f t="shared" si="69"/>
        <v>-0.04</v>
      </c>
      <c r="O102" s="189">
        <f>3.165*0.3</f>
        <v>0.94950000000000001</v>
      </c>
      <c r="P102" s="188">
        <f t="shared" si="82"/>
        <v>4.6675000000000004</v>
      </c>
      <c r="Q102" s="183">
        <f t="shared" si="51"/>
        <v>10</v>
      </c>
      <c r="R102" s="188">
        <f t="shared" si="52"/>
        <v>0.2</v>
      </c>
      <c r="S102" s="183">
        <f t="shared" si="53"/>
        <v>21</v>
      </c>
      <c r="T102" s="189">
        <f t="shared" si="54"/>
        <v>6.3E-2</v>
      </c>
      <c r="U102" s="189">
        <f>0.23*2</f>
        <v>0.46</v>
      </c>
      <c r="V102" s="189">
        <f t="shared" si="71"/>
        <v>-0.04</v>
      </c>
      <c r="W102" s="189">
        <f>2.94*0.3</f>
        <v>0.88200000000000001</v>
      </c>
      <c r="X102" s="188">
        <f t="shared" si="47"/>
        <v>4.5999999999999996</v>
      </c>
      <c r="Y102" s="183">
        <f t="shared" si="55"/>
        <v>8</v>
      </c>
      <c r="Z102" s="188">
        <f t="shared" si="56"/>
        <v>0.24</v>
      </c>
      <c r="AA102" s="183">
        <f t="shared" si="57"/>
        <v>14</v>
      </c>
      <c r="AB102" s="189">
        <f t="shared" si="58"/>
        <v>6.3E-2</v>
      </c>
      <c r="AC102" s="189">
        <f>0.23*2</f>
        <v>0.46</v>
      </c>
      <c r="AD102" s="189">
        <f t="shared" si="72"/>
        <v>-0.04</v>
      </c>
      <c r="AE102" s="189">
        <f>1.95*0.3</f>
        <v>0.58499999999999996</v>
      </c>
      <c r="AF102" s="188">
        <f t="shared" si="85"/>
        <v>5.3179999999999996</v>
      </c>
      <c r="AG102" s="183">
        <f t="shared" si="59"/>
        <v>8</v>
      </c>
      <c r="AH102" s="182">
        <f t="shared" si="60"/>
        <v>0.24</v>
      </c>
      <c r="AI102" s="183">
        <f t="shared" si="61"/>
        <v>13</v>
      </c>
      <c r="AJ102" s="189">
        <f t="shared" si="62"/>
        <v>6.3E-2</v>
      </c>
      <c r="AK102" s="189">
        <f>0.23*2</f>
        <v>0.46</v>
      </c>
      <c r="AL102" s="189">
        <f t="shared" si="73"/>
        <v>-0.04</v>
      </c>
      <c r="AM102" s="189">
        <f>3.64*0.3</f>
        <v>1.0920000000000001</v>
      </c>
      <c r="AN102" s="188">
        <f t="shared" si="86"/>
        <v>5.8250000000000002</v>
      </c>
      <c r="AO102" s="183">
        <v>0</v>
      </c>
      <c r="AP102" s="182">
        <f t="shared" si="63"/>
        <v>10</v>
      </c>
      <c r="AQ102" s="182">
        <v>1.5</v>
      </c>
      <c r="AR102" s="187">
        <f t="shared" si="74"/>
        <v>0</v>
      </c>
      <c r="AS102" s="187">
        <f t="shared" si="75"/>
        <v>199.285</v>
      </c>
      <c r="AT102" s="187">
        <f t="shared" si="76"/>
        <v>0</v>
      </c>
      <c r="AU102" s="187">
        <f t="shared" si="77"/>
        <v>150.17700000000002</v>
      </c>
      <c r="AV102" s="187">
        <f t="shared" si="64"/>
        <v>0</v>
      </c>
      <c r="AW102" s="187">
        <f t="shared" si="78"/>
        <v>0</v>
      </c>
      <c r="AX102" s="187">
        <f t="shared" si="79"/>
        <v>15</v>
      </c>
      <c r="AY102" s="190"/>
      <c r="AZ102" s="240"/>
      <c r="BA102" s="232"/>
      <c r="BF102" s="206"/>
      <c r="BG102" s="206"/>
      <c r="BK102" s="126"/>
      <c r="BL102" s="126"/>
      <c r="BN102" s="126"/>
      <c r="BO102" s="126"/>
      <c r="BQ102" s="126"/>
      <c r="BR102" s="126"/>
      <c r="BT102" s="126"/>
      <c r="BU102" s="126"/>
      <c r="BW102" s="126"/>
      <c r="BX102" s="126"/>
      <c r="BZ102" s="126"/>
      <c r="CA102" s="126"/>
      <c r="CC102" s="126"/>
      <c r="CD102" s="126"/>
      <c r="CF102" s="126"/>
      <c r="CG102" s="126"/>
    </row>
    <row r="103" spans="1:85" s="197" customFormat="1" x14ac:dyDescent="0.3">
      <c r="A103" s="182" t="s">
        <v>239</v>
      </c>
      <c r="B103" s="183">
        <v>1</v>
      </c>
      <c r="C103" s="184" t="s">
        <v>325</v>
      </c>
      <c r="D103" s="187">
        <v>2.94</v>
      </c>
      <c r="E103" s="187">
        <v>2.36</v>
      </c>
      <c r="F103" s="186">
        <v>0.125</v>
      </c>
      <c r="G103" s="187">
        <f t="shared" si="65"/>
        <v>0.86729999999999996</v>
      </c>
      <c r="H103" s="188">
        <f t="shared" si="48"/>
        <v>6.9383999999999997</v>
      </c>
      <c r="I103" s="183">
        <f t="shared" si="50"/>
        <v>8</v>
      </c>
      <c r="J103" s="188">
        <f t="shared" si="66"/>
        <v>0.23</v>
      </c>
      <c r="K103" s="183">
        <f t="shared" si="67"/>
        <v>11</v>
      </c>
      <c r="L103" s="189">
        <f t="shared" si="68"/>
        <v>5.2499999999999998E-2</v>
      </c>
      <c r="M103" s="189">
        <f>0.23*2</f>
        <v>0.46</v>
      </c>
      <c r="N103" s="189">
        <f t="shared" si="69"/>
        <v>-0.04</v>
      </c>
      <c r="O103" s="189">
        <f>3.24*0.3</f>
        <v>0.97199999999999998</v>
      </c>
      <c r="P103" s="188">
        <f t="shared" si="82"/>
        <v>4.3845000000000001</v>
      </c>
      <c r="Q103" s="183">
        <f t="shared" si="51"/>
        <v>8</v>
      </c>
      <c r="R103" s="188">
        <f t="shared" si="52"/>
        <v>0.23</v>
      </c>
      <c r="S103" s="183">
        <f t="shared" si="53"/>
        <v>10</v>
      </c>
      <c r="T103" s="189">
        <f t="shared" si="54"/>
        <v>5.2499999999999998E-2</v>
      </c>
      <c r="U103" s="189">
        <f>0.23*2</f>
        <v>0.46</v>
      </c>
      <c r="V103" s="189">
        <f t="shared" si="71"/>
        <v>-0.04</v>
      </c>
      <c r="W103" s="189">
        <f>2.5*0.3</f>
        <v>0.75</v>
      </c>
      <c r="X103" s="188">
        <f t="shared" si="47"/>
        <v>4.1624999999999996</v>
      </c>
      <c r="Y103" s="183">
        <f t="shared" si="55"/>
        <v>8</v>
      </c>
      <c r="Z103" s="188">
        <f t="shared" si="56"/>
        <v>0.3</v>
      </c>
      <c r="AA103" s="183">
        <f t="shared" si="57"/>
        <v>11</v>
      </c>
      <c r="AB103" s="189">
        <f t="shared" si="58"/>
        <v>5.2499999999999998E-2</v>
      </c>
      <c r="AC103" s="189">
        <f>0.23*2</f>
        <v>0.46</v>
      </c>
      <c r="AD103" s="189">
        <f t="shared" si="72"/>
        <v>-0.04</v>
      </c>
      <c r="AE103" s="189">
        <f>0.89*0.3</f>
        <v>0.26700000000000002</v>
      </c>
      <c r="AF103" s="188">
        <f t="shared" si="85"/>
        <v>3.0994999999999999</v>
      </c>
      <c r="AG103" s="183">
        <f t="shared" si="59"/>
        <v>8</v>
      </c>
      <c r="AH103" s="182">
        <f t="shared" si="60"/>
        <v>0.3</v>
      </c>
      <c r="AI103" s="183">
        <f t="shared" si="61"/>
        <v>10</v>
      </c>
      <c r="AJ103" s="189">
        <f t="shared" si="62"/>
        <v>5.2499999999999998E-2</v>
      </c>
      <c r="AK103" s="189">
        <f>0.23*2</f>
        <v>0.46</v>
      </c>
      <c r="AL103" s="189">
        <f t="shared" si="73"/>
        <v>-0.04</v>
      </c>
      <c r="AM103" s="189">
        <v>0</v>
      </c>
      <c r="AN103" s="188">
        <f t="shared" si="86"/>
        <v>2.8325</v>
      </c>
      <c r="AO103" s="183">
        <v>0</v>
      </c>
      <c r="AP103" s="182">
        <f t="shared" si="63"/>
        <v>8</v>
      </c>
      <c r="AQ103" s="182">
        <v>1.5</v>
      </c>
      <c r="AR103" s="187">
        <f t="shared" si="74"/>
        <v>89.854500000000002</v>
      </c>
      <c r="AS103" s="187">
        <f t="shared" si="75"/>
        <v>0</v>
      </c>
      <c r="AT103" s="187">
        <f t="shared" si="76"/>
        <v>0</v>
      </c>
      <c r="AU103" s="187">
        <f t="shared" si="77"/>
        <v>62.419499999999999</v>
      </c>
      <c r="AV103" s="187">
        <f t="shared" si="64"/>
        <v>0</v>
      </c>
      <c r="AW103" s="187">
        <f t="shared" si="78"/>
        <v>0</v>
      </c>
      <c r="AX103" s="187">
        <f t="shared" si="79"/>
        <v>12</v>
      </c>
      <c r="AY103" s="190"/>
      <c r="AZ103" s="240"/>
      <c r="BA103" s="232"/>
      <c r="BF103" s="206"/>
      <c r="BG103" s="206"/>
      <c r="BK103" s="126"/>
      <c r="BL103" s="126"/>
      <c r="BN103" s="126"/>
      <c r="BO103" s="126"/>
      <c r="BQ103" s="126"/>
      <c r="BR103" s="126"/>
      <c r="BT103" s="126"/>
      <c r="BU103" s="126"/>
      <c r="BW103" s="126"/>
      <c r="BX103" s="126"/>
      <c r="BZ103" s="126"/>
      <c r="CA103" s="126"/>
      <c r="CC103" s="126"/>
      <c r="CD103" s="126"/>
      <c r="CF103" s="126"/>
      <c r="CG103" s="126"/>
    </row>
    <row r="104" spans="1:85" s="197" customFormat="1" x14ac:dyDescent="0.3">
      <c r="A104" s="182" t="s">
        <v>239</v>
      </c>
      <c r="B104" s="183">
        <v>2</v>
      </c>
      <c r="C104" s="184" t="s">
        <v>326</v>
      </c>
      <c r="D104" s="187">
        <v>2.5</v>
      </c>
      <c r="E104" s="187">
        <v>2.29</v>
      </c>
      <c r="F104" s="186">
        <v>0.125</v>
      </c>
      <c r="G104" s="187">
        <f t="shared" si="65"/>
        <v>1.4312499999999999</v>
      </c>
      <c r="H104" s="188">
        <f t="shared" si="48"/>
        <v>11.45</v>
      </c>
      <c r="I104" s="183">
        <f t="shared" si="50"/>
        <v>8</v>
      </c>
      <c r="J104" s="188">
        <f t="shared" si="66"/>
        <v>0.23</v>
      </c>
      <c r="K104" s="183">
        <f t="shared" si="67"/>
        <v>11</v>
      </c>
      <c r="L104" s="189">
        <f t="shared" si="68"/>
        <v>5.2499999999999998E-2</v>
      </c>
      <c r="M104" s="189">
        <f>0.23*2</f>
        <v>0.46</v>
      </c>
      <c r="N104" s="189">
        <f t="shared" si="69"/>
        <v>-0.04</v>
      </c>
      <c r="O104" s="189">
        <f>2.94*0.3</f>
        <v>0.88200000000000001</v>
      </c>
      <c r="P104" s="188">
        <f t="shared" si="82"/>
        <v>3.8544999999999998</v>
      </c>
      <c r="Q104" s="183">
        <f t="shared" si="51"/>
        <v>8</v>
      </c>
      <c r="R104" s="188">
        <f t="shared" si="52"/>
        <v>0.23</v>
      </c>
      <c r="S104" s="183">
        <f t="shared" si="53"/>
        <v>10</v>
      </c>
      <c r="T104" s="189">
        <f t="shared" si="54"/>
        <v>5.2499999999999998E-2</v>
      </c>
      <c r="U104" s="189">
        <f>0.23*2</f>
        <v>0.46</v>
      </c>
      <c r="V104" s="189">
        <f t="shared" si="71"/>
        <v>-0.04</v>
      </c>
      <c r="W104" s="189">
        <f>2.29*0.3</f>
        <v>0.68699999999999994</v>
      </c>
      <c r="X104" s="188">
        <f t="shared" si="47"/>
        <v>3.6595</v>
      </c>
      <c r="Y104" s="183">
        <f t="shared" si="55"/>
        <v>8</v>
      </c>
      <c r="Z104" s="188">
        <f t="shared" si="56"/>
        <v>0.3</v>
      </c>
      <c r="AA104" s="183">
        <f t="shared" si="57"/>
        <v>9</v>
      </c>
      <c r="AB104" s="189">
        <f t="shared" si="58"/>
        <v>5.2499999999999998E-2</v>
      </c>
      <c r="AC104" s="189">
        <f>0.3+0.23</f>
        <v>0.53</v>
      </c>
      <c r="AD104" s="189">
        <f t="shared" si="72"/>
        <v>-0.04</v>
      </c>
      <c r="AE104" s="189">
        <v>0</v>
      </c>
      <c r="AF104" s="188">
        <f t="shared" si="85"/>
        <v>2.8325</v>
      </c>
      <c r="AG104" s="183">
        <f t="shared" si="59"/>
        <v>8</v>
      </c>
      <c r="AH104" s="182">
        <f t="shared" si="60"/>
        <v>0.3</v>
      </c>
      <c r="AI104" s="183">
        <f t="shared" si="61"/>
        <v>8</v>
      </c>
      <c r="AJ104" s="189">
        <f t="shared" si="62"/>
        <v>5.2499999999999998E-2</v>
      </c>
      <c r="AK104" s="189">
        <f>0.3+0.23</f>
        <v>0.53</v>
      </c>
      <c r="AL104" s="189">
        <f t="shared" si="73"/>
        <v>-0.04</v>
      </c>
      <c r="AM104" s="189">
        <v>0</v>
      </c>
      <c r="AN104" s="188">
        <f t="shared" si="86"/>
        <v>2.8325</v>
      </c>
      <c r="AO104" s="183">
        <v>0</v>
      </c>
      <c r="AP104" s="182">
        <f t="shared" si="63"/>
        <v>8</v>
      </c>
      <c r="AQ104" s="182">
        <v>1.5</v>
      </c>
      <c r="AR104" s="187">
        <f t="shared" si="74"/>
        <v>157.98899999999998</v>
      </c>
      <c r="AS104" s="187">
        <f t="shared" si="75"/>
        <v>0</v>
      </c>
      <c r="AT104" s="187">
        <f t="shared" si="76"/>
        <v>0</v>
      </c>
      <c r="AU104" s="187">
        <f t="shared" si="77"/>
        <v>96.305000000000007</v>
      </c>
      <c r="AV104" s="187">
        <f t="shared" si="64"/>
        <v>0</v>
      </c>
      <c r="AW104" s="187">
        <f t="shared" si="78"/>
        <v>0</v>
      </c>
      <c r="AX104" s="187">
        <f t="shared" si="79"/>
        <v>24</v>
      </c>
      <c r="AY104" s="190"/>
      <c r="AZ104" s="240"/>
      <c r="BA104" s="232"/>
      <c r="BF104" s="206"/>
      <c r="BG104" s="206"/>
      <c r="BK104" s="126"/>
      <c r="BL104" s="126"/>
      <c r="BN104" s="126"/>
      <c r="BO104" s="126"/>
      <c r="BQ104" s="126"/>
      <c r="BR104" s="126"/>
      <c r="BT104" s="126"/>
      <c r="BU104" s="126"/>
      <c r="BW104" s="126"/>
      <c r="BX104" s="126"/>
      <c r="BZ104" s="126"/>
      <c r="CA104" s="126"/>
      <c r="CC104" s="126"/>
      <c r="CD104" s="126"/>
      <c r="CF104" s="126"/>
      <c r="CG104" s="126"/>
    </row>
    <row r="105" spans="1:85" s="197" customFormat="1" x14ac:dyDescent="0.3">
      <c r="A105" s="182" t="s">
        <v>239</v>
      </c>
      <c r="B105" s="183">
        <v>1</v>
      </c>
      <c r="C105" s="184" t="s">
        <v>327</v>
      </c>
      <c r="D105" s="187">
        <v>2.29</v>
      </c>
      <c r="E105" s="187">
        <v>2.29</v>
      </c>
      <c r="F105" s="186">
        <v>0.125</v>
      </c>
      <c r="G105" s="187">
        <f>D105*E105*F105*B105</f>
        <v>0.65551250000000005</v>
      </c>
      <c r="H105" s="188">
        <f t="shared" si="48"/>
        <v>5.2441000000000004</v>
      </c>
      <c r="I105" s="183">
        <f t="shared" si="50"/>
        <v>8</v>
      </c>
      <c r="J105" s="188">
        <f t="shared" si="66"/>
        <v>0.23</v>
      </c>
      <c r="K105" s="183">
        <f t="shared" si="67"/>
        <v>11</v>
      </c>
      <c r="L105" s="189">
        <f t="shared" si="68"/>
        <v>5.2499999999999998E-2</v>
      </c>
      <c r="M105" s="189">
        <f>0.23*2</f>
        <v>0.46</v>
      </c>
      <c r="N105" s="189">
        <f t="shared" si="69"/>
        <v>-0.04</v>
      </c>
      <c r="O105" s="189">
        <f>2.5*0.3</f>
        <v>0.75</v>
      </c>
      <c r="P105" s="188">
        <f t="shared" si="82"/>
        <v>3.5125000000000002</v>
      </c>
      <c r="Q105" s="183">
        <f t="shared" si="51"/>
        <v>8</v>
      </c>
      <c r="R105" s="188">
        <f t="shared" si="52"/>
        <v>0.23</v>
      </c>
      <c r="S105" s="183">
        <f t="shared" si="53"/>
        <v>10</v>
      </c>
      <c r="T105" s="189">
        <f t="shared" si="54"/>
        <v>5.2499999999999998E-2</v>
      </c>
      <c r="U105" s="189">
        <f>0.23*2</f>
        <v>0.46</v>
      </c>
      <c r="V105" s="189">
        <f t="shared" si="71"/>
        <v>-0.04</v>
      </c>
      <c r="W105" s="189">
        <f>2.5*0.3</f>
        <v>0.75</v>
      </c>
      <c r="X105" s="188">
        <f t="shared" si="47"/>
        <v>3.5125000000000002</v>
      </c>
      <c r="Y105" s="183">
        <f t="shared" si="55"/>
        <v>8</v>
      </c>
      <c r="Z105" s="188">
        <f t="shared" si="56"/>
        <v>0.3</v>
      </c>
      <c r="AA105" s="183">
        <f t="shared" si="57"/>
        <v>9</v>
      </c>
      <c r="AB105" s="189">
        <f t="shared" si="58"/>
        <v>5.2499999999999998E-2</v>
      </c>
      <c r="AC105" s="189">
        <f>0.23*2</f>
        <v>0.46</v>
      </c>
      <c r="AD105" s="189">
        <f t="shared" si="72"/>
        <v>-0.04</v>
      </c>
      <c r="AE105" s="189">
        <f>2.5*0.3</f>
        <v>0.75</v>
      </c>
      <c r="AF105" s="188">
        <f t="shared" si="85"/>
        <v>3.5125000000000002</v>
      </c>
      <c r="AG105" s="183">
        <f t="shared" si="59"/>
        <v>8</v>
      </c>
      <c r="AH105" s="182">
        <f t="shared" si="60"/>
        <v>0.3</v>
      </c>
      <c r="AI105" s="183">
        <f t="shared" si="61"/>
        <v>8</v>
      </c>
      <c r="AJ105" s="189">
        <f t="shared" si="62"/>
        <v>5.2499999999999998E-2</v>
      </c>
      <c r="AK105" s="189">
        <f>0.23*2</f>
        <v>0.46</v>
      </c>
      <c r="AL105" s="189">
        <f t="shared" si="73"/>
        <v>-0.04</v>
      </c>
      <c r="AM105" s="189">
        <f>2.5*0.3</f>
        <v>0.75</v>
      </c>
      <c r="AN105" s="188">
        <f t="shared" si="86"/>
        <v>3.5125000000000002</v>
      </c>
      <c r="AO105" s="183">
        <v>0</v>
      </c>
      <c r="AP105" s="182">
        <f t="shared" si="63"/>
        <v>8</v>
      </c>
      <c r="AQ105" s="182">
        <v>1.5</v>
      </c>
      <c r="AR105" s="187">
        <f t="shared" si="74"/>
        <v>73.762500000000003</v>
      </c>
      <c r="AS105" s="187">
        <f t="shared" si="75"/>
        <v>0</v>
      </c>
      <c r="AT105" s="187">
        <f t="shared" si="76"/>
        <v>0</v>
      </c>
      <c r="AU105" s="187">
        <f t="shared" si="77"/>
        <v>59.712500000000006</v>
      </c>
      <c r="AV105" s="187">
        <f t="shared" si="64"/>
        <v>0</v>
      </c>
      <c r="AW105" s="187">
        <f t="shared" si="78"/>
        <v>0</v>
      </c>
      <c r="AX105" s="187">
        <f t="shared" si="79"/>
        <v>12</v>
      </c>
      <c r="AY105" s="190"/>
      <c r="AZ105" s="240"/>
      <c r="BA105" s="232"/>
      <c r="BF105" s="206"/>
      <c r="BG105" s="206"/>
      <c r="BK105" s="126"/>
      <c r="BL105" s="126"/>
      <c r="BN105" s="126"/>
      <c r="BO105" s="126"/>
      <c r="BQ105" s="126"/>
      <c r="BR105" s="126"/>
      <c r="BT105" s="126"/>
      <c r="BU105" s="126"/>
      <c r="BW105" s="126"/>
      <c r="BX105" s="126"/>
      <c r="BZ105" s="126"/>
      <c r="CA105" s="126"/>
      <c r="CC105" s="126"/>
      <c r="CD105" s="126"/>
      <c r="CF105" s="126"/>
      <c r="CG105" s="126"/>
    </row>
    <row r="106" spans="1:85" s="197" customFormat="1" x14ac:dyDescent="0.3">
      <c r="A106" s="182" t="s">
        <v>239</v>
      </c>
      <c r="B106" s="183">
        <v>1</v>
      </c>
      <c r="C106" s="184" t="s">
        <v>328</v>
      </c>
      <c r="D106" s="187">
        <v>1.6</v>
      </c>
      <c r="E106" s="187">
        <v>2.29</v>
      </c>
      <c r="F106" s="186">
        <v>0.125</v>
      </c>
      <c r="G106" s="187">
        <f t="shared" si="65"/>
        <v>0.45800000000000002</v>
      </c>
      <c r="H106" s="188">
        <f t="shared" si="48"/>
        <v>3.6640000000000001</v>
      </c>
      <c r="I106" s="183">
        <f t="shared" si="50"/>
        <v>8</v>
      </c>
      <c r="J106" s="188">
        <f t="shared" si="66"/>
        <v>0.23</v>
      </c>
      <c r="K106" s="183">
        <f t="shared" si="67"/>
        <v>11</v>
      </c>
      <c r="L106" s="189">
        <f t="shared" si="68"/>
        <v>5.2499999999999998E-2</v>
      </c>
      <c r="M106" s="189">
        <f>0.23*2</f>
        <v>0.46</v>
      </c>
      <c r="N106" s="189">
        <f t="shared" si="69"/>
        <v>-0.04</v>
      </c>
      <c r="O106" s="189">
        <f>2.5*0.3</f>
        <v>0.75</v>
      </c>
      <c r="P106" s="188">
        <f t="shared" si="82"/>
        <v>2.8225000000000002</v>
      </c>
      <c r="Q106" s="183">
        <f t="shared" si="51"/>
        <v>8</v>
      </c>
      <c r="R106" s="188">
        <f t="shared" si="52"/>
        <v>0.23</v>
      </c>
      <c r="S106" s="183">
        <f t="shared" si="53"/>
        <v>10</v>
      </c>
      <c r="T106" s="189">
        <f t="shared" si="54"/>
        <v>5.2499999999999998E-2</v>
      </c>
      <c r="U106" s="189">
        <f>0.23*2</f>
        <v>0.46</v>
      </c>
      <c r="V106" s="189">
        <f t="shared" si="71"/>
        <v>-0.04</v>
      </c>
      <c r="W106" s="189">
        <f>2.36*0.3</f>
        <v>0.70799999999999996</v>
      </c>
      <c r="X106" s="188">
        <f t="shared" si="47"/>
        <v>2.7805</v>
      </c>
      <c r="Y106" s="183">
        <f t="shared" si="55"/>
        <v>8</v>
      </c>
      <c r="Z106" s="188">
        <f t="shared" si="56"/>
        <v>0.3</v>
      </c>
      <c r="AA106" s="183">
        <f t="shared" si="57"/>
        <v>6</v>
      </c>
      <c r="AB106" s="189">
        <f t="shared" si="58"/>
        <v>5.2499999999999998E-2</v>
      </c>
      <c r="AC106" s="189">
        <f>0.23*2</f>
        <v>0.46</v>
      </c>
      <c r="AD106" s="189">
        <f t="shared" si="72"/>
        <v>-0.04</v>
      </c>
      <c r="AE106" s="189">
        <v>0</v>
      </c>
      <c r="AF106" s="188">
        <f t="shared" si="85"/>
        <v>2.7625000000000002</v>
      </c>
      <c r="AG106" s="183">
        <f t="shared" si="59"/>
        <v>8</v>
      </c>
      <c r="AH106" s="182">
        <f t="shared" si="60"/>
        <v>0.3</v>
      </c>
      <c r="AI106" s="183">
        <f t="shared" si="61"/>
        <v>5</v>
      </c>
      <c r="AJ106" s="189">
        <f t="shared" si="62"/>
        <v>5.2499999999999998E-2</v>
      </c>
      <c r="AK106" s="189">
        <f>0.23*2</f>
        <v>0.46</v>
      </c>
      <c r="AL106" s="189">
        <f t="shared" si="73"/>
        <v>-0.04</v>
      </c>
      <c r="AM106" s="189">
        <f>2.5*0.3</f>
        <v>0.75</v>
      </c>
      <c r="AN106" s="188">
        <f t="shared" si="86"/>
        <v>3.5125000000000002</v>
      </c>
      <c r="AO106" s="183">
        <v>0</v>
      </c>
      <c r="AP106" s="182">
        <f t="shared" si="63"/>
        <v>6</v>
      </c>
      <c r="AQ106" s="182">
        <v>1.5</v>
      </c>
      <c r="AR106" s="187">
        <f t="shared" si="74"/>
        <v>58.852500000000006</v>
      </c>
      <c r="AS106" s="187">
        <f t="shared" si="75"/>
        <v>0</v>
      </c>
      <c r="AT106" s="187">
        <f t="shared" si="76"/>
        <v>0</v>
      </c>
      <c r="AU106" s="187">
        <f t="shared" si="77"/>
        <v>34.137500000000003</v>
      </c>
      <c r="AV106" s="187">
        <f t="shared" si="64"/>
        <v>0</v>
      </c>
      <c r="AW106" s="187">
        <f t="shared" si="78"/>
        <v>0</v>
      </c>
      <c r="AX106" s="187">
        <f t="shared" si="79"/>
        <v>9</v>
      </c>
      <c r="AY106" s="190"/>
      <c r="AZ106" s="240"/>
      <c r="BA106" s="232"/>
      <c r="BF106" s="206"/>
      <c r="BG106" s="206"/>
      <c r="BK106" s="126"/>
      <c r="BL106" s="126"/>
      <c r="BN106" s="126"/>
      <c r="BO106" s="126"/>
      <c r="BQ106" s="126"/>
      <c r="BR106" s="126"/>
      <c r="BT106" s="126"/>
      <c r="BU106" s="126"/>
      <c r="BW106" s="126"/>
      <c r="BX106" s="126"/>
      <c r="BZ106" s="126"/>
      <c r="CA106" s="126"/>
      <c r="CC106" s="126"/>
      <c r="CD106" s="126"/>
      <c r="CF106" s="126"/>
      <c r="CG106" s="126"/>
    </row>
    <row r="107" spans="1:85" s="197" customFormat="1" x14ac:dyDescent="0.3">
      <c r="A107" s="182" t="s">
        <v>239</v>
      </c>
      <c r="B107" s="183">
        <v>1</v>
      </c>
      <c r="C107" s="184" t="s">
        <v>329</v>
      </c>
      <c r="D107" s="187">
        <v>2.36</v>
      </c>
      <c r="E107" s="187">
        <v>2.19</v>
      </c>
      <c r="F107" s="186">
        <v>0.125</v>
      </c>
      <c r="G107" s="187">
        <f t="shared" si="65"/>
        <v>0.6460499999999999</v>
      </c>
      <c r="H107" s="188">
        <f t="shared" si="48"/>
        <v>5.1683999999999992</v>
      </c>
      <c r="I107" s="183">
        <f t="shared" si="50"/>
        <v>8</v>
      </c>
      <c r="J107" s="188">
        <f t="shared" si="66"/>
        <v>0.23</v>
      </c>
      <c r="K107" s="183">
        <f t="shared" si="67"/>
        <v>11</v>
      </c>
      <c r="L107" s="189">
        <f t="shared" si="68"/>
        <v>5.2499999999999998E-2</v>
      </c>
      <c r="M107" s="189">
        <f>0.23+0.3</f>
        <v>0.53</v>
      </c>
      <c r="N107" s="189">
        <f t="shared" si="69"/>
        <v>-0.04</v>
      </c>
      <c r="O107" s="189">
        <f>1.6*0.3</f>
        <v>0.48</v>
      </c>
      <c r="P107" s="188">
        <f t="shared" si="82"/>
        <v>3.3824999999999998</v>
      </c>
      <c r="Q107" s="183">
        <f t="shared" si="51"/>
        <v>8</v>
      </c>
      <c r="R107" s="188">
        <f t="shared" si="52"/>
        <v>0.23</v>
      </c>
      <c r="S107" s="183">
        <f t="shared" si="53"/>
        <v>10</v>
      </c>
      <c r="T107" s="189">
        <f t="shared" si="54"/>
        <v>5.2499999999999998E-2</v>
      </c>
      <c r="U107" s="189">
        <f>0.23+0.3</f>
        <v>0.53</v>
      </c>
      <c r="V107" s="189">
        <f t="shared" si="71"/>
        <v>-0.04</v>
      </c>
      <c r="W107" s="189">
        <f>4.12*0.3</f>
        <v>1.236</v>
      </c>
      <c r="X107" s="188">
        <f t="shared" si="47"/>
        <v>4.1384999999999996</v>
      </c>
      <c r="Y107" s="183">
        <f t="shared" si="55"/>
        <v>8</v>
      </c>
      <c r="Z107" s="188">
        <f t="shared" si="56"/>
        <v>0.3</v>
      </c>
      <c r="AA107" s="183">
        <f t="shared" si="57"/>
        <v>9</v>
      </c>
      <c r="AB107" s="189">
        <f t="shared" si="58"/>
        <v>5.2499999999999998E-2</v>
      </c>
      <c r="AC107" s="189">
        <f>0.23*2</f>
        <v>0.46</v>
      </c>
      <c r="AD107" s="189">
        <f t="shared" si="72"/>
        <v>-0.04</v>
      </c>
      <c r="AE107" s="189">
        <f>2.64*0.3</f>
        <v>0.79200000000000004</v>
      </c>
      <c r="AF107" s="188">
        <f t="shared" si="85"/>
        <v>3.4545000000000003</v>
      </c>
      <c r="AG107" s="183">
        <f t="shared" si="59"/>
        <v>8</v>
      </c>
      <c r="AH107" s="182">
        <f t="shared" si="60"/>
        <v>0.3</v>
      </c>
      <c r="AI107" s="183">
        <f t="shared" si="61"/>
        <v>8</v>
      </c>
      <c r="AJ107" s="189">
        <f t="shared" si="62"/>
        <v>5.2499999999999998E-2</v>
      </c>
      <c r="AK107" s="189">
        <f>0.23*2</f>
        <v>0.46</v>
      </c>
      <c r="AL107" s="189">
        <f t="shared" si="73"/>
        <v>-0.04</v>
      </c>
      <c r="AM107" s="189">
        <f>2.64*0.3</f>
        <v>0.79200000000000004</v>
      </c>
      <c r="AN107" s="188">
        <f t="shared" si="86"/>
        <v>3.4545000000000003</v>
      </c>
      <c r="AO107" s="183">
        <v>0</v>
      </c>
      <c r="AP107" s="182">
        <f t="shared" si="63"/>
        <v>6</v>
      </c>
      <c r="AQ107" s="182">
        <v>1.5</v>
      </c>
      <c r="AR107" s="187">
        <f t="shared" si="74"/>
        <v>78.592500000000001</v>
      </c>
      <c r="AS107" s="187">
        <f t="shared" si="75"/>
        <v>0</v>
      </c>
      <c r="AT107" s="187">
        <f t="shared" si="76"/>
        <v>0</v>
      </c>
      <c r="AU107" s="187">
        <f t="shared" si="77"/>
        <v>58.726500000000001</v>
      </c>
      <c r="AV107" s="187">
        <f t="shared" si="64"/>
        <v>0</v>
      </c>
      <c r="AW107" s="187">
        <f t="shared" si="78"/>
        <v>0</v>
      </c>
      <c r="AX107" s="187">
        <f t="shared" si="79"/>
        <v>9</v>
      </c>
      <c r="AY107" s="190"/>
      <c r="AZ107" s="240"/>
      <c r="BA107" s="232"/>
      <c r="BF107" s="206"/>
      <c r="BG107" s="206"/>
      <c r="BK107" s="126"/>
      <c r="BL107" s="126"/>
      <c r="BN107" s="126"/>
      <c r="BO107" s="126"/>
      <c r="BQ107" s="126"/>
      <c r="BR107" s="126"/>
      <c r="BT107" s="126"/>
      <c r="BU107" s="126"/>
      <c r="BW107" s="126"/>
      <c r="BX107" s="126"/>
      <c r="BZ107" s="126"/>
      <c r="CA107" s="126"/>
      <c r="CC107" s="126"/>
      <c r="CD107" s="126"/>
      <c r="CF107" s="126"/>
      <c r="CG107" s="126"/>
    </row>
    <row r="108" spans="1:85" s="197" customFormat="1" x14ac:dyDescent="0.3">
      <c r="A108" s="182" t="s">
        <v>223</v>
      </c>
      <c r="B108" s="183">
        <v>1</v>
      </c>
      <c r="C108" s="184" t="s">
        <v>330</v>
      </c>
      <c r="D108" s="187">
        <v>4.12</v>
      </c>
      <c r="E108" s="187">
        <v>2.19</v>
      </c>
      <c r="F108" s="186">
        <v>0.13</v>
      </c>
      <c r="G108" s="187">
        <f t="shared" si="65"/>
        <v>1.1729640000000001</v>
      </c>
      <c r="H108" s="188">
        <f t="shared" si="48"/>
        <v>9.0228000000000002</v>
      </c>
      <c r="I108" s="183">
        <f t="shared" si="50"/>
        <v>8</v>
      </c>
      <c r="J108" s="188">
        <f t="shared" si="66"/>
        <v>0.2</v>
      </c>
      <c r="K108" s="183">
        <f t="shared" si="67"/>
        <v>12</v>
      </c>
      <c r="L108" s="189">
        <f t="shared" si="68"/>
        <v>5.4600000000000003E-2</v>
      </c>
      <c r="M108" s="189">
        <f t="shared" si="83"/>
        <v>0.6</v>
      </c>
      <c r="N108" s="189">
        <f t="shared" si="69"/>
        <v>-0.04</v>
      </c>
      <c r="O108" s="189">
        <f>2.36*0.3</f>
        <v>0.70799999999999996</v>
      </c>
      <c r="P108" s="188">
        <f t="shared" si="82"/>
        <v>5.4426000000000005</v>
      </c>
      <c r="Q108" s="183">
        <f t="shared" si="51"/>
        <v>8</v>
      </c>
      <c r="R108" s="188">
        <f t="shared" si="52"/>
        <v>0.2</v>
      </c>
      <c r="S108" s="183">
        <f t="shared" si="53"/>
        <v>11</v>
      </c>
      <c r="T108" s="189">
        <f t="shared" si="54"/>
        <v>5.4600000000000003E-2</v>
      </c>
      <c r="U108" s="189">
        <f t="shared" si="84"/>
        <v>0.6</v>
      </c>
      <c r="V108" s="189">
        <f t="shared" si="71"/>
        <v>-0.04</v>
      </c>
      <c r="W108" s="189">
        <f>3.01*0.3</f>
        <v>0.90299999999999991</v>
      </c>
      <c r="X108" s="188">
        <f t="shared" si="47"/>
        <v>5.6375999999999999</v>
      </c>
      <c r="Y108" s="183">
        <f t="shared" si="55"/>
        <v>8</v>
      </c>
      <c r="Z108" s="188">
        <f t="shared" si="56"/>
        <v>0.36</v>
      </c>
      <c r="AA108" s="183">
        <f t="shared" si="57"/>
        <v>12</v>
      </c>
      <c r="AB108" s="189">
        <f t="shared" si="58"/>
        <v>5.4600000000000003E-2</v>
      </c>
      <c r="AC108" s="189">
        <f>0.23*2</f>
        <v>0.46</v>
      </c>
      <c r="AD108" s="189">
        <f t="shared" si="72"/>
        <v>-0.04</v>
      </c>
      <c r="AE108" s="189">
        <f>1.72*0.3</f>
        <v>0.51600000000000001</v>
      </c>
      <c r="AF108" s="188">
        <f t="shared" si="85"/>
        <v>3.1806000000000001</v>
      </c>
      <c r="AG108" s="183">
        <f t="shared" si="59"/>
        <v>8</v>
      </c>
      <c r="AH108" s="182">
        <f t="shared" si="60"/>
        <v>0.36</v>
      </c>
      <c r="AI108" s="183">
        <f t="shared" si="61"/>
        <v>11</v>
      </c>
      <c r="AJ108" s="189">
        <f t="shared" si="62"/>
        <v>5.4600000000000003E-2</v>
      </c>
      <c r="AK108" s="189">
        <f>0.23*2</f>
        <v>0.46</v>
      </c>
      <c r="AL108" s="189">
        <f t="shared" si="73"/>
        <v>-0.04</v>
      </c>
      <c r="AM108" s="189">
        <f>1.72*0.3</f>
        <v>0.51600000000000001</v>
      </c>
      <c r="AN108" s="188">
        <f t="shared" si="86"/>
        <v>3.1806000000000001</v>
      </c>
      <c r="AO108" s="183">
        <v>0</v>
      </c>
      <c r="AP108" s="182">
        <f t="shared" si="63"/>
        <v>8</v>
      </c>
      <c r="AQ108" s="182">
        <v>1.5</v>
      </c>
      <c r="AR108" s="187">
        <f t="shared" si="74"/>
        <v>127.32480000000001</v>
      </c>
      <c r="AS108" s="187">
        <f t="shared" si="75"/>
        <v>0</v>
      </c>
      <c r="AT108" s="187">
        <f t="shared" si="76"/>
        <v>0</v>
      </c>
      <c r="AU108" s="187">
        <f t="shared" si="77"/>
        <v>73.153800000000004</v>
      </c>
      <c r="AV108" s="187">
        <f t="shared" si="64"/>
        <v>0</v>
      </c>
      <c r="AW108" s="187">
        <f t="shared" si="78"/>
        <v>0</v>
      </c>
      <c r="AX108" s="187">
        <f t="shared" si="79"/>
        <v>12</v>
      </c>
      <c r="AY108" s="190"/>
      <c r="AZ108" s="240"/>
      <c r="BA108" s="232"/>
      <c r="BF108" s="206"/>
      <c r="BG108" s="206"/>
      <c r="BK108" s="126"/>
      <c r="BL108" s="126"/>
      <c r="BN108" s="126"/>
      <c r="BO108" s="126"/>
      <c r="BQ108" s="126"/>
      <c r="BR108" s="126"/>
      <c r="BT108" s="126"/>
      <c r="BU108" s="126"/>
      <c r="BW108" s="126"/>
      <c r="BX108" s="126"/>
      <c r="BZ108" s="126"/>
      <c r="CA108" s="126"/>
      <c r="CC108" s="126"/>
      <c r="CD108" s="126"/>
      <c r="CF108" s="126"/>
      <c r="CG108" s="126"/>
    </row>
    <row r="109" spans="1:85" s="197" customFormat="1" x14ac:dyDescent="0.3">
      <c r="A109" s="182" t="s">
        <v>239</v>
      </c>
      <c r="B109" s="183">
        <v>1</v>
      </c>
      <c r="C109" s="184" t="s">
        <v>331</v>
      </c>
      <c r="D109" s="187">
        <v>3.01</v>
      </c>
      <c r="E109" s="187">
        <v>2.895</v>
      </c>
      <c r="F109" s="186">
        <v>0.125</v>
      </c>
      <c r="G109" s="187">
        <f t="shared" si="65"/>
        <v>1.0892437499999998</v>
      </c>
      <c r="H109" s="188">
        <f t="shared" si="48"/>
        <v>8.7139499999999988</v>
      </c>
      <c r="I109" s="183">
        <f t="shared" si="50"/>
        <v>8</v>
      </c>
      <c r="J109" s="188">
        <f t="shared" si="66"/>
        <v>0.23</v>
      </c>
      <c r="K109" s="183">
        <f t="shared" si="67"/>
        <v>14</v>
      </c>
      <c r="L109" s="189">
        <f t="shared" si="68"/>
        <v>5.2499999999999998E-2</v>
      </c>
      <c r="M109" s="189">
        <f t="shared" si="83"/>
        <v>0.6</v>
      </c>
      <c r="N109" s="189">
        <f t="shared" si="69"/>
        <v>-0.04</v>
      </c>
      <c r="O109" s="189">
        <f>4.12*0.3</f>
        <v>1.236</v>
      </c>
      <c r="P109" s="188">
        <f t="shared" si="82"/>
        <v>4.8584999999999994</v>
      </c>
      <c r="Q109" s="183">
        <f t="shared" si="51"/>
        <v>8</v>
      </c>
      <c r="R109" s="188">
        <f t="shared" si="52"/>
        <v>0.23</v>
      </c>
      <c r="S109" s="183">
        <f t="shared" si="53"/>
        <v>13</v>
      </c>
      <c r="T109" s="189">
        <f t="shared" si="54"/>
        <v>5.2499999999999998E-2</v>
      </c>
      <c r="U109" s="189">
        <f t="shared" si="84"/>
        <v>0.6</v>
      </c>
      <c r="V109" s="189">
        <f t="shared" si="71"/>
        <v>-0.04</v>
      </c>
      <c r="W109" s="189">
        <f>4.871*0.3</f>
        <v>1.4613</v>
      </c>
      <c r="X109" s="188">
        <f t="shared" ref="X109:X172" si="89">+D109+SUM(T109:W109)</f>
        <v>5.0838000000000001</v>
      </c>
      <c r="Y109" s="183">
        <f t="shared" si="55"/>
        <v>8</v>
      </c>
      <c r="Z109" s="188">
        <f t="shared" si="56"/>
        <v>0.3</v>
      </c>
      <c r="AA109" s="183">
        <f t="shared" si="57"/>
        <v>11</v>
      </c>
      <c r="AB109" s="189">
        <f t="shared" si="58"/>
        <v>5.2499999999999998E-2</v>
      </c>
      <c r="AC109" s="189">
        <f>0.3+0.23</f>
        <v>0.53</v>
      </c>
      <c r="AD109" s="189">
        <f t="shared" si="72"/>
        <v>-0.04</v>
      </c>
      <c r="AE109" s="189">
        <f>4.42*0.3</f>
        <v>1.3259999999999998</v>
      </c>
      <c r="AF109" s="188">
        <f t="shared" si="85"/>
        <v>4.7634999999999996</v>
      </c>
      <c r="AG109" s="183">
        <f t="shared" si="59"/>
        <v>8</v>
      </c>
      <c r="AH109" s="182">
        <f t="shared" si="60"/>
        <v>0.3</v>
      </c>
      <c r="AI109" s="183">
        <f t="shared" si="61"/>
        <v>10</v>
      </c>
      <c r="AJ109" s="189">
        <f t="shared" si="62"/>
        <v>5.2499999999999998E-2</v>
      </c>
      <c r="AK109" s="189">
        <f>0.3+0.23</f>
        <v>0.53</v>
      </c>
      <c r="AL109" s="189">
        <f t="shared" si="73"/>
        <v>-0.04</v>
      </c>
      <c r="AM109" s="189">
        <f>2.895*0.3</f>
        <v>0.86849999999999994</v>
      </c>
      <c r="AN109" s="188">
        <f t="shared" si="86"/>
        <v>4.306</v>
      </c>
      <c r="AO109" s="183">
        <v>0</v>
      </c>
      <c r="AP109" s="182">
        <f t="shared" si="63"/>
        <v>8</v>
      </c>
      <c r="AQ109" s="182">
        <v>1.5</v>
      </c>
      <c r="AR109" s="187">
        <f t="shared" si="74"/>
        <v>134.10839999999999</v>
      </c>
      <c r="AS109" s="187">
        <f t="shared" si="75"/>
        <v>0</v>
      </c>
      <c r="AT109" s="187">
        <f t="shared" si="76"/>
        <v>0</v>
      </c>
      <c r="AU109" s="187">
        <f t="shared" si="77"/>
        <v>95.458500000000001</v>
      </c>
      <c r="AV109" s="187">
        <f t="shared" si="64"/>
        <v>0</v>
      </c>
      <c r="AW109" s="187">
        <f t="shared" si="78"/>
        <v>0</v>
      </c>
      <c r="AX109" s="187">
        <f t="shared" si="79"/>
        <v>12</v>
      </c>
      <c r="AY109" s="190"/>
      <c r="AZ109" s="240"/>
      <c r="BA109" s="232"/>
      <c r="BF109" s="206"/>
      <c r="BG109" s="206"/>
      <c r="BK109" s="126"/>
      <c r="BL109" s="126"/>
      <c r="BN109" s="126"/>
      <c r="BO109" s="126"/>
      <c r="BQ109" s="126"/>
      <c r="BR109" s="126"/>
      <c r="BT109" s="126"/>
      <c r="BU109" s="126"/>
      <c r="BW109" s="126"/>
      <c r="BX109" s="126"/>
      <c r="BZ109" s="126"/>
      <c r="CA109" s="126"/>
      <c r="CC109" s="126"/>
      <c r="CD109" s="126"/>
      <c r="CF109" s="126"/>
      <c r="CG109" s="126"/>
    </row>
    <row r="110" spans="1:85" s="197" customFormat="1" x14ac:dyDescent="0.3">
      <c r="A110" s="182" t="s">
        <v>243</v>
      </c>
      <c r="B110" s="183">
        <v>1</v>
      </c>
      <c r="C110" s="184" t="s">
        <v>332</v>
      </c>
      <c r="D110" s="187">
        <v>4.8710000000000004</v>
      </c>
      <c r="E110" s="187">
        <v>2.7450000000000001</v>
      </c>
      <c r="F110" s="186">
        <v>0.15</v>
      </c>
      <c r="G110" s="187">
        <f t="shared" si="65"/>
        <v>2.00563425</v>
      </c>
      <c r="H110" s="188">
        <f t="shared" ref="H110:H173" si="90">D110*E110*B110</f>
        <v>13.370895000000001</v>
      </c>
      <c r="I110" s="183">
        <f t="shared" si="50"/>
        <v>10</v>
      </c>
      <c r="J110" s="188">
        <f t="shared" si="66"/>
        <v>0.2</v>
      </c>
      <c r="K110" s="183">
        <f t="shared" si="67"/>
        <v>15</v>
      </c>
      <c r="L110" s="189">
        <f t="shared" si="68"/>
        <v>6.3E-2</v>
      </c>
      <c r="M110" s="189">
        <f t="shared" si="83"/>
        <v>0.6</v>
      </c>
      <c r="N110" s="189">
        <f t="shared" si="69"/>
        <v>-0.04</v>
      </c>
      <c r="O110" s="189">
        <f>3.01*0.3</f>
        <v>0.90299999999999991</v>
      </c>
      <c r="P110" s="188">
        <f t="shared" si="82"/>
        <v>6.3970000000000002</v>
      </c>
      <c r="Q110" s="183">
        <f t="shared" si="51"/>
        <v>10</v>
      </c>
      <c r="R110" s="188">
        <f t="shared" si="52"/>
        <v>0.2</v>
      </c>
      <c r="S110" s="183">
        <f t="shared" si="53"/>
        <v>14</v>
      </c>
      <c r="T110" s="189">
        <f t="shared" si="54"/>
        <v>6.3E-2</v>
      </c>
      <c r="U110" s="189">
        <f t="shared" si="84"/>
        <v>0.6</v>
      </c>
      <c r="V110" s="189">
        <f t="shared" si="71"/>
        <v>-0.04</v>
      </c>
      <c r="W110" s="189">
        <f>2.833*0.3</f>
        <v>0.84989999999999999</v>
      </c>
      <c r="X110" s="188">
        <f t="shared" si="89"/>
        <v>6.3439000000000005</v>
      </c>
      <c r="Y110" s="183">
        <f t="shared" si="55"/>
        <v>8</v>
      </c>
      <c r="Z110" s="188">
        <f t="shared" si="56"/>
        <v>0.24</v>
      </c>
      <c r="AA110" s="183">
        <f t="shared" si="57"/>
        <v>21</v>
      </c>
      <c r="AB110" s="189">
        <f t="shared" si="58"/>
        <v>6.3E-2</v>
      </c>
      <c r="AC110" s="189">
        <f>0.38*2</f>
        <v>0.76</v>
      </c>
      <c r="AD110" s="189">
        <f t="shared" si="72"/>
        <v>-0.04</v>
      </c>
      <c r="AE110" s="189">
        <f>4.34*0.3</f>
        <v>1.3019999999999998</v>
      </c>
      <c r="AF110" s="188">
        <f t="shared" si="85"/>
        <v>4.83</v>
      </c>
      <c r="AG110" s="183">
        <f t="shared" si="59"/>
        <v>8</v>
      </c>
      <c r="AH110" s="182">
        <f t="shared" si="60"/>
        <v>0.24</v>
      </c>
      <c r="AI110" s="183">
        <f t="shared" si="61"/>
        <v>20</v>
      </c>
      <c r="AJ110" s="189">
        <f t="shared" si="62"/>
        <v>6.3E-2</v>
      </c>
      <c r="AK110" s="189">
        <f>0.38*2</f>
        <v>0.76</v>
      </c>
      <c r="AL110" s="189">
        <f t="shared" si="73"/>
        <v>-0.04</v>
      </c>
      <c r="AM110" s="189">
        <f>2.75*0.3</f>
        <v>0.82499999999999996</v>
      </c>
      <c r="AN110" s="188">
        <f t="shared" si="86"/>
        <v>4.3529999999999998</v>
      </c>
      <c r="AO110" s="183">
        <v>0</v>
      </c>
      <c r="AP110" s="182">
        <f t="shared" si="63"/>
        <v>10</v>
      </c>
      <c r="AQ110" s="182">
        <v>1.5</v>
      </c>
      <c r="AR110" s="187">
        <f t="shared" si="74"/>
        <v>0</v>
      </c>
      <c r="AS110" s="187">
        <f t="shared" si="75"/>
        <v>184.76960000000003</v>
      </c>
      <c r="AT110" s="187">
        <f t="shared" si="76"/>
        <v>0</v>
      </c>
      <c r="AU110" s="187">
        <f t="shared" si="77"/>
        <v>188.49</v>
      </c>
      <c r="AV110" s="187">
        <f t="shared" si="64"/>
        <v>0</v>
      </c>
      <c r="AW110" s="187">
        <f t="shared" si="78"/>
        <v>0</v>
      </c>
      <c r="AX110" s="187">
        <f t="shared" si="79"/>
        <v>15</v>
      </c>
      <c r="AY110" s="190"/>
      <c r="AZ110" s="240"/>
      <c r="BA110" s="232"/>
      <c r="BF110" s="206"/>
      <c r="BG110" s="206"/>
      <c r="BK110" s="126"/>
      <c r="BL110" s="126"/>
      <c r="BN110" s="126"/>
      <c r="BO110" s="126"/>
      <c r="BQ110" s="126"/>
      <c r="BR110" s="126"/>
      <c r="BT110" s="126"/>
      <c r="BU110" s="126"/>
      <c r="BW110" s="126"/>
      <c r="BX110" s="126"/>
      <c r="BZ110" s="126"/>
      <c r="CA110" s="126"/>
      <c r="CC110" s="126"/>
      <c r="CD110" s="126"/>
      <c r="CF110" s="126"/>
      <c r="CG110" s="126"/>
    </row>
    <row r="111" spans="1:85" s="197" customFormat="1" x14ac:dyDescent="0.3">
      <c r="A111" s="182" t="s">
        <v>239</v>
      </c>
      <c r="B111" s="183">
        <v>1</v>
      </c>
      <c r="C111" s="184" t="s">
        <v>333</v>
      </c>
      <c r="D111" s="187">
        <v>2.8330000000000002</v>
      </c>
      <c r="E111" s="187">
        <v>2.75</v>
      </c>
      <c r="F111" s="186">
        <v>0.125</v>
      </c>
      <c r="G111" s="187">
        <f t="shared" si="65"/>
        <v>0.97384375000000012</v>
      </c>
      <c r="H111" s="188">
        <f t="shared" si="90"/>
        <v>7.790750000000001</v>
      </c>
      <c r="I111" s="183">
        <f t="shared" si="50"/>
        <v>8</v>
      </c>
      <c r="J111" s="188">
        <f t="shared" si="66"/>
        <v>0.23</v>
      </c>
      <c r="K111" s="183">
        <f t="shared" si="67"/>
        <v>13</v>
      </c>
      <c r="L111" s="189">
        <f t="shared" si="68"/>
        <v>5.2499999999999998E-2</v>
      </c>
      <c r="M111" s="189">
        <f t="shared" si="83"/>
        <v>0.6</v>
      </c>
      <c r="N111" s="189">
        <f t="shared" si="69"/>
        <v>-0.04</v>
      </c>
      <c r="O111" s="189">
        <f>4.87*0.3</f>
        <v>1.4610000000000001</v>
      </c>
      <c r="P111" s="188">
        <f t="shared" si="82"/>
        <v>4.9065000000000003</v>
      </c>
      <c r="Q111" s="183">
        <f t="shared" si="51"/>
        <v>8</v>
      </c>
      <c r="R111" s="188">
        <f t="shared" si="52"/>
        <v>0.23</v>
      </c>
      <c r="S111" s="183">
        <f t="shared" si="53"/>
        <v>12</v>
      </c>
      <c r="T111" s="189">
        <f t="shared" si="54"/>
        <v>5.2499999999999998E-2</v>
      </c>
      <c r="U111" s="189">
        <f t="shared" si="84"/>
        <v>0.6</v>
      </c>
      <c r="V111" s="189">
        <f t="shared" si="71"/>
        <v>-0.04</v>
      </c>
      <c r="W111" s="189">
        <f>6*0.3</f>
        <v>1.7999999999999998</v>
      </c>
      <c r="X111" s="188">
        <f t="shared" si="89"/>
        <v>5.2454999999999998</v>
      </c>
      <c r="Y111" s="183">
        <f t="shared" si="55"/>
        <v>8</v>
      </c>
      <c r="Z111" s="188">
        <f t="shared" si="56"/>
        <v>0.3</v>
      </c>
      <c r="AA111" s="183">
        <f t="shared" si="57"/>
        <v>10</v>
      </c>
      <c r="AB111" s="189">
        <f t="shared" si="58"/>
        <v>5.2499999999999998E-2</v>
      </c>
      <c r="AC111" s="189">
        <f>0.38*2</f>
        <v>0.76</v>
      </c>
      <c r="AD111" s="189">
        <f t="shared" si="72"/>
        <v>-0.04</v>
      </c>
      <c r="AE111" s="189">
        <f>4.34*0.3</f>
        <v>1.3019999999999998</v>
      </c>
      <c r="AF111" s="188">
        <f t="shared" si="85"/>
        <v>4.8244999999999996</v>
      </c>
      <c r="AG111" s="183">
        <f t="shared" si="59"/>
        <v>8</v>
      </c>
      <c r="AH111" s="182">
        <f t="shared" si="60"/>
        <v>0.3</v>
      </c>
      <c r="AI111" s="183">
        <f t="shared" si="61"/>
        <v>9</v>
      </c>
      <c r="AJ111" s="189">
        <f t="shared" si="62"/>
        <v>5.2499999999999998E-2</v>
      </c>
      <c r="AK111" s="189">
        <f>0.38*2</f>
        <v>0.76</v>
      </c>
      <c r="AL111" s="189">
        <f t="shared" si="73"/>
        <v>-0.04</v>
      </c>
      <c r="AM111" s="189">
        <f>2.75*0.3</f>
        <v>0.82499999999999996</v>
      </c>
      <c r="AN111" s="188">
        <f t="shared" si="86"/>
        <v>4.3475000000000001</v>
      </c>
      <c r="AO111" s="183">
        <v>0</v>
      </c>
      <c r="AP111" s="182">
        <f t="shared" si="63"/>
        <v>8</v>
      </c>
      <c r="AQ111" s="182">
        <v>1.5</v>
      </c>
      <c r="AR111" s="187">
        <f t="shared" si="74"/>
        <v>126.73050000000001</v>
      </c>
      <c r="AS111" s="187">
        <f t="shared" si="75"/>
        <v>0</v>
      </c>
      <c r="AT111" s="187">
        <f t="shared" si="76"/>
        <v>0</v>
      </c>
      <c r="AU111" s="187">
        <f t="shared" si="77"/>
        <v>87.372500000000002</v>
      </c>
      <c r="AV111" s="187">
        <f t="shared" si="64"/>
        <v>0</v>
      </c>
      <c r="AW111" s="187">
        <f t="shared" si="78"/>
        <v>0</v>
      </c>
      <c r="AX111" s="187">
        <f t="shared" si="79"/>
        <v>12</v>
      </c>
      <c r="AY111" s="190"/>
      <c r="AZ111" s="240"/>
      <c r="BA111" s="232"/>
      <c r="BF111" s="206"/>
      <c r="BG111" s="206"/>
      <c r="BK111" s="126"/>
      <c r="BL111" s="126"/>
      <c r="BN111" s="126"/>
      <c r="BO111" s="126"/>
      <c r="BQ111" s="126"/>
      <c r="BR111" s="126"/>
      <c r="BT111" s="126"/>
      <c r="BU111" s="126"/>
      <c r="BW111" s="126"/>
      <c r="BX111" s="126"/>
      <c r="BZ111" s="126"/>
      <c r="CA111" s="126"/>
      <c r="CC111" s="126"/>
      <c r="CD111" s="126"/>
      <c r="CF111" s="126"/>
      <c r="CG111" s="126"/>
    </row>
    <row r="112" spans="1:85" s="197" customFormat="1" x14ac:dyDescent="0.3">
      <c r="A112" s="182" t="s">
        <v>239</v>
      </c>
      <c r="B112" s="183">
        <v>1</v>
      </c>
      <c r="C112" s="184" t="s">
        <v>334</v>
      </c>
      <c r="D112" s="187">
        <v>3.04</v>
      </c>
      <c r="E112" s="187">
        <v>2.11</v>
      </c>
      <c r="F112" s="186">
        <v>0.125</v>
      </c>
      <c r="G112" s="187">
        <f t="shared" si="65"/>
        <v>0.80179999999999996</v>
      </c>
      <c r="H112" s="188">
        <f t="shared" si="90"/>
        <v>6.4143999999999997</v>
      </c>
      <c r="I112" s="183">
        <f t="shared" si="50"/>
        <v>8</v>
      </c>
      <c r="J112" s="188">
        <f t="shared" si="66"/>
        <v>0.23</v>
      </c>
      <c r="K112" s="183">
        <f t="shared" si="67"/>
        <v>10</v>
      </c>
      <c r="L112" s="189">
        <f t="shared" si="68"/>
        <v>5.2499999999999998E-2</v>
      </c>
      <c r="M112" s="189">
        <f>0.23*2</f>
        <v>0.46</v>
      </c>
      <c r="N112" s="189">
        <f t="shared" si="69"/>
        <v>-0.04</v>
      </c>
      <c r="O112" s="189">
        <f>(F112-2*0.02)</f>
        <v>8.4999999999999992E-2</v>
      </c>
      <c r="P112" s="188">
        <f t="shared" si="82"/>
        <v>3.5975000000000001</v>
      </c>
      <c r="Q112" s="183">
        <f t="shared" si="51"/>
        <v>8</v>
      </c>
      <c r="R112" s="188">
        <f t="shared" si="52"/>
        <v>0.23</v>
      </c>
      <c r="S112" s="183">
        <f t="shared" si="53"/>
        <v>9</v>
      </c>
      <c r="T112" s="189">
        <f t="shared" si="54"/>
        <v>5.2499999999999998E-2</v>
      </c>
      <c r="U112" s="189">
        <f>0.23*2</f>
        <v>0.46</v>
      </c>
      <c r="V112" s="189">
        <f t="shared" si="71"/>
        <v>-0.04</v>
      </c>
      <c r="W112" s="189">
        <f>2.785*0.3</f>
        <v>0.83550000000000002</v>
      </c>
      <c r="X112" s="188">
        <f t="shared" si="89"/>
        <v>4.3479999999999999</v>
      </c>
      <c r="Y112" s="183">
        <f t="shared" si="55"/>
        <v>8</v>
      </c>
      <c r="Z112" s="188">
        <f t="shared" si="56"/>
        <v>0.3</v>
      </c>
      <c r="AA112" s="183">
        <f t="shared" si="57"/>
        <v>11</v>
      </c>
      <c r="AB112" s="189">
        <f t="shared" si="58"/>
        <v>5.2499999999999998E-2</v>
      </c>
      <c r="AC112" s="189">
        <f>0.23+0.3</f>
        <v>0.53</v>
      </c>
      <c r="AD112" s="189">
        <f t="shared" si="72"/>
        <v>-0.04</v>
      </c>
      <c r="AE112" s="189">
        <f>2.01*0.3</f>
        <v>0.60299999999999987</v>
      </c>
      <c r="AF112" s="188">
        <f t="shared" si="85"/>
        <v>3.2554999999999996</v>
      </c>
      <c r="AG112" s="183">
        <f t="shared" si="59"/>
        <v>8</v>
      </c>
      <c r="AH112" s="182">
        <f t="shared" si="60"/>
        <v>0.3</v>
      </c>
      <c r="AI112" s="183">
        <f t="shared" si="61"/>
        <v>10</v>
      </c>
      <c r="AJ112" s="189">
        <f t="shared" si="62"/>
        <v>5.2499999999999998E-2</v>
      </c>
      <c r="AK112" s="189">
        <f>0.23+0.3</f>
        <v>0.53</v>
      </c>
      <c r="AL112" s="189">
        <f t="shared" si="73"/>
        <v>-0.04</v>
      </c>
      <c r="AM112" s="189">
        <f>4.25*0.3</f>
        <v>1.2749999999999999</v>
      </c>
      <c r="AN112" s="188">
        <f t="shared" si="86"/>
        <v>3.9274999999999998</v>
      </c>
      <c r="AO112" s="183">
        <v>0</v>
      </c>
      <c r="AP112" s="182">
        <f t="shared" si="63"/>
        <v>6</v>
      </c>
      <c r="AQ112" s="182">
        <v>1.5</v>
      </c>
      <c r="AR112" s="187">
        <f t="shared" si="74"/>
        <v>75.106999999999999</v>
      </c>
      <c r="AS112" s="187">
        <f t="shared" si="75"/>
        <v>0</v>
      </c>
      <c r="AT112" s="187">
        <f t="shared" si="76"/>
        <v>0</v>
      </c>
      <c r="AU112" s="187">
        <f t="shared" si="77"/>
        <v>75.085499999999996</v>
      </c>
      <c r="AV112" s="187">
        <f t="shared" si="64"/>
        <v>0</v>
      </c>
      <c r="AW112" s="187">
        <f t="shared" si="78"/>
        <v>0</v>
      </c>
      <c r="AX112" s="187">
        <f t="shared" si="79"/>
        <v>9</v>
      </c>
      <c r="AY112" s="190"/>
      <c r="AZ112" s="240"/>
      <c r="BA112" s="232"/>
      <c r="BF112" s="206"/>
      <c r="BG112" s="206"/>
      <c r="BK112" s="126"/>
      <c r="BL112" s="126"/>
      <c r="BN112" s="126"/>
      <c r="BO112" s="126"/>
      <c r="BQ112" s="126"/>
      <c r="BR112" s="126"/>
      <c r="BT112" s="126"/>
      <c r="BU112" s="126"/>
      <c r="BW112" s="126"/>
      <c r="BX112" s="126"/>
      <c r="BZ112" s="126"/>
      <c r="CA112" s="126"/>
      <c r="CC112" s="126"/>
      <c r="CD112" s="126"/>
      <c r="CF112" s="126"/>
      <c r="CG112" s="126"/>
    </row>
    <row r="113" spans="1:85" s="197" customFormat="1" x14ac:dyDescent="0.3">
      <c r="A113" s="182" t="s">
        <v>239</v>
      </c>
      <c r="B113" s="183">
        <v>1</v>
      </c>
      <c r="C113" s="184" t="s">
        <v>335</v>
      </c>
      <c r="D113" s="187">
        <v>2.7850000000000001</v>
      </c>
      <c r="E113" s="187">
        <v>1.87</v>
      </c>
      <c r="F113" s="186">
        <v>0.125</v>
      </c>
      <c r="G113" s="187">
        <f t="shared" si="65"/>
        <v>0.65099375000000004</v>
      </c>
      <c r="H113" s="188">
        <f t="shared" si="90"/>
        <v>5.2079500000000003</v>
      </c>
      <c r="I113" s="183">
        <f t="shared" si="50"/>
        <v>8</v>
      </c>
      <c r="J113" s="188">
        <f t="shared" si="66"/>
        <v>0.23</v>
      </c>
      <c r="K113" s="183">
        <f t="shared" si="67"/>
        <v>9</v>
      </c>
      <c r="L113" s="189">
        <f t="shared" si="68"/>
        <v>5.2499999999999998E-2</v>
      </c>
      <c r="M113" s="189">
        <f>0.23*2</f>
        <v>0.46</v>
      </c>
      <c r="N113" s="189">
        <f t="shared" si="69"/>
        <v>-0.04</v>
      </c>
      <c r="O113" s="189">
        <f>3.04*0.3</f>
        <v>0.91199999999999992</v>
      </c>
      <c r="P113" s="188">
        <f t="shared" si="82"/>
        <v>4.1695000000000002</v>
      </c>
      <c r="Q113" s="183">
        <f t="shared" si="51"/>
        <v>8</v>
      </c>
      <c r="R113" s="188">
        <f t="shared" si="52"/>
        <v>0.23</v>
      </c>
      <c r="S113" s="183">
        <f t="shared" si="53"/>
        <v>8</v>
      </c>
      <c r="T113" s="189">
        <f t="shared" si="54"/>
        <v>5.2499999999999998E-2</v>
      </c>
      <c r="U113" s="189">
        <f>0.23*2</f>
        <v>0.46</v>
      </c>
      <c r="V113" s="189">
        <f t="shared" si="71"/>
        <v>-0.04</v>
      </c>
      <c r="W113" s="189">
        <f>5.41*0.3</f>
        <v>1.623</v>
      </c>
      <c r="X113" s="188">
        <f t="shared" si="89"/>
        <v>4.8804999999999996</v>
      </c>
      <c r="Y113" s="183">
        <f t="shared" si="55"/>
        <v>8</v>
      </c>
      <c r="Z113" s="188">
        <f t="shared" si="56"/>
        <v>0.3</v>
      </c>
      <c r="AA113" s="183">
        <f t="shared" si="57"/>
        <v>10</v>
      </c>
      <c r="AB113" s="189">
        <f t="shared" si="58"/>
        <v>5.2499999999999998E-2</v>
      </c>
      <c r="AC113" s="189">
        <f>0.23+0.3</f>
        <v>0.53</v>
      </c>
      <c r="AD113" s="189">
        <f t="shared" si="72"/>
        <v>-0.04</v>
      </c>
      <c r="AE113" s="189">
        <f>3.25*0.3</f>
        <v>0.97499999999999998</v>
      </c>
      <c r="AF113" s="188">
        <f t="shared" si="85"/>
        <v>3.3875000000000002</v>
      </c>
      <c r="AG113" s="183">
        <f t="shared" si="59"/>
        <v>8</v>
      </c>
      <c r="AH113" s="182">
        <f t="shared" si="60"/>
        <v>0.3</v>
      </c>
      <c r="AI113" s="183">
        <f t="shared" si="61"/>
        <v>9</v>
      </c>
      <c r="AJ113" s="189">
        <f t="shared" si="62"/>
        <v>5.2499999999999998E-2</v>
      </c>
      <c r="AK113" s="189">
        <f>0.23+0.3</f>
        <v>0.53</v>
      </c>
      <c r="AL113" s="189">
        <f t="shared" si="73"/>
        <v>-0.04</v>
      </c>
      <c r="AM113" s="189">
        <f>4.25*0.3</f>
        <v>1.2749999999999999</v>
      </c>
      <c r="AN113" s="188">
        <f t="shared" si="86"/>
        <v>3.6875</v>
      </c>
      <c r="AO113" s="183">
        <v>0</v>
      </c>
      <c r="AP113" s="182">
        <f t="shared" si="63"/>
        <v>6</v>
      </c>
      <c r="AQ113" s="182">
        <v>1.5</v>
      </c>
      <c r="AR113" s="187">
        <f t="shared" si="74"/>
        <v>76.569500000000005</v>
      </c>
      <c r="AS113" s="187">
        <f t="shared" si="75"/>
        <v>0</v>
      </c>
      <c r="AT113" s="187">
        <f t="shared" si="76"/>
        <v>0</v>
      </c>
      <c r="AU113" s="187">
        <f t="shared" si="77"/>
        <v>67.0625</v>
      </c>
      <c r="AV113" s="187">
        <f t="shared" si="64"/>
        <v>0</v>
      </c>
      <c r="AW113" s="187">
        <f t="shared" si="78"/>
        <v>0</v>
      </c>
      <c r="AX113" s="187">
        <f t="shared" si="79"/>
        <v>9</v>
      </c>
      <c r="AY113" s="190"/>
      <c r="AZ113" s="240"/>
      <c r="BA113" s="232"/>
      <c r="BF113" s="206"/>
      <c r="BG113" s="206"/>
      <c r="BK113" s="126"/>
      <c r="BL113" s="126"/>
      <c r="BN113" s="126"/>
      <c r="BO113" s="126"/>
      <c r="BQ113" s="126"/>
      <c r="BR113" s="126"/>
      <c r="BT113" s="126"/>
      <c r="BU113" s="126"/>
      <c r="BW113" s="126"/>
      <c r="BX113" s="126"/>
      <c r="BZ113" s="126"/>
      <c r="CA113" s="126"/>
      <c r="CC113" s="126"/>
      <c r="CD113" s="126"/>
      <c r="CF113" s="126"/>
      <c r="CG113" s="126"/>
    </row>
    <row r="114" spans="1:85" s="197" customFormat="1" x14ac:dyDescent="0.3">
      <c r="A114" s="182" t="s">
        <v>227</v>
      </c>
      <c r="B114" s="183">
        <v>1</v>
      </c>
      <c r="C114" s="184" t="s">
        <v>336</v>
      </c>
      <c r="D114" s="187">
        <v>5.41</v>
      </c>
      <c r="E114" s="187">
        <v>1.95</v>
      </c>
      <c r="F114" s="186">
        <v>0.125</v>
      </c>
      <c r="G114" s="187">
        <f t="shared" si="65"/>
        <v>1.3186875</v>
      </c>
      <c r="H114" s="188">
        <f t="shared" si="90"/>
        <v>10.5495</v>
      </c>
      <c r="I114" s="183">
        <f t="shared" si="50"/>
        <v>8</v>
      </c>
      <c r="J114" s="188">
        <f t="shared" si="66"/>
        <v>0.2</v>
      </c>
      <c r="K114" s="183">
        <f t="shared" si="67"/>
        <v>11</v>
      </c>
      <c r="L114" s="189">
        <f t="shared" si="68"/>
        <v>5.2499999999999998E-2</v>
      </c>
      <c r="M114" s="189">
        <f>0.23+0.38</f>
        <v>0.61</v>
      </c>
      <c r="N114" s="189">
        <f t="shared" si="69"/>
        <v>-0.04</v>
      </c>
      <c r="O114" s="189">
        <f>2.785*0.3</f>
        <v>0.83550000000000002</v>
      </c>
      <c r="P114" s="188">
        <f t="shared" si="82"/>
        <v>6.8680000000000003</v>
      </c>
      <c r="Q114" s="183">
        <f t="shared" si="51"/>
        <v>8</v>
      </c>
      <c r="R114" s="188">
        <f t="shared" si="52"/>
        <v>0.2</v>
      </c>
      <c r="S114" s="183">
        <f t="shared" si="53"/>
        <v>10</v>
      </c>
      <c r="T114" s="189">
        <f t="shared" si="54"/>
        <v>5.2499999999999998E-2</v>
      </c>
      <c r="U114" s="189">
        <f>0.23+0.38</f>
        <v>0.61</v>
      </c>
      <c r="V114" s="189">
        <f t="shared" si="71"/>
        <v>-0.04</v>
      </c>
      <c r="W114" s="189">
        <v>0</v>
      </c>
      <c r="X114" s="188">
        <f t="shared" si="89"/>
        <v>6.0324999999999998</v>
      </c>
      <c r="Y114" s="183">
        <f t="shared" si="55"/>
        <v>8</v>
      </c>
      <c r="Z114" s="188">
        <f t="shared" si="56"/>
        <v>0.2</v>
      </c>
      <c r="AA114" s="183">
        <f t="shared" si="57"/>
        <v>28</v>
      </c>
      <c r="AB114" s="189">
        <f t="shared" si="58"/>
        <v>5.2499999999999998E-2</v>
      </c>
      <c r="AC114" s="189">
        <f>0.3+0.23</f>
        <v>0.53</v>
      </c>
      <c r="AD114" s="189">
        <f t="shared" si="72"/>
        <v>-0.04</v>
      </c>
      <c r="AE114" s="189">
        <f>3.17*0.3</f>
        <v>0.95099999999999996</v>
      </c>
      <c r="AF114" s="188">
        <f t="shared" si="85"/>
        <v>3.4435000000000002</v>
      </c>
      <c r="AG114" s="183">
        <f t="shared" si="59"/>
        <v>8</v>
      </c>
      <c r="AH114" s="182">
        <f t="shared" si="60"/>
        <v>0.2</v>
      </c>
      <c r="AI114" s="183">
        <f t="shared" si="61"/>
        <v>27</v>
      </c>
      <c r="AJ114" s="189">
        <f t="shared" si="62"/>
        <v>5.2499999999999998E-2</v>
      </c>
      <c r="AK114" s="189">
        <f>0.3+0.23</f>
        <v>0.53</v>
      </c>
      <c r="AL114" s="189">
        <f t="shared" si="73"/>
        <v>-0.04</v>
      </c>
      <c r="AM114" s="189">
        <f>4.25*0.3</f>
        <v>1.2749999999999999</v>
      </c>
      <c r="AN114" s="188">
        <f t="shared" si="86"/>
        <v>3.7675000000000001</v>
      </c>
      <c r="AO114" s="183">
        <v>0</v>
      </c>
      <c r="AP114" s="182">
        <f t="shared" si="63"/>
        <v>10</v>
      </c>
      <c r="AQ114" s="182">
        <v>1.5</v>
      </c>
      <c r="AR114" s="187">
        <f t="shared" si="74"/>
        <v>135.87299999999999</v>
      </c>
      <c r="AS114" s="187">
        <f t="shared" si="75"/>
        <v>0</v>
      </c>
      <c r="AT114" s="187">
        <f t="shared" si="76"/>
        <v>0</v>
      </c>
      <c r="AU114" s="187">
        <f t="shared" si="77"/>
        <v>198.1405</v>
      </c>
      <c r="AV114" s="187">
        <f t="shared" si="64"/>
        <v>0</v>
      </c>
      <c r="AW114" s="187">
        <f t="shared" si="78"/>
        <v>0</v>
      </c>
      <c r="AX114" s="187">
        <f t="shared" si="79"/>
        <v>15</v>
      </c>
      <c r="AY114" s="190"/>
      <c r="AZ114" s="240"/>
      <c r="BA114" s="232"/>
      <c r="BF114" s="206"/>
      <c r="BG114" s="206"/>
      <c r="BK114" s="126"/>
      <c r="BL114" s="126"/>
      <c r="BN114" s="126"/>
      <c r="BO114" s="126"/>
      <c r="BQ114" s="126"/>
      <c r="BR114" s="126"/>
      <c r="BT114" s="126"/>
      <c r="BU114" s="126"/>
      <c r="BW114" s="126"/>
      <c r="BX114" s="126"/>
      <c r="BZ114" s="126"/>
      <c r="CA114" s="126"/>
      <c r="CC114" s="126"/>
      <c r="CD114" s="126"/>
      <c r="CF114" s="126"/>
      <c r="CG114" s="126"/>
    </row>
    <row r="115" spans="1:85" s="197" customFormat="1" x14ac:dyDescent="0.3">
      <c r="A115" s="182" t="s">
        <v>218</v>
      </c>
      <c r="B115" s="183">
        <v>1</v>
      </c>
      <c r="C115" s="184" t="s">
        <v>337</v>
      </c>
      <c r="D115" s="187">
        <v>0.89</v>
      </c>
      <c r="E115" s="187">
        <v>2.94</v>
      </c>
      <c r="F115" s="186">
        <v>0.16500000000000001</v>
      </c>
      <c r="G115" s="187">
        <f t="shared" si="65"/>
        <v>0.43173900000000004</v>
      </c>
      <c r="H115" s="188">
        <f t="shared" si="90"/>
        <v>2.6166</v>
      </c>
      <c r="I115" s="183">
        <f t="shared" si="50"/>
        <v>10</v>
      </c>
      <c r="J115" s="188">
        <f t="shared" si="66"/>
        <v>0.2</v>
      </c>
      <c r="K115" s="183">
        <f t="shared" si="67"/>
        <v>16</v>
      </c>
      <c r="L115" s="189">
        <f t="shared" si="68"/>
        <v>6.93E-2</v>
      </c>
      <c r="M115" s="189">
        <f>0.23*2</f>
        <v>0.46</v>
      </c>
      <c r="N115" s="189">
        <f t="shared" si="69"/>
        <v>-0.04</v>
      </c>
      <c r="O115" s="189">
        <f>1.98*0.3</f>
        <v>0.59399999999999997</v>
      </c>
      <c r="P115" s="188">
        <f t="shared" si="82"/>
        <v>1.9733000000000001</v>
      </c>
      <c r="Q115" s="183">
        <f t="shared" si="51"/>
        <v>10</v>
      </c>
      <c r="R115" s="188">
        <f t="shared" si="52"/>
        <v>0.2</v>
      </c>
      <c r="S115" s="183">
        <f t="shared" si="53"/>
        <v>15</v>
      </c>
      <c r="T115" s="189">
        <f t="shared" si="54"/>
        <v>6.93E-2</v>
      </c>
      <c r="U115" s="189">
        <f>0.23*2</f>
        <v>0.46</v>
      </c>
      <c r="V115" s="189">
        <f t="shared" si="71"/>
        <v>-0.04</v>
      </c>
      <c r="W115" s="189">
        <f>2.36*0.3</f>
        <v>0.70799999999999996</v>
      </c>
      <c r="X115" s="188">
        <f t="shared" si="89"/>
        <v>2.0872999999999999</v>
      </c>
      <c r="Y115" s="183">
        <f t="shared" si="55"/>
        <v>10</v>
      </c>
      <c r="Z115" s="188">
        <f t="shared" si="56"/>
        <v>0.2</v>
      </c>
      <c r="AA115" s="183">
        <f t="shared" si="57"/>
        <v>5</v>
      </c>
      <c r="AB115" s="189">
        <f t="shared" si="58"/>
        <v>6.93E-2</v>
      </c>
      <c r="AC115" s="189">
        <f>0.38+0.23</f>
        <v>0.61</v>
      </c>
      <c r="AD115" s="189">
        <f t="shared" si="72"/>
        <v>-0.04</v>
      </c>
      <c r="AE115" s="189">
        <v>0</v>
      </c>
      <c r="AF115" s="188">
        <f t="shared" si="85"/>
        <v>3.5792999999999999</v>
      </c>
      <c r="AG115" s="183">
        <f t="shared" si="59"/>
        <v>10</v>
      </c>
      <c r="AH115" s="182">
        <f t="shared" si="60"/>
        <v>0.2</v>
      </c>
      <c r="AI115" s="183">
        <f t="shared" si="61"/>
        <v>4</v>
      </c>
      <c r="AJ115" s="189">
        <f t="shared" si="62"/>
        <v>6.93E-2</v>
      </c>
      <c r="AK115" s="189">
        <f>0.38+0.23</f>
        <v>0.61</v>
      </c>
      <c r="AL115" s="189">
        <f t="shared" si="73"/>
        <v>-0.04</v>
      </c>
      <c r="AM115" s="189">
        <v>0</v>
      </c>
      <c r="AN115" s="188">
        <f t="shared" si="86"/>
        <v>3.5792999999999999</v>
      </c>
      <c r="AO115" s="183">
        <v>0</v>
      </c>
      <c r="AP115" s="182">
        <f t="shared" si="63"/>
        <v>6</v>
      </c>
      <c r="AQ115" s="182">
        <v>1.5</v>
      </c>
      <c r="AR115" s="187">
        <f t="shared" si="74"/>
        <v>0</v>
      </c>
      <c r="AS115" s="187">
        <f t="shared" si="75"/>
        <v>62.882300000000001</v>
      </c>
      <c r="AT115" s="187">
        <f t="shared" si="76"/>
        <v>0</v>
      </c>
      <c r="AU115" s="187">
        <f t="shared" si="77"/>
        <v>0</v>
      </c>
      <c r="AV115" s="187">
        <f t="shared" si="64"/>
        <v>32.213700000000003</v>
      </c>
      <c r="AW115" s="187">
        <f t="shared" si="78"/>
        <v>0</v>
      </c>
      <c r="AX115" s="187">
        <f t="shared" si="79"/>
        <v>9</v>
      </c>
      <c r="AY115" s="190"/>
      <c r="AZ115" s="240"/>
      <c r="BA115" s="232"/>
      <c r="BF115" s="206"/>
      <c r="BG115" s="206"/>
      <c r="BK115" s="126"/>
      <c r="BL115" s="126"/>
      <c r="BN115" s="126"/>
      <c r="BO115" s="126"/>
      <c r="BQ115" s="126"/>
      <c r="BR115" s="126"/>
      <c r="BT115" s="126"/>
      <c r="BU115" s="126"/>
      <c r="BW115" s="126"/>
      <c r="BX115" s="126"/>
      <c r="BZ115" s="126"/>
      <c r="CA115" s="126"/>
      <c r="CC115" s="126"/>
      <c r="CD115" s="126"/>
      <c r="CF115" s="126"/>
      <c r="CG115" s="126"/>
    </row>
    <row r="116" spans="1:85" s="197" customFormat="1" x14ac:dyDescent="0.3">
      <c r="A116" s="182" t="s">
        <v>239</v>
      </c>
      <c r="B116" s="183">
        <v>1</v>
      </c>
      <c r="C116" s="184" t="s">
        <v>327</v>
      </c>
      <c r="D116" s="187">
        <v>2.29</v>
      </c>
      <c r="E116" s="187">
        <v>2.5</v>
      </c>
      <c r="F116" s="186">
        <v>0.125</v>
      </c>
      <c r="G116" s="187">
        <f t="shared" si="65"/>
        <v>0.71562499999999996</v>
      </c>
      <c r="H116" s="188">
        <f t="shared" si="90"/>
        <v>5.7249999999999996</v>
      </c>
      <c r="I116" s="183">
        <f t="shared" si="50"/>
        <v>8</v>
      </c>
      <c r="J116" s="188">
        <f t="shared" si="66"/>
        <v>0.23</v>
      </c>
      <c r="K116" s="183">
        <f t="shared" si="67"/>
        <v>12</v>
      </c>
      <c r="L116" s="189">
        <f t="shared" si="68"/>
        <v>5.2499999999999998E-2</v>
      </c>
      <c r="M116" s="189">
        <f>0.23*2</f>
        <v>0.46</v>
      </c>
      <c r="N116" s="189">
        <f t="shared" si="69"/>
        <v>-0.04</v>
      </c>
      <c r="O116" s="189">
        <v>0</v>
      </c>
      <c r="P116" s="188">
        <f t="shared" si="82"/>
        <v>2.7625000000000002</v>
      </c>
      <c r="Q116" s="183">
        <f t="shared" si="51"/>
        <v>8</v>
      </c>
      <c r="R116" s="188">
        <f t="shared" si="52"/>
        <v>0.23</v>
      </c>
      <c r="S116" s="183">
        <f t="shared" si="53"/>
        <v>11</v>
      </c>
      <c r="T116" s="189">
        <f t="shared" si="54"/>
        <v>5.2499999999999998E-2</v>
      </c>
      <c r="U116" s="189">
        <f>0.23*2</f>
        <v>0.46</v>
      </c>
      <c r="V116" s="189">
        <f t="shared" si="71"/>
        <v>-0.04</v>
      </c>
      <c r="W116" s="189">
        <v>0</v>
      </c>
      <c r="X116" s="188">
        <f t="shared" si="89"/>
        <v>2.7625000000000002</v>
      </c>
      <c r="Y116" s="183">
        <f t="shared" si="55"/>
        <v>8</v>
      </c>
      <c r="Z116" s="188">
        <f t="shared" si="56"/>
        <v>0.3</v>
      </c>
      <c r="AA116" s="183">
        <f t="shared" si="57"/>
        <v>9</v>
      </c>
      <c r="AB116" s="189">
        <f t="shared" si="58"/>
        <v>5.2499999999999998E-2</v>
      </c>
      <c r="AC116" s="189">
        <f>0.23*2</f>
        <v>0.46</v>
      </c>
      <c r="AD116" s="189">
        <f t="shared" si="72"/>
        <v>-0.04</v>
      </c>
      <c r="AE116" s="189">
        <f>3.93*0.3</f>
        <v>1.179</v>
      </c>
      <c r="AF116" s="188">
        <f t="shared" si="85"/>
        <v>4.1515000000000004</v>
      </c>
      <c r="AG116" s="183">
        <f t="shared" si="59"/>
        <v>8</v>
      </c>
      <c r="AH116" s="182">
        <f t="shared" si="60"/>
        <v>0.3</v>
      </c>
      <c r="AI116" s="183">
        <f t="shared" si="61"/>
        <v>8</v>
      </c>
      <c r="AJ116" s="189">
        <f t="shared" si="62"/>
        <v>5.2499999999999998E-2</v>
      </c>
      <c r="AK116" s="189">
        <f>0.23*2</f>
        <v>0.46</v>
      </c>
      <c r="AL116" s="189">
        <f t="shared" si="73"/>
        <v>-0.04</v>
      </c>
      <c r="AM116" s="189">
        <f>2.29*0.3</f>
        <v>0.68699999999999994</v>
      </c>
      <c r="AN116" s="188">
        <f t="shared" si="86"/>
        <v>3.6595</v>
      </c>
      <c r="AO116" s="183">
        <v>0</v>
      </c>
      <c r="AP116" s="182">
        <f t="shared" si="63"/>
        <v>8</v>
      </c>
      <c r="AQ116" s="182">
        <v>1.5</v>
      </c>
      <c r="AR116" s="187">
        <f t="shared" si="74"/>
        <v>63.537500000000009</v>
      </c>
      <c r="AS116" s="187">
        <f t="shared" si="75"/>
        <v>0</v>
      </c>
      <c r="AT116" s="187">
        <f t="shared" si="76"/>
        <v>0</v>
      </c>
      <c r="AU116" s="187">
        <f t="shared" si="77"/>
        <v>66.639499999999998</v>
      </c>
      <c r="AV116" s="187">
        <f t="shared" si="64"/>
        <v>0</v>
      </c>
      <c r="AW116" s="187">
        <f t="shared" si="78"/>
        <v>0</v>
      </c>
      <c r="AX116" s="187">
        <f t="shared" si="79"/>
        <v>12</v>
      </c>
      <c r="AY116" s="190"/>
      <c r="AZ116" s="240"/>
      <c r="BA116" s="232"/>
      <c r="BF116" s="206"/>
      <c r="BG116" s="206"/>
      <c r="BK116" s="126"/>
      <c r="BL116" s="126"/>
      <c r="BN116" s="126"/>
      <c r="BO116" s="126"/>
      <c r="BQ116" s="126"/>
      <c r="BR116" s="126"/>
      <c r="BT116" s="126"/>
      <c r="BU116" s="126"/>
      <c r="BW116" s="126"/>
      <c r="BX116" s="126"/>
      <c r="BZ116" s="126"/>
      <c r="CA116" s="126"/>
      <c r="CC116" s="126"/>
      <c r="CD116" s="126"/>
      <c r="CF116" s="126"/>
      <c r="CG116" s="126"/>
    </row>
    <row r="117" spans="1:85" s="197" customFormat="1" x14ac:dyDescent="0.3">
      <c r="A117" s="182" t="s">
        <v>239</v>
      </c>
      <c r="B117" s="183">
        <v>1</v>
      </c>
      <c r="C117" s="184" t="s">
        <v>338</v>
      </c>
      <c r="D117" s="187">
        <v>2.29</v>
      </c>
      <c r="E117" s="187">
        <v>2.64</v>
      </c>
      <c r="F117" s="186">
        <v>0.125</v>
      </c>
      <c r="G117" s="187">
        <f t="shared" si="65"/>
        <v>0.75570000000000004</v>
      </c>
      <c r="H117" s="188">
        <f t="shared" si="90"/>
        <v>6.0456000000000003</v>
      </c>
      <c r="I117" s="183">
        <f t="shared" si="50"/>
        <v>8</v>
      </c>
      <c r="J117" s="188">
        <f t="shared" si="66"/>
        <v>0.23</v>
      </c>
      <c r="K117" s="183">
        <f t="shared" si="67"/>
        <v>12</v>
      </c>
      <c r="L117" s="189">
        <f t="shared" si="68"/>
        <v>5.2499999999999998E-2</v>
      </c>
      <c r="M117" s="189">
        <f t="shared" si="83"/>
        <v>0.6</v>
      </c>
      <c r="N117" s="189">
        <f t="shared" si="69"/>
        <v>-0.04</v>
      </c>
      <c r="O117" s="189">
        <v>0</v>
      </c>
      <c r="P117" s="188">
        <f t="shared" si="82"/>
        <v>2.9024999999999999</v>
      </c>
      <c r="Q117" s="183">
        <f t="shared" si="51"/>
        <v>8</v>
      </c>
      <c r="R117" s="188">
        <f t="shared" si="52"/>
        <v>0.23</v>
      </c>
      <c r="S117" s="183">
        <f t="shared" si="53"/>
        <v>11</v>
      </c>
      <c r="T117" s="189">
        <f t="shared" si="54"/>
        <v>5.2499999999999998E-2</v>
      </c>
      <c r="U117" s="189">
        <f t="shared" si="84"/>
        <v>0.6</v>
      </c>
      <c r="V117" s="189">
        <f t="shared" si="71"/>
        <v>-0.04</v>
      </c>
      <c r="W117" s="189">
        <f>4.12*0.3</f>
        <v>1.236</v>
      </c>
      <c r="X117" s="188">
        <f t="shared" si="89"/>
        <v>4.1385000000000005</v>
      </c>
      <c r="Y117" s="183">
        <f t="shared" si="55"/>
        <v>8</v>
      </c>
      <c r="Z117" s="188">
        <f t="shared" si="56"/>
        <v>0.3</v>
      </c>
      <c r="AA117" s="183">
        <f t="shared" si="57"/>
        <v>9</v>
      </c>
      <c r="AB117" s="189">
        <f t="shared" si="58"/>
        <v>5.2499999999999998E-2</v>
      </c>
      <c r="AC117" s="189">
        <f>0.23*2</f>
        <v>0.46</v>
      </c>
      <c r="AD117" s="189">
        <f t="shared" si="72"/>
        <v>-0.04</v>
      </c>
      <c r="AE117" s="189">
        <f>1.72*0.3</f>
        <v>0.51600000000000001</v>
      </c>
      <c r="AF117" s="188">
        <f t="shared" si="85"/>
        <v>3.6285000000000003</v>
      </c>
      <c r="AG117" s="183">
        <f t="shared" si="59"/>
        <v>8</v>
      </c>
      <c r="AH117" s="182">
        <f t="shared" si="60"/>
        <v>0.3</v>
      </c>
      <c r="AI117" s="183">
        <f t="shared" si="61"/>
        <v>8</v>
      </c>
      <c r="AJ117" s="189">
        <f t="shared" si="62"/>
        <v>5.2499999999999998E-2</v>
      </c>
      <c r="AK117" s="189">
        <f>0.23*2</f>
        <v>0.46</v>
      </c>
      <c r="AL117" s="189">
        <f t="shared" si="73"/>
        <v>-0.04</v>
      </c>
      <c r="AM117" s="189">
        <f>2.19*0.3</f>
        <v>0.65699999999999992</v>
      </c>
      <c r="AN117" s="188">
        <f t="shared" si="86"/>
        <v>3.7694999999999999</v>
      </c>
      <c r="AO117" s="183">
        <v>0</v>
      </c>
      <c r="AP117" s="182">
        <f t="shared" si="63"/>
        <v>8</v>
      </c>
      <c r="AQ117" s="182">
        <v>1.5</v>
      </c>
      <c r="AR117" s="187">
        <f t="shared" si="74"/>
        <v>80.353499999999997</v>
      </c>
      <c r="AS117" s="187">
        <f t="shared" si="75"/>
        <v>0</v>
      </c>
      <c r="AT117" s="187">
        <f t="shared" si="76"/>
        <v>0</v>
      </c>
      <c r="AU117" s="187">
        <f t="shared" si="77"/>
        <v>62.8125</v>
      </c>
      <c r="AV117" s="187">
        <f t="shared" si="64"/>
        <v>0</v>
      </c>
      <c r="AW117" s="187">
        <f t="shared" si="78"/>
        <v>0</v>
      </c>
      <c r="AX117" s="187">
        <f t="shared" si="79"/>
        <v>12</v>
      </c>
      <c r="AY117" s="190"/>
      <c r="AZ117" s="240"/>
      <c r="BA117" s="232"/>
      <c r="BF117" s="206"/>
      <c r="BG117" s="206"/>
      <c r="BK117" s="126"/>
      <c r="BL117" s="126"/>
      <c r="BN117" s="126"/>
      <c r="BO117" s="126"/>
      <c r="BQ117" s="126"/>
      <c r="BR117" s="126"/>
      <c r="BT117" s="126"/>
      <c r="BU117" s="126"/>
      <c r="BW117" s="126"/>
      <c r="BX117" s="126"/>
      <c r="BZ117" s="126"/>
      <c r="CA117" s="126"/>
      <c r="CC117" s="126"/>
      <c r="CD117" s="126"/>
      <c r="CF117" s="126"/>
      <c r="CG117" s="126"/>
    </row>
    <row r="118" spans="1:85" s="197" customFormat="1" x14ac:dyDescent="0.3">
      <c r="A118" s="182" t="s">
        <v>227</v>
      </c>
      <c r="B118" s="183">
        <v>1</v>
      </c>
      <c r="C118" s="184" t="s">
        <v>339</v>
      </c>
      <c r="D118" s="187">
        <v>4.12</v>
      </c>
      <c r="E118" s="187">
        <v>1.72</v>
      </c>
      <c r="F118" s="186">
        <v>0.125</v>
      </c>
      <c r="G118" s="187">
        <f t="shared" si="65"/>
        <v>0.88580000000000003</v>
      </c>
      <c r="H118" s="188">
        <f t="shared" si="90"/>
        <v>7.0864000000000003</v>
      </c>
      <c r="I118" s="183">
        <f t="shared" si="50"/>
        <v>8</v>
      </c>
      <c r="J118" s="188">
        <f t="shared" si="66"/>
        <v>0.2</v>
      </c>
      <c r="K118" s="183">
        <f t="shared" si="67"/>
        <v>10</v>
      </c>
      <c r="L118" s="189">
        <f t="shared" si="68"/>
        <v>5.2499999999999998E-2</v>
      </c>
      <c r="M118" s="189">
        <f t="shared" si="83"/>
        <v>0.6</v>
      </c>
      <c r="N118" s="189">
        <f t="shared" si="69"/>
        <v>-0.04</v>
      </c>
      <c r="O118" s="189">
        <f>2.29*0.3</f>
        <v>0.68699999999999994</v>
      </c>
      <c r="P118" s="188">
        <f t="shared" si="82"/>
        <v>5.4195000000000002</v>
      </c>
      <c r="Q118" s="183">
        <f t="shared" si="51"/>
        <v>8</v>
      </c>
      <c r="R118" s="188">
        <f t="shared" si="52"/>
        <v>0.2</v>
      </c>
      <c r="S118" s="183">
        <f t="shared" si="53"/>
        <v>9</v>
      </c>
      <c r="T118" s="189">
        <f t="shared" si="54"/>
        <v>5.2499999999999998E-2</v>
      </c>
      <c r="U118" s="189">
        <f t="shared" si="84"/>
        <v>0.6</v>
      </c>
      <c r="V118" s="189">
        <f t="shared" si="71"/>
        <v>-0.04</v>
      </c>
      <c r="W118" s="189">
        <f>3.01*0.3</f>
        <v>0.90299999999999991</v>
      </c>
      <c r="X118" s="188">
        <f t="shared" si="89"/>
        <v>5.6355000000000004</v>
      </c>
      <c r="Y118" s="183">
        <f t="shared" si="55"/>
        <v>8</v>
      </c>
      <c r="Z118" s="188">
        <f t="shared" si="56"/>
        <v>0.2</v>
      </c>
      <c r="AA118" s="183">
        <f t="shared" si="57"/>
        <v>22</v>
      </c>
      <c r="AB118" s="189">
        <f t="shared" si="58"/>
        <v>5.2499999999999998E-2</v>
      </c>
      <c r="AC118" s="189">
        <f>0.23*2</f>
        <v>0.46</v>
      </c>
      <c r="AD118" s="189">
        <f t="shared" si="72"/>
        <v>-0.04</v>
      </c>
      <c r="AE118" s="189">
        <f>2.09*0.3</f>
        <v>0.62699999999999989</v>
      </c>
      <c r="AF118" s="188">
        <f t="shared" si="85"/>
        <v>2.8194999999999997</v>
      </c>
      <c r="AG118" s="183">
        <f t="shared" si="59"/>
        <v>8</v>
      </c>
      <c r="AH118" s="182">
        <f t="shared" si="60"/>
        <v>0.2</v>
      </c>
      <c r="AI118" s="183">
        <f t="shared" si="61"/>
        <v>21</v>
      </c>
      <c r="AJ118" s="189">
        <f t="shared" si="62"/>
        <v>5.2499999999999998E-2</v>
      </c>
      <c r="AK118" s="189">
        <f>0.23*2</f>
        <v>0.46</v>
      </c>
      <c r="AL118" s="189">
        <f t="shared" si="73"/>
        <v>-0.04</v>
      </c>
      <c r="AM118" s="189">
        <f>2.19*0.3</f>
        <v>0.65699999999999992</v>
      </c>
      <c r="AN118" s="188">
        <f t="shared" si="86"/>
        <v>2.8494999999999999</v>
      </c>
      <c r="AO118" s="183">
        <v>0</v>
      </c>
      <c r="AP118" s="182">
        <f t="shared" si="63"/>
        <v>8</v>
      </c>
      <c r="AQ118" s="182">
        <v>1.5</v>
      </c>
      <c r="AR118" s="187">
        <f t="shared" si="74"/>
        <v>104.9145</v>
      </c>
      <c r="AS118" s="187">
        <f t="shared" si="75"/>
        <v>0</v>
      </c>
      <c r="AT118" s="187">
        <f t="shared" si="76"/>
        <v>0</v>
      </c>
      <c r="AU118" s="187">
        <f t="shared" si="77"/>
        <v>121.8685</v>
      </c>
      <c r="AV118" s="187">
        <f t="shared" si="64"/>
        <v>0</v>
      </c>
      <c r="AW118" s="187">
        <f t="shared" si="78"/>
        <v>0</v>
      </c>
      <c r="AX118" s="187">
        <f t="shared" si="79"/>
        <v>12</v>
      </c>
      <c r="AY118" s="190"/>
      <c r="AZ118" s="240"/>
      <c r="BA118" s="232"/>
      <c r="BF118" s="206"/>
      <c r="BG118" s="206"/>
      <c r="BK118" s="126"/>
      <c r="BL118" s="126"/>
      <c r="BN118" s="126"/>
      <c r="BO118" s="126"/>
      <c r="BQ118" s="126"/>
      <c r="BR118" s="126"/>
      <c r="BT118" s="126"/>
      <c r="BU118" s="126"/>
      <c r="BW118" s="126"/>
      <c r="BX118" s="126"/>
      <c r="BZ118" s="126"/>
      <c r="CA118" s="126"/>
      <c r="CC118" s="126"/>
      <c r="CD118" s="126"/>
      <c r="CF118" s="126"/>
      <c r="CG118" s="126"/>
    </row>
    <row r="119" spans="1:85" s="197" customFormat="1" x14ac:dyDescent="0.3">
      <c r="A119" s="182" t="s">
        <v>239</v>
      </c>
      <c r="B119" s="183">
        <v>1</v>
      </c>
      <c r="C119" s="184" t="s">
        <v>340</v>
      </c>
      <c r="D119" s="187">
        <v>2.9</v>
      </c>
      <c r="E119" s="187">
        <v>2.0099999999999998</v>
      </c>
      <c r="F119" s="186">
        <v>0.125</v>
      </c>
      <c r="G119" s="187">
        <f t="shared" si="65"/>
        <v>0.72862499999999986</v>
      </c>
      <c r="H119" s="188">
        <f t="shared" si="90"/>
        <v>5.8289999999999988</v>
      </c>
      <c r="I119" s="183">
        <f t="shared" si="50"/>
        <v>8</v>
      </c>
      <c r="J119" s="188">
        <f t="shared" si="66"/>
        <v>0.23</v>
      </c>
      <c r="K119" s="183">
        <f t="shared" si="67"/>
        <v>10</v>
      </c>
      <c r="L119" s="189">
        <f t="shared" si="68"/>
        <v>5.2499999999999998E-2</v>
      </c>
      <c r="M119" s="189">
        <f t="shared" si="83"/>
        <v>0.6</v>
      </c>
      <c r="N119" s="189">
        <f t="shared" si="69"/>
        <v>-0.04</v>
      </c>
      <c r="O119" s="189">
        <f>(F119-2*0.02)</f>
        <v>8.4999999999999992E-2</v>
      </c>
      <c r="P119" s="188">
        <f t="shared" si="82"/>
        <v>3.5974999999999997</v>
      </c>
      <c r="Q119" s="183">
        <f t="shared" si="51"/>
        <v>8</v>
      </c>
      <c r="R119" s="188">
        <f t="shared" si="52"/>
        <v>0.23</v>
      </c>
      <c r="S119" s="183">
        <f t="shared" si="53"/>
        <v>9</v>
      </c>
      <c r="T119" s="189">
        <f t="shared" si="54"/>
        <v>5.2499999999999998E-2</v>
      </c>
      <c r="U119" s="189">
        <f t="shared" si="84"/>
        <v>0.6</v>
      </c>
      <c r="V119" s="189">
        <f t="shared" si="71"/>
        <v>-0.04</v>
      </c>
      <c r="W119" s="189">
        <f>2.75*0.3</f>
        <v>0.82499999999999996</v>
      </c>
      <c r="X119" s="188">
        <f t="shared" si="89"/>
        <v>4.3375000000000004</v>
      </c>
      <c r="Y119" s="183">
        <f t="shared" si="55"/>
        <v>8</v>
      </c>
      <c r="Z119" s="188">
        <f t="shared" si="56"/>
        <v>0.3</v>
      </c>
      <c r="AA119" s="183">
        <f t="shared" si="57"/>
        <v>11</v>
      </c>
      <c r="AB119" s="189">
        <f t="shared" si="58"/>
        <v>5.2499999999999998E-2</v>
      </c>
      <c r="AC119" s="189">
        <f t="shared" si="87"/>
        <v>0.6</v>
      </c>
      <c r="AD119" s="189">
        <f t="shared" si="72"/>
        <v>-0.04</v>
      </c>
      <c r="AE119" s="189">
        <f>12.82*0.3</f>
        <v>3.8460000000000001</v>
      </c>
      <c r="AF119" s="188">
        <f t="shared" si="85"/>
        <v>6.4684999999999997</v>
      </c>
      <c r="AG119" s="183">
        <f t="shared" si="59"/>
        <v>8</v>
      </c>
      <c r="AH119" s="182">
        <f t="shared" si="60"/>
        <v>0.3</v>
      </c>
      <c r="AI119" s="183">
        <f t="shared" si="61"/>
        <v>10</v>
      </c>
      <c r="AJ119" s="189">
        <f t="shared" si="62"/>
        <v>5.2499999999999998E-2</v>
      </c>
      <c r="AK119" s="189">
        <f t="shared" si="88"/>
        <v>0.6</v>
      </c>
      <c r="AL119" s="189">
        <f t="shared" si="73"/>
        <v>-0.04</v>
      </c>
      <c r="AM119" s="189">
        <f>2.11*0.3</f>
        <v>0.6329999999999999</v>
      </c>
      <c r="AN119" s="188">
        <f t="shared" si="86"/>
        <v>3.2554999999999996</v>
      </c>
      <c r="AO119" s="183">
        <v>0</v>
      </c>
      <c r="AP119" s="182">
        <f t="shared" si="63"/>
        <v>6</v>
      </c>
      <c r="AQ119" s="182">
        <v>1.5</v>
      </c>
      <c r="AR119" s="187">
        <f t="shared" si="74"/>
        <v>75.012499999999989</v>
      </c>
      <c r="AS119" s="187">
        <f t="shared" si="75"/>
        <v>0</v>
      </c>
      <c r="AT119" s="187">
        <f t="shared" si="76"/>
        <v>0</v>
      </c>
      <c r="AU119" s="187">
        <f t="shared" si="77"/>
        <v>103.70849999999999</v>
      </c>
      <c r="AV119" s="187">
        <f t="shared" si="64"/>
        <v>0</v>
      </c>
      <c r="AW119" s="187">
        <f t="shared" si="78"/>
        <v>0</v>
      </c>
      <c r="AX119" s="187">
        <f t="shared" si="79"/>
        <v>9</v>
      </c>
      <c r="AY119" s="190"/>
      <c r="AZ119" s="240"/>
      <c r="BA119" s="232"/>
      <c r="BF119" s="206"/>
      <c r="BG119" s="206"/>
      <c r="BK119" s="126"/>
      <c r="BL119" s="126"/>
      <c r="BN119" s="126"/>
      <c r="BO119" s="126"/>
      <c r="BQ119" s="126"/>
      <c r="BR119" s="126"/>
      <c r="BT119" s="126"/>
      <c r="BU119" s="126"/>
      <c r="BW119" s="126"/>
      <c r="BX119" s="126"/>
      <c r="BZ119" s="126"/>
      <c r="CA119" s="126"/>
      <c r="CC119" s="126"/>
      <c r="CD119" s="126"/>
      <c r="CF119" s="126"/>
      <c r="CG119" s="126"/>
    </row>
    <row r="120" spans="1:85" s="197" customFormat="1" x14ac:dyDescent="0.3">
      <c r="A120" s="182" t="s">
        <v>239</v>
      </c>
      <c r="B120" s="183">
        <v>1</v>
      </c>
      <c r="C120" s="184" t="s">
        <v>341</v>
      </c>
      <c r="D120" s="187">
        <v>2.75</v>
      </c>
      <c r="E120" s="187">
        <v>3.25</v>
      </c>
      <c r="F120" s="186">
        <v>0.125</v>
      </c>
      <c r="G120" s="187">
        <f t="shared" si="65"/>
        <v>1.1171875</v>
      </c>
      <c r="H120" s="188">
        <f t="shared" si="90"/>
        <v>8.9375</v>
      </c>
      <c r="I120" s="183">
        <f t="shared" si="50"/>
        <v>8</v>
      </c>
      <c r="J120" s="188">
        <f t="shared" si="66"/>
        <v>0.23</v>
      </c>
      <c r="K120" s="183">
        <f t="shared" si="67"/>
        <v>15</v>
      </c>
      <c r="L120" s="189">
        <f t="shared" si="68"/>
        <v>5.2499999999999998E-2</v>
      </c>
      <c r="M120" s="189">
        <f t="shared" si="83"/>
        <v>0.6</v>
      </c>
      <c r="N120" s="189">
        <f t="shared" si="69"/>
        <v>-0.04</v>
      </c>
      <c r="O120" s="189">
        <f>2.9*0.3</f>
        <v>0.87</v>
      </c>
      <c r="P120" s="188">
        <f t="shared" si="82"/>
        <v>4.2324999999999999</v>
      </c>
      <c r="Q120" s="183">
        <f t="shared" si="51"/>
        <v>8</v>
      </c>
      <c r="R120" s="188">
        <f t="shared" si="52"/>
        <v>0.23</v>
      </c>
      <c r="S120" s="183">
        <f t="shared" si="53"/>
        <v>14</v>
      </c>
      <c r="T120" s="189">
        <f t="shared" si="54"/>
        <v>5.2499999999999998E-2</v>
      </c>
      <c r="U120" s="189">
        <f t="shared" si="84"/>
        <v>0.6</v>
      </c>
      <c r="V120" s="189">
        <f t="shared" si="71"/>
        <v>-0.04</v>
      </c>
      <c r="W120" s="189">
        <f>5.41*0.3</f>
        <v>1.623</v>
      </c>
      <c r="X120" s="188">
        <f t="shared" si="89"/>
        <v>4.9855</v>
      </c>
      <c r="Y120" s="183">
        <f t="shared" si="55"/>
        <v>8</v>
      </c>
      <c r="Z120" s="188">
        <f t="shared" si="56"/>
        <v>0.3</v>
      </c>
      <c r="AA120" s="183">
        <f t="shared" si="57"/>
        <v>10</v>
      </c>
      <c r="AB120" s="189">
        <f t="shared" si="58"/>
        <v>5.2499999999999998E-2</v>
      </c>
      <c r="AC120" s="189">
        <f t="shared" si="87"/>
        <v>0.6</v>
      </c>
      <c r="AD120" s="189">
        <f t="shared" si="72"/>
        <v>-0.04</v>
      </c>
      <c r="AE120" s="189">
        <f>11.82*0.3</f>
        <v>3.5459999999999998</v>
      </c>
      <c r="AF120" s="188">
        <f t="shared" si="85"/>
        <v>7.4085000000000001</v>
      </c>
      <c r="AG120" s="183">
        <f t="shared" si="59"/>
        <v>8</v>
      </c>
      <c r="AH120" s="182">
        <f t="shared" si="60"/>
        <v>0.3</v>
      </c>
      <c r="AI120" s="183">
        <f t="shared" si="61"/>
        <v>9</v>
      </c>
      <c r="AJ120" s="189">
        <f t="shared" si="62"/>
        <v>5.2499999999999998E-2</v>
      </c>
      <c r="AK120" s="189">
        <f t="shared" si="88"/>
        <v>0.6</v>
      </c>
      <c r="AL120" s="189">
        <f t="shared" si="73"/>
        <v>-0.04</v>
      </c>
      <c r="AM120" s="189">
        <f>1.87*0.3</f>
        <v>0.56100000000000005</v>
      </c>
      <c r="AN120" s="188">
        <f t="shared" si="86"/>
        <v>4.4234999999999998</v>
      </c>
      <c r="AO120" s="183">
        <v>0</v>
      </c>
      <c r="AP120" s="182">
        <f t="shared" si="63"/>
        <v>8</v>
      </c>
      <c r="AQ120" s="182">
        <v>1.5</v>
      </c>
      <c r="AR120" s="187">
        <f t="shared" si="74"/>
        <v>133.28449999999998</v>
      </c>
      <c r="AS120" s="187">
        <f t="shared" si="75"/>
        <v>0</v>
      </c>
      <c r="AT120" s="187">
        <f t="shared" si="76"/>
        <v>0</v>
      </c>
      <c r="AU120" s="187">
        <f t="shared" si="77"/>
        <v>113.8965</v>
      </c>
      <c r="AV120" s="187">
        <f t="shared" si="64"/>
        <v>0</v>
      </c>
      <c r="AW120" s="187">
        <f t="shared" si="78"/>
        <v>0</v>
      </c>
      <c r="AX120" s="187">
        <f t="shared" si="79"/>
        <v>12</v>
      </c>
      <c r="AY120" s="190"/>
      <c r="AZ120" s="240"/>
      <c r="BA120" s="232"/>
      <c r="BF120" s="206"/>
      <c r="BG120" s="206"/>
      <c r="BK120" s="126"/>
      <c r="BL120" s="126"/>
      <c r="BN120" s="126"/>
      <c r="BO120" s="126"/>
      <c r="BQ120" s="126"/>
      <c r="BR120" s="126"/>
      <c r="BT120" s="126"/>
      <c r="BU120" s="126"/>
      <c r="BW120" s="126"/>
      <c r="BX120" s="126"/>
      <c r="BZ120" s="126"/>
      <c r="CA120" s="126"/>
      <c r="CC120" s="126"/>
      <c r="CD120" s="126"/>
      <c r="CF120" s="126"/>
      <c r="CG120" s="126"/>
    </row>
    <row r="121" spans="1:85" s="197" customFormat="1" x14ac:dyDescent="0.3">
      <c r="A121" s="182" t="s">
        <v>254</v>
      </c>
      <c r="B121" s="183">
        <v>1</v>
      </c>
      <c r="C121" s="184" t="s">
        <v>342</v>
      </c>
      <c r="D121" s="187">
        <v>5.41</v>
      </c>
      <c r="E121" s="187">
        <v>3.17</v>
      </c>
      <c r="F121" s="186">
        <v>0.15</v>
      </c>
      <c r="G121" s="187">
        <f t="shared" si="65"/>
        <v>2.5724549999999997</v>
      </c>
      <c r="H121" s="188">
        <f t="shared" si="90"/>
        <v>17.149699999999999</v>
      </c>
      <c r="I121" s="183">
        <f t="shared" si="50"/>
        <v>10</v>
      </c>
      <c r="J121" s="188">
        <f t="shared" si="66"/>
        <v>0.18</v>
      </c>
      <c r="K121" s="183">
        <f t="shared" si="67"/>
        <v>19</v>
      </c>
      <c r="L121" s="189">
        <f t="shared" si="68"/>
        <v>6.3E-2</v>
      </c>
      <c r="M121" s="189">
        <f>0.3+0.34</f>
        <v>0.64</v>
      </c>
      <c r="N121" s="189">
        <f t="shared" si="69"/>
        <v>-0.04</v>
      </c>
      <c r="O121" s="189">
        <f>2.75*0.3</f>
        <v>0.82499999999999996</v>
      </c>
      <c r="P121" s="188">
        <f t="shared" si="82"/>
        <v>6.8979999999999997</v>
      </c>
      <c r="Q121" s="183">
        <f t="shared" si="51"/>
        <v>10</v>
      </c>
      <c r="R121" s="188">
        <f t="shared" si="52"/>
        <v>0.18</v>
      </c>
      <c r="S121" s="183">
        <f t="shared" si="53"/>
        <v>18</v>
      </c>
      <c r="T121" s="189">
        <f t="shared" si="54"/>
        <v>6.3E-2</v>
      </c>
      <c r="U121" s="189">
        <f>0.3+0.34</f>
        <v>0.64</v>
      </c>
      <c r="V121" s="189">
        <f t="shared" si="71"/>
        <v>-0.04</v>
      </c>
      <c r="W121" s="189">
        <f>2.98*0.3</f>
        <v>0.89400000000000002</v>
      </c>
      <c r="X121" s="188">
        <f t="shared" si="89"/>
        <v>6.9670000000000005</v>
      </c>
      <c r="Y121" s="183">
        <f t="shared" si="55"/>
        <v>8</v>
      </c>
      <c r="Z121" s="188">
        <f t="shared" si="56"/>
        <v>0.2</v>
      </c>
      <c r="AA121" s="183">
        <f t="shared" si="57"/>
        <v>28</v>
      </c>
      <c r="AB121" s="189">
        <f t="shared" si="58"/>
        <v>6.3E-2</v>
      </c>
      <c r="AC121" s="189">
        <f t="shared" si="87"/>
        <v>0.6</v>
      </c>
      <c r="AD121" s="189">
        <f t="shared" si="72"/>
        <v>-0.04</v>
      </c>
      <c r="AE121" s="189">
        <f>3.31*0.3</f>
        <v>0.99299999999999999</v>
      </c>
      <c r="AF121" s="188">
        <f t="shared" si="85"/>
        <v>4.7859999999999996</v>
      </c>
      <c r="AG121" s="183">
        <f t="shared" si="59"/>
        <v>8</v>
      </c>
      <c r="AH121" s="182">
        <f t="shared" si="60"/>
        <v>0.2</v>
      </c>
      <c r="AI121" s="183">
        <f t="shared" si="61"/>
        <v>27</v>
      </c>
      <c r="AJ121" s="189">
        <f t="shared" si="62"/>
        <v>6.3E-2</v>
      </c>
      <c r="AK121" s="189">
        <f t="shared" si="88"/>
        <v>0.6</v>
      </c>
      <c r="AL121" s="189">
        <f t="shared" si="73"/>
        <v>-0.04</v>
      </c>
      <c r="AM121" s="189">
        <f>1.95*0.3</f>
        <v>0.58499999999999996</v>
      </c>
      <c r="AN121" s="188">
        <f t="shared" si="86"/>
        <v>4.3780000000000001</v>
      </c>
      <c r="AO121" s="183">
        <v>0</v>
      </c>
      <c r="AP121" s="182">
        <f t="shared" si="63"/>
        <v>12</v>
      </c>
      <c r="AQ121" s="182">
        <v>1.5</v>
      </c>
      <c r="AR121" s="187">
        <f t="shared" si="74"/>
        <v>0</v>
      </c>
      <c r="AS121" s="187">
        <f t="shared" si="75"/>
        <v>256.46799999999996</v>
      </c>
      <c r="AT121" s="187">
        <f t="shared" si="76"/>
        <v>0</v>
      </c>
      <c r="AU121" s="187">
        <f t="shared" si="77"/>
        <v>252.214</v>
      </c>
      <c r="AV121" s="187">
        <f t="shared" si="64"/>
        <v>0</v>
      </c>
      <c r="AW121" s="187">
        <f t="shared" si="78"/>
        <v>0</v>
      </c>
      <c r="AX121" s="187">
        <f t="shared" si="79"/>
        <v>18</v>
      </c>
      <c r="AY121" s="190"/>
      <c r="AZ121" s="240"/>
      <c r="BA121" s="232"/>
      <c r="BF121" s="206"/>
      <c r="BG121" s="206"/>
      <c r="BK121" s="126"/>
      <c r="BL121" s="126"/>
      <c r="BN121" s="126"/>
      <c r="BO121" s="126"/>
      <c r="BQ121" s="126"/>
      <c r="BR121" s="126"/>
      <c r="BT121" s="126"/>
      <c r="BU121" s="126"/>
      <c r="BW121" s="126"/>
      <c r="BX121" s="126"/>
      <c r="BZ121" s="126"/>
      <c r="CA121" s="126"/>
      <c r="CC121" s="126"/>
      <c r="CD121" s="126"/>
      <c r="CF121" s="126"/>
      <c r="CG121" s="126"/>
    </row>
    <row r="122" spans="1:85" s="197" customFormat="1" x14ac:dyDescent="0.3">
      <c r="A122" s="182" t="s">
        <v>218</v>
      </c>
      <c r="B122" s="183">
        <v>1</v>
      </c>
      <c r="C122" s="184" t="s">
        <v>343</v>
      </c>
      <c r="D122" s="187">
        <v>0.97</v>
      </c>
      <c r="E122" s="187">
        <v>2.94</v>
      </c>
      <c r="F122" s="186">
        <v>0.16500000000000001</v>
      </c>
      <c r="G122" s="187">
        <f t="shared" si="65"/>
        <v>0.47054699999999999</v>
      </c>
      <c r="H122" s="188">
        <f t="shared" si="90"/>
        <v>2.8517999999999999</v>
      </c>
      <c r="I122" s="183">
        <f t="shared" si="50"/>
        <v>10</v>
      </c>
      <c r="J122" s="188">
        <f t="shared" si="66"/>
        <v>0.2</v>
      </c>
      <c r="K122" s="183">
        <f t="shared" si="67"/>
        <v>16</v>
      </c>
      <c r="L122" s="189">
        <f t="shared" si="68"/>
        <v>6.93E-2</v>
      </c>
      <c r="M122" s="189">
        <f>0.23+0.15</f>
        <v>0.38</v>
      </c>
      <c r="N122" s="189">
        <f t="shared" si="69"/>
        <v>-0.04</v>
      </c>
      <c r="O122" s="189">
        <f>2.44*0.3</f>
        <v>0.73199999999999998</v>
      </c>
      <c r="P122" s="188">
        <f t="shared" si="82"/>
        <v>2.1113</v>
      </c>
      <c r="Q122" s="183">
        <f t="shared" si="51"/>
        <v>10</v>
      </c>
      <c r="R122" s="188">
        <f t="shared" si="52"/>
        <v>0.2</v>
      </c>
      <c r="S122" s="183">
        <f t="shared" si="53"/>
        <v>15</v>
      </c>
      <c r="T122" s="189">
        <f t="shared" si="54"/>
        <v>6.93E-2</v>
      </c>
      <c r="U122" s="189">
        <f>0.23+0.15</f>
        <v>0.38</v>
      </c>
      <c r="V122" s="189">
        <f t="shared" si="71"/>
        <v>-0.04</v>
      </c>
      <c r="W122" s="189">
        <f>1.98*0.3</f>
        <v>0.59399999999999997</v>
      </c>
      <c r="X122" s="188">
        <f t="shared" si="89"/>
        <v>1.9733000000000001</v>
      </c>
      <c r="Y122" s="183">
        <f t="shared" si="55"/>
        <v>10</v>
      </c>
      <c r="Z122" s="188">
        <f t="shared" si="56"/>
        <v>0.2</v>
      </c>
      <c r="AA122" s="183">
        <f t="shared" si="57"/>
        <v>6</v>
      </c>
      <c r="AB122" s="189">
        <f t="shared" si="58"/>
        <v>6.93E-2</v>
      </c>
      <c r="AC122" s="189">
        <f>0.38+0.23</f>
        <v>0.61</v>
      </c>
      <c r="AD122" s="189">
        <f t="shared" si="72"/>
        <v>-0.04</v>
      </c>
      <c r="AE122" s="189">
        <v>0</v>
      </c>
      <c r="AF122" s="188">
        <f t="shared" si="85"/>
        <v>3.5792999999999999</v>
      </c>
      <c r="AG122" s="183">
        <f t="shared" si="59"/>
        <v>10</v>
      </c>
      <c r="AH122" s="182">
        <f t="shared" si="60"/>
        <v>0.2</v>
      </c>
      <c r="AI122" s="183">
        <f t="shared" si="61"/>
        <v>5</v>
      </c>
      <c r="AJ122" s="189">
        <f t="shared" si="62"/>
        <v>6.93E-2</v>
      </c>
      <c r="AK122" s="189">
        <f>0.38+0.23</f>
        <v>0.61</v>
      </c>
      <c r="AL122" s="189">
        <f t="shared" si="73"/>
        <v>-0.04</v>
      </c>
      <c r="AM122" s="189">
        <v>0</v>
      </c>
      <c r="AN122" s="188">
        <f t="shared" si="86"/>
        <v>3.5792999999999999</v>
      </c>
      <c r="AO122" s="183">
        <v>0</v>
      </c>
      <c r="AP122" s="182">
        <f t="shared" si="63"/>
        <v>6</v>
      </c>
      <c r="AQ122" s="182">
        <v>1.5</v>
      </c>
      <c r="AR122" s="187">
        <f t="shared" si="74"/>
        <v>0</v>
      </c>
      <c r="AS122" s="187">
        <f t="shared" si="75"/>
        <v>63.380299999999998</v>
      </c>
      <c r="AT122" s="187">
        <f t="shared" si="76"/>
        <v>0</v>
      </c>
      <c r="AU122" s="187">
        <f t="shared" si="77"/>
        <v>0</v>
      </c>
      <c r="AV122" s="187">
        <f t="shared" si="64"/>
        <v>39.372299999999996</v>
      </c>
      <c r="AW122" s="187">
        <f t="shared" si="78"/>
        <v>0</v>
      </c>
      <c r="AX122" s="187">
        <f t="shared" si="79"/>
        <v>9</v>
      </c>
      <c r="AY122" s="190"/>
      <c r="AZ122" s="240"/>
      <c r="BA122" s="232"/>
      <c r="BF122" s="206"/>
      <c r="BG122" s="206"/>
      <c r="BK122" s="126"/>
      <c r="BL122" s="126"/>
      <c r="BN122" s="126"/>
      <c r="BO122" s="126"/>
      <c r="BQ122" s="126"/>
      <c r="BR122" s="126"/>
      <c r="BT122" s="126"/>
      <c r="BU122" s="126"/>
      <c r="BW122" s="126"/>
      <c r="BX122" s="126"/>
      <c r="BZ122" s="126"/>
      <c r="CA122" s="126"/>
      <c r="CC122" s="126"/>
      <c r="CD122" s="126"/>
      <c r="CF122" s="126"/>
      <c r="CG122" s="126"/>
    </row>
    <row r="123" spans="1:85" s="197" customFormat="1" x14ac:dyDescent="0.3">
      <c r="A123" s="182" t="s">
        <v>239</v>
      </c>
      <c r="B123" s="183">
        <v>1</v>
      </c>
      <c r="C123" s="184" t="s">
        <v>344</v>
      </c>
      <c r="D123" s="187">
        <v>2.98</v>
      </c>
      <c r="E123" s="187">
        <v>2.44</v>
      </c>
      <c r="F123" s="186">
        <v>0.125</v>
      </c>
      <c r="G123" s="187">
        <f t="shared" si="65"/>
        <v>0.90889999999999993</v>
      </c>
      <c r="H123" s="188">
        <f t="shared" si="90"/>
        <v>7.2711999999999994</v>
      </c>
      <c r="I123" s="183">
        <f t="shared" si="50"/>
        <v>8</v>
      </c>
      <c r="J123" s="188">
        <f t="shared" si="66"/>
        <v>0.23</v>
      </c>
      <c r="K123" s="183">
        <f t="shared" si="67"/>
        <v>12</v>
      </c>
      <c r="L123" s="189">
        <f t="shared" si="68"/>
        <v>5.2499999999999998E-2</v>
      </c>
      <c r="M123" s="189">
        <f>0.3+0.34</f>
        <v>0.64</v>
      </c>
      <c r="N123" s="189">
        <f t="shared" si="69"/>
        <v>-0.04</v>
      </c>
      <c r="O123" s="189">
        <f>5.41*0.3</f>
        <v>1.623</v>
      </c>
      <c r="P123" s="188">
        <f t="shared" si="82"/>
        <v>5.2554999999999996</v>
      </c>
      <c r="Q123" s="183">
        <f t="shared" si="51"/>
        <v>8</v>
      </c>
      <c r="R123" s="188">
        <f t="shared" si="52"/>
        <v>0.23</v>
      </c>
      <c r="S123" s="183">
        <f t="shared" si="53"/>
        <v>11</v>
      </c>
      <c r="T123" s="189">
        <f t="shared" si="54"/>
        <v>5.2499999999999998E-2</v>
      </c>
      <c r="U123" s="189">
        <f>0.3+0.34</f>
        <v>0.64</v>
      </c>
      <c r="V123" s="189">
        <f t="shared" si="71"/>
        <v>-0.04</v>
      </c>
      <c r="W123" s="189">
        <f>2.43*0.3</f>
        <v>0.72899999999999998</v>
      </c>
      <c r="X123" s="188">
        <f t="shared" si="89"/>
        <v>4.3614999999999995</v>
      </c>
      <c r="Y123" s="183">
        <f t="shared" si="55"/>
        <v>8</v>
      </c>
      <c r="Z123" s="188">
        <f t="shared" si="56"/>
        <v>0.3</v>
      </c>
      <c r="AA123" s="183">
        <f t="shared" si="57"/>
        <v>11</v>
      </c>
      <c r="AB123" s="189">
        <f t="shared" si="58"/>
        <v>5.2499999999999998E-2</v>
      </c>
      <c r="AC123" s="189">
        <f>0.15+0.3</f>
        <v>0.44999999999999996</v>
      </c>
      <c r="AD123" s="189">
        <f t="shared" si="72"/>
        <v>-0.04</v>
      </c>
      <c r="AE123" s="189">
        <f>3.05*0.3</f>
        <v>0.91499999999999992</v>
      </c>
      <c r="AF123" s="188">
        <f t="shared" si="85"/>
        <v>3.8174999999999999</v>
      </c>
      <c r="AG123" s="183">
        <f t="shared" si="59"/>
        <v>8</v>
      </c>
      <c r="AH123" s="182">
        <f t="shared" si="60"/>
        <v>0.3</v>
      </c>
      <c r="AI123" s="183">
        <f t="shared" si="61"/>
        <v>10</v>
      </c>
      <c r="AJ123" s="189">
        <f t="shared" si="62"/>
        <v>5.2499999999999998E-2</v>
      </c>
      <c r="AK123" s="189">
        <f>0.15+0.3</f>
        <v>0.44999999999999996</v>
      </c>
      <c r="AL123" s="189">
        <f t="shared" si="73"/>
        <v>-0.04</v>
      </c>
      <c r="AM123" s="189">
        <f>0.97*0.3</f>
        <v>0.29099999999999998</v>
      </c>
      <c r="AN123" s="188">
        <f t="shared" si="86"/>
        <v>3.1934999999999998</v>
      </c>
      <c r="AO123" s="183">
        <v>0</v>
      </c>
      <c r="AP123" s="182">
        <f t="shared" si="63"/>
        <v>8</v>
      </c>
      <c r="AQ123" s="182">
        <v>1.5</v>
      </c>
      <c r="AR123" s="187">
        <f t="shared" si="74"/>
        <v>111.04249999999999</v>
      </c>
      <c r="AS123" s="187">
        <f t="shared" si="75"/>
        <v>0</v>
      </c>
      <c r="AT123" s="187">
        <f t="shared" si="76"/>
        <v>0</v>
      </c>
      <c r="AU123" s="187">
        <f t="shared" si="77"/>
        <v>73.927499999999995</v>
      </c>
      <c r="AV123" s="187">
        <f t="shared" si="64"/>
        <v>0</v>
      </c>
      <c r="AW123" s="187">
        <f t="shared" si="78"/>
        <v>0</v>
      </c>
      <c r="AX123" s="187">
        <f t="shared" si="79"/>
        <v>12</v>
      </c>
      <c r="AY123" s="190"/>
      <c r="AZ123" s="240"/>
      <c r="BA123" s="232"/>
      <c r="BF123" s="206"/>
      <c r="BG123" s="206"/>
      <c r="BK123" s="126"/>
      <c r="BL123" s="126"/>
      <c r="BN123" s="126"/>
      <c r="BO123" s="126"/>
      <c r="BQ123" s="126"/>
      <c r="BR123" s="126"/>
      <c r="BT123" s="126"/>
      <c r="BU123" s="126"/>
      <c r="BW123" s="126"/>
      <c r="BX123" s="126"/>
      <c r="BZ123" s="126"/>
      <c r="CA123" s="126"/>
      <c r="CC123" s="126"/>
      <c r="CD123" s="126"/>
      <c r="CF123" s="126"/>
      <c r="CG123" s="126"/>
    </row>
    <row r="124" spans="1:85" s="197" customFormat="1" x14ac:dyDescent="0.3">
      <c r="A124" s="182" t="s">
        <v>239</v>
      </c>
      <c r="B124" s="183">
        <v>1</v>
      </c>
      <c r="C124" s="184" t="s">
        <v>345</v>
      </c>
      <c r="D124" s="187">
        <v>2.4300000000000002</v>
      </c>
      <c r="E124" s="187">
        <v>3.43</v>
      </c>
      <c r="F124" s="186">
        <v>0.125</v>
      </c>
      <c r="G124" s="187">
        <f t="shared" si="65"/>
        <v>1.0418625000000001</v>
      </c>
      <c r="H124" s="188">
        <f t="shared" si="90"/>
        <v>8.3349000000000011</v>
      </c>
      <c r="I124" s="183">
        <f t="shared" si="50"/>
        <v>8</v>
      </c>
      <c r="J124" s="188">
        <f t="shared" si="66"/>
        <v>0.23</v>
      </c>
      <c r="K124" s="183">
        <f t="shared" si="67"/>
        <v>16</v>
      </c>
      <c r="L124" s="189">
        <f t="shared" si="68"/>
        <v>5.2499999999999998E-2</v>
      </c>
      <c r="M124" s="189">
        <f>0.3+0.23</f>
        <v>0.53</v>
      </c>
      <c r="N124" s="189">
        <f t="shared" si="69"/>
        <v>-0.04</v>
      </c>
      <c r="O124" s="189">
        <f>2.98*0.3</f>
        <v>0.89400000000000002</v>
      </c>
      <c r="P124" s="188">
        <f t="shared" si="82"/>
        <v>3.8665000000000003</v>
      </c>
      <c r="Q124" s="183">
        <f t="shared" si="51"/>
        <v>8</v>
      </c>
      <c r="R124" s="188">
        <f t="shared" si="52"/>
        <v>0.23</v>
      </c>
      <c r="S124" s="183">
        <f t="shared" si="53"/>
        <v>15</v>
      </c>
      <c r="T124" s="189">
        <f t="shared" si="54"/>
        <v>5.2499999999999998E-2</v>
      </c>
      <c r="U124" s="189">
        <f>0.3+0.23</f>
        <v>0.53</v>
      </c>
      <c r="V124" s="189">
        <f t="shared" si="71"/>
        <v>-0.04</v>
      </c>
      <c r="W124" s="189">
        <f>2.29*0.3</f>
        <v>0.68699999999999994</v>
      </c>
      <c r="X124" s="188">
        <f t="shared" si="89"/>
        <v>3.6595</v>
      </c>
      <c r="Y124" s="183">
        <f t="shared" si="55"/>
        <v>8</v>
      </c>
      <c r="Z124" s="188">
        <f t="shared" si="56"/>
        <v>0.3</v>
      </c>
      <c r="AA124" s="183">
        <f t="shared" si="57"/>
        <v>9</v>
      </c>
      <c r="AB124" s="189">
        <f t="shared" si="58"/>
        <v>5.2499999999999998E-2</v>
      </c>
      <c r="AC124" s="189">
        <f>0.3+0.23</f>
        <v>0.53</v>
      </c>
      <c r="AD124" s="189">
        <f t="shared" si="72"/>
        <v>-0.04</v>
      </c>
      <c r="AE124" s="189">
        <f>4.12*0.3</f>
        <v>1.236</v>
      </c>
      <c r="AF124" s="188">
        <f t="shared" si="85"/>
        <v>5.2084999999999999</v>
      </c>
      <c r="AG124" s="183">
        <f t="shared" si="59"/>
        <v>8</v>
      </c>
      <c r="AH124" s="182">
        <f t="shared" si="60"/>
        <v>0.3</v>
      </c>
      <c r="AI124" s="183">
        <f t="shared" si="61"/>
        <v>8</v>
      </c>
      <c r="AJ124" s="189">
        <f t="shared" si="62"/>
        <v>5.2499999999999998E-2</v>
      </c>
      <c r="AK124" s="189">
        <f>0.3+0.23</f>
        <v>0.53</v>
      </c>
      <c r="AL124" s="189">
        <f t="shared" si="73"/>
        <v>-0.04</v>
      </c>
      <c r="AM124" s="189">
        <v>0</v>
      </c>
      <c r="AN124" s="188">
        <f t="shared" si="86"/>
        <v>3.9725000000000001</v>
      </c>
      <c r="AO124" s="183">
        <v>0</v>
      </c>
      <c r="AP124" s="182">
        <f t="shared" si="63"/>
        <v>8</v>
      </c>
      <c r="AQ124" s="182">
        <v>1.5</v>
      </c>
      <c r="AR124" s="187">
        <f t="shared" si="74"/>
        <v>116.7565</v>
      </c>
      <c r="AS124" s="187">
        <f t="shared" si="75"/>
        <v>0</v>
      </c>
      <c r="AT124" s="187">
        <f t="shared" si="76"/>
        <v>0</v>
      </c>
      <c r="AU124" s="187">
        <f t="shared" si="77"/>
        <v>78.656499999999994</v>
      </c>
      <c r="AV124" s="187">
        <f t="shared" si="64"/>
        <v>0</v>
      </c>
      <c r="AW124" s="187">
        <f t="shared" si="78"/>
        <v>0</v>
      </c>
      <c r="AX124" s="187">
        <f t="shared" si="79"/>
        <v>12</v>
      </c>
      <c r="AY124" s="190"/>
      <c r="AZ124" s="240"/>
      <c r="BA124" s="232"/>
      <c r="BF124" s="206"/>
      <c r="BG124" s="206"/>
      <c r="BK124" s="126"/>
      <c r="BL124" s="126"/>
      <c r="BN124" s="126"/>
      <c r="BO124" s="126"/>
      <c r="BQ124" s="126"/>
      <c r="BR124" s="126"/>
      <c r="BT124" s="126"/>
      <c r="BU124" s="126"/>
      <c r="BW124" s="126"/>
      <c r="BX124" s="126"/>
      <c r="BZ124" s="126"/>
      <c r="CA124" s="126"/>
      <c r="CC124" s="126"/>
      <c r="CD124" s="126"/>
      <c r="CF124" s="126"/>
      <c r="CG124" s="126"/>
    </row>
    <row r="125" spans="1:85" s="197" customFormat="1" x14ac:dyDescent="0.3">
      <c r="A125" s="182" t="s">
        <v>223</v>
      </c>
      <c r="B125" s="183">
        <v>1</v>
      </c>
      <c r="C125" s="184" t="s">
        <v>346</v>
      </c>
      <c r="D125" s="187">
        <v>2.29</v>
      </c>
      <c r="E125" s="187">
        <v>3.93</v>
      </c>
      <c r="F125" s="186">
        <v>0.13</v>
      </c>
      <c r="G125" s="187">
        <f t="shared" si="65"/>
        <v>1.169961</v>
      </c>
      <c r="H125" s="188">
        <f t="shared" si="90"/>
        <v>8.9997000000000007</v>
      </c>
      <c r="I125" s="183">
        <f t="shared" si="50"/>
        <v>8</v>
      </c>
      <c r="J125" s="188">
        <f t="shared" si="66"/>
        <v>0.2</v>
      </c>
      <c r="K125" s="183">
        <f t="shared" si="67"/>
        <v>21</v>
      </c>
      <c r="L125" s="189">
        <f t="shared" si="68"/>
        <v>5.4600000000000003E-2</v>
      </c>
      <c r="M125" s="189">
        <f>0.23*2</f>
        <v>0.46</v>
      </c>
      <c r="N125" s="189">
        <f t="shared" si="69"/>
        <v>-0.04</v>
      </c>
      <c r="O125" s="189">
        <f>2.43*0.3</f>
        <v>0.72899999999999998</v>
      </c>
      <c r="P125" s="188">
        <f>+D125+SUM(L125:O125)</f>
        <v>3.4935999999999998</v>
      </c>
      <c r="Q125" s="183">
        <f t="shared" si="51"/>
        <v>8</v>
      </c>
      <c r="R125" s="188">
        <f t="shared" si="52"/>
        <v>0.2</v>
      </c>
      <c r="S125" s="183">
        <f t="shared" si="53"/>
        <v>20</v>
      </c>
      <c r="T125" s="189">
        <f t="shared" si="54"/>
        <v>5.4600000000000003E-2</v>
      </c>
      <c r="U125" s="189">
        <f>0.23*2</f>
        <v>0.46</v>
      </c>
      <c r="V125" s="189">
        <f t="shared" si="71"/>
        <v>-0.04</v>
      </c>
      <c r="W125" s="189">
        <f>2.43*0.3</f>
        <v>0.72899999999999998</v>
      </c>
      <c r="X125" s="188">
        <f t="shared" si="89"/>
        <v>3.4935999999999998</v>
      </c>
      <c r="Y125" s="183">
        <f t="shared" si="55"/>
        <v>8</v>
      </c>
      <c r="Z125" s="188">
        <f t="shared" si="56"/>
        <v>0.36</v>
      </c>
      <c r="AA125" s="183">
        <f t="shared" si="57"/>
        <v>7</v>
      </c>
      <c r="AB125" s="189">
        <f t="shared" si="58"/>
        <v>5.4600000000000003E-2</v>
      </c>
      <c r="AC125" s="189">
        <f>0.23*2</f>
        <v>0.46</v>
      </c>
      <c r="AD125" s="189">
        <f t="shared" si="72"/>
        <v>-0.04</v>
      </c>
      <c r="AE125" s="189">
        <f>4.12*0.3</f>
        <v>1.236</v>
      </c>
      <c r="AF125" s="188">
        <f t="shared" si="85"/>
        <v>5.6406000000000001</v>
      </c>
      <c r="AG125" s="183">
        <f t="shared" si="59"/>
        <v>8</v>
      </c>
      <c r="AH125" s="182">
        <f t="shared" si="60"/>
        <v>0.36</v>
      </c>
      <c r="AI125" s="183">
        <f t="shared" si="61"/>
        <v>6</v>
      </c>
      <c r="AJ125" s="189">
        <f t="shared" si="62"/>
        <v>5.4600000000000003E-2</v>
      </c>
      <c r="AK125" s="189">
        <f>0.23*2</f>
        <v>0.46</v>
      </c>
      <c r="AL125" s="189">
        <f t="shared" si="73"/>
        <v>-0.04</v>
      </c>
      <c r="AM125" s="189">
        <f>2.5*0.3</f>
        <v>0.75</v>
      </c>
      <c r="AN125" s="188">
        <f t="shared" si="86"/>
        <v>5.1546000000000003</v>
      </c>
      <c r="AO125" s="183">
        <v>0</v>
      </c>
      <c r="AP125" s="182">
        <f t="shared" si="63"/>
        <v>10</v>
      </c>
      <c r="AQ125" s="182">
        <v>1.5</v>
      </c>
      <c r="AR125" s="187">
        <f t="shared" si="74"/>
        <v>143.23759999999999</v>
      </c>
      <c r="AS125" s="187">
        <f t="shared" si="75"/>
        <v>0</v>
      </c>
      <c r="AT125" s="187">
        <f t="shared" si="76"/>
        <v>0</v>
      </c>
      <c r="AU125" s="187">
        <f t="shared" si="77"/>
        <v>70.411799999999999</v>
      </c>
      <c r="AV125" s="187">
        <f t="shared" si="64"/>
        <v>0</v>
      </c>
      <c r="AW125" s="187">
        <f t="shared" si="78"/>
        <v>0</v>
      </c>
      <c r="AX125" s="187">
        <f t="shared" si="79"/>
        <v>15</v>
      </c>
      <c r="AY125" s="190"/>
      <c r="AZ125" s="240"/>
      <c r="BA125" s="232"/>
      <c r="BF125" s="206"/>
      <c r="BG125" s="206"/>
      <c r="BK125" s="126"/>
      <c r="BL125" s="126"/>
      <c r="BN125" s="126"/>
      <c r="BO125" s="126"/>
      <c r="BQ125" s="126"/>
      <c r="BR125" s="126"/>
      <c r="BT125" s="126"/>
      <c r="BU125" s="126"/>
      <c r="BW125" s="126"/>
      <c r="BX125" s="126"/>
      <c r="BZ125" s="126"/>
      <c r="CA125" s="126"/>
      <c r="CC125" s="126"/>
      <c r="CD125" s="126"/>
      <c r="CF125" s="126"/>
      <c r="CG125" s="126"/>
    </row>
    <row r="126" spans="1:85" s="197" customFormat="1" x14ac:dyDescent="0.3">
      <c r="A126" s="182" t="s">
        <v>223</v>
      </c>
      <c r="B126" s="183">
        <v>1</v>
      </c>
      <c r="C126" s="184" t="s">
        <v>347</v>
      </c>
      <c r="D126" s="187">
        <v>2.4300000000000002</v>
      </c>
      <c r="E126" s="187">
        <v>3.93</v>
      </c>
      <c r="F126" s="186">
        <v>0.13</v>
      </c>
      <c r="G126" s="187">
        <f t="shared" si="65"/>
        <v>1.2414870000000002</v>
      </c>
      <c r="H126" s="188">
        <f t="shared" si="90"/>
        <v>9.5499000000000009</v>
      </c>
      <c r="I126" s="183">
        <f t="shared" si="50"/>
        <v>8</v>
      </c>
      <c r="J126" s="188">
        <f t="shared" si="66"/>
        <v>0.2</v>
      </c>
      <c r="K126" s="183">
        <f t="shared" si="67"/>
        <v>21</v>
      </c>
      <c r="L126" s="189">
        <f t="shared" si="68"/>
        <v>5.4600000000000003E-2</v>
      </c>
      <c r="M126" s="189">
        <f>0.23+0.3</f>
        <v>0.53</v>
      </c>
      <c r="N126" s="189">
        <f t="shared" si="69"/>
        <v>-0.04</v>
      </c>
      <c r="O126" s="189">
        <f>2.29*0.3</f>
        <v>0.68699999999999994</v>
      </c>
      <c r="P126" s="188">
        <f t="shared" si="82"/>
        <v>3.6616</v>
      </c>
      <c r="Q126" s="183">
        <f t="shared" si="51"/>
        <v>8</v>
      </c>
      <c r="R126" s="188">
        <f t="shared" si="52"/>
        <v>0.2</v>
      </c>
      <c r="S126" s="183">
        <f t="shared" si="53"/>
        <v>20</v>
      </c>
      <c r="T126" s="189">
        <f t="shared" si="54"/>
        <v>5.4600000000000003E-2</v>
      </c>
      <c r="U126" s="189">
        <f>0.23+0.3</f>
        <v>0.53</v>
      </c>
      <c r="V126" s="189">
        <f t="shared" si="71"/>
        <v>-0.04</v>
      </c>
      <c r="W126" s="189">
        <f>4.19*0.3</f>
        <v>1.2570000000000001</v>
      </c>
      <c r="X126" s="188">
        <f t="shared" si="89"/>
        <v>4.2316000000000003</v>
      </c>
      <c r="Y126" s="183">
        <f t="shared" si="55"/>
        <v>8</v>
      </c>
      <c r="Z126" s="188">
        <f t="shared" si="56"/>
        <v>0.36</v>
      </c>
      <c r="AA126" s="183">
        <f t="shared" si="57"/>
        <v>8</v>
      </c>
      <c r="AB126" s="189">
        <f t="shared" si="58"/>
        <v>5.4600000000000003E-2</v>
      </c>
      <c r="AC126" s="189">
        <f>0.23+0.3</f>
        <v>0.53</v>
      </c>
      <c r="AD126" s="189">
        <f t="shared" si="72"/>
        <v>-0.04</v>
      </c>
      <c r="AE126" s="189">
        <f>4.12*0.3</f>
        <v>1.236</v>
      </c>
      <c r="AF126" s="188">
        <f t="shared" si="85"/>
        <v>5.7106000000000003</v>
      </c>
      <c r="AG126" s="183">
        <f t="shared" si="59"/>
        <v>8</v>
      </c>
      <c r="AH126" s="182">
        <f t="shared" si="60"/>
        <v>0.36</v>
      </c>
      <c r="AI126" s="183">
        <f t="shared" si="61"/>
        <v>7</v>
      </c>
      <c r="AJ126" s="189">
        <f t="shared" si="62"/>
        <v>5.4600000000000003E-2</v>
      </c>
      <c r="AK126" s="189">
        <f>0.23+0.3</f>
        <v>0.53</v>
      </c>
      <c r="AL126" s="189">
        <f t="shared" si="73"/>
        <v>-0.04</v>
      </c>
      <c r="AM126" s="189">
        <v>0</v>
      </c>
      <c r="AN126" s="188">
        <f t="shared" si="86"/>
        <v>4.4746000000000006</v>
      </c>
      <c r="AO126" s="183">
        <v>0</v>
      </c>
      <c r="AP126" s="182">
        <f t="shared" si="63"/>
        <v>10</v>
      </c>
      <c r="AQ126" s="182">
        <v>1.5</v>
      </c>
      <c r="AR126" s="187">
        <f t="shared" si="74"/>
        <v>161.5256</v>
      </c>
      <c r="AS126" s="187">
        <f t="shared" si="75"/>
        <v>0</v>
      </c>
      <c r="AT126" s="187">
        <f t="shared" si="76"/>
        <v>0</v>
      </c>
      <c r="AU126" s="187">
        <f t="shared" si="77"/>
        <v>77.007000000000005</v>
      </c>
      <c r="AV126" s="187">
        <f t="shared" si="64"/>
        <v>0</v>
      </c>
      <c r="AW126" s="187">
        <f t="shared" si="78"/>
        <v>0</v>
      </c>
      <c r="AX126" s="187">
        <f t="shared" si="79"/>
        <v>15</v>
      </c>
      <c r="AY126" s="190"/>
      <c r="AZ126" s="240"/>
      <c r="BA126" s="232"/>
      <c r="BF126" s="206"/>
      <c r="BG126" s="206"/>
      <c r="BK126" s="126"/>
      <c r="BL126" s="126"/>
      <c r="BN126" s="126"/>
      <c r="BO126" s="126"/>
      <c r="BQ126" s="126"/>
      <c r="BR126" s="126"/>
      <c r="BT126" s="126"/>
      <c r="BU126" s="126"/>
      <c r="BW126" s="126"/>
      <c r="BX126" s="126"/>
      <c r="BZ126" s="126"/>
      <c r="CA126" s="126"/>
      <c r="CC126" s="126"/>
      <c r="CD126" s="126"/>
      <c r="CF126" s="126"/>
      <c r="CG126" s="126"/>
    </row>
    <row r="127" spans="1:85" s="197" customFormat="1" x14ac:dyDescent="0.3">
      <c r="A127" s="182" t="s">
        <v>223</v>
      </c>
      <c r="B127" s="183">
        <v>1</v>
      </c>
      <c r="C127" s="184" t="s">
        <v>348</v>
      </c>
      <c r="D127" s="187">
        <v>4.1900000000000004</v>
      </c>
      <c r="E127" s="187">
        <v>1.81</v>
      </c>
      <c r="F127" s="186">
        <v>0.13</v>
      </c>
      <c r="G127" s="187">
        <f t="shared" si="65"/>
        <v>0.98590700000000009</v>
      </c>
      <c r="H127" s="188">
        <f t="shared" si="90"/>
        <v>7.5839000000000008</v>
      </c>
      <c r="I127" s="183">
        <f t="shared" si="50"/>
        <v>8</v>
      </c>
      <c r="J127" s="188">
        <f t="shared" si="66"/>
        <v>0.2</v>
      </c>
      <c r="K127" s="183">
        <f t="shared" si="67"/>
        <v>10</v>
      </c>
      <c r="L127" s="189">
        <f t="shared" si="68"/>
        <v>5.4600000000000003E-2</v>
      </c>
      <c r="M127" s="189">
        <f t="shared" si="83"/>
        <v>0.6</v>
      </c>
      <c r="N127" s="189">
        <f t="shared" si="69"/>
        <v>-0.04</v>
      </c>
      <c r="O127" s="189">
        <f>2.43*0.3</f>
        <v>0.72899999999999998</v>
      </c>
      <c r="P127" s="188">
        <f t="shared" si="82"/>
        <v>5.5335999999999999</v>
      </c>
      <c r="Q127" s="183">
        <f t="shared" si="51"/>
        <v>8</v>
      </c>
      <c r="R127" s="188">
        <f t="shared" si="52"/>
        <v>0.2</v>
      </c>
      <c r="S127" s="183">
        <f t="shared" si="53"/>
        <v>9</v>
      </c>
      <c r="T127" s="189">
        <f t="shared" si="54"/>
        <v>5.4600000000000003E-2</v>
      </c>
      <c r="U127" s="189">
        <f t="shared" si="84"/>
        <v>0.6</v>
      </c>
      <c r="V127" s="189">
        <f t="shared" si="71"/>
        <v>-0.04</v>
      </c>
      <c r="W127" s="189">
        <f>2.75*0.3</f>
        <v>0.82499999999999996</v>
      </c>
      <c r="X127" s="188">
        <f t="shared" si="89"/>
        <v>5.6295999999999999</v>
      </c>
      <c r="Y127" s="183">
        <f t="shared" si="55"/>
        <v>8</v>
      </c>
      <c r="Z127" s="188">
        <f t="shared" si="56"/>
        <v>0.36</v>
      </c>
      <c r="AA127" s="183">
        <f t="shared" si="57"/>
        <v>13</v>
      </c>
      <c r="AB127" s="189">
        <f t="shared" si="58"/>
        <v>5.4600000000000003E-2</v>
      </c>
      <c r="AC127" s="189">
        <f>0.23*2</f>
        <v>0.46</v>
      </c>
      <c r="AD127" s="189">
        <f t="shared" si="72"/>
        <v>-0.04</v>
      </c>
      <c r="AE127" s="189">
        <f>1.84*0.3</f>
        <v>0.55200000000000005</v>
      </c>
      <c r="AF127" s="188">
        <f t="shared" si="85"/>
        <v>2.8366000000000002</v>
      </c>
      <c r="AG127" s="183">
        <f t="shared" si="59"/>
        <v>8</v>
      </c>
      <c r="AH127" s="182">
        <f t="shared" si="60"/>
        <v>0.36</v>
      </c>
      <c r="AI127" s="183">
        <f t="shared" si="61"/>
        <v>12</v>
      </c>
      <c r="AJ127" s="189">
        <f t="shared" si="62"/>
        <v>5.4600000000000003E-2</v>
      </c>
      <c r="AK127" s="189">
        <f>0.23*2</f>
        <v>0.46</v>
      </c>
      <c r="AL127" s="189">
        <f t="shared" si="73"/>
        <v>-0.04</v>
      </c>
      <c r="AM127" s="189">
        <f>2.64*0.3</f>
        <v>0.79200000000000004</v>
      </c>
      <c r="AN127" s="188">
        <f t="shared" si="86"/>
        <v>3.0766</v>
      </c>
      <c r="AO127" s="183">
        <v>0</v>
      </c>
      <c r="AP127" s="182">
        <f t="shared" si="63"/>
        <v>8</v>
      </c>
      <c r="AQ127" s="182">
        <v>1.5</v>
      </c>
      <c r="AR127" s="187">
        <f t="shared" si="74"/>
        <v>106.00239999999999</v>
      </c>
      <c r="AS127" s="187">
        <f t="shared" si="75"/>
        <v>0</v>
      </c>
      <c r="AT127" s="187">
        <f t="shared" si="76"/>
        <v>0</v>
      </c>
      <c r="AU127" s="187">
        <f t="shared" si="77"/>
        <v>73.795000000000016</v>
      </c>
      <c r="AV127" s="187">
        <f t="shared" si="64"/>
        <v>0</v>
      </c>
      <c r="AW127" s="187">
        <f t="shared" si="78"/>
        <v>0</v>
      </c>
      <c r="AX127" s="187">
        <f t="shared" si="79"/>
        <v>12</v>
      </c>
      <c r="AY127" s="190"/>
      <c r="AZ127" s="240"/>
      <c r="BA127" s="232"/>
      <c r="BF127" s="206"/>
      <c r="BG127" s="206"/>
      <c r="BK127" s="126"/>
      <c r="BL127" s="126"/>
      <c r="BN127" s="126"/>
      <c r="BO127" s="126"/>
      <c r="BQ127" s="126"/>
      <c r="BR127" s="126"/>
      <c r="BT127" s="126"/>
      <c r="BU127" s="126"/>
      <c r="BW127" s="126"/>
      <c r="BX127" s="126"/>
      <c r="BZ127" s="126"/>
      <c r="CA127" s="126"/>
      <c r="CC127" s="126"/>
      <c r="CD127" s="126"/>
      <c r="CF127" s="126"/>
      <c r="CG127" s="126"/>
    </row>
    <row r="128" spans="1:85" s="197" customFormat="1" x14ac:dyDescent="0.3">
      <c r="A128" s="182" t="s">
        <v>223</v>
      </c>
      <c r="B128" s="183">
        <v>1</v>
      </c>
      <c r="C128" s="184" t="s">
        <v>349</v>
      </c>
      <c r="D128" s="187">
        <v>4.1500000000000004</v>
      </c>
      <c r="E128" s="187">
        <v>1.84</v>
      </c>
      <c r="F128" s="186">
        <v>0.13</v>
      </c>
      <c r="G128" s="187">
        <f>D128*E128*F128*B128</f>
        <v>0.99268000000000012</v>
      </c>
      <c r="H128" s="188">
        <f>D128*E128*B128</f>
        <v>7.636000000000001</v>
      </c>
      <c r="I128" s="183">
        <f t="shared" si="50"/>
        <v>8</v>
      </c>
      <c r="J128" s="188">
        <f t="shared" si="66"/>
        <v>0.2</v>
      </c>
      <c r="K128" s="183">
        <f t="shared" si="67"/>
        <v>10</v>
      </c>
      <c r="L128" s="189">
        <f t="shared" si="68"/>
        <v>5.4600000000000003E-2</v>
      </c>
      <c r="M128" s="189">
        <f>0.3+0.35</f>
        <v>0.64999999999999991</v>
      </c>
      <c r="N128" s="189">
        <f t="shared" si="69"/>
        <v>-0.04</v>
      </c>
      <c r="O128" s="189">
        <f>2.43*0.3</f>
        <v>0.72899999999999998</v>
      </c>
      <c r="P128" s="188">
        <f t="shared" si="82"/>
        <v>5.5435999999999996</v>
      </c>
      <c r="Q128" s="183">
        <f t="shared" si="51"/>
        <v>8</v>
      </c>
      <c r="R128" s="188">
        <f t="shared" si="52"/>
        <v>0.2</v>
      </c>
      <c r="S128" s="183">
        <f t="shared" si="53"/>
        <v>9</v>
      </c>
      <c r="T128" s="189">
        <f t="shared" si="54"/>
        <v>5.4600000000000003E-2</v>
      </c>
      <c r="U128" s="189">
        <f>0.3+0.35</f>
        <v>0.64999999999999991</v>
      </c>
      <c r="V128" s="189">
        <f t="shared" si="71"/>
        <v>-0.04</v>
      </c>
      <c r="W128" s="189">
        <f>3.175*0.3</f>
        <v>0.9524999999999999</v>
      </c>
      <c r="X128" s="188">
        <f t="shared" si="89"/>
        <v>5.7671000000000001</v>
      </c>
      <c r="Y128" s="183">
        <f t="shared" si="55"/>
        <v>8</v>
      </c>
      <c r="Z128" s="188">
        <f t="shared" si="56"/>
        <v>0.36</v>
      </c>
      <c r="AA128" s="183">
        <f t="shared" si="57"/>
        <v>13</v>
      </c>
      <c r="AB128" s="189">
        <f t="shared" si="58"/>
        <v>5.4600000000000003E-2</v>
      </c>
      <c r="AC128" s="189">
        <f>0.398+0.23</f>
        <v>0.628</v>
      </c>
      <c r="AD128" s="189">
        <f t="shared" si="72"/>
        <v>-0.04</v>
      </c>
      <c r="AE128" s="189">
        <f>3.136*0.3</f>
        <v>0.94079999999999997</v>
      </c>
      <c r="AF128" s="188">
        <f t="shared" si="85"/>
        <v>3.4234</v>
      </c>
      <c r="AG128" s="183">
        <f t="shared" si="59"/>
        <v>8</v>
      </c>
      <c r="AH128" s="182">
        <f t="shared" si="60"/>
        <v>0.36</v>
      </c>
      <c r="AI128" s="183">
        <f t="shared" si="61"/>
        <v>12</v>
      </c>
      <c r="AJ128" s="189">
        <f t="shared" si="62"/>
        <v>5.4600000000000003E-2</v>
      </c>
      <c r="AK128" s="189">
        <f>0.398+0.23</f>
        <v>0.628</v>
      </c>
      <c r="AL128" s="189">
        <f t="shared" si="73"/>
        <v>-0.04</v>
      </c>
      <c r="AM128" s="189">
        <f>1.81*0.3</f>
        <v>0.54300000000000004</v>
      </c>
      <c r="AN128" s="188">
        <f t="shared" si="86"/>
        <v>3.0255999999999998</v>
      </c>
      <c r="AO128" s="183">
        <v>0</v>
      </c>
      <c r="AP128" s="182">
        <f t="shared" si="63"/>
        <v>8</v>
      </c>
      <c r="AQ128" s="182">
        <v>1.5</v>
      </c>
      <c r="AR128" s="187">
        <f t="shared" si="74"/>
        <v>107.3399</v>
      </c>
      <c r="AS128" s="187">
        <f t="shared" si="75"/>
        <v>0</v>
      </c>
      <c r="AT128" s="187">
        <f t="shared" si="76"/>
        <v>0</v>
      </c>
      <c r="AU128" s="187">
        <f t="shared" si="77"/>
        <v>80.811399999999992</v>
      </c>
      <c r="AV128" s="187">
        <f t="shared" si="64"/>
        <v>0</v>
      </c>
      <c r="AW128" s="187">
        <f t="shared" si="78"/>
        <v>0</v>
      </c>
      <c r="AX128" s="187">
        <f t="shared" si="79"/>
        <v>12</v>
      </c>
      <c r="AY128" s="190"/>
      <c r="AZ128" s="240"/>
      <c r="BA128" s="232"/>
      <c r="BF128" s="206"/>
      <c r="BG128" s="206"/>
      <c r="BK128" s="126"/>
      <c r="BL128" s="126"/>
      <c r="BN128" s="126"/>
      <c r="BO128" s="126"/>
      <c r="BQ128" s="126"/>
      <c r="BR128" s="126"/>
      <c r="BT128" s="126"/>
      <c r="BU128" s="126"/>
      <c r="BW128" s="126"/>
      <c r="BX128" s="126"/>
      <c r="BZ128" s="126"/>
      <c r="CA128" s="126"/>
      <c r="CC128" s="126"/>
      <c r="CD128" s="126"/>
      <c r="CF128" s="126"/>
      <c r="CG128" s="126"/>
    </row>
    <row r="129" spans="1:85" s="197" customFormat="1" x14ac:dyDescent="0.3">
      <c r="A129" s="182" t="s">
        <v>239</v>
      </c>
      <c r="B129" s="183">
        <v>1</v>
      </c>
      <c r="C129" s="184" t="s">
        <v>350</v>
      </c>
      <c r="D129" s="187">
        <v>2.75</v>
      </c>
      <c r="E129" s="187">
        <v>2.09</v>
      </c>
      <c r="F129" s="186">
        <v>0.125</v>
      </c>
      <c r="G129" s="187">
        <f t="shared" si="65"/>
        <v>0.71843749999999995</v>
      </c>
      <c r="H129" s="188">
        <f t="shared" si="90"/>
        <v>5.7474999999999996</v>
      </c>
      <c r="I129" s="183">
        <f t="shared" si="50"/>
        <v>8</v>
      </c>
      <c r="J129" s="188">
        <f t="shared" si="66"/>
        <v>0.23</v>
      </c>
      <c r="K129" s="183">
        <f t="shared" si="67"/>
        <v>10</v>
      </c>
      <c r="L129" s="189">
        <f t="shared" si="68"/>
        <v>5.2499999999999998E-2</v>
      </c>
      <c r="M129" s="189">
        <f>0.3+0.23</f>
        <v>0.53</v>
      </c>
      <c r="N129" s="189">
        <f t="shared" si="69"/>
        <v>-0.04</v>
      </c>
      <c r="O129" s="189">
        <f>4.19*0.3</f>
        <v>1.2570000000000001</v>
      </c>
      <c r="P129" s="188">
        <f t="shared" si="82"/>
        <v>4.5495000000000001</v>
      </c>
      <c r="Q129" s="183">
        <f t="shared" si="51"/>
        <v>8</v>
      </c>
      <c r="R129" s="188">
        <f t="shared" si="52"/>
        <v>0.23</v>
      </c>
      <c r="S129" s="183">
        <f t="shared" si="53"/>
        <v>9</v>
      </c>
      <c r="T129" s="189">
        <f t="shared" si="54"/>
        <v>5.2499999999999998E-2</v>
      </c>
      <c r="U129" s="189">
        <f>0.3+0.23</f>
        <v>0.53</v>
      </c>
      <c r="V129" s="189">
        <f t="shared" si="71"/>
        <v>-0.04</v>
      </c>
      <c r="W129" s="189">
        <f>2.18*0.3</f>
        <v>0.65400000000000003</v>
      </c>
      <c r="X129" s="188">
        <f t="shared" si="89"/>
        <v>3.9464999999999999</v>
      </c>
      <c r="Y129" s="183">
        <f t="shared" si="55"/>
        <v>8</v>
      </c>
      <c r="Z129" s="188">
        <f t="shared" si="56"/>
        <v>0.3</v>
      </c>
      <c r="AA129" s="183">
        <f t="shared" si="57"/>
        <v>10</v>
      </c>
      <c r="AB129" s="189">
        <f t="shared" si="58"/>
        <v>5.2499999999999998E-2</v>
      </c>
      <c r="AC129" s="189">
        <f>0.23*2</f>
        <v>0.46</v>
      </c>
      <c r="AD129" s="189">
        <f t="shared" si="72"/>
        <v>-0.04</v>
      </c>
      <c r="AE129" s="189">
        <f>2.252*0.3</f>
        <v>0.67559999999999987</v>
      </c>
      <c r="AF129" s="188">
        <f t="shared" si="85"/>
        <v>3.2380999999999998</v>
      </c>
      <c r="AG129" s="183">
        <f t="shared" si="59"/>
        <v>8</v>
      </c>
      <c r="AH129" s="182">
        <f t="shared" si="60"/>
        <v>0.3</v>
      </c>
      <c r="AI129" s="183">
        <f t="shared" si="61"/>
        <v>9</v>
      </c>
      <c r="AJ129" s="189">
        <f t="shared" si="62"/>
        <v>5.2499999999999998E-2</v>
      </c>
      <c r="AK129" s="189">
        <f>0.23*2</f>
        <v>0.46</v>
      </c>
      <c r="AL129" s="189">
        <f t="shared" si="73"/>
        <v>-0.04</v>
      </c>
      <c r="AM129" s="189">
        <f>1.72*0.3</f>
        <v>0.51600000000000001</v>
      </c>
      <c r="AN129" s="188">
        <f t="shared" si="86"/>
        <v>3.0785</v>
      </c>
      <c r="AO129" s="183">
        <v>0</v>
      </c>
      <c r="AP129" s="182">
        <f t="shared" si="63"/>
        <v>6</v>
      </c>
      <c r="AQ129" s="182">
        <v>1.5</v>
      </c>
      <c r="AR129" s="187">
        <f t="shared" si="74"/>
        <v>81.013499999999993</v>
      </c>
      <c r="AS129" s="187">
        <f t="shared" si="75"/>
        <v>0</v>
      </c>
      <c r="AT129" s="187">
        <f t="shared" si="76"/>
        <v>0</v>
      </c>
      <c r="AU129" s="187">
        <f t="shared" si="77"/>
        <v>60.087499999999999</v>
      </c>
      <c r="AV129" s="187">
        <f t="shared" si="64"/>
        <v>0</v>
      </c>
      <c r="AW129" s="187">
        <f t="shared" si="78"/>
        <v>0</v>
      </c>
      <c r="AX129" s="187">
        <f t="shared" si="79"/>
        <v>9</v>
      </c>
      <c r="AY129" s="190"/>
      <c r="AZ129" s="240"/>
      <c r="BA129" s="232"/>
      <c r="BF129" s="206"/>
      <c r="BG129" s="206"/>
      <c r="BK129" s="126"/>
      <c r="BL129" s="126"/>
      <c r="BN129" s="126"/>
      <c r="BO129" s="126"/>
      <c r="BQ129" s="126"/>
      <c r="BR129" s="126"/>
      <c r="BT129" s="126"/>
      <c r="BU129" s="126"/>
      <c r="BW129" s="126"/>
      <c r="BX129" s="126"/>
      <c r="BZ129" s="126"/>
      <c r="CA129" s="126"/>
      <c r="CC129" s="126"/>
      <c r="CD129" s="126"/>
      <c r="CF129" s="126"/>
      <c r="CG129" s="126"/>
    </row>
    <row r="130" spans="1:85" s="197" customFormat="1" x14ac:dyDescent="0.3">
      <c r="A130" s="182" t="s">
        <v>239</v>
      </c>
      <c r="B130" s="183">
        <v>1</v>
      </c>
      <c r="C130" s="184" t="s">
        <v>351</v>
      </c>
      <c r="D130" s="187">
        <v>3.1749999999999998</v>
      </c>
      <c r="E130" s="187">
        <v>2.2519999999999998</v>
      </c>
      <c r="F130" s="186">
        <v>0.125</v>
      </c>
      <c r="G130" s="187">
        <f t="shared" si="65"/>
        <v>0.8937624999999999</v>
      </c>
      <c r="H130" s="188">
        <f t="shared" si="90"/>
        <v>7.1500999999999992</v>
      </c>
      <c r="I130" s="183">
        <f t="shared" si="50"/>
        <v>8</v>
      </c>
      <c r="J130" s="188">
        <f t="shared" si="66"/>
        <v>0.23</v>
      </c>
      <c r="K130" s="183">
        <f t="shared" si="67"/>
        <v>11</v>
      </c>
      <c r="L130" s="189">
        <f t="shared" si="68"/>
        <v>5.2499999999999998E-2</v>
      </c>
      <c r="M130" s="189">
        <f>0.4+0.3</f>
        <v>0.7</v>
      </c>
      <c r="N130" s="189">
        <f t="shared" si="69"/>
        <v>-0.04</v>
      </c>
      <c r="O130" s="189">
        <f>4.15*0.3</f>
        <v>1.2450000000000001</v>
      </c>
      <c r="P130" s="188">
        <f t="shared" si="82"/>
        <v>5.1325000000000003</v>
      </c>
      <c r="Q130" s="183">
        <f t="shared" si="51"/>
        <v>8</v>
      </c>
      <c r="R130" s="188">
        <f t="shared" si="52"/>
        <v>0.23</v>
      </c>
      <c r="S130" s="183">
        <f t="shared" si="53"/>
        <v>10</v>
      </c>
      <c r="T130" s="189">
        <f t="shared" si="54"/>
        <v>5.2499999999999998E-2</v>
      </c>
      <c r="U130" s="189">
        <f>0.4+0.3</f>
        <v>0.7</v>
      </c>
      <c r="V130" s="189">
        <f t="shared" si="71"/>
        <v>-0.04</v>
      </c>
      <c r="W130" s="189">
        <f>2.18*0.3</f>
        <v>0.65400000000000003</v>
      </c>
      <c r="X130" s="188">
        <f t="shared" si="89"/>
        <v>4.5414999999999992</v>
      </c>
      <c r="Y130" s="183">
        <f t="shared" si="55"/>
        <v>8</v>
      </c>
      <c r="Z130" s="188">
        <f t="shared" si="56"/>
        <v>0.3</v>
      </c>
      <c r="AA130" s="183">
        <f t="shared" si="57"/>
        <v>12</v>
      </c>
      <c r="AB130" s="189">
        <f t="shared" si="58"/>
        <v>5.2499999999999998E-2</v>
      </c>
      <c r="AC130" s="189">
        <f>0.4+0.23</f>
        <v>0.63</v>
      </c>
      <c r="AD130" s="189">
        <f t="shared" si="72"/>
        <v>-0.04</v>
      </c>
      <c r="AE130" s="189">
        <f>3.25*0.3</f>
        <v>0.97499999999999998</v>
      </c>
      <c r="AF130" s="188">
        <f t="shared" si="85"/>
        <v>3.8694999999999995</v>
      </c>
      <c r="AG130" s="183">
        <f t="shared" si="59"/>
        <v>8</v>
      </c>
      <c r="AH130" s="182">
        <f t="shared" si="60"/>
        <v>0.3</v>
      </c>
      <c r="AI130" s="183">
        <f t="shared" si="61"/>
        <v>11</v>
      </c>
      <c r="AJ130" s="189">
        <f t="shared" si="62"/>
        <v>5.2499999999999998E-2</v>
      </c>
      <c r="AK130" s="189">
        <f>0.4+0.23</f>
        <v>0.63</v>
      </c>
      <c r="AL130" s="189">
        <f t="shared" si="73"/>
        <v>-0.04</v>
      </c>
      <c r="AM130" s="189">
        <f>2.09*0.3</f>
        <v>0.62699999999999989</v>
      </c>
      <c r="AN130" s="188">
        <f t="shared" si="86"/>
        <v>3.5214999999999996</v>
      </c>
      <c r="AO130" s="183">
        <v>0</v>
      </c>
      <c r="AP130" s="182">
        <f t="shared" si="63"/>
        <v>8</v>
      </c>
      <c r="AQ130" s="182">
        <v>1.5</v>
      </c>
      <c r="AR130" s="187">
        <f t="shared" si="74"/>
        <v>101.8725</v>
      </c>
      <c r="AS130" s="187">
        <f t="shared" si="75"/>
        <v>0</v>
      </c>
      <c r="AT130" s="187">
        <f t="shared" si="76"/>
        <v>0</v>
      </c>
      <c r="AU130" s="187">
        <f t="shared" si="77"/>
        <v>85.17049999999999</v>
      </c>
      <c r="AV130" s="187">
        <f t="shared" si="64"/>
        <v>0</v>
      </c>
      <c r="AW130" s="187">
        <f t="shared" si="78"/>
        <v>0</v>
      </c>
      <c r="AX130" s="187">
        <f t="shared" si="79"/>
        <v>12</v>
      </c>
      <c r="AY130" s="190"/>
      <c r="AZ130" s="240"/>
      <c r="BA130" s="232"/>
      <c r="BF130" s="206"/>
      <c r="BG130" s="206"/>
      <c r="BK130" s="126"/>
      <c r="BL130" s="126"/>
      <c r="BN130" s="126"/>
      <c r="BO130" s="126"/>
      <c r="BQ130" s="126"/>
      <c r="BR130" s="126"/>
      <c r="BT130" s="126"/>
      <c r="BU130" s="126"/>
      <c r="BW130" s="126"/>
      <c r="BX130" s="126"/>
      <c r="BZ130" s="126"/>
      <c r="CA130" s="126"/>
      <c r="CC130" s="126"/>
      <c r="CD130" s="126"/>
      <c r="CF130" s="126"/>
      <c r="CG130" s="126"/>
    </row>
    <row r="131" spans="1:85" s="197" customFormat="1" x14ac:dyDescent="0.3">
      <c r="A131" s="182" t="s">
        <v>223</v>
      </c>
      <c r="B131" s="183">
        <v>1</v>
      </c>
      <c r="C131" s="184" t="s">
        <v>352</v>
      </c>
      <c r="D131" s="187">
        <v>2.25</v>
      </c>
      <c r="E131" s="187">
        <v>4.4005000000000001</v>
      </c>
      <c r="F131" s="186">
        <v>0.13</v>
      </c>
      <c r="G131" s="187">
        <f t="shared" si="65"/>
        <v>1.2871462500000002</v>
      </c>
      <c r="H131" s="188">
        <f t="shared" si="90"/>
        <v>9.9011250000000004</v>
      </c>
      <c r="I131" s="183">
        <f t="shared" si="50"/>
        <v>8</v>
      </c>
      <c r="J131" s="188">
        <f t="shared" si="66"/>
        <v>0.2</v>
      </c>
      <c r="K131" s="183">
        <f t="shared" si="67"/>
        <v>23</v>
      </c>
      <c r="L131" s="189">
        <f t="shared" si="68"/>
        <v>5.4600000000000003E-2</v>
      </c>
      <c r="M131" s="189">
        <f t="shared" si="83"/>
        <v>0.6</v>
      </c>
      <c r="N131" s="189">
        <f t="shared" si="69"/>
        <v>-0.04</v>
      </c>
      <c r="O131" s="189">
        <f>2.75*0.3</f>
        <v>0.82499999999999996</v>
      </c>
      <c r="P131" s="188">
        <f t="shared" si="82"/>
        <v>3.6896</v>
      </c>
      <c r="Q131" s="183">
        <f t="shared" si="51"/>
        <v>8</v>
      </c>
      <c r="R131" s="188">
        <f t="shared" si="52"/>
        <v>0.2</v>
      </c>
      <c r="S131" s="183">
        <f t="shared" si="53"/>
        <v>22</v>
      </c>
      <c r="T131" s="189">
        <f t="shared" si="54"/>
        <v>5.4600000000000003E-2</v>
      </c>
      <c r="U131" s="189">
        <f t="shared" si="84"/>
        <v>0.6</v>
      </c>
      <c r="V131" s="189">
        <f t="shared" si="71"/>
        <v>-0.04</v>
      </c>
      <c r="W131" s="189">
        <f>1.9*0.3</f>
        <v>0.56999999999999995</v>
      </c>
      <c r="X131" s="188">
        <f t="shared" si="89"/>
        <v>3.4345999999999997</v>
      </c>
      <c r="Y131" s="183">
        <f t="shared" si="55"/>
        <v>8</v>
      </c>
      <c r="Z131" s="188">
        <f t="shared" si="56"/>
        <v>0.36</v>
      </c>
      <c r="AA131" s="183">
        <f t="shared" si="57"/>
        <v>7</v>
      </c>
      <c r="AB131" s="189">
        <f t="shared" si="58"/>
        <v>5.4600000000000003E-2</v>
      </c>
      <c r="AC131" s="189">
        <f>0.3+0.23</f>
        <v>0.53</v>
      </c>
      <c r="AD131" s="189">
        <f t="shared" si="72"/>
        <v>-0.04</v>
      </c>
      <c r="AE131" s="189">
        <f>3.39*0.3</f>
        <v>1.0169999999999999</v>
      </c>
      <c r="AF131" s="188">
        <f t="shared" si="85"/>
        <v>5.9620999999999995</v>
      </c>
      <c r="AG131" s="183">
        <f t="shared" si="59"/>
        <v>8</v>
      </c>
      <c r="AH131" s="182">
        <f t="shared" si="60"/>
        <v>0.36</v>
      </c>
      <c r="AI131" s="183">
        <f t="shared" si="61"/>
        <v>6</v>
      </c>
      <c r="AJ131" s="189">
        <f t="shared" si="62"/>
        <v>5.4600000000000003E-2</v>
      </c>
      <c r="AK131" s="189">
        <f>0.3+0.23</f>
        <v>0.53</v>
      </c>
      <c r="AL131" s="189">
        <f t="shared" si="73"/>
        <v>-0.04</v>
      </c>
      <c r="AM131" s="189">
        <f>2.895*0.3</f>
        <v>0.86849999999999994</v>
      </c>
      <c r="AN131" s="188">
        <f t="shared" si="86"/>
        <v>5.8136000000000001</v>
      </c>
      <c r="AO131" s="183">
        <v>0</v>
      </c>
      <c r="AP131" s="182">
        <f t="shared" si="63"/>
        <v>10</v>
      </c>
      <c r="AQ131" s="182">
        <v>1.5</v>
      </c>
      <c r="AR131" s="187">
        <f t="shared" si="74"/>
        <v>160.42199999999997</v>
      </c>
      <c r="AS131" s="187">
        <f t="shared" si="75"/>
        <v>0</v>
      </c>
      <c r="AT131" s="187">
        <f t="shared" si="76"/>
        <v>0</v>
      </c>
      <c r="AU131" s="187">
        <f t="shared" si="77"/>
        <v>76.616299999999995</v>
      </c>
      <c r="AV131" s="187">
        <f t="shared" si="64"/>
        <v>0</v>
      </c>
      <c r="AW131" s="187">
        <f t="shared" si="78"/>
        <v>0</v>
      </c>
      <c r="AX131" s="187">
        <f t="shared" si="79"/>
        <v>15</v>
      </c>
      <c r="AY131" s="190"/>
      <c r="AZ131" s="240"/>
      <c r="BA131" s="232"/>
      <c r="BF131" s="206"/>
      <c r="BG131" s="206"/>
      <c r="BK131" s="126"/>
      <c r="BL131" s="126"/>
      <c r="BN131" s="126"/>
      <c r="BO131" s="126"/>
      <c r="BQ131" s="126"/>
      <c r="BR131" s="126"/>
      <c r="BT131" s="126"/>
      <c r="BU131" s="126"/>
      <c r="BW131" s="126"/>
      <c r="BX131" s="126"/>
      <c r="BZ131" s="126"/>
      <c r="CA131" s="126"/>
      <c r="CC131" s="126"/>
      <c r="CD131" s="126"/>
      <c r="CF131" s="126"/>
      <c r="CG131" s="126"/>
    </row>
    <row r="132" spans="1:85" s="197" customFormat="1" x14ac:dyDescent="0.3">
      <c r="A132" s="182" t="s">
        <v>227</v>
      </c>
      <c r="B132" s="183">
        <v>1</v>
      </c>
      <c r="C132" s="184" t="s">
        <v>353</v>
      </c>
      <c r="D132" s="187">
        <v>1.9</v>
      </c>
      <c r="E132" s="187">
        <v>4.42</v>
      </c>
      <c r="F132" s="186">
        <v>0.125</v>
      </c>
      <c r="G132" s="187">
        <f t="shared" si="65"/>
        <v>1.04975</v>
      </c>
      <c r="H132" s="188">
        <f t="shared" si="90"/>
        <v>8.3979999999999997</v>
      </c>
      <c r="I132" s="183">
        <f t="shared" si="50"/>
        <v>8</v>
      </c>
      <c r="J132" s="188">
        <f t="shared" si="66"/>
        <v>0.2</v>
      </c>
      <c r="K132" s="183">
        <f t="shared" si="67"/>
        <v>23</v>
      </c>
      <c r="L132" s="189">
        <f t="shared" si="68"/>
        <v>5.2499999999999998E-2</v>
      </c>
      <c r="M132" s="189">
        <f t="shared" si="83"/>
        <v>0.6</v>
      </c>
      <c r="N132" s="189">
        <f t="shared" si="69"/>
        <v>-0.04</v>
      </c>
      <c r="O132" s="189">
        <f>2.25*0.3</f>
        <v>0.67499999999999993</v>
      </c>
      <c r="P132" s="188">
        <f t="shared" si="82"/>
        <v>3.1875</v>
      </c>
      <c r="Q132" s="183">
        <f t="shared" si="51"/>
        <v>8</v>
      </c>
      <c r="R132" s="188">
        <f t="shared" si="52"/>
        <v>0.2</v>
      </c>
      <c r="S132" s="183">
        <f t="shared" si="53"/>
        <v>22</v>
      </c>
      <c r="T132" s="189">
        <f t="shared" si="54"/>
        <v>5.2499999999999998E-2</v>
      </c>
      <c r="U132" s="189">
        <f t="shared" si="84"/>
        <v>0.6</v>
      </c>
      <c r="V132" s="189">
        <f t="shared" si="71"/>
        <v>-0.04</v>
      </c>
      <c r="W132" s="189">
        <f>2.929*0.3</f>
        <v>0.87869999999999993</v>
      </c>
      <c r="X132" s="188">
        <f t="shared" si="89"/>
        <v>3.3911999999999995</v>
      </c>
      <c r="Y132" s="183">
        <f t="shared" si="55"/>
        <v>8</v>
      </c>
      <c r="Z132" s="188">
        <f t="shared" si="56"/>
        <v>0.2</v>
      </c>
      <c r="AA132" s="183">
        <f t="shared" si="57"/>
        <v>11</v>
      </c>
      <c r="AB132" s="189">
        <f t="shared" si="58"/>
        <v>5.2499999999999998E-2</v>
      </c>
      <c r="AC132" s="189">
        <f t="shared" si="87"/>
        <v>0.6</v>
      </c>
      <c r="AD132" s="189">
        <f t="shared" si="72"/>
        <v>-0.04</v>
      </c>
      <c r="AE132" s="189">
        <f>3.39*0.3</f>
        <v>1.0169999999999999</v>
      </c>
      <c r="AF132" s="188">
        <f t="shared" si="85"/>
        <v>6.0495000000000001</v>
      </c>
      <c r="AG132" s="183">
        <f t="shared" si="59"/>
        <v>8</v>
      </c>
      <c r="AH132" s="182">
        <f t="shared" si="60"/>
        <v>0.2</v>
      </c>
      <c r="AI132" s="183">
        <f t="shared" si="61"/>
        <v>10</v>
      </c>
      <c r="AJ132" s="189">
        <f t="shared" si="62"/>
        <v>5.2499999999999998E-2</v>
      </c>
      <c r="AK132" s="189">
        <f t="shared" si="88"/>
        <v>0.6</v>
      </c>
      <c r="AL132" s="189">
        <f t="shared" si="73"/>
        <v>-0.04</v>
      </c>
      <c r="AM132" s="189">
        <f>2.895*0.3</f>
        <v>0.86849999999999994</v>
      </c>
      <c r="AN132" s="188">
        <f t="shared" si="86"/>
        <v>5.9009999999999998</v>
      </c>
      <c r="AO132" s="183">
        <v>8</v>
      </c>
      <c r="AP132" s="182">
        <f t="shared" si="63"/>
        <v>8</v>
      </c>
      <c r="AQ132" s="182">
        <v>1.5</v>
      </c>
      <c r="AR132" s="187">
        <f t="shared" si="74"/>
        <v>147.91890000000001</v>
      </c>
      <c r="AS132" s="187">
        <f t="shared" si="75"/>
        <v>0</v>
      </c>
      <c r="AT132" s="187">
        <f t="shared" si="76"/>
        <v>0</v>
      </c>
      <c r="AU132" s="187">
        <f t="shared" si="77"/>
        <v>125.55449999999999</v>
      </c>
      <c r="AV132" s="187">
        <f t="shared" si="64"/>
        <v>0</v>
      </c>
      <c r="AW132" s="187">
        <f t="shared" si="78"/>
        <v>0</v>
      </c>
      <c r="AX132" s="187">
        <f t="shared" si="79"/>
        <v>12</v>
      </c>
      <c r="AY132" s="190"/>
      <c r="AZ132" s="240"/>
      <c r="BA132" s="232"/>
      <c r="BF132" s="206"/>
      <c r="BG132" s="206"/>
      <c r="BK132" s="126"/>
      <c r="BL132" s="126"/>
      <c r="BN132" s="126"/>
      <c r="BO132" s="126"/>
      <c r="BQ132" s="126"/>
      <c r="BR132" s="126"/>
      <c r="BT132" s="126"/>
      <c r="BU132" s="126"/>
      <c r="BW132" s="126"/>
      <c r="BX132" s="126"/>
      <c r="BZ132" s="126"/>
      <c r="CA132" s="126"/>
      <c r="CC132" s="126"/>
      <c r="CD132" s="126"/>
      <c r="CF132" s="126"/>
      <c r="CG132" s="126"/>
    </row>
    <row r="133" spans="1:85" s="197" customFormat="1" x14ac:dyDescent="0.3">
      <c r="A133" s="182" t="s">
        <v>243</v>
      </c>
      <c r="B133" s="183">
        <v>1</v>
      </c>
      <c r="C133" s="184" t="s">
        <v>354</v>
      </c>
      <c r="D133" s="187">
        <v>2.9289999999999998</v>
      </c>
      <c r="E133" s="187">
        <v>4.34</v>
      </c>
      <c r="F133" s="186">
        <v>0.15</v>
      </c>
      <c r="G133" s="187">
        <f t="shared" si="65"/>
        <v>1.9067789999999998</v>
      </c>
      <c r="H133" s="188">
        <f t="shared" si="90"/>
        <v>12.71186</v>
      </c>
      <c r="I133" s="183">
        <f t="shared" si="50"/>
        <v>10</v>
      </c>
      <c r="J133" s="188">
        <f t="shared" si="66"/>
        <v>0.2</v>
      </c>
      <c r="K133" s="183">
        <f t="shared" si="67"/>
        <v>23</v>
      </c>
      <c r="L133" s="189">
        <f t="shared" si="68"/>
        <v>6.3E-2</v>
      </c>
      <c r="M133" s="189">
        <f t="shared" si="83"/>
        <v>0.6</v>
      </c>
      <c r="N133" s="189">
        <f t="shared" si="69"/>
        <v>-0.04</v>
      </c>
      <c r="O133" s="189">
        <f>1.9*0.3</f>
        <v>0.56999999999999995</v>
      </c>
      <c r="P133" s="188">
        <f t="shared" si="82"/>
        <v>4.1219999999999999</v>
      </c>
      <c r="Q133" s="183">
        <f t="shared" si="51"/>
        <v>10</v>
      </c>
      <c r="R133" s="188">
        <f t="shared" si="52"/>
        <v>0.2</v>
      </c>
      <c r="S133" s="183">
        <f t="shared" si="53"/>
        <v>22</v>
      </c>
      <c r="T133" s="189">
        <f t="shared" si="54"/>
        <v>6.3E-2</v>
      </c>
      <c r="U133" s="189">
        <f t="shared" si="84"/>
        <v>0.6</v>
      </c>
      <c r="V133" s="189">
        <f t="shared" si="71"/>
        <v>-0.04</v>
      </c>
      <c r="W133" s="189">
        <f>3.51*0.3</f>
        <v>1.0529999999999999</v>
      </c>
      <c r="X133" s="188">
        <f t="shared" si="89"/>
        <v>4.6049999999999995</v>
      </c>
      <c r="Y133" s="183">
        <f t="shared" si="55"/>
        <v>8</v>
      </c>
      <c r="Z133" s="188">
        <f t="shared" si="56"/>
        <v>0.24</v>
      </c>
      <c r="AA133" s="183">
        <f t="shared" si="57"/>
        <v>13</v>
      </c>
      <c r="AB133" s="189">
        <f t="shared" si="58"/>
        <v>6.3E-2</v>
      </c>
      <c r="AC133" s="189">
        <f>0.38*2</f>
        <v>0.76</v>
      </c>
      <c r="AD133" s="189">
        <f t="shared" si="72"/>
        <v>-0.04</v>
      </c>
      <c r="AE133" s="189">
        <f>3.35*0.3</f>
        <v>1.0049999999999999</v>
      </c>
      <c r="AF133" s="188">
        <f t="shared" si="85"/>
        <v>6.1280000000000001</v>
      </c>
      <c r="AG133" s="183">
        <f t="shared" si="59"/>
        <v>8</v>
      </c>
      <c r="AH133" s="182">
        <f t="shared" si="60"/>
        <v>0.24</v>
      </c>
      <c r="AI133" s="183">
        <f t="shared" si="61"/>
        <v>12</v>
      </c>
      <c r="AJ133" s="189">
        <f t="shared" si="62"/>
        <v>6.3E-2</v>
      </c>
      <c r="AK133" s="189">
        <f>0.38*2</f>
        <v>0.76</v>
      </c>
      <c r="AL133" s="189">
        <f t="shared" si="73"/>
        <v>-0.04</v>
      </c>
      <c r="AM133" s="189">
        <f>2.75*0.3</f>
        <v>0.82499999999999996</v>
      </c>
      <c r="AN133" s="188">
        <f t="shared" si="86"/>
        <v>5.9479999999999995</v>
      </c>
      <c r="AO133" s="183">
        <v>8</v>
      </c>
      <c r="AP133" s="182">
        <f t="shared" si="63"/>
        <v>10</v>
      </c>
      <c r="AQ133" s="182">
        <v>1.5</v>
      </c>
      <c r="AR133" s="187">
        <f t="shared" si="74"/>
        <v>0</v>
      </c>
      <c r="AS133" s="187">
        <f t="shared" si="75"/>
        <v>196.11599999999999</v>
      </c>
      <c r="AT133" s="187">
        <f t="shared" si="76"/>
        <v>0</v>
      </c>
      <c r="AU133" s="187">
        <f t="shared" si="77"/>
        <v>151.04</v>
      </c>
      <c r="AV133" s="187">
        <f t="shared" si="64"/>
        <v>0</v>
      </c>
      <c r="AW133" s="187">
        <f t="shared" si="78"/>
        <v>0</v>
      </c>
      <c r="AX133" s="187">
        <f t="shared" si="79"/>
        <v>15</v>
      </c>
      <c r="AY133" s="190"/>
      <c r="AZ133" s="240"/>
      <c r="BA133" s="232"/>
      <c r="BF133" s="206"/>
      <c r="BG133" s="206"/>
      <c r="BK133" s="126"/>
      <c r="BL133" s="126"/>
      <c r="BN133" s="126"/>
      <c r="BO133" s="126"/>
      <c r="BQ133" s="126"/>
      <c r="BR133" s="126"/>
      <c r="BT133" s="126"/>
      <c r="BU133" s="126"/>
      <c r="BW133" s="126"/>
      <c r="BX133" s="126"/>
      <c r="BZ133" s="126"/>
      <c r="CA133" s="126"/>
      <c r="CC133" s="126"/>
      <c r="CD133" s="126"/>
      <c r="CF133" s="126"/>
      <c r="CG133" s="126"/>
    </row>
    <row r="134" spans="1:85" s="197" customFormat="1" x14ac:dyDescent="0.3">
      <c r="A134" s="182" t="s">
        <v>240</v>
      </c>
      <c r="B134" s="183">
        <v>1</v>
      </c>
      <c r="C134" s="184" t="s">
        <v>355</v>
      </c>
      <c r="D134" s="187">
        <v>3.51</v>
      </c>
      <c r="E134" s="187">
        <v>4.34</v>
      </c>
      <c r="F134" s="186">
        <v>0.16</v>
      </c>
      <c r="G134" s="187">
        <f t="shared" si="65"/>
        <v>2.4373439999999995</v>
      </c>
      <c r="H134" s="188">
        <f t="shared" si="90"/>
        <v>15.233399999999998</v>
      </c>
      <c r="I134" s="183">
        <f t="shared" si="50"/>
        <v>10</v>
      </c>
      <c r="J134" s="188">
        <f t="shared" si="66"/>
        <v>0.2</v>
      </c>
      <c r="K134" s="183">
        <f t="shared" si="67"/>
        <v>23</v>
      </c>
      <c r="L134" s="189">
        <f t="shared" si="68"/>
        <v>6.7199999999999996E-2</v>
      </c>
      <c r="M134" s="189">
        <f t="shared" si="83"/>
        <v>0.6</v>
      </c>
      <c r="N134" s="189">
        <f t="shared" si="69"/>
        <v>-0.04</v>
      </c>
      <c r="O134" s="189">
        <f>2.929</f>
        <v>2.9289999999999998</v>
      </c>
      <c r="P134" s="188">
        <f t="shared" si="82"/>
        <v>7.0661999999999994</v>
      </c>
      <c r="Q134" s="183">
        <f t="shared" si="51"/>
        <v>10</v>
      </c>
      <c r="R134" s="188">
        <f t="shared" si="52"/>
        <v>0.2</v>
      </c>
      <c r="S134" s="183">
        <f t="shared" si="53"/>
        <v>22</v>
      </c>
      <c r="T134" s="189">
        <f t="shared" si="54"/>
        <v>6.7199999999999996E-2</v>
      </c>
      <c r="U134" s="189">
        <f t="shared" si="84"/>
        <v>0.6</v>
      </c>
      <c r="V134" s="189">
        <f t="shared" si="71"/>
        <v>-0.04</v>
      </c>
      <c r="W134" s="189">
        <f>6*0.3</f>
        <v>1.7999999999999998</v>
      </c>
      <c r="X134" s="188">
        <f t="shared" si="89"/>
        <v>5.9371999999999998</v>
      </c>
      <c r="Y134" s="183">
        <f t="shared" si="55"/>
        <v>10</v>
      </c>
      <c r="Z134" s="188">
        <f t="shared" si="56"/>
        <v>0.2</v>
      </c>
      <c r="AA134" s="183">
        <f t="shared" si="57"/>
        <v>19</v>
      </c>
      <c r="AB134" s="189">
        <f t="shared" si="58"/>
        <v>6.7199999999999996E-2</v>
      </c>
      <c r="AC134" s="189">
        <f>0.38*2</f>
        <v>0.76</v>
      </c>
      <c r="AD134" s="189">
        <f t="shared" si="72"/>
        <v>-0.04</v>
      </c>
      <c r="AE134" s="189">
        <f>3.35*0.3</f>
        <v>1.0049999999999999</v>
      </c>
      <c r="AF134" s="188">
        <f t="shared" si="85"/>
        <v>6.1321999999999992</v>
      </c>
      <c r="AG134" s="183">
        <f t="shared" si="59"/>
        <v>10</v>
      </c>
      <c r="AH134" s="182">
        <f t="shared" si="60"/>
        <v>0.2</v>
      </c>
      <c r="AI134" s="183">
        <f t="shared" si="61"/>
        <v>18</v>
      </c>
      <c r="AJ134" s="189">
        <f t="shared" si="62"/>
        <v>6.7199999999999996E-2</v>
      </c>
      <c r="AK134" s="189">
        <f>0.38*2</f>
        <v>0.76</v>
      </c>
      <c r="AL134" s="189">
        <f t="shared" si="73"/>
        <v>-0.04</v>
      </c>
      <c r="AM134" s="189">
        <f>2.75*0.3</f>
        <v>0.82499999999999996</v>
      </c>
      <c r="AN134" s="188">
        <f t="shared" si="86"/>
        <v>5.9521999999999995</v>
      </c>
      <c r="AO134" s="183">
        <v>8</v>
      </c>
      <c r="AP134" s="182">
        <f t="shared" si="63"/>
        <v>10</v>
      </c>
      <c r="AQ134" s="182">
        <v>1.5</v>
      </c>
      <c r="AR134" s="187">
        <f t="shared" si="74"/>
        <v>0</v>
      </c>
      <c r="AS134" s="187">
        <f t="shared" si="75"/>
        <v>293.14099999999996</v>
      </c>
      <c r="AT134" s="187">
        <f t="shared" si="76"/>
        <v>0</v>
      </c>
      <c r="AU134" s="187">
        <f t="shared" si="77"/>
        <v>0</v>
      </c>
      <c r="AV134" s="187">
        <f t="shared" si="64"/>
        <v>223.65139999999997</v>
      </c>
      <c r="AW134" s="187">
        <f t="shared" si="78"/>
        <v>0</v>
      </c>
      <c r="AX134" s="187">
        <f t="shared" si="79"/>
        <v>15</v>
      </c>
      <c r="AY134" s="190"/>
      <c r="AZ134" s="240"/>
      <c r="BA134" s="232"/>
      <c r="BF134" s="206"/>
      <c r="BG134" s="206"/>
      <c r="BK134" s="126"/>
      <c r="BL134" s="126"/>
      <c r="BN134" s="126"/>
      <c r="BO134" s="126"/>
      <c r="BQ134" s="126"/>
      <c r="BR134" s="126"/>
      <c r="BT134" s="126"/>
      <c r="BU134" s="126"/>
      <c r="BW134" s="126"/>
      <c r="BX134" s="126"/>
      <c r="BZ134" s="126"/>
      <c r="CA134" s="126"/>
      <c r="CC134" s="126"/>
      <c r="CD134" s="126"/>
      <c r="CF134" s="126"/>
      <c r="CG134" s="126"/>
    </row>
    <row r="135" spans="1:85" s="197" customFormat="1" x14ac:dyDescent="0.3">
      <c r="A135" s="182" t="s">
        <v>223</v>
      </c>
      <c r="B135" s="183">
        <v>1</v>
      </c>
      <c r="C135" s="184" t="s">
        <v>356</v>
      </c>
      <c r="D135" s="187">
        <v>2.79</v>
      </c>
      <c r="E135" s="187">
        <v>12.82</v>
      </c>
      <c r="F135" s="186">
        <v>0.13</v>
      </c>
      <c r="G135" s="187">
        <f t="shared" si="65"/>
        <v>4.6498140000000001</v>
      </c>
      <c r="H135" s="188">
        <f t="shared" si="90"/>
        <v>35.767800000000001</v>
      </c>
      <c r="I135" s="183">
        <f t="shared" si="50"/>
        <v>8</v>
      </c>
      <c r="J135" s="188">
        <f t="shared" si="66"/>
        <v>0.2</v>
      </c>
      <c r="K135" s="183">
        <f t="shared" si="67"/>
        <v>65</v>
      </c>
      <c r="L135" s="189">
        <f t="shared" si="68"/>
        <v>5.4600000000000003E-2</v>
      </c>
      <c r="M135" s="189">
        <f>0.3+0.45</f>
        <v>0.75</v>
      </c>
      <c r="N135" s="189">
        <f t="shared" si="69"/>
        <v>-0.04</v>
      </c>
      <c r="O135" s="189">
        <f>F135-2*0.02</f>
        <v>0.09</v>
      </c>
      <c r="P135" s="188">
        <f t="shared" si="82"/>
        <v>3.6446000000000001</v>
      </c>
      <c r="Q135" s="183">
        <f t="shared" si="51"/>
        <v>8</v>
      </c>
      <c r="R135" s="188">
        <f t="shared" si="52"/>
        <v>0.2</v>
      </c>
      <c r="S135" s="183">
        <f t="shared" si="53"/>
        <v>64</v>
      </c>
      <c r="T135" s="189">
        <f t="shared" si="54"/>
        <v>5.4600000000000003E-2</v>
      </c>
      <c r="U135" s="189">
        <f>0.3+0.45</f>
        <v>0.75</v>
      </c>
      <c r="V135" s="189">
        <f t="shared" si="71"/>
        <v>-0.04</v>
      </c>
      <c r="W135" s="189">
        <f>2.6*0.3</f>
        <v>0.78</v>
      </c>
      <c r="X135" s="188">
        <f t="shared" si="89"/>
        <v>4.3346</v>
      </c>
      <c r="Y135" s="183">
        <f t="shared" si="55"/>
        <v>8</v>
      </c>
      <c r="Z135" s="188">
        <f t="shared" si="56"/>
        <v>0.36</v>
      </c>
      <c r="AA135" s="183">
        <f t="shared" si="57"/>
        <v>9</v>
      </c>
      <c r="AB135" s="189">
        <f t="shared" si="58"/>
        <v>5.4600000000000003E-2</v>
      </c>
      <c r="AC135" s="189">
        <f t="shared" si="87"/>
        <v>0.6</v>
      </c>
      <c r="AD135" s="189">
        <f t="shared" si="72"/>
        <v>-0.04</v>
      </c>
      <c r="AE135" s="189">
        <f>5.85*0.3</f>
        <v>1.7549999999999999</v>
      </c>
      <c r="AF135" s="188">
        <f t="shared" si="85"/>
        <v>15.1896</v>
      </c>
      <c r="AG135" s="183">
        <f t="shared" si="59"/>
        <v>8</v>
      </c>
      <c r="AH135" s="182">
        <f t="shared" si="60"/>
        <v>0.36</v>
      </c>
      <c r="AI135" s="183">
        <f t="shared" si="61"/>
        <v>8</v>
      </c>
      <c r="AJ135" s="189">
        <f t="shared" si="62"/>
        <v>5.4600000000000003E-2</v>
      </c>
      <c r="AK135" s="189">
        <f t="shared" si="88"/>
        <v>0.6</v>
      </c>
      <c r="AL135" s="189">
        <f t="shared" si="73"/>
        <v>-0.04</v>
      </c>
      <c r="AM135" s="189">
        <f>2.01*0.3</f>
        <v>0.60299999999999987</v>
      </c>
      <c r="AN135" s="188">
        <f t="shared" si="86"/>
        <v>14.037599999999999</v>
      </c>
      <c r="AO135" s="183">
        <v>8</v>
      </c>
      <c r="AP135" s="182">
        <f t="shared" si="63"/>
        <v>22</v>
      </c>
      <c r="AQ135" s="182">
        <v>1.5</v>
      </c>
      <c r="AR135" s="187">
        <f t="shared" si="74"/>
        <v>514.3134</v>
      </c>
      <c r="AS135" s="187">
        <f t="shared" si="75"/>
        <v>0</v>
      </c>
      <c r="AT135" s="187">
        <f t="shared" si="76"/>
        <v>0</v>
      </c>
      <c r="AU135" s="187">
        <f t="shared" si="77"/>
        <v>249.00720000000001</v>
      </c>
      <c r="AV135" s="187">
        <f t="shared" si="64"/>
        <v>0</v>
      </c>
      <c r="AW135" s="187">
        <f t="shared" si="78"/>
        <v>0</v>
      </c>
      <c r="AX135" s="187">
        <f t="shared" si="79"/>
        <v>33</v>
      </c>
      <c r="AY135" s="190"/>
      <c r="AZ135" s="240"/>
      <c r="BA135" s="232"/>
      <c r="BF135" s="206"/>
      <c r="BG135" s="206"/>
      <c r="BK135" s="126"/>
      <c r="BL135" s="126"/>
      <c r="BN135" s="126"/>
      <c r="BO135" s="126"/>
      <c r="BQ135" s="126"/>
      <c r="BR135" s="126"/>
      <c r="BT135" s="126"/>
      <c r="BU135" s="126"/>
      <c r="BW135" s="126"/>
      <c r="BX135" s="126"/>
      <c r="BZ135" s="126"/>
      <c r="CA135" s="126"/>
      <c r="CC135" s="126"/>
      <c r="CD135" s="126"/>
      <c r="CF135" s="126"/>
      <c r="CG135" s="126"/>
    </row>
    <row r="136" spans="1:85" s="197" customFormat="1" x14ac:dyDescent="0.3">
      <c r="A136" s="182" t="s">
        <v>223</v>
      </c>
      <c r="B136" s="183">
        <v>1</v>
      </c>
      <c r="C136" s="184" t="s">
        <v>357</v>
      </c>
      <c r="D136" s="187">
        <v>2.6</v>
      </c>
      <c r="E136" s="187">
        <v>11.82</v>
      </c>
      <c r="F136" s="186">
        <v>0.13</v>
      </c>
      <c r="G136" s="187">
        <f t="shared" si="65"/>
        <v>3.9951600000000007</v>
      </c>
      <c r="H136" s="188">
        <f t="shared" si="90"/>
        <v>30.732000000000003</v>
      </c>
      <c r="I136" s="183">
        <f t="shared" si="50"/>
        <v>8</v>
      </c>
      <c r="J136" s="188">
        <f t="shared" si="66"/>
        <v>0.2</v>
      </c>
      <c r="K136" s="183">
        <f t="shared" si="67"/>
        <v>60</v>
      </c>
      <c r="L136" s="189">
        <f t="shared" si="68"/>
        <v>5.4600000000000003E-2</v>
      </c>
      <c r="M136" s="189">
        <f>0.45*2</f>
        <v>0.9</v>
      </c>
      <c r="N136" s="189">
        <f t="shared" si="69"/>
        <v>-0.04</v>
      </c>
      <c r="O136" s="189">
        <f>2.79*0.3</f>
        <v>0.83699999999999997</v>
      </c>
      <c r="P136" s="188">
        <f t="shared" si="82"/>
        <v>4.3515999999999995</v>
      </c>
      <c r="Q136" s="183">
        <f t="shared" si="51"/>
        <v>8</v>
      </c>
      <c r="R136" s="188">
        <f t="shared" si="52"/>
        <v>0.2</v>
      </c>
      <c r="S136" s="183">
        <f t="shared" si="53"/>
        <v>59</v>
      </c>
      <c r="T136" s="189">
        <f t="shared" si="54"/>
        <v>5.4600000000000003E-2</v>
      </c>
      <c r="U136" s="189">
        <f>0.45*2</f>
        <v>0.9</v>
      </c>
      <c r="V136" s="189">
        <f t="shared" si="71"/>
        <v>-0.04</v>
      </c>
      <c r="W136" s="189">
        <f>5.335*0.3</f>
        <v>1.6005</v>
      </c>
      <c r="X136" s="188">
        <f t="shared" si="89"/>
        <v>5.1151</v>
      </c>
      <c r="Y136" s="183">
        <f t="shared" si="55"/>
        <v>8</v>
      </c>
      <c r="Z136" s="188">
        <f t="shared" si="56"/>
        <v>0.36</v>
      </c>
      <c r="AA136" s="183">
        <f t="shared" si="57"/>
        <v>8</v>
      </c>
      <c r="AB136" s="189">
        <f t="shared" si="58"/>
        <v>5.4600000000000003E-2</v>
      </c>
      <c r="AC136" s="189">
        <f t="shared" si="87"/>
        <v>0.6</v>
      </c>
      <c r="AD136" s="189">
        <f t="shared" si="72"/>
        <v>-0.04</v>
      </c>
      <c r="AE136" s="189">
        <v>0</v>
      </c>
      <c r="AF136" s="188">
        <f t="shared" si="85"/>
        <v>12.4346</v>
      </c>
      <c r="AG136" s="183">
        <f t="shared" si="59"/>
        <v>8</v>
      </c>
      <c r="AH136" s="182">
        <f t="shared" si="60"/>
        <v>0.36</v>
      </c>
      <c r="AI136" s="183">
        <f t="shared" si="61"/>
        <v>7</v>
      </c>
      <c r="AJ136" s="189">
        <f t="shared" si="62"/>
        <v>5.4600000000000003E-2</v>
      </c>
      <c r="AK136" s="189">
        <f t="shared" si="88"/>
        <v>0.6</v>
      </c>
      <c r="AL136" s="189">
        <f t="shared" si="73"/>
        <v>-0.04</v>
      </c>
      <c r="AM136" s="189">
        <v>0</v>
      </c>
      <c r="AN136" s="188">
        <f t="shared" si="86"/>
        <v>12.4346</v>
      </c>
      <c r="AO136" s="183">
        <v>8</v>
      </c>
      <c r="AP136" s="182">
        <f t="shared" si="63"/>
        <v>20</v>
      </c>
      <c r="AQ136" s="182">
        <v>1.5</v>
      </c>
      <c r="AR136" s="187">
        <f t="shared" si="74"/>
        <v>562.88689999999997</v>
      </c>
      <c r="AS136" s="187">
        <f t="shared" si="75"/>
        <v>0</v>
      </c>
      <c r="AT136" s="187">
        <f t="shared" si="76"/>
        <v>0</v>
      </c>
      <c r="AU136" s="187">
        <f t="shared" si="77"/>
        <v>186.51900000000001</v>
      </c>
      <c r="AV136" s="187">
        <f t="shared" si="64"/>
        <v>0</v>
      </c>
      <c r="AW136" s="187">
        <f t="shared" si="78"/>
        <v>0</v>
      </c>
      <c r="AX136" s="187">
        <f t="shared" si="79"/>
        <v>30</v>
      </c>
      <c r="AY136" s="190"/>
      <c r="AZ136" s="240"/>
      <c r="BA136" s="232"/>
      <c r="BF136" s="206"/>
      <c r="BG136" s="206"/>
      <c r="BK136" s="126"/>
      <c r="BL136" s="126"/>
      <c r="BN136" s="126"/>
      <c r="BO136" s="126"/>
      <c r="BQ136" s="126"/>
      <c r="BR136" s="126"/>
      <c r="BT136" s="126"/>
      <c r="BU136" s="126"/>
      <c r="BW136" s="126"/>
      <c r="BX136" s="126"/>
      <c r="BZ136" s="126"/>
      <c r="CA136" s="126"/>
      <c r="CC136" s="126"/>
      <c r="CD136" s="126"/>
      <c r="CF136" s="126"/>
      <c r="CG136" s="126"/>
    </row>
    <row r="137" spans="1:85" s="197" customFormat="1" x14ac:dyDescent="0.3">
      <c r="A137" s="182" t="s">
        <v>254</v>
      </c>
      <c r="B137" s="183">
        <v>1</v>
      </c>
      <c r="C137" s="184" t="s">
        <v>358</v>
      </c>
      <c r="D137" s="187">
        <v>5.335</v>
      </c>
      <c r="E137" s="187">
        <v>3.31</v>
      </c>
      <c r="F137" s="186">
        <v>0.15</v>
      </c>
      <c r="G137" s="187">
        <f t="shared" si="65"/>
        <v>2.6488274999999999</v>
      </c>
      <c r="H137" s="188">
        <f t="shared" si="90"/>
        <v>17.658850000000001</v>
      </c>
      <c r="I137" s="183">
        <f t="shared" si="50"/>
        <v>10</v>
      </c>
      <c r="J137" s="188">
        <f t="shared" si="66"/>
        <v>0.18</v>
      </c>
      <c r="K137" s="183">
        <f t="shared" si="67"/>
        <v>19</v>
      </c>
      <c r="L137" s="189">
        <f t="shared" si="68"/>
        <v>6.3E-2</v>
      </c>
      <c r="M137" s="189">
        <f>0.45+0.34</f>
        <v>0.79</v>
      </c>
      <c r="N137" s="189">
        <f t="shared" si="69"/>
        <v>-0.04</v>
      </c>
      <c r="O137" s="189">
        <f>2.6*0.3</f>
        <v>0.78</v>
      </c>
      <c r="P137" s="188">
        <f t="shared" si="82"/>
        <v>6.9279999999999999</v>
      </c>
      <c r="Q137" s="183">
        <f t="shared" si="51"/>
        <v>10</v>
      </c>
      <c r="R137" s="188">
        <f t="shared" si="52"/>
        <v>0.18</v>
      </c>
      <c r="S137" s="183">
        <f t="shared" si="53"/>
        <v>18</v>
      </c>
      <c r="T137" s="189">
        <f t="shared" si="54"/>
        <v>6.3E-2</v>
      </c>
      <c r="U137" s="189">
        <f>0.45+0.34</f>
        <v>0.79</v>
      </c>
      <c r="V137" s="189">
        <f t="shared" si="71"/>
        <v>-0.04</v>
      </c>
      <c r="W137" s="189">
        <f>2.28*0.3</f>
        <v>0.68399999999999994</v>
      </c>
      <c r="X137" s="188">
        <f t="shared" si="89"/>
        <v>6.8319999999999999</v>
      </c>
      <c r="Y137" s="183">
        <f t="shared" si="55"/>
        <v>8</v>
      </c>
      <c r="Z137" s="188">
        <f t="shared" si="56"/>
        <v>0.2</v>
      </c>
      <c r="AA137" s="183">
        <f t="shared" si="57"/>
        <v>28</v>
      </c>
      <c r="AB137" s="189">
        <f t="shared" si="58"/>
        <v>6.3E-2</v>
      </c>
      <c r="AC137" s="189">
        <f t="shared" si="87"/>
        <v>0.6</v>
      </c>
      <c r="AD137" s="189">
        <f t="shared" si="72"/>
        <v>-0.04</v>
      </c>
      <c r="AE137" s="189">
        <f>2.6*0.3</f>
        <v>0.78</v>
      </c>
      <c r="AF137" s="188">
        <f t="shared" si="85"/>
        <v>4.7130000000000001</v>
      </c>
      <c r="AG137" s="183">
        <f t="shared" si="59"/>
        <v>8</v>
      </c>
      <c r="AH137" s="182">
        <f t="shared" si="60"/>
        <v>0.2</v>
      </c>
      <c r="AI137" s="183">
        <f t="shared" si="61"/>
        <v>27</v>
      </c>
      <c r="AJ137" s="189">
        <f t="shared" si="62"/>
        <v>6.3E-2</v>
      </c>
      <c r="AK137" s="189">
        <f t="shared" si="88"/>
        <v>0.6</v>
      </c>
      <c r="AL137" s="189">
        <f t="shared" si="73"/>
        <v>-0.04</v>
      </c>
      <c r="AM137" s="189">
        <f>3.17*0.3</f>
        <v>0.95099999999999996</v>
      </c>
      <c r="AN137" s="188">
        <f t="shared" si="86"/>
        <v>4.8840000000000003</v>
      </c>
      <c r="AO137" s="183">
        <v>8</v>
      </c>
      <c r="AP137" s="182">
        <f t="shared" si="63"/>
        <v>12</v>
      </c>
      <c r="AQ137" s="182">
        <v>1.5</v>
      </c>
      <c r="AR137" s="187">
        <f t="shared" si="74"/>
        <v>0</v>
      </c>
      <c r="AS137" s="187">
        <f t="shared" si="75"/>
        <v>254.608</v>
      </c>
      <c r="AT137" s="187">
        <f t="shared" si="76"/>
        <v>0</v>
      </c>
      <c r="AU137" s="187">
        <f t="shared" si="77"/>
        <v>263.83199999999999</v>
      </c>
      <c r="AV137" s="187">
        <f t="shared" si="64"/>
        <v>0</v>
      </c>
      <c r="AW137" s="187">
        <f t="shared" si="78"/>
        <v>0</v>
      </c>
      <c r="AX137" s="187">
        <f t="shared" si="79"/>
        <v>18</v>
      </c>
      <c r="AY137" s="190"/>
      <c r="AZ137" s="240"/>
      <c r="BA137" s="232"/>
      <c r="BF137" s="206"/>
      <c r="BG137" s="206"/>
      <c r="BK137" s="126"/>
      <c r="BL137" s="126"/>
      <c r="BN137" s="126"/>
      <c r="BO137" s="126"/>
      <c r="BQ137" s="126"/>
      <c r="BR137" s="126"/>
      <c r="BT137" s="126"/>
      <c r="BU137" s="126"/>
      <c r="BW137" s="126"/>
      <c r="BX137" s="126"/>
      <c r="BZ137" s="126"/>
      <c r="CA137" s="126"/>
      <c r="CC137" s="126"/>
      <c r="CD137" s="126"/>
      <c r="CF137" s="126"/>
      <c r="CG137" s="126"/>
    </row>
    <row r="138" spans="1:85" s="197" customFormat="1" x14ac:dyDescent="0.3">
      <c r="A138" s="182" t="s">
        <v>239</v>
      </c>
      <c r="B138" s="183">
        <v>1</v>
      </c>
      <c r="C138" s="184" t="s">
        <v>359</v>
      </c>
      <c r="D138" s="187">
        <v>2.2799999999999998</v>
      </c>
      <c r="E138" s="187">
        <v>3.05</v>
      </c>
      <c r="F138" s="186">
        <v>0.125</v>
      </c>
      <c r="G138" s="187">
        <f t="shared" si="65"/>
        <v>0.86924999999999986</v>
      </c>
      <c r="H138" s="188">
        <f t="shared" si="90"/>
        <v>6.9539999999999988</v>
      </c>
      <c r="I138" s="183">
        <f t="shared" si="50"/>
        <v>8</v>
      </c>
      <c r="J138" s="188">
        <f t="shared" si="66"/>
        <v>0.23</v>
      </c>
      <c r="K138" s="183">
        <f t="shared" si="67"/>
        <v>14</v>
      </c>
      <c r="L138" s="189">
        <f t="shared" si="68"/>
        <v>5.2499999999999998E-2</v>
      </c>
      <c r="M138" s="189">
        <f>0.34+0.23</f>
        <v>0.57000000000000006</v>
      </c>
      <c r="N138" s="189">
        <f t="shared" si="69"/>
        <v>-0.04</v>
      </c>
      <c r="O138" s="189">
        <f>5.34*0.3</f>
        <v>1.6019999999999999</v>
      </c>
      <c r="P138" s="188">
        <f t="shared" si="82"/>
        <v>4.4644999999999992</v>
      </c>
      <c r="Q138" s="183">
        <f t="shared" si="51"/>
        <v>8</v>
      </c>
      <c r="R138" s="188">
        <f t="shared" si="52"/>
        <v>0.23</v>
      </c>
      <c r="S138" s="183">
        <f t="shared" si="53"/>
        <v>13</v>
      </c>
      <c r="T138" s="189">
        <f t="shared" si="54"/>
        <v>5.2499999999999998E-2</v>
      </c>
      <c r="U138" s="189">
        <f>0.34+0.23</f>
        <v>0.57000000000000006</v>
      </c>
      <c r="V138" s="189">
        <f t="shared" si="71"/>
        <v>-0.04</v>
      </c>
      <c r="W138" s="189">
        <f>2.37*0.3</f>
        <v>0.71099999999999997</v>
      </c>
      <c r="X138" s="188">
        <f t="shared" si="89"/>
        <v>3.5734999999999997</v>
      </c>
      <c r="Y138" s="183">
        <f t="shared" si="55"/>
        <v>8</v>
      </c>
      <c r="Z138" s="188">
        <f t="shared" si="56"/>
        <v>0.3</v>
      </c>
      <c r="AA138" s="183">
        <f t="shared" si="57"/>
        <v>9</v>
      </c>
      <c r="AB138" s="189">
        <f t="shared" si="58"/>
        <v>5.2499999999999998E-2</v>
      </c>
      <c r="AC138" s="189">
        <f t="shared" si="87"/>
        <v>0.6</v>
      </c>
      <c r="AD138" s="189">
        <f t="shared" si="72"/>
        <v>-0.04</v>
      </c>
      <c r="AE138" s="189">
        <f>2.6*0.3</f>
        <v>0.78</v>
      </c>
      <c r="AF138" s="188">
        <f t="shared" si="85"/>
        <v>4.4424999999999999</v>
      </c>
      <c r="AG138" s="183">
        <f t="shared" si="59"/>
        <v>8</v>
      </c>
      <c r="AH138" s="182">
        <f t="shared" si="60"/>
        <v>0.3</v>
      </c>
      <c r="AI138" s="183">
        <f t="shared" si="61"/>
        <v>8</v>
      </c>
      <c r="AJ138" s="189">
        <f t="shared" si="62"/>
        <v>5.2499999999999998E-2</v>
      </c>
      <c r="AK138" s="189">
        <f t="shared" si="88"/>
        <v>0.6</v>
      </c>
      <c r="AL138" s="189">
        <f t="shared" si="73"/>
        <v>-0.04</v>
      </c>
      <c r="AM138" s="189">
        <f>2.44*0.3</f>
        <v>0.73199999999999998</v>
      </c>
      <c r="AN138" s="188">
        <f t="shared" si="86"/>
        <v>4.3944999999999999</v>
      </c>
      <c r="AO138" s="183">
        <v>8</v>
      </c>
      <c r="AP138" s="182">
        <f t="shared" si="63"/>
        <v>8</v>
      </c>
      <c r="AQ138" s="182">
        <v>1.5</v>
      </c>
      <c r="AR138" s="187">
        <f t="shared" si="74"/>
        <v>108.95849999999999</v>
      </c>
      <c r="AS138" s="187">
        <f t="shared" si="75"/>
        <v>0</v>
      </c>
      <c r="AT138" s="187">
        <f t="shared" si="76"/>
        <v>0</v>
      </c>
      <c r="AU138" s="187">
        <f t="shared" si="77"/>
        <v>75.138499999999993</v>
      </c>
      <c r="AV138" s="187">
        <f t="shared" si="64"/>
        <v>0</v>
      </c>
      <c r="AW138" s="187">
        <f t="shared" si="78"/>
        <v>0</v>
      </c>
      <c r="AX138" s="187">
        <f t="shared" si="79"/>
        <v>12</v>
      </c>
      <c r="AY138" s="190"/>
      <c r="AZ138" s="240"/>
      <c r="BA138" s="232"/>
      <c r="BF138" s="206"/>
      <c r="BG138" s="206"/>
      <c r="BK138" s="126"/>
      <c r="BL138" s="126"/>
      <c r="BN138" s="126"/>
      <c r="BO138" s="126"/>
      <c r="BQ138" s="126"/>
      <c r="BR138" s="126"/>
      <c r="BT138" s="126"/>
      <c r="BU138" s="126"/>
      <c r="BW138" s="126"/>
      <c r="BX138" s="126"/>
      <c r="BZ138" s="126"/>
      <c r="CA138" s="126"/>
      <c r="CC138" s="126"/>
      <c r="CD138" s="126"/>
      <c r="CF138" s="126"/>
      <c r="CG138" s="126"/>
    </row>
    <row r="139" spans="1:85" s="197" customFormat="1" x14ac:dyDescent="0.3">
      <c r="A139" s="182" t="s">
        <v>239</v>
      </c>
      <c r="B139" s="183">
        <v>1</v>
      </c>
      <c r="C139" s="184" t="s">
        <v>360</v>
      </c>
      <c r="D139" s="187">
        <v>2.37</v>
      </c>
      <c r="E139" s="187">
        <v>3.05</v>
      </c>
      <c r="F139" s="186">
        <v>0.125</v>
      </c>
      <c r="G139" s="187">
        <f t="shared" si="65"/>
        <v>0.90356249999999994</v>
      </c>
      <c r="H139" s="188">
        <f t="shared" si="90"/>
        <v>7.2284999999999995</v>
      </c>
      <c r="I139" s="183">
        <f t="shared" ref="I139:I181" si="91">GETPIVOTDATA($BN$20,A139)</f>
        <v>8</v>
      </c>
      <c r="J139" s="188">
        <f t="shared" si="66"/>
        <v>0.23</v>
      </c>
      <c r="K139" s="183">
        <f t="shared" si="67"/>
        <v>14</v>
      </c>
      <c r="L139" s="189">
        <f t="shared" si="68"/>
        <v>5.2499999999999998E-2</v>
      </c>
      <c r="M139" s="189">
        <f>0.23*2</f>
        <v>0.46</v>
      </c>
      <c r="N139" s="189">
        <f t="shared" si="69"/>
        <v>-0.04</v>
      </c>
      <c r="O139" s="189">
        <f>2.28*0.3</f>
        <v>0.68399999999999994</v>
      </c>
      <c r="P139" s="188">
        <f t="shared" si="82"/>
        <v>3.5265000000000004</v>
      </c>
      <c r="Q139" s="183">
        <f t="shared" ref="Q139:Q181" si="92">GETPIVOTDATA($BN$20,A139)</f>
        <v>8</v>
      </c>
      <c r="R139" s="188">
        <f t="shared" ref="R139:R181" si="93">GETPIVOTDATA($BQ$20,A139)*2</f>
        <v>0.23</v>
      </c>
      <c r="S139" s="183">
        <f t="shared" ref="S139:S181" si="94">(ROUND(E139/R139,0))*GETPIVOTDATA($CF$20,A139)</f>
        <v>13</v>
      </c>
      <c r="T139" s="189">
        <f t="shared" ref="T139:T181" si="95">GETPIVOTDATA($BT$20,A139)</f>
        <v>5.2499999999999998E-2</v>
      </c>
      <c r="U139" s="189">
        <f>0.23*2</f>
        <v>0.46</v>
      </c>
      <c r="V139" s="189">
        <f t="shared" si="71"/>
        <v>-0.04</v>
      </c>
      <c r="W139" s="189">
        <f>3.95*0.3</f>
        <v>1.1850000000000001</v>
      </c>
      <c r="X139" s="188">
        <f t="shared" si="89"/>
        <v>4.0274999999999999</v>
      </c>
      <c r="Y139" s="183">
        <f t="shared" ref="Y139:Y181" si="96">GETPIVOTDATA($BW$20,A139)</f>
        <v>8</v>
      </c>
      <c r="Z139" s="188">
        <f t="shared" ref="Z139:Z181" si="97">GETPIVOTDATA($CC$20,A139)*2</f>
        <v>0.3</v>
      </c>
      <c r="AA139" s="183">
        <f t="shared" ref="AA139:AA181" si="98">(ROUND(D139/Z139,0)+1)*GETPIVOTDATA($CF$20,A139)</f>
        <v>9</v>
      </c>
      <c r="AB139" s="189">
        <f t="shared" ref="AB139:AB181" si="99">GETPIVOTDATA($BZ$20,A139)</f>
        <v>5.2499999999999998E-2</v>
      </c>
      <c r="AC139" s="189">
        <f t="shared" si="87"/>
        <v>0.6</v>
      </c>
      <c r="AD139" s="189">
        <f t="shared" si="72"/>
        <v>-0.04</v>
      </c>
      <c r="AE139" s="189">
        <f>2.6*0.3</f>
        <v>0.78</v>
      </c>
      <c r="AF139" s="188">
        <f t="shared" si="85"/>
        <v>4.4424999999999999</v>
      </c>
      <c r="AG139" s="183">
        <f t="shared" ref="AG139:AG181" si="100">GETPIVOTDATA($BW$20,A139)</f>
        <v>8</v>
      </c>
      <c r="AH139" s="182">
        <f t="shared" ref="AH139:AH181" si="101">GETPIVOTDATA($CC$20,A139)*2</f>
        <v>0.3</v>
      </c>
      <c r="AI139" s="183">
        <f t="shared" ref="AI139:AI181" si="102">(ROUND(D139/AH139,0))*GETPIVOTDATA($CF$20,A139)</f>
        <v>8</v>
      </c>
      <c r="AJ139" s="189">
        <f t="shared" ref="AJ139:AJ181" si="103">GETPIVOTDATA($BZ$20,A139)</f>
        <v>5.2499999999999998E-2</v>
      </c>
      <c r="AK139" s="189">
        <f t="shared" si="88"/>
        <v>0.6</v>
      </c>
      <c r="AL139" s="189">
        <f t="shared" si="73"/>
        <v>-0.04</v>
      </c>
      <c r="AM139" s="189">
        <f>3.43*0.3</f>
        <v>1.0289999999999999</v>
      </c>
      <c r="AN139" s="188">
        <f t="shared" si="86"/>
        <v>4.6914999999999996</v>
      </c>
      <c r="AO139" s="183">
        <v>8</v>
      </c>
      <c r="AP139" s="182">
        <f t="shared" ref="AP139:AP181" si="104">(ROUND(D139/1.5,0)+ROUND(E139/1.5,0))*2</f>
        <v>8</v>
      </c>
      <c r="AQ139" s="182">
        <v>1.5</v>
      </c>
      <c r="AR139" s="187">
        <f t="shared" si="74"/>
        <v>101.72850000000001</v>
      </c>
      <c r="AS139" s="187">
        <f t="shared" si="75"/>
        <v>0</v>
      </c>
      <c r="AT139" s="187">
        <f t="shared" si="76"/>
        <v>0</v>
      </c>
      <c r="AU139" s="187">
        <f t="shared" si="77"/>
        <v>77.514499999999998</v>
      </c>
      <c r="AV139" s="187">
        <f t="shared" ref="AV139:AV181" si="105">IF(AG139=10,AI139*AN139*B139,0)+IF(Y139=10,B139*AA139*AF139,0)</f>
        <v>0</v>
      </c>
      <c r="AW139" s="187">
        <f t="shared" si="78"/>
        <v>0</v>
      </c>
      <c r="AX139" s="187">
        <f t="shared" si="79"/>
        <v>12</v>
      </c>
      <c r="AY139" s="190"/>
      <c r="AZ139" s="240"/>
      <c r="BA139" s="232"/>
      <c r="BF139" s="206"/>
      <c r="BG139" s="206"/>
      <c r="BK139" s="126"/>
      <c r="BL139" s="126"/>
      <c r="BN139" s="126"/>
      <c r="BO139" s="126"/>
      <c r="BQ139" s="126"/>
      <c r="BR139" s="126"/>
      <c r="BT139" s="126"/>
      <c r="BU139" s="126"/>
      <c r="BW139" s="126"/>
      <c r="BX139" s="126"/>
      <c r="BZ139" s="126"/>
      <c r="CA139" s="126"/>
      <c r="CC139" s="126"/>
      <c r="CD139" s="126"/>
      <c r="CF139" s="126"/>
      <c r="CG139" s="126"/>
    </row>
    <row r="140" spans="1:85" s="197" customFormat="1" x14ac:dyDescent="0.3">
      <c r="A140" s="182" t="s">
        <v>240</v>
      </c>
      <c r="B140" s="183">
        <v>1</v>
      </c>
      <c r="C140" s="184" t="s">
        <v>361</v>
      </c>
      <c r="D140" s="187">
        <v>3.95</v>
      </c>
      <c r="E140" s="187">
        <v>4.12</v>
      </c>
      <c r="F140" s="186">
        <v>0.16</v>
      </c>
      <c r="G140" s="187">
        <f t="shared" ref="G140:G181" si="106">D140*E140*F140*B140</f>
        <v>2.6038400000000004</v>
      </c>
      <c r="H140" s="188">
        <f t="shared" si="90"/>
        <v>16.274000000000001</v>
      </c>
      <c r="I140" s="183">
        <f t="shared" si="91"/>
        <v>10</v>
      </c>
      <c r="J140" s="188">
        <f t="shared" ref="J140:J181" si="107">GETPIVOTDATA($BQ$20,A140)*2</f>
        <v>0.2</v>
      </c>
      <c r="K140" s="183">
        <f t="shared" ref="K140:K181" si="108">(ROUND(E140/J140,0)+1)*GETPIVOTDATA($CF$20,A140)</f>
        <v>22</v>
      </c>
      <c r="L140" s="189">
        <f t="shared" ref="L140:L181" si="109">GETPIVOTDATA($BT$20,A140)</f>
        <v>6.7199999999999996E-2</v>
      </c>
      <c r="M140" s="189">
        <f t="shared" si="83"/>
        <v>0.6</v>
      </c>
      <c r="N140" s="189">
        <f t="shared" ref="N140:N181" si="110">-(0.02*2)</f>
        <v>-0.04</v>
      </c>
      <c r="O140" s="189">
        <f>2.37*0.3</f>
        <v>0.71099999999999997</v>
      </c>
      <c r="P140" s="188">
        <f t="shared" si="82"/>
        <v>5.2881999999999998</v>
      </c>
      <c r="Q140" s="183">
        <f t="shared" si="92"/>
        <v>10</v>
      </c>
      <c r="R140" s="188">
        <f t="shared" si="93"/>
        <v>0.2</v>
      </c>
      <c r="S140" s="183">
        <f t="shared" si="94"/>
        <v>21</v>
      </c>
      <c r="T140" s="189">
        <f t="shared" si="95"/>
        <v>6.7199999999999996E-2</v>
      </c>
      <c r="U140" s="189">
        <f t="shared" si="84"/>
        <v>0.6</v>
      </c>
      <c r="V140" s="189">
        <f t="shared" ref="V140:V181" si="111">-(0.02*2)</f>
        <v>-0.04</v>
      </c>
      <c r="W140" s="189">
        <f>2.36*0.3</f>
        <v>0.70799999999999996</v>
      </c>
      <c r="X140" s="188">
        <f t="shared" si="89"/>
        <v>5.2851999999999997</v>
      </c>
      <c r="Y140" s="183">
        <f t="shared" si="96"/>
        <v>10</v>
      </c>
      <c r="Z140" s="188">
        <f t="shared" si="97"/>
        <v>0.2</v>
      </c>
      <c r="AA140" s="183">
        <f t="shared" si="98"/>
        <v>21</v>
      </c>
      <c r="AB140" s="189">
        <f t="shared" si="99"/>
        <v>6.7199999999999996E-2</v>
      </c>
      <c r="AC140" s="189">
        <f t="shared" si="87"/>
        <v>0.6</v>
      </c>
      <c r="AD140" s="189">
        <f t="shared" ref="AD140:AD181" si="112">-(0.02*2)</f>
        <v>-0.04</v>
      </c>
      <c r="AE140" s="189">
        <f>1.29*0.3</f>
        <v>0.38700000000000001</v>
      </c>
      <c r="AF140" s="188">
        <f t="shared" si="85"/>
        <v>5.1341999999999999</v>
      </c>
      <c r="AG140" s="183">
        <f t="shared" si="100"/>
        <v>10</v>
      </c>
      <c r="AH140" s="182">
        <f t="shared" si="101"/>
        <v>0.2</v>
      </c>
      <c r="AI140" s="183">
        <f t="shared" si="102"/>
        <v>20</v>
      </c>
      <c r="AJ140" s="189">
        <f t="shared" si="103"/>
        <v>6.7199999999999996E-2</v>
      </c>
      <c r="AK140" s="189">
        <f t="shared" si="88"/>
        <v>0.6</v>
      </c>
      <c r="AL140" s="189">
        <f t="shared" ref="AL140:AL181" si="113">-(0.02*2)</f>
        <v>-0.04</v>
      </c>
      <c r="AM140" s="189">
        <f>3.93*0.3</f>
        <v>1.179</v>
      </c>
      <c r="AN140" s="188">
        <f t="shared" si="86"/>
        <v>5.9261999999999997</v>
      </c>
      <c r="AO140" s="183">
        <v>8</v>
      </c>
      <c r="AP140" s="182">
        <f t="shared" si="104"/>
        <v>12</v>
      </c>
      <c r="AQ140" s="182">
        <v>1.5</v>
      </c>
      <c r="AR140" s="187">
        <f t="shared" ref="AR140:AR181" si="114">IF(I140=8,K140*P140*B140,0)+IF(Q140=8,S140*X140*B140,0)</f>
        <v>0</v>
      </c>
      <c r="AS140" s="187">
        <f t="shared" ref="AS140:AS181" si="115">IF(I140=10,K140*P140*B140,0)+IF(Q140=10,S140*X140*B140,0)</f>
        <v>227.32959999999997</v>
      </c>
      <c r="AT140" s="187">
        <f t="shared" ref="AT140:AT181" si="116">IF(I140=12,K140*P140*B140,0)+IF(Q140=12,S140*X140*B140,0)</f>
        <v>0</v>
      </c>
      <c r="AU140" s="187">
        <f t="shared" ref="AU140:AU181" si="117">IF(AG140=8,AI140*AN140*B140,0)+IF(Y140=8,B140*AA140*AF140,0)</f>
        <v>0</v>
      </c>
      <c r="AV140" s="187">
        <f t="shared" si="105"/>
        <v>226.34219999999999</v>
      </c>
      <c r="AW140" s="187">
        <f t="shared" ref="AW140:AW181" si="118">IF(AG140=12,AI140*AN140*B140,0)+IF(Y140=12,B140*AA140*AF140,0)</f>
        <v>0</v>
      </c>
      <c r="AX140" s="187">
        <f t="shared" ref="AX140:AX181" si="119">AP140*AQ140*B140</f>
        <v>18</v>
      </c>
      <c r="AY140" s="190"/>
      <c r="AZ140" s="240"/>
      <c r="BA140" s="232"/>
      <c r="BF140" s="206"/>
      <c r="BG140" s="206"/>
      <c r="BK140" s="126"/>
      <c r="BL140" s="126"/>
      <c r="BN140" s="126"/>
      <c r="BO140" s="126"/>
      <c r="BQ140" s="126"/>
      <c r="BR140" s="126"/>
      <c r="BT140" s="126"/>
      <c r="BU140" s="126"/>
      <c r="BW140" s="126"/>
      <c r="BX140" s="126"/>
      <c r="BZ140" s="126"/>
      <c r="CA140" s="126"/>
      <c r="CC140" s="126"/>
      <c r="CD140" s="126"/>
      <c r="CF140" s="126"/>
      <c r="CG140" s="126"/>
    </row>
    <row r="141" spans="1:85" s="197" customFormat="1" x14ac:dyDescent="0.3">
      <c r="A141" s="182" t="s">
        <v>239</v>
      </c>
      <c r="B141" s="183">
        <v>1</v>
      </c>
      <c r="C141" s="184" t="s">
        <v>362</v>
      </c>
      <c r="D141" s="187">
        <v>2.36</v>
      </c>
      <c r="E141" s="187">
        <v>3.05</v>
      </c>
      <c r="F141" s="186">
        <v>0.125</v>
      </c>
      <c r="G141" s="187">
        <f t="shared" si="106"/>
        <v>0.89974999999999994</v>
      </c>
      <c r="H141" s="188">
        <f t="shared" si="90"/>
        <v>7.1979999999999995</v>
      </c>
      <c r="I141" s="183">
        <f t="shared" si="91"/>
        <v>8</v>
      </c>
      <c r="J141" s="188">
        <f t="shared" si="107"/>
        <v>0.23</v>
      </c>
      <c r="K141" s="183">
        <f t="shared" si="108"/>
        <v>14</v>
      </c>
      <c r="L141" s="189">
        <f t="shared" si="109"/>
        <v>5.2499999999999998E-2</v>
      </c>
      <c r="M141" s="189">
        <f>0.23*2</f>
        <v>0.46</v>
      </c>
      <c r="N141" s="189">
        <f t="shared" si="110"/>
        <v>-0.04</v>
      </c>
      <c r="O141" s="189">
        <f>3.95*0.3</f>
        <v>1.1850000000000001</v>
      </c>
      <c r="P141" s="188">
        <f t="shared" si="82"/>
        <v>4.0175000000000001</v>
      </c>
      <c r="Q141" s="183">
        <f t="shared" si="92"/>
        <v>8</v>
      </c>
      <c r="R141" s="188">
        <f t="shared" si="93"/>
        <v>0.23</v>
      </c>
      <c r="S141" s="183">
        <f t="shared" si="94"/>
        <v>13</v>
      </c>
      <c r="T141" s="189">
        <f t="shared" si="95"/>
        <v>5.2499999999999998E-2</v>
      </c>
      <c r="U141" s="189">
        <f>0.23*2</f>
        <v>0.46</v>
      </c>
      <c r="V141" s="189">
        <f t="shared" si="111"/>
        <v>-0.04</v>
      </c>
      <c r="W141" s="189">
        <f>2.49*0.3</f>
        <v>0.747</v>
      </c>
      <c r="X141" s="188">
        <f t="shared" si="89"/>
        <v>3.5794999999999999</v>
      </c>
      <c r="Y141" s="183">
        <f t="shared" si="96"/>
        <v>8</v>
      </c>
      <c r="Z141" s="188">
        <f t="shared" si="97"/>
        <v>0.3</v>
      </c>
      <c r="AA141" s="183">
        <f t="shared" si="98"/>
        <v>9</v>
      </c>
      <c r="AB141" s="189">
        <f t="shared" si="99"/>
        <v>5.2499999999999998E-2</v>
      </c>
      <c r="AC141" s="189">
        <f t="shared" si="87"/>
        <v>0.6</v>
      </c>
      <c r="AD141" s="189">
        <f t="shared" si="112"/>
        <v>-0.04</v>
      </c>
      <c r="AE141" s="189">
        <f>2.6*0.3</f>
        <v>0.78</v>
      </c>
      <c r="AF141" s="188">
        <f t="shared" si="85"/>
        <v>4.4424999999999999</v>
      </c>
      <c r="AG141" s="183">
        <f t="shared" si="100"/>
        <v>8</v>
      </c>
      <c r="AH141" s="182">
        <f t="shared" si="101"/>
        <v>0.3</v>
      </c>
      <c r="AI141" s="183">
        <f t="shared" si="102"/>
        <v>8</v>
      </c>
      <c r="AJ141" s="189">
        <f t="shared" si="103"/>
        <v>5.2499999999999998E-2</v>
      </c>
      <c r="AK141" s="189">
        <f t="shared" si="88"/>
        <v>0.6</v>
      </c>
      <c r="AL141" s="189">
        <f t="shared" si="113"/>
        <v>-0.04</v>
      </c>
      <c r="AM141" s="189">
        <f>3.93*0.3</f>
        <v>1.179</v>
      </c>
      <c r="AN141" s="188">
        <f t="shared" si="86"/>
        <v>4.8414999999999999</v>
      </c>
      <c r="AO141" s="183">
        <v>8</v>
      </c>
      <c r="AP141" s="182">
        <f t="shared" si="104"/>
        <v>8</v>
      </c>
      <c r="AQ141" s="182">
        <v>1.5</v>
      </c>
      <c r="AR141" s="187">
        <f t="shared" si="114"/>
        <v>102.77850000000001</v>
      </c>
      <c r="AS141" s="187">
        <f t="shared" si="115"/>
        <v>0</v>
      </c>
      <c r="AT141" s="187">
        <f t="shared" si="116"/>
        <v>0</v>
      </c>
      <c r="AU141" s="187">
        <f t="shared" si="117"/>
        <v>78.714500000000001</v>
      </c>
      <c r="AV141" s="187">
        <f t="shared" si="105"/>
        <v>0</v>
      </c>
      <c r="AW141" s="187">
        <f t="shared" si="118"/>
        <v>0</v>
      </c>
      <c r="AX141" s="187">
        <f t="shared" si="119"/>
        <v>12</v>
      </c>
      <c r="AY141" s="190"/>
      <c r="AZ141" s="240"/>
      <c r="BA141" s="232"/>
      <c r="BF141" s="206"/>
      <c r="BG141" s="206"/>
      <c r="BK141" s="126"/>
      <c r="BL141" s="126"/>
      <c r="BN141" s="126"/>
      <c r="BO141" s="126"/>
      <c r="BQ141" s="126"/>
      <c r="BR141" s="126"/>
      <c r="BT141" s="126"/>
      <c r="BU141" s="126"/>
      <c r="BW141" s="126"/>
      <c r="BX141" s="126"/>
      <c r="BZ141" s="126"/>
      <c r="CA141" s="126"/>
      <c r="CC141" s="126"/>
      <c r="CD141" s="126"/>
      <c r="CF141" s="126"/>
      <c r="CG141" s="126"/>
    </row>
    <row r="142" spans="1:85" s="197" customFormat="1" x14ac:dyDescent="0.3">
      <c r="A142" s="182" t="s">
        <v>239</v>
      </c>
      <c r="B142" s="183">
        <v>1</v>
      </c>
      <c r="C142" s="184" t="s">
        <v>363</v>
      </c>
      <c r="D142" s="187">
        <v>2.4900000000000002</v>
      </c>
      <c r="E142" s="187">
        <v>3.1355</v>
      </c>
      <c r="F142" s="186">
        <v>0.125</v>
      </c>
      <c r="G142" s="187">
        <f t="shared" si="106"/>
        <v>0.97592437500000007</v>
      </c>
      <c r="H142" s="188">
        <f t="shared" si="90"/>
        <v>7.8073950000000005</v>
      </c>
      <c r="I142" s="183">
        <f t="shared" si="91"/>
        <v>8</v>
      </c>
      <c r="J142" s="188">
        <f t="shared" si="107"/>
        <v>0.23</v>
      </c>
      <c r="K142" s="183">
        <f t="shared" si="108"/>
        <v>15</v>
      </c>
      <c r="L142" s="189">
        <f t="shared" si="109"/>
        <v>5.2499999999999998E-2</v>
      </c>
      <c r="M142" s="189">
        <f>0.315+0.23</f>
        <v>0.54500000000000004</v>
      </c>
      <c r="N142" s="189">
        <f t="shared" si="110"/>
        <v>-0.04</v>
      </c>
      <c r="O142" s="189">
        <f>2.36*0.3</f>
        <v>0.70799999999999996</v>
      </c>
      <c r="P142" s="188">
        <f t="shared" si="82"/>
        <v>3.7555000000000001</v>
      </c>
      <c r="Q142" s="183">
        <f t="shared" si="92"/>
        <v>8</v>
      </c>
      <c r="R142" s="188">
        <f t="shared" si="93"/>
        <v>0.23</v>
      </c>
      <c r="S142" s="183">
        <f t="shared" si="94"/>
        <v>14</v>
      </c>
      <c r="T142" s="189">
        <f t="shared" si="95"/>
        <v>5.2499999999999998E-2</v>
      </c>
      <c r="U142" s="189">
        <f>0.315+0.23</f>
        <v>0.54500000000000004</v>
      </c>
      <c r="V142" s="189">
        <f t="shared" si="111"/>
        <v>-0.04</v>
      </c>
      <c r="W142" s="189">
        <f>4.22*0.3</f>
        <v>1.2659999999999998</v>
      </c>
      <c r="X142" s="188">
        <f t="shared" si="89"/>
        <v>4.3134999999999994</v>
      </c>
      <c r="Y142" s="183">
        <f t="shared" si="96"/>
        <v>8</v>
      </c>
      <c r="Z142" s="188">
        <f t="shared" si="97"/>
        <v>0.3</v>
      </c>
      <c r="AA142" s="183">
        <f t="shared" si="98"/>
        <v>9</v>
      </c>
      <c r="AB142" s="189">
        <f t="shared" si="99"/>
        <v>5.2499999999999998E-2</v>
      </c>
      <c r="AC142" s="189">
        <f>0.39+0.3</f>
        <v>0.69</v>
      </c>
      <c r="AD142" s="189">
        <f t="shared" si="112"/>
        <v>-0.04</v>
      </c>
      <c r="AE142" s="189">
        <f>2.6*0.3</f>
        <v>0.78</v>
      </c>
      <c r="AF142" s="188">
        <f t="shared" si="85"/>
        <v>4.6180000000000003</v>
      </c>
      <c r="AG142" s="183">
        <f t="shared" si="100"/>
        <v>8</v>
      </c>
      <c r="AH142" s="182">
        <f t="shared" si="101"/>
        <v>0.3</v>
      </c>
      <c r="AI142" s="183">
        <f t="shared" si="102"/>
        <v>8</v>
      </c>
      <c r="AJ142" s="189">
        <f t="shared" si="103"/>
        <v>5.2499999999999998E-2</v>
      </c>
      <c r="AK142" s="189">
        <f>0.39+0.3</f>
        <v>0.69</v>
      </c>
      <c r="AL142" s="189">
        <f t="shared" si="113"/>
        <v>-0.04</v>
      </c>
      <c r="AM142" s="189">
        <f>1.84*0.3</f>
        <v>0.55200000000000005</v>
      </c>
      <c r="AN142" s="188">
        <f t="shared" si="86"/>
        <v>4.3899999999999997</v>
      </c>
      <c r="AO142" s="183">
        <v>8</v>
      </c>
      <c r="AP142" s="182">
        <f t="shared" si="104"/>
        <v>8</v>
      </c>
      <c r="AQ142" s="182">
        <v>1.5</v>
      </c>
      <c r="AR142" s="187">
        <f t="shared" si="114"/>
        <v>116.72149999999999</v>
      </c>
      <c r="AS142" s="187">
        <f t="shared" si="115"/>
        <v>0</v>
      </c>
      <c r="AT142" s="187">
        <f t="shared" si="116"/>
        <v>0</v>
      </c>
      <c r="AU142" s="187">
        <f t="shared" si="117"/>
        <v>76.682000000000002</v>
      </c>
      <c r="AV142" s="187">
        <f t="shared" si="105"/>
        <v>0</v>
      </c>
      <c r="AW142" s="187">
        <f t="shared" si="118"/>
        <v>0</v>
      </c>
      <c r="AX142" s="187">
        <f t="shared" si="119"/>
        <v>12</v>
      </c>
      <c r="AY142" s="190"/>
      <c r="AZ142" s="240"/>
      <c r="BA142" s="232"/>
      <c r="BF142" s="206"/>
      <c r="BG142" s="206"/>
      <c r="BK142" s="126"/>
      <c r="BL142" s="126"/>
      <c r="BN142" s="126"/>
      <c r="BO142" s="126"/>
      <c r="BQ142" s="126"/>
      <c r="BR142" s="126"/>
      <c r="BT142" s="126"/>
      <c r="BU142" s="126"/>
      <c r="BW142" s="126"/>
      <c r="BX142" s="126"/>
      <c r="BZ142" s="126"/>
      <c r="CA142" s="126"/>
      <c r="CC142" s="126"/>
      <c r="CD142" s="126"/>
      <c r="CF142" s="126"/>
      <c r="CG142" s="126"/>
    </row>
    <row r="143" spans="1:85" s="197" customFormat="1" x14ac:dyDescent="0.3">
      <c r="A143" s="182" t="s">
        <v>233</v>
      </c>
      <c r="B143" s="183">
        <v>1</v>
      </c>
      <c r="C143" s="184" t="s">
        <v>364</v>
      </c>
      <c r="D143" s="187">
        <v>4.22</v>
      </c>
      <c r="E143" s="187">
        <v>3.323</v>
      </c>
      <c r="F143" s="186">
        <v>0.15</v>
      </c>
      <c r="G143" s="187">
        <f t="shared" si="106"/>
        <v>2.103459</v>
      </c>
      <c r="H143" s="188">
        <f t="shared" si="90"/>
        <v>14.023059999999999</v>
      </c>
      <c r="I143" s="183">
        <f t="shared" si="91"/>
        <v>10</v>
      </c>
      <c r="J143" s="188">
        <f t="shared" si="107"/>
        <v>0.17</v>
      </c>
      <c r="K143" s="183">
        <f t="shared" si="108"/>
        <v>21</v>
      </c>
      <c r="L143" s="189">
        <f t="shared" si="109"/>
        <v>6.3E-2</v>
      </c>
      <c r="M143" s="189">
        <f>0.315+0.38</f>
        <v>0.69500000000000006</v>
      </c>
      <c r="N143" s="189">
        <f t="shared" si="110"/>
        <v>-0.04</v>
      </c>
      <c r="O143" s="189">
        <f>2.495*0.3</f>
        <v>0.74850000000000005</v>
      </c>
      <c r="P143" s="188">
        <f t="shared" si="82"/>
        <v>5.6864999999999997</v>
      </c>
      <c r="Q143" s="183">
        <f t="shared" si="92"/>
        <v>10</v>
      </c>
      <c r="R143" s="188">
        <f t="shared" si="93"/>
        <v>0.17</v>
      </c>
      <c r="S143" s="183">
        <f t="shared" si="94"/>
        <v>20</v>
      </c>
      <c r="T143" s="189">
        <f t="shared" si="95"/>
        <v>6.3E-2</v>
      </c>
      <c r="U143" s="189">
        <f>0.315+0.38</f>
        <v>0.69500000000000006</v>
      </c>
      <c r="V143" s="189">
        <f t="shared" si="111"/>
        <v>-0.04</v>
      </c>
      <c r="W143" s="189">
        <f>3.628*0.3</f>
        <v>1.0884</v>
      </c>
      <c r="X143" s="188">
        <f t="shared" si="89"/>
        <v>6.0263999999999998</v>
      </c>
      <c r="Y143" s="183">
        <f t="shared" si="96"/>
        <v>10</v>
      </c>
      <c r="Z143" s="188">
        <f t="shared" si="97"/>
        <v>0.25</v>
      </c>
      <c r="AA143" s="183">
        <f t="shared" si="98"/>
        <v>18</v>
      </c>
      <c r="AB143" s="189">
        <f t="shared" si="99"/>
        <v>6.3E-2</v>
      </c>
      <c r="AC143" s="189">
        <f>0.3+0.38</f>
        <v>0.67999999999999994</v>
      </c>
      <c r="AD143" s="189">
        <f t="shared" si="112"/>
        <v>-0.04</v>
      </c>
      <c r="AE143" s="189">
        <f>2.6*0.3</f>
        <v>0.78</v>
      </c>
      <c r="AF143" s="188">
        <f t="shared" si="85"/>
        <v>4.806</v>
      </c>
      <c r="AG143" s="183">
        <f t="shared" si="100"/>
        <v>10</v>
      </c>
      <c r="AH143" s="182">
        <f t="shared" si="101"/>
        <v>0.25</v>
      </c>
      <c r="AI143" s="183">
        <f t="shared" si="102"/>
        <v>17</v>
      </c>
      <c r="AJ143" s="189">
        <f t="shared" si="103"/>
        <v>6.3E-2</v>
      </c>
      <c r="AK143" s="189">
        <f>0.3+0.38</f>
        <v>0.67999999999999994</v>
      </c>
      <c r="AL143" s="189">
        <f t="shared" si="113"/>
        <v>-0.04</v>
      </c>
      <c r="AM143" s="189">
        <f>2.25*0.3</f>
        <v>0.67499999999999993</v>
      </c>
      <c r="AN143" s="188">
        <f t="shared" si="86"/>
        <v>4.7009999999999996</v>
      </c>
      <c r="AO143" s="183">
        <v>8</v>
      </c>
      <c r="AP143" s="182">
        <f t="shared" si="104"/>
        <v>10</v>
      </c>
      <c r="AQ143" s="182">
        <v>1.5</v>
      </c>
      <c r="AR143" s="187">
        <f t="shared" si="114"/>
        <v>0</v>
      </c>
      <c r="AS143" s="187">
        <f t="shared" si="115"/>
        <v>239.94450000000001</v>
      </c>
      <c r="AT143" s="187">
        <f t="shared" si="116"/>
        <v>0</v>
      </c>
      <c r="AU143" s="187">
        <f t="shared" si="117"/>
        <v>0</v>
      </c>
      <c r="AV143" s="187">
        <f t="shared" si="105"/>
        <v>166.42499999999998</v>
      </c>
      <c r="AW143" s="187">
        <f t="shared" si="118"/>
        <v>0</v>
      </c>
      <c r="AX143" s="187">
        <f t="shared" si="119"/>
        <v>15</v>
      </c>
      <c r="AY143" s="190"/>
      <c r="AZ143" s="240"/>
      <c r="BA143" s="232"/>
      <c r="BF143" s="206"/>
      <c r="BG143" s="206"/>
      <c r="BK143" s="126"/>
      <c r="BL143" s="126"/>
      <c r="BN143" s="126"/>
      <c r="BO143" s="126"/>
      <c r="BQ143" s="126"/>
      <c r="BR143" s="126"/>
      <c r="BT143" s="126"/>
      <c r="BU143" s="126"/>
      <c r="BW143" s="126"/>
      <c r="BX143" s="126"/>
      <c r="BZ143" s="126"/>
      <c r="CA143" s="126"/>
      <c r="CC143" s="126"/>
      <c r="CD143" s="126"/>
      <c r="CF143" s="126"/>
      <c r="CG143" s="126"/>
    </row>
    <row r="144" spans="1:85" s="197" customFormat="1" x14ac:dyDescent="0.3">
      <c r="A144" s="182" t="s">
        <v>233</v>
      </c>
      <c r="B144" s="183">
        <v>1</v>
      </c>
      <c r="C144" s="184" t="s">
        <v>365</v>
      </c>
      <c r="D144" s="187">
        <v>3.6280000000000001</v>
      </c>
      <c r="E144" s="187">
        <v>3.39</v>
      </c>
      <c r="F144" s="186">
        <v>0.15</v>
      </c>
      <c r="G144" s="187">
        <f t="shared" si="106"/>
        <v>1.844838</v>
      </c>
      <c r="H144" s="188">
        <f t="shared" si="90"/>
        <v>12.298920000000001</v>
      </c>
      <c r="I144" s="183">
        <f t="shared" si="91"/>
        <v>10</v>
      </c>
      <c r="J144" s="188">
        <f t="shared" si="107"/>
        <v>0.17</v>
      </c>
      <c r="K144" s="183">
        <f t="shared" si="108"/>
        <v>21</v>
      </c>
      <c r="L144" s="189">
        <f t="shared" si="109"/>
        <v>6.3E-2</v>
      </c>
      <c r="M144" s="189">
        <f>0.38+0.48</f>
        <v>0.86</v>
      </c>
      <c r="N144" s="189">
        <f t="shared" si="110"/>
        <v>-0.04</v>
      </c>
      <c r="O144" s="189">
        <f>4.22*0.3</f>
        <v>1.2659999999999998</v>
      </c>
      <c r="P144" s="188">
        <f t="shared" si="82"/>
        <v>5.7770000000000001</v>
      </c>
      <c r="Q144" s="183">
        <f t="shared" si="92"/>
        <v>10</v>
      </c>
      <c r="R144" s="188">
        <f t="shared" si="93"/>
        <v>0.17</v>
      </c>
      <c r="S144" s="183">
        <f t="shared" si="94"/>
        <v>20</v>
      </c>
      <c r="T144" s="189">
        <f t="shared" si="95"/>
        <v>6.3E-2</v>
      </c>
      <c r="U144" s="189">
        <f>0.38+0.48</f>
        <v>0.86</v>
      </c>
      <c r="V144" s="189">
        <f t="shared" si="111"/>
        <v>-0.04</v>
      </c>
      <c r="W144" s="189">
        <f>5.24*0.3</f>
        <v>1.5720000000000001</v>
      </c>
      <c r="X144" s="188">
        <f t="shared" si="89"/>
        <v>6.0830000000000002</v>
      </c>
      <c r="Y144" s="183">
        <f t="shared" si="96"/>
        <v>10</v>
      </c>
      <c r="Z144" s="188">
        <f t="shared" si="97"/>
        <v>0.25</v>
      </c>
      <c r="AA144" s="183">
        <f t="shared" si="98"/>
        <v>16</v>
      </c>
      <c r="AB144" s="189">
        <f t="shared" si="99"/>
        <v>6.3E-2</v>
      </c>
      <c r="AC144" s="189">
        <f t="shared" si="87"/>
        <v>0.6</v>
      </c>
      <c r="AD144" s="189">
        <f t="shared" si="112"/>
        <v>-0.04</v>
      </c>
      <c r="AE144" s="189">
        <f>2.88*0.3</f>
        <v>0.86399999999999999</v>
      </c>
      <c r="AF144" s="188">
        <f t="shared" si="85"/>
        <v>4.8770000000000007</v>
      </c>
      <c r="AG144" s="183">
        <f t="shared" si="100"/>
        <v>10</v>
      </c>
      <c r="AH144" s="182">
        <f t="shared" si="101"/>
        <v>0.25</v>
      </c>
      <c r="AI144" s="183">
        <f t="shared" si="102"/>
        <v>15</v>
      </c>
      <c r="AJ144" s="189">
        <f t="shared" si="103"/>
        <v>6.3E-2</v>
      </c>
      <c r="AK144" s="189">
        <f t="shared" si="88"/>
        <v>0.6</v>
      </c>
      <c r="AL144" s="189">
        <f t="shared" si="113"/>
        <v>-0.04</v>
      </c>
      <c r="AM144" s="189">
        <f>4.42*0.3</f>
        <v>1.3259999999999998</v>
      </c>
      <c r="AN144" s="188">
        <f t="shared" si="86"/>
        <v>5.3390000000000004</v>
      </c>
      <c r="AO144" s="183">
        <v>8</v>
      </c>
      <c r="AP144" s="182">
        <f t="shared" si="104"/>
        <v>8</v>
      </c>
      <c r="AQ144" s="182">
        <v>1.5</v>
      </c>
      <c r="AR144" s="187">
        <f t="shared" si="114"/>
        <v>0</v>
      </c>
      <c r="AS144" s="187">
        <f t="shared" si="115"/>
        <v>242.977</v>
      </c>
      <c r="AT144" s="187">
        <f t="shared" si="116"/>
        <v>0</v>
      </c>
      <c r="AU144" s="187">
        <f t="shared" si="117"/>
        <v>0</v>
      </c>
      <c r="AV144" s="187">
        <f t="shared" si="105"/>
        <v>158.11700000000002</v>
      </c>
      <c r="AW144" s="187">
        <f t="shared" si="118"/>
        <v>0</v>
      </c>
      <c r="AX144" s="187">
        <f t="shared" si="119"/>
        <v>12</v>
      </c>
      <c r="AY144" s="190"/>
      <c r="AZ144" s="240"/>
      <c r="BA144" s="232"/>
      <c r="BF144" s="206"/>
      <c r="BG144" s="206"/>
      <c r="BK144" s="126"/>
      <c r="BL144" s="126"/>
      <c r="BN144" s="126"/>
      <c r="BO144" s="126"/>
      <c r="BQ144" s="126"/>
      <c r="BR144" s="126"/>
      <c r="BT144" s="126"/>
      <c r="BU144" s="126"/>
      <c r="BW144" s="126"/>
      <c r="BX144" s="126"/>
      <c r="BZ144" s="126"/>
      <c r="CA144" s="126"/>
      <c r="CC144" s="126"/>
      <c r="CD144" s="126"/>
      <c r="CF144" s="126"/>
      <c r="CG144" s="126"/>
    </row>
    <row r="145" spans="1:85" s="197" customFormat="1" x14ac:dyDescent="0.3">
      <c r="A145" s="182" t="s">
        <v>254</v>
      </c>
      <c r="B145" s="183">
        <v>1</v>
      </c>
      <c r="C145" s="184" t="s">
        <v>366</v>
      </c>
      <c r="D145" s="187">
        <v>5.24</v>
      </c>
      <c r="E145" s="187">
        <v>3.35</v>
      </c>
      <c r="F145" s="186">
        <v>0.15</v>
      </c>
      <c r="G145" s="187">
        <f t="shared" si="106"/>
        <v>2.6331000000000002</v>
      </c>
      <c r="H145" s="188">
        <f t="shared" si="90"/>
        <v>17.554000000000002</v>
      </c>
      <c r="I145" s="183">
        <f t="shared" si="91"/>
        <v>10</v>
      </c>
      <c r="J145" s="188">
        <f t="shared" si="107"/>
        <v>0.18</v>
      </c>
      <c r="K145" s="183">
        <f t="shared" si="108"/>
        <v>20</v>
      </c>
      <c r="L145" s="189">
        <f t="shared" si="109"/>
        <v>6.3E-2</v>
      </c>
      <c r="M145" s="189">
        <f>0.48+0.3</f>
        <v>0.78</v>
      </c>
      <c r="N145" s="189">
        <f t="shared" si="110"/>
        <v>-0.04</v>
      </c>
      <c r="O145" s="189">
        <f>3.63*0.3</f>
        <v>1.089</v>
      </c>
      <c r="P145" s="188">
        <f t="shared" si="82"/>
        <v>7.1319999999999997</v>
      </c>
      <c r="Q145" s="183">
        <f t="shared" si="92"/>
        <v>10</v>
      </c>
      <c r="R145" s="188">
        <f t="shared" si="93"/>
        <v>0.18</v>
      </c>
      <c r="S145" s="183">
        <f t="shared" si="94"/>
        <v>19</v>
      </c>
      <c r="T145" s="189">
        <f t="shared" si="95"/>
        <v>6.3E-2</v>
      </c>
      <c r="U145" s="189">
        <f>0.48+0.3</f>
        <v>0.78</v>
      </c>
      <c r="V145" s="189">
        <f t="shared" si="111"/>
        <v>-0.04</v>
      </c>
      <c r="W145" s="189">
        <f>6*0.3</f>
        <v>1.7999999999999998</v>
      </c>
      <c r="X145" s="188">
        <f t="shared" si="89"/>
        <v>7.843</v>
      </c>
      <c r="Y145" s="183">
        <f t="shared" si="96"/>
        <v>8</v>
      </c>
      <c r="Z145" s="188">
        <f t="shared" si="97"/>
        <v>0.2</v>
      </c>
      <c r="AA145" s="183">
        <f t="shared" si="98"/>
        <v>27</v>
      </c>
      <c r="AB145" s="189">
        <f t="shared" si="99"/>
        <v>6.3E-2</v>
      </c>
      <c r="AC145" s="189">
        <f>0.38+0.3</f>
        <v>0.67999999999999994</v>
      </c>
      <c r="AD145" s="189">
        <f t="shared" si="112"/>
        <v>-0.04</v>
      </c>
      <c r="AE145" s="189">
        <f>2.88*0.3</f>
        <v>0.86399999999999999</v>
      </c>
      <c r="AF145" s="188">
        <f t="shared" si="85"/>
        <v>4.9169999999999998</v>
      </c>
      <c r="AG145" s="183">
        <f t="shared" si="100"/>
        <v>8</v>
      </c>
      <c r="AH145" s="182">
        <f t="shared" si="101"/>
        <v>0.2</v>
      </c>
      <c r="AI145" s="183">
        <f t="shared" si="102"/>
        <v>26</v>
      </c>
      <c r="AJ145" s="189">
        <f t="shared" si="103"/>
        <v>6.3E-2</v>
      </c>
      <c r="AK145" s="189">
        <f>0.38+0.3</f>
        <v>0.67999999999999994</v>
      </c>
      <c r="AL145" s="189">
        <f t="shared" si="113"/>
        <v>-0.04</v>
      </c>
      <c r="AM145" s="189">
        <f>4.34*0.3</f>
        <v>1.3019999999999998</v>
      </c>
      <c r="AN145" s="188">
        <f t="shared" si="86"/>
        <v>5.3550000000000004</v>
      </c>
      <c r="AO145" s="183">
        <v>8</v>
      </c>
      <c r="AP145" s="182">
        <f t="shared" si="104"/>
        <v>10</v>
      </c>
      <c r="AQ145" s="182">
        <v>1.5</v>
      </c>
      <c r="AR145" s="187">
        <f t="shared" si="114"/>
        <v>0</v>
      </c>
      <c r="AS145" s="187">
        <f t="shared" si="115"/>
        <v>291.65699999999998</v>
      </c>
      <c r="AT145" s="187">
        <f t="shared" si="116"/>
        <v>0</v>
      </c>
      <c r="AU145" s="187">
        <f t="shared" si="117"/>
        <v>271.98900000000003</v>
      </c>
      <c r="AV145" s="187">
        <f t="shared" si="105"/>
        <v>0</v>
      </c>
      <c r="AW145" s="187">
        <f t="shared" si="118"/>
        <v>0</v>
      </c>
      <c r="AX145" s="187">
        <f t="shared" si="119"/>
        <v>15</v>
      </c>
      <c r="AY145" s="190"/>
      <c r="AZ145" s="240"/>
      <c r="BA145" s="232"/>
      <c r="BF145" s="206"/>
      <c r="BG145" s="206"/>
      <c r="BK145" s="126"/>
      <c r="BL145" s="126"/>
      <c r="BN145" s="126"/>
      <c r="BO145" s="126"/>
      <c r="BQ145" s="126"/>
      <c r="BR145" s="126"/>
      <c r="BT145" s="126"/>
      <c r="BU145" s="126"/>
      <c r="BW145" s="126"/>
      <c r="BX145" s="126"/>
      <c r="BZ145" s="126"/>
      <c r="CA145" s="126"/>
      <c r="CC145" s="126"/>
      <c r="CD145" s="126"/>
      <c r="CF145" s="126"/>
      <c r="CG145" s="126"/>
    </row>
    <row r="146" spans="1:85" s="197" customFormat="1" x14ac:dyDescent="0.3">
      <c r="A146" s="182" t="s">
        <v>242</v>
      </c>
      <c r="B146" s="183">
        <v>1</v>
      </c>
      <c r="C146" s="184" t="s">
        <v>367</v>
      </c>
      <c r="D146" s="187">
        <v>5.38</v>
      </c>
      <c r="E146" s="187">
        <v>2.6</v>
      </c>
      <c r="F146" s="186">
        <v>0.14000000000000001</v>
      </c>
      <c r="G146" s="187">
        <f t="shared" si="106"/>
        <v>1.9583200000000001</v>
      </c>
      <c r="H146" s="188">
        <f t="shared" si="90"/>
        <v>13.988</v>
      </c>
      <c r="I146" s="183">
        <f t="shared" si="91"/>
        <v>10</v>
      </c>
      <c r="J146" s="188">
        <f t="shared" si="107"/>
        <v>0.2</v>
      </c>
      <c r="K146" s="183">
        <f t="shared" si="108"/>
        <v>14</v>
      </c>
      <c r="L146" s="189">
        <f t="shared" si="109"/>
        <v>5.8800000000000005E-2</v>
      </c>
      <c r="M146" s="189">
        <f>0.45+0.3</f>
        <v>0.75</v>
      </c>
      <c r="N146" s="189">
        <f t="shared" si="110"/>
        <v>-0.04</v>
      </c>
      <c r="O146" s="189">
        <f>2.6*0.3</f>
        <v>0.78</v>
      </c>
      <c r="P146" s="188">
        <f t="shared" si="82"/>
        <v>6.9287999999999998</v>
      </c>
      <c r="Q146" s="183">
        <f t="shared" si="92"/>
        <v>10</v>
      </c>
      <c r="R146" s="188">
        <f t="shared" si="93"/>
        <v>0.2</v>
      </c>
      <c r="S146" s="183">
        <f t="shared" si="94"/>
        <v>13</v>
      </c>
      <c r="T146" s="189">
        <f t="shared" si="95"/>
        <v>5.8800000000000005E-2</v>
      </c>
      <c r="U146" s="189">
        <f>0.45+0.3</f>
        <v>0.75</v>
      </c>
      <c r="V146" s="189">
        <f t="shared" si="111"/>
        <v>-0.04</v>
      </c>
      <c r="W146" s="189">
        <f>2.71*0.3</f>
        <v>0.81299999999999994</v>
      </c>
      <c r="X146" s="188">
        <f t="shared" si="89"/>
        <v>6.9618000000000002</v>
      </c>
      <c r="Y146" s="183">
        <f t="shared" si="96"/>
        <v>8</v>
      </c>
      <c r="Z146" s="188">
        <f t="shared" si="97"/>
        <v>0.3</v>
      </c>
      <c r="AA146" s="183">
        <f t="shared" si="98"/>
        <v>19</v>
      </c>
      <c r="AB146" s="189">
        <f t="shared" si="99"/>
        <v>5.8800000000000005E-2</v>
      </c>
      <c r="AC146" s="189">
        <f t="shared" si="87"/>
        <v>0.6</v>
      </c>
      <c r="AD146" s="189">
        <f t="shared" si="112"/>
        <v>-0.04</v>
      </c>
      <c r="AE146" s="189">
        <f>5.31*0.3</f>
        <v>1.5929999999999997</v>
      </c>
      <c r="AF146" s="188">
        <f t="shared" si="85"/>
        <v>4.8117999999999999</v>
      </c>
      <c r="AG146" s="183">
        <f t="shared" si="100"/>
        <v>8</v>
      </c>
      <c r="AH146" s="182">
        <f t="shared" si="101"/>
        <v>0.3</v>
      </c>
      <c r="AI146" s="183">
        <f t="shared" si="102"/>
        <v>18</v>
      </c>
      <c r="AJ146" s="189">
        <f t="shared" si="103"/>
        <v>5.8800000000000005E-2</v>
      </c>
      <c r="AK146" s="189">
        <f t="shared" si="88"/>
        <v>0.6</v>
      </c>
      <c r="AL146" s="189">
        <f t="shared" si="113"/>
        <v>-0.04</v>
      </c>
      <c r="AM146" s="189">
        <f>3.31*0.3</f>
        <v>0.99299999999999999</v>
      </c>
      <c r="AN146" s="188">
        <f t="shared" si="86"/>
        <v>4.2118000000000002</v>
      </c>
      <c r="AO146" s="183">
        <v>8</v>
      </c>
      <c r="AP146" s="182">
        <f t="shared" si="104"/>
        <v>12</v>
      </c>
      <c r="AQ146" s="182">
        <v>1.5</v>
      </c>
      <c r="AR146" s="187">
        <f t="shared" si="114"/>
        <v>0</v>
      </c>
      <c r="AS146" s="187">
        <f t="shared" si="115"/>
        <v>187.50659999999999</v>
      </c>
      <c r="AT146" s="187">
        <f t="shared" si="116"/>
        <v>0</v>
      </c>
      <c r="AU146" s="187">
        <f t="shared" si="117"/>
        <v>167.23660000000001</v>
      </c>
      <c r="AV146" s="187">
        <f t="shared" si="105"/>
        <v>0</v>
      </c>
      <c r="AW146" s="187">
        <f t="shared" si="118"/>
        <v>0</v>
      </c>
      <c r="AX146" s="187">
        <f t="shared" si="119"/>
        <v>18</v>
      </c>
      <c r="AY146" s="190"/>
      <c r="AZ146" s="240"/>
      <c r="BA146" s="232"/>
      <c r="BF146" s="206"/>
      <c r="BG146" s="206"/>
      <c r="BK146" s="126"/>
      <c r="BL146" s="126"/>
      <c r="BN146" s="126"/>
      <c r="BO146" s="126"/>
      <c r="BQ146" s="126"/>
      <c r="BR146" s="126"/>
      <c r="BT146" s="126"/>
      <c r="BU146" s="126"/>
      <c r="BW146" s="126"/>
      <c r="BX146" s="126"/>
      <c r="BZ146" s="126"/>
      <c r="CA146" s="126"/>
      <c r="CC146" s="126"/>
      <c r="CD146" s="126"/>
      <c r="CF146" s="126"/>
      <c r="CG146" s="126"/>
    </row>
    <row r="147" spans="1:85" s="197" customFormat="1" x14ac:dyDescent="0.3">
      <c r="A147" s="182" t="s">
        <v>239</v>
      </c>
      <c r="B147" s="183">
        <v>1</v>
      </c>
      <c r="C147" s="184" t="s">
        <v>368</v>
      </c>
      <c r="D147" s="187">
        <v>2.71</v>
      </c>
      <c r="E147" s="187">
        <v>2.6</v>
      </c>
      <c r="F147" s="186">
        <v>0.125</v>
      </c>
      <c r="G147" s="187">
        <f t="shared" si="106"/>
        <v>0.88075000000000003</v>
      </c>
      <c r="H147" s="188">
        <f t="shared" si="90"/>
        <v>7.0460000000000003</v>
      </c>
      <c r="I147" s="183">
        <f t="shared" si="91"/>
        <v>8</v>
      </c>
      <c r="J147" s="188">
        <f t="shared" si="107"/>
        <v>0.23</v>
      </c>
      <c r="K147" s="183">
        <f t="shared" si="108"/>
        <v>12</v>
      </c>
      <c r="L147" s="189">
        <f t="shared" si="109"/>
        <v>5.2499999999999998E-2</v>
      </c>
      <c r="M147" s="189">
        <f>0.3+0.23</f>
        <v>0.53</v>
      </c>
      <c r="N147" s="189">
        <f t="shared" si="110"/>
        <v>-0.04</v>
      </c>
      <c r="O147" s="189">
        <f>5.375</f>
        <v>5.375</v>
      </c>
      <c r="P147" s="188">
        <f t="shared" si="82"/>
        <v>8.6275000000000013</v>
      </c>
      <c r="Q147" s="183">
        <f t="shared" si="92"/>
        <v>8</v>
      </c>
      <c r="R147" s="188">
        <f t="shared" si="93"/>
        <v>0.23</v>
      </c>
      <c r="S147" s="183">
        <f t="shared" si="94"/>
        <v>11</v>
      </c>
      <c r="T147" s="189">
        <f t="shared" si="95"/>
        <v>5.2499999999999998E-2</v>
      </c>
      <c r="U147" s="189">
        <f>0.3+0.23</f>
        <v>0.53</v>
      </c>
      <c r="V147" s="189">
        <f t="shared" si="111"/>
        <v>-0.04</v>
      </c>
      <c r="W147" s="189">
        <f>1.94*0.3</f>
        <v>0.58199999999999996</v>
      </c>
      <c r="X147" s="188">
        <f t="shared" si="89"/>
        <v>3.8344999999999998</v>
      </c>
      <c r="Y147" s="183">
        <f t="shared" si="96"/>
        <v>8</v>
      </c>
      <c r="Z147" s="188">
        <f t="shared" si="97"/>
        <v>0.3</v>
      </c>
      <c r="AA147" s="183">
        <f t="shared" si="98"/>
        <v>10</v>
      </c>
      <c r="AB147" s="189">
        <f t="shared" si="99"/>
        <v>5.2499999999999998E-2</v>
      </c>
      <c r="AC147" s="189">
        <f t="shared" si="87"/>
        <v>0.6</v>
      </c>
      <c r="AD147" s="189">
        <f t="shared" si="112"/>
        <v>-0.04</v>
      </c>
      <c r="AE147" s="189">
        <f>5.31*0.3</f>
        <v>1.5929999999999997</v>
      </c>
      <c r="AF147" s="188">
        <f t="shared" si="85"/>
        <v>4.8055000000000003</v>
      </c>
      <c r="AG147" s="183">
        <f t="shared" si="100"/>
        <v>8</v>
      </c>
      <c r="AH147" s="182">
        <f t="shared" si="101"/>
        <v>0.3</v>
      </c>
      <c r="AI147" s="183">
        <f t="shared" si="102"/>
        <v>9</v>
      </c>
      <c r="AJ147" s="189">
        <f t="shared" si="103"/>
        <v>5.2499999999999998E-2</v>
      </c>
      <c r="AK147" s="189">
        <f t="shared" si="88"/>
        <v>0.6</v>
      </c>
      <c r="AL147" s="189">
        <f t="shared" si="113"/>
        <v>-0.04</v>
      </c>
      <c r="AM147" s="189">
        <f>3.05*0.3</f>
        <v>0.91499999999999992</v>
      </c>
      <c r="AN147" s="188">
        <f t="shared" si="86"/>
        <v>4.1274999999999995</v>
      </c>
      <c r="AO147" s="183">
        <v>8</v>
      </c>
      <c r="AP147" s="182">
        <f t="shared" si="104"/>
        <v>8</v>
      </c>
      <c r="AQ147" s="182">
        <v>1.5</v>
      </c>
      <c r="AR147" s="187">
        <f t="shared" si="114"/>
        <v>145.70950000000002</v>
      </c>
      <c r="AS147" s="187">
        <f t="shared" si="115"/>
        <v>0</v>
      </c>
      <c r="AT147" s="187">
        <f t="shared" si="116"/>
        <v>0</v>
      </c>
      <c r="AU147" s="187">
        <f t="shared" si="117"/>
        <v>85.202500000000001</v>
      </c>
      <c r="AV147" s="187">
        <f t="shared" si="105"/>
        <v>0</v>
      </c>
      <c r="AW147" s="187">
        <f t="shared" si="118"/>
        <v>0</v>
      </c>
      <c r="AX147" s="187">
        <f t="shared" si="119"/>
        <v>12</v>
      </c>
      <c r="AY147" s="190"/>
      <c r="AZ147" s="240"/>
      <c r="BA147" s="232"/>
      <c r="BF147" s="206"/>
      <c r="BG147" s="206"/>
      <c r="BK147" s="126"/>
      <c r="BL147" s="126"/>
      <c r="BN147" s="126"/>
      <c r="BO147" s="126"/>
      <c r="BQ147" s="126"/>
      <c r="BR147" s="126"/>
      <c r="BT147" s="126"/>
      <c r="BU147" s="126"/>
      <c r="BW147" s="126"/>
      <c r="BX147" s="126"/>
      <c r="BZ147" s="126"/>
      <c r="CA147" s="126"/>
      <c r="CC147" s="126"/>
      <c r="CD147" s="126"/>
      <c r="CF147" s="126"/>
      <c r="CG147" s="126"/>
    </row>
    <row r="148" spans="1:85" s="197" customFormat="1" x14ac:dyDescent="0.3">
      <c r="A148" s="182" t="s">
        <v>245</v>
      </c>
      <c r="B148" s="183">
        <v>1</v>
      </c>
      <c r="C148" s="184" t="s">
        <v>369</v>
      </c>
      <c r="D148" s="187">
        <v>1.94</v>
      </c>
      <c r="E148" s="187">
        <v>2.6</v>
      </c>
      <c r="F148" s="186">
        <v>0.14000000000000001</v>
      </c>
      <c r="G148" s="187">
        <f t="shared" si="106"/>
        <v>0.70616000000000001</v>
      </c>
      <c r="H148" s="188">
        <f t="shared" si="90"/>
        <v>5.0439999999999996</v>
      </c>
      <c r="I148" s="183">
        <f t="shared" si="91"/>
        <v>10</v>
      </c>
      <c r="J148" s="188">
        <f t="shared" si="107"/>
        <v>0.2</v>
      </c>
      <c r="K148" s="183">
        <f t="shared" si="108"/>
        <v>14</v>
      </c>
      <c r="L148" s="189">
        <f t="shared" si="109"/>
        <v>5.8800000000000005E-2</v>
      </c>
      <c r="M148" s="189">
        <f>0.3+0.23</f>
        <v>0.53</v>
      </c>
      <c r="N148" s="189">
        <f t="shared" si="110"/>
        <v>-0.04</v>
      </c>
      <c r="O148" s="189">
        <f>2.71*0.3</f>
        <v>0.81299999999999994</v>
      </c>
      <c r="P148" s="188">
        <f t="shared" si="82"/>
        <v>3.3018000000000001</v>
      </c>
      <c r="Q148" s="183">
        <f t="shared" si="92"/>
        <v>10</v>
      </c>
      <c r="R148" s="188">
        <f t="shared" si="93"/>
        <v>0.2</v>
      </c>
      <c r="S148" s="183">
        <f t="shared" si="94"/>
        <v>13</v>
      </c>
      <c r="T148" s="189">
        <f t="shared" si="95"/>
        <v>5.8800000000000005E-2</v>
      </c>
      <c r="U148" s="189">
        <f>0.3+0.23</f>
        <v>0.53</v>
      </c>
      <c r="V148" s="189">
        <f t="shared" si="111"/>
        <v>-0.04</v>
      </c>
      <c r="W148" s="189">
        <v>0</v>
      </c>
      <c r="X148" s="188">
        <f t="shared" si="89"/>
        <v>2.4887999999999999</v>
      </c>
      <c r="Y148" s="183">
        <f t="shared" si="96"/>
        <v>10</v>
      </c>
      <c r="Z148" s="188">
        <f t="shared" si="97"/>
        <v>0.24</v>
      </c>
      <c r="AA148" s="183">
        <f t="shared" si="98"/>
        <v>9</v>
      </c>
      <c r="AB148" s="189">
        <f t="shared" si="99"/>
        <v>5.8800000000000005E-2</v>
      </c>
      <c r="AC148" s="189">
        <f t="shared" si="87"/>
        <v>0.6</v>
      </c>
      <c r="AD148" s="189">
        <f t="shared" si="112"/>
        <v>-0.04</v>
      </c>
      <c r="AE148" s="189">
        <v>0</v>
      </c>
      <c r="AF148" s="188">
        <f t="shared" si="85"/>
        <v>3.2187999999999999</v>
      </c>
      <c r="AG148" s="183">
        <f t="shared" si="100"/>
        <v>10</v>
      </c>
      <c r="AH148" s="182">
        <f t="shared" si="101"/>
        <v>0.24</v>
      </c>
      <c r="AI148" s="183">
        <f t="shared" si="102"/>
        <v>8</v>
      </c>
      <c r="AJ148" s="189">
        <f t="shared" si="103"/>
        <v>5.8800000000000005E-2</v>
      </c>
      <c r="AK148" s="189">
        <f t="shared" si="88"/>
        <v>0.6</v>
      </c>
      <c r="AL148" s="189">
        <f t="shared" si="113"/>
        <v>-0.04</v>
      </c>
      <c r="AM148" s="189">
        <v>0</v>
      </c>
      <c r="AN148" s="188">
        <f t="shared" si="86"/>
        <v>3.2187999999999999</v>
      </c>
      <c r="AO148" s="183">
        <v>8</v>
      </c>
      <c r="AP148" s="182">
        <f t="shared" si="104"/>
        <v>6</v>
      </c>
      <c r="AQ148" s="182">
        <v>1.5</v>
      </c>
      <c r="AR148" s="187">
        <f t="shared" si="114"/>
        <v>0</v>
      </c>
      <c r="AS148" s="187">
        <f t="shared" si="115"/>
        <v>78.579599999999999</v>
      </c>
      <c r="AT148" s="187">
        <f t="shared" si="116"/>
        <v>0</v>
      </c>
      <c r="AU148" s="187">
        <f t="shared" si="117"/>
        <v>0</v>
      </c>
      <c r="AV148" s="187">
        <f t="shared" si="105"/>
        <v>54.7196</v>
      </c>
      <c r="AW148" s="187">
        <f t="shared" si="118"/>
        <v>0</v>
      </c>
      <c r="AX148" s="187">
        <f t="shared" si="119"/>
        <v>9</v>
      </c>
      <c r="AY148" s="190"/>
      <c r="AZ148" s="240"/>
      <c r="BA148" s="232"/>
      <c r="BF148" s="206"/>
      <c r="BG148" s="206"/>
      <c r="BK148" s="126"/>
      <c r="BL148" s="126"/>
      <c r="BN148" s="126"/>
      <c r="BO148" s="126"/>
      <c r="BQ148" s="126"/>
      <c r="BR148" s="126"/>
      <c r="BT148" s="126"/>
      <c r="BU148" s="126"/>
      <c r="BW148" s="126"/>
      <c r="BX148" s="126"/>
      <c r="BZ148" s="126"/>
      <c r="CA148" s="126"/>
      <c r="CC148" s="126"/>
      <c r="CD148" s="126"/>
      <c r="CF148" s="126"/>
      <c r="CG148" s="126"/>
    </row>
    <row r="149" spans="1:85" s="197" customFormat="1" x14ac:dyDescent="0.3">
      <c r="A149" s="182" t="s">
        <v>245</v>
      </c>
      <c r="B149" s="183">
        <v>1</v>
      </c>
      <c r="C149" s="184" t="s">
        <v>370</v>
      </c>
      <c r="D149" s="187">
        <v>1.29</v>
      </c>
      <c r="E149" s="187">
        <v>3.81</v>
      </c>
      <c r="F149" s="186">
        <v>0.14000000000000001</v>
      </c>
      <c r="G149" s="187">
        <f t="shared" si="106"/>
        <v>0.68808600000000009</v>
      </c>
      <c r="H149" s="188">
        <f t="shared" si="90"/>
        <v>4.9149000000000003</v>
      </c>
      <c r="I149" s="183">
        <f t="shared" si="91"/>
        <v>10</v>
      </c>
      <c r="J149" s="188">
        <f t="shared" si="107"/>
        <v>0.2</v>
      </c>
      <c r="K149" s="183">
        <f t="shared" si="108"/>
        <v>20</v>
      </c>
      <c r="L149" s="189">
        <f t="shared" si="109"/>
        <v>5.8800000000000005E-2</v>
      </c>
      <c r="M149" s="189">
        <f t="shared" si="83"/>
        <v>0.6</v>
      </c>
      <c r="N149" s="189">
        <f t="shared" si="110"/>
        <v>-0.04</v>
      </c>
      <c r="O149" s="189">
        <f>2.05*0.3</f>
        <v>0.61499999999999988</v>
      </c>
      <c r="P149" s="188">
        <f t="shared" si="82"/>
        <v>2.5237999999999996</v>
      </c>
      <c r="Q149" s="183">
        <f t="shared" si="92"/>
        <v>10</v>
      </c>
      <c r="R149" s="188">
        <f t="shared" si="93"/>
        <v>0.2</v>
      </c>
      <c r="S149" s="183">
        <f t="shared" si="94"/>
        <v>19</v>
      </c>
      <c r="T149" s="189">
        <f t="shared" si="95"/>
        <v>5.8800000000000005E-2</v>
      </c>
      <c r="U149" s="189">
        <f t="shared" si="84"/>
        <v>0.6</v>
      </c>
      <c r="V149" s="189">
        <f t="shared" si="111"/>
        <v>-0.04</v>
      </c>
      <c r="W149" s="189">
        <f>4.12*0.3</f>
        <v>1.236</v>
      </c>
      <c r="X149" s="188">
        <f t="shared" si="89"/>
        <v>3.1448</v>
      </c>
      <c r="Y149" s="183">
        <f t="shared" si="96"/>
        <v>10</v>
      </c>
      <c r="Z149" s="188">
        <f t="shared" si="97"/>
        <v>0.24</v>
      </c>
      <c r="AA149" s="183">
        <f t="shared" si="98"/>
        <v>6</v>
      </c>
      <c r="AB149" s="189">
        <f t="shared" si="99"/>
        <v>5.8800000000000005E-2</v>
      </c>
      <c r="AC149" s="189">
        <f>0.3+0.23</f>
        <v>0.53</v>
      </c>
      <c r="AD149" s="189">
        <f t="shared" si="112"/>
        <v>-0.04</v>
      </c>
      <c r="AE149" s="189">
        <v>0</v>
      </c>
      <c r="AF149" s="188">
        <f t="shared" si="85"/>
        <v>4.3588000000000005</v>
      </c>
      <c r="AG149" s="183">
        <f t="shared" si="100"/>
        <v>10</v>
      </c>
      <c r="AH149" s="182">
        <f t="shared" si="101"/>
        <v>0.24</v>
      </c>
      <c r="AI149" s="183">
        <f t="shared" si="102"/>
        <v>5</v>
      </c>
      <c r="AJ149" s="189">
        <f t="shared" si="103"/>
        <v>5.8800000000000005E-2</v>
      </c>
      <c r="AK149" s="189">
        <f>0.3+0.23</f>
        <v>0.53</v>
      </c>
      <c r="AL149" s="189">
        <f t="shared" si="113"/>
        <v>-0.04</v>
      </c>
      <c r="AM149" s="189">
        <v>0</v>
      </c>
      <c r="AN149" s="188">
        <f t="shared" si="86"/>
        <v>4.3588000000000005</v>
      </c>
      <c r="AO149" s="183">
        <v>8</v>
      </c>
      <c r="AP149" s="182">
        <f t="shared" si="104"/>
        <v>8</v>
      </c>
      <c r="AQ149" s="182">
        <v>1.5</v>
      </c>
      <c r="AR149" s="187">
        <f t="shared" si="114"/>
        <v>0</v>
      </c>
      <c r="AS149" s="187">
        <f t="shared" si="115"/>
        <v>110.22719999999998</v>
      </c>
      <c r="AT149" s="187">
        <f t="shared" si="116"/>
        <v>0</v>
      </c>
      <c r="AU149" s="187">
        <f t="shared" si="117"/>
        <v>0</v>
      </c>
      <c r="AV149" s="187">
        <f t="shared" si="105"/>
        <v>47.94680000000001</v>
      </c>
      <c r="AW149" s="187">
        <f t="shared" si="118"/>
        <v>0</v>
      </c>
      <c r="AX149" s="187">
        <f t="shared" si="119"/>
        <v>12</v>
      </c>
      <c r="AY149" s="190"/>
      <c r="AZ149" s="240"/>
      <c r="BA149" s="232"/>
      <c r="BF149" s="206"/>
      <c r="BG149" s="206"/>
      <c r="BK149" s="126"/>
      <c r="BL149" s="126"/>
      <c r="BN149" s="126"/>
      <c r="BO149" s="126"/>
      <c r="BQ149" s="126"/>
      <c r="BR149" s="126"/>
      <c r="BT149" s="126"/>
      <c r="BU149" s="126"/>
      <c r="BW149" s="126"/>
      <c r="BX149" s="126"/>
      <c r="BZ149" s="126"/>
      <c r="CA149" s="126"/>
      <c r="CC149" s="126"/>
      <c r="CD149" s="126"/>
      <c r="CF149" s="126"/>
      <c r="CG149" s="126"/>
    </row>
    <row r="150" spans="1:85" s="197" customFormat="1" x14ac:dyDescent="0.3">
      <c r="A150" s="182" t="s">
        <v>239</v>
      </c>
      <c r="B150" s="183">
        <v>1</v>
      </c>
      <c r="C150" s="184" t="s">
        <v>371</v>
      </c>
      <c r="D150" s="187">
        <v>1.94</v>
      </c>
      <c r="E150" s="187">
        <v>2.6</v>
      </c>
      <c r="F150" s="186">
        <v>0.125</v>
      </c>
      <c r="G150" s="187">
        <f t="shared" si="106"/>
        <v>0.63049999999999995</v>
      </c>
      <c r="H150" s="188">
        <f t="shared" si="90"/>
        <v>5.0439999999999996</v>
      </c>
      <c r="I150" s="183">
        <f t="shared" si="91"/>
        <v>8</v>
      </c>
      <c r="J150" s="188">
        <f t="shared" si="107"/>
        <v>0.23</v>
      </c>
      <c r="K150" s="183">
        <f t="shared" si="108"/>
        <v>12</v>
      </c>
      <c r="L150" s="189">
        <f t="shared" si="109"/>
        <v>5.2499999999999998E-2</v>
      </c>
      <c r="M150" s="189">
        <f>0.3+0.23</f>
        <v>0.53</v>
      </c>
      <c r="N150" s="189">
        <f t="shared" si="110"/>
        <v>-0.04</v>
      </c>
      <c r="O150" s="189">
        <f>3.95*0.3</f>
        <v>1.1850000000000001</v>
      </c>
      <c r="P150" s="188">
        <f t="shared" si="82"/>
        <v>3.6675</v>
      </c>
      <c r="Q150" s="183">
        <f t="shared" si="92"/>
        <v>8</v>
      </c>
      <c r="R150" s="188">
        <f t="shared" si="93"/>
        <v>0.23</v>
      </c>
      <c r="S150" s="183">
        <f t="shared" si="94"/>
        <v>11</v>
      </c>
      <c r="T150" s="189">
        <f t="shared" si="95"/>
        <v>5.2499999999999998E-2</v>
      </c>
      <c r="U150" s="189">
        <f>0.3+0.23</f>
        <v>0.53</v>
      </c>
      <c r="V150" s="189">
        <f t="shared" si="111"/>
        <v>-0.04</v>
      </c>
      <c r="W150" s="189">
        <f>2.32*0.3</f>
        <v>0.69599999999999995</v>
      </c>
      <c r="X150" s="188">
        <f t="shared" si="89"/>
        <v>3.1784999999999997</v>
      </c>
      <c r="Y150" s="183">
        <f t="shared" si="96"/>
        <v>8</v>
      </c>
      <c r="Z150" s="188">
        <f t="shared" si="97"/>
        <v>0.3</v>
      </c>
      <c r="AA150" s="183">
        <f t="shared" si="98"/>
        <v>7</v>
      </c>
      <c r="AB150" s="189">
        <f t="shared" si="99"/>
        <v>5.2499999999999998E-2</v>
      </c>
      <c r="AC150" s="189">
        <f t="shared" si="87"/>
        <v>0.6</v>
      </c>
      <c r="AD150" s="189">
        <f t="shared" si="112"/>
        <v>-0.04</v>
      </c>
      <c r="AE150" s="189">
        <f>5.31*0.3</f>
        <v>1.5929999999999997</v>
      </c>
      <c r="AF150" s="188">
        <f t="shared" si="85"/>
        <v>4.8055000000000003</v>
      </c>
      <c r="AG150" s="183">
        <f t="shared" si="100"/>
        <v>8</v>
      </c>
      <c r="AH150" s="182">
        <f t="shared" si="101"/>
        <v>0.3</v>
      </c>
      <c r="AI150" s="183">
        <f t="shared" si="102"/>
        <v>6</v>
      </c>
      <c r="AJ150" s="189">
        <f t="shared" si="103"/>
        <v>5.2499999999999998E-2</v>
      </c>
      <c r="AK150" s="189">
        <f t="shared" si="88"/>
        <v>0.6</v>
      </c>
      <c r="AL150" s="189">
        <f t="shared" si="113"/>
        <v>-0.04</v>
      </c>
      <c r="AM150" s="189">
        <f>3.05*0.3</f>
        <v>0.91499999999999992</v>
      </c>
      <c r="AN150" s="188">
        <f t="shared" si="86"/>
        <v>4.1274999999999995</v>
      </c>
      <c r="AO150" s="183">
        <v>8</v>
      </c>
      <c r="AP150" s="182">
        <f t="shared" si="104"/>
        <v>6</v>
      </c>
      <c r="AQ150" s="182">
        <v>1.5</v>
      </c>
      <c r="AR150" s="187">
        <f t="shared" si="114"/>
        <v>78.973500000000001</v>
      </c>
      <c r="AS150" s="187">
        <f t="shared" si="115"/>
        <v>0</v>
      </c>
      <c r="AT150" s="187">
        <f t="shared" si="116"/>
        <v>0</v>
      </c>
      <c r="AU150" s="187">
        <f t="shared" si="117"/>
        <v>58.403499999999994</v>
      </c>
      <c r="AV150" s="187">
        <f t="shared" si="105"/>
        <v>0</v>
      </c>
      <c r="AW150" s="187">
        <f t="shared" si="118"/>
        <v>0</v>
      </c>
      <c r="AX150" s="187">
        <f t="shared" si="119"/>
        <v>9</v>
      </c>
      <c r="AY150" s="190"/>
      <c r="AZ150" s="240"/>
      <c r="BA150" s="232"/>
      <c r="BF150" s="206"/>
      <c r="BG150" s="206"/>
      <c r="BK150" s="126"/>
      <c r="BL150" s="126"/>
      <c r="BN150" s="126"/>
      <c r="BO150" s="126"/>
      <c r="BQ150" s="126"/>
      <c r="BR150" s="126"/>
      <c r="BT150" s="126"/>
      <c r="BU150" s="126"/>
      <c r="BW150" s="126"/>
      <c r="BX150" s="126"/>
      <c r="BZ150" s="126"/>
      <c r="CA150" s="126"/>
      <c r="CC150" s="126"/>
      <c r="CD150" s="126"/>
      <c r="CF150" s="126"/>
      <c r="CG150" s="126"/>
    </row>
    <row r="151" spans="1:85" s="197" customFormat="1" x14ac:dyDescent="0.3">
      <c r="A151" s="182" t="s">
        <v>239</v>
      </c>
      <c r="B151" s="183">
        <v>1</v>
      </c>
      <c r="C151" s="184" t="s">
        <v>372</v>
      </c>
      <c r="D151" s="187">
        <v>2.3199999999999998</v>
      </c>
      <c r="E151" s="187">
        <v>2.6</v>
      </c>
      <c r="F151" s="186">
        <v>0.125</v>
      </c>
      <c r="G151" s="187">
        <f t="shared" si="106"/>
        <v>0.754</v>
      </c>
      <c r="H151" s="188">
        <f t="shared" si="90"/>
        <v>6.032</v>
      </c>
      <c r="I151" s="183">
        <f t="shared" si="91"/>
        <v>8</v>
      </c>
      <c r="J151" s="188">
        <f t="shared" si="107"/>
        <v>0.23</v>
      </c>
      <c r="K151" s="183">
        <f t="shared" si="108"/>
        <v>12</v>
      </c>
      <c r="L151" s="189">
        <f t="shared" si="109"/>
        <v>5.2499999999999998E-2</v>
      </c>
      <c r="M151" s="189">
        <f>0.23*2</f>
        <v>0.46</v>
      </c>
      <c r="N151" s="189">
        <f t="shared" si="110"/>
        <v>-0.04</v>
      </c>
      <c r="O151" s="189">
        <f>1.94*0.3</f>
        <v>0.58199999999999996</v>
      </c>
      <c r="P151" s="188">
        <f t="shared" si="82"/>
        <v>3.3744999999999998</v>
      </c>
      <c r="Q151" s="183">
        <f t="shared" si="92"/>
        <v>8</v>
      </c>
      <c r="R151" s="188">
        <f t="shared" si="93"/>
        <v>0.23</v>
      </c>
      <c r="S151" s="183">
        <f t="shared" si="94"/>
        <v>11</v>
      </c>
      <c r="T151" s="189">
        <f t="shared" si="95"/>
        <v>5.2499999999999998E-2</v>
      </c>
      <c r="U151" s="189">
        <f>0.23*2</f>
        <v>0.46</v>
      </c>
      <c r="V151" s="189">
        <f t="shared" si="111"/>
        <v>-0.04</v>
      </c>
      <c r="W151" s="189">
        <f>4.28*0.3</f>
        <v>1.284</v>
      </c>
      <c r="X151" s="188">
        <f t="shared" si="89"/>
        <v>4.0765000000000002</v>
      </c>
      <c r="Y151" s="183">
        <f t="shared" si="96"/>
        <v>8</v>
      </c>
      <c r="Z151" s="188">
        <f t="shared" si="97"/>
        <v>0.3</v>
      </c>
      <c r="AA151" s="183">
        <f t="shared" si="98"/>
        <v>9</v>
      </c>
      <c r="AB151" s="189">
        <f t="shared" si="99"/>
        <v>5.2499999999999998E-2</v>
      </c>
      <c r="AC151" s="189">
        <f>0.3+0.23</f>
        <v>0.53</v>
      </c>
      <c r="AD151" s="189">
        <f t="shared" si="112"/>
        <v>-0.04</v>
      </c>
      <c r="AE151" s="189">
        <f>5.31*0.3</f>
        <v>1.5929999999999997</v>
      </c>
      <c r="AF151" s="188">
        <f t="shared" si="85"/>
        <v>4.7355</v>
      </c>
      <c r="AG151" s="183">
        <f t="shared" si="100"/>
        <v>8</v>
      </c>
      <c r="AH151" s="182">
        <f t="shared" si="101"/>
        <v>0.3</v>
      </c>
      <c r="AI151" s="183">
        <f t="shared" si="102"/>
        <v>8</v>
      </c>
      <c r="AJ151" s="189">
        <f t="shared" si="103"/>
        <v>5.2499999999999998E-2</v>
      </c>
      <c r="AK151" s="189">
        <f>0.3+0.23</f>
        <v>0.53</v>
      </c>
      <c r="AL151" s="189">
        <f t="shared" si="113"/>
        <v>-0.04</v>
      </c>
      <c r="AM151" s="189">
        <f>3.1355*0.3</f>
        <v>0.94064999999999999</v>
      </c>
      <c r="AN151" s="188">
        <f t="shared" si="86"/>
        <v>4.0831499999999998</v>
      </c>
      <c r="AO151" s="183">
        <v>8</v>
      </c>
      <c r="AP151" s="182">
        <f t="shared" si="104"/>
        <v>8</v>
      </c>
      <c r="AQ151" s="182">
        <v>1.5</v>
      </c>
      <c r="AR151" s="187">
        <f t="shared" si="114"/>
        <v>85.335499999999996</v>
      </c>
      <c r="AS151" s="187">
        <f t="shared" si="115"/>
        <v>0</v>
      </c>
      <c r="AT151" s="187">
        <f t="shared" si="116"/>
        <v>0</v>
      </c>
      <c r="AU151" s="187">
        <f t="shared" si="117"/>
        <v>75.284700000000001</v>
      </c>
      <c r="AV151" s="187">
        <f t="shared" si="105"/>
        <v>0</v>
      </c>
      <c r="AW151" s="187">
        <f t="shared" si="118"/>
        <v>0</v>
      </c>
      <c r="AX151" s="187">
        <f t="shared" si="119"/>
        <v>12</v>
      </c>
      <c r="AY151" s="190"/>
      <c r="AZ151" s="240"/>
      <c r="BA151" s="232"/>
      <c r="BF151" s="206"/>
      <c r="BG151" s="206"/>
      <c r="BK151" s="126"/>
      <c r="BL151" s="126"/>
      <c r="BN151" s="126"/>
      <c r="BO151" s="126"/>
      <c r="BQ151" s="126"/>
      <c r="BR151" s="126"/>
      <c r="BT151" s="126"/>
      <c r="BU151" s="126"/>
      <c r="BW151" s="126"/>
      <c r="BX151" s="126"/>
      <c r="BZ151" s="126"/>
      <c r="CA151" s="126"/>
      <c r="CC151" s="126"/>
      <c r="CD151" s="126"/>
      <c r="CF151" s="126"/>
      <c r="CG151" s="126"/>
    </row>
    <row r="152" spans="1:85" s="197" customFormat="1" x14ac:dyDescent="0.3">
      <c r="A152" s="182" t="s">
        <v>242</v>
      </c>
      <c r="B152" s="183">
        <v>1</v>
      </c>
      <c r="C152" s="184" t="s">
        <v>373</v>
      </c>
      <c r="D152" s="187">
        <v>4.2850000000000001</v>
      </c>
      <c r="E152" s="187">
        <v>2.6</v>
      </c>
      <c r="F152" s="186">
        <v>0.14000000000000001</v>
      </c>
      <c r="G152" s="187">
        <f t="shared" si="106"/>
        <v>1.5597400000000001</v>
      </c>
      <c r="H152" s="188">
        <f t="shared" si="90"/>
        <v>11.141</v>
      </c>
      <c r="I152" s="183">
        <f t="shared" si="91"/>
        <v>10</v>
      </c>
      <c r="J152" s="188">
        <f t="shared" si="107"/>
        <v>0.2</v>
      </c>
      <c r="K152" s="183">
        <f t="shared" si="108"/>
        <v>14</v>
      </c>
      <c r="L152" s="189">
        <f t="shared" si="109"/>
        <v>5.8800000000000005E-2</v>
      </c>
      <c r="M152" s="189">
        <f>0.23+0.37</f>
        <v>0.6</v>
      </c>
      <c r="N152" s="189">
        <f t="shared" si="110"/>
        <v>-0.04</v>
      </c>
      <c r="O152" s="189">
        <f>2.32*0.3</f>
        <v>0.69599999999999995</v>
      </c>
      <c r="P152" s="188">
        <f t="shared" si="82"/>
        <v>5.5998000000000001</v>
      </c>
      <c r="Q152" s="183">
        <f t="shared" si="92"/>
        <v>10</v>
      </c>
      <c r="R152" s="188">
        <f t="shared" si="93"/>
        <v>0.2</v>
      </c>
      <c r="S152" s="183">
        <f t="shared" si="94"/>
        <v>13</v>
      </c>
      <c r="T152" s="189">
        <f t="shared" si="95"/>
        <v>5.8800000000000005E-2</v>
      </c>
      <c r="U152" s="189">
        <f t="shared" si="84"/>
        <v>0.6</v>
      </c>
      <c r="V152" s="189">
        <f t="shared" si="111"/>
        <v>-0.04</v>
      </c>
      <c r="W152" s="189">
        <f>4.24*0.3</f>
        <v>1.272</v>
      </c>
      <c r="X152" s="188">
        <f t="shared" si="89"/>
        <v>6.1758000000000006</v>
      </c>
      <c r="Y152" s="183">
        <f t="shared" si="96"/>
        <v>8</v>
      </c>
      <c r="Z152" s="188">
        <f t="shared" si="97"/>
        <v>0.3</v>
      </c>
      <c r="AA152" s="183">
        <f t="shared" si="98"/>
        <v>15</v>
      </c>
      <c r="AB152" s="189">
        <f t="shared" si="99"/>
        <v>5.8800000000000005E-2</v>
      </c>
      <c r="AC152" s="189">
        <f t="shared" si="87"/>
        <v>0.6</v>
      </c>
      <c r="AD152" s="189">
        <f t="shared" si="112"/>
        <v>-0.04</v>
      </c>
      <c r="AE152" s="189">
        <f>5.31*0.3</f>
        <v>1.5929999999999997</v>
      </c>
      <c r="AF152" s="188">
        <f t="shared" si="85"/>
        <v>4.8117999999999999</v>
      </c>
      <c r="AG152" s="183">
        <f t="shared" si="100"/>
        <v>8</v>
      </c>
      <c r="AH152" s="182">
        <f t="shared" si="101"/>
        <v>0.3</v>
      </c>
      <c r="AI152" s="183">
        <f t="shared" si="102"/>
        <v>14</v>
      </c>
      <c r="AJ152" s="189">
        <f t="shared" si="103"/>
        <v>5.8800000000000005E-2</v>
      </c>
      <c r="AK152" s="189">
        <f t="shared" si="88"/>
        <v>0.6</v>
      </c>
      <c r="AL152" s="189">
        <f t="shared" si="113"/>
        <v>-0.04</v>
      </c>
      <c r="AM152" s="189">
        <f>3.323*0.3</f>
        <v>0.9968999999999999</v>
      </c>
      <c r="AN152" s="188">
        <f t="shared" si="86"/>
        <v>4.2157</v>
      </c>
      <c r="AO152" s="183">
        <v>8</v>
      </c>
      <c r="AP152" s="182">
        <f t="shared" si="104"/>
        <v>10</v>
      </c>
      <c r="AQ152" s="182">
        <v>1.5</v>
      </c>
      <c r="AR152" s="187">
        <f t="shared" si="114"/>
        <v>0</v>
      </c>
      <c r="AS152" s="187">
        <f t="shared" si="115"/>
        <v>158.68260000000001</v>
      </c>
      <c r="AT152" s="187">
        <f t="shared" si="116"/>
        <v>0</v>
      </c>
      <c r="AU152" s="187">
        <f t="shared" si="117"/>
        <v>131.1968</v>
      </c>
      <c r="AV152" s="187">
        <f t="shared" si="105"/>
        <v>0</v>
      </c>
      <c r="AW152" s="187">
        <f t="shared" si="118"/>
        <v>0</v>
      </c>
      <c r="AX152" s="187">
        <f t="shared" si="119"/>
        <v>15</v>
      </c>
      <c r="AY152" s="190"/>
      <c r="AZ152" s="240"/>
      <c r="BA152" s="232"/>
      <c r="BF152" s="206"/>
      <c r="BG152" s="206"/>
      <c r="BK152" s="126"/>
      <c r="BL152" s="126"/>
      <c r="BN152" s="126"/>
      <c r="BO152" s="126"/>
      <c r="BQ152" s="126"/>
      <c r="BR152" s="126"/>
      <c r="BT152" s="126"/>
      <c r="BU152" s="126"/>
      <c r="BW152" s="126"/>
      <c r="BX152" s="126"/>
      <c r="BZ152" s="126"/>
      <c r="CA152" s="126"/>
      <c r="CC152" s="126"/>
      <c r="CD152" s="126"/>
      <c r="CF152" s="126"/>
      <c r="CG152" s="126"/>
    </row>
    <row r="153" spans="1:85" s="197" customFormat="1" x14ac:dyDescent="0.3">
      <c r="A153" s="182" t="s">
        <v>229</v>
      </c>
      <c r="B153" s="183">
        <v>1</v>
      </c>
      <c r="C153" s="184" t="s">
        <v>374</v>
      </c>
      <c r="D153" s="187">
        <v>4.24</v>
      </c>
      <c r="E153" s="187">
        <v>2.879</v>
      </c>
      <c r="F153" s="186">
        <v>0.13</v>
      </c>
      <c r="G153" s="187">
        <f t="shared" si="106"/>
        <v>1.5869048000000001</v>
      </c>
      <c r="H153" s="188">
        <f t="shared" si="90"/>
        <v>12.20696</v>
      </c>
      <c r="I153" s="183">
        <f t="shared" si="91"/>
        <v>8</v>
      </c>
      <c r="J153" s="188">
        <f t="shared" si="107"/>
        <v>0.17</v>
      </c>
      <c r="K153" s="183">
        <f t="shared" si="108"/>
        <v>18</v>
      </c>
      <c r="L153" s="189">
        <f t="shared" si="109"/>
        <v>5.4600000000000003E-2</v>
      </c>
      <c r="M153" s="189">
        <f>0.37+0.48</f>
        <v>0.85</v>
      </c>
      <c r="N153" s="189">
        <f t="shared" si="110"/>
        <v>-0.04</v>
      </c>
      <c r="O153" s="189">
        <f>4.285*0.3</f>
        <v>1.2855000000000001</v>
      </c>
      <c r="P153" s="188">
        <f t="shared" ref="P153:P181" si="120">+D153+SUM(L153:O153)</f>
        <v>6.3901000000000003</v>
      </c>
      <c r="Q153" s="183">
        <f t="shared" si="92"/>
        <v>8</v>
      </c>
      <c r="R153" s="188">
        <f t="shared" si="93"/>
        <v>0.17</v>
      </c>
      <c r="S153" s="183">
        <f t="shared" si="94"/>
        <v>17</v>
      </c>
      <c r="T153" s="189">
        <f t="shared" si="95"/>
        <v>5.4600000000000003E-2</v>
      </c>
      <c r="U153" s="189">
        <f>0.37+0.48</f>
        <v>0.85</v>
      </c>
      <c r="V153" s="189">
        <f t="shared" si="111"/>
        <v>-0.04</v>
      </c>
      <c r="W153" s="189">
        <f>4.22*0.3</f>
        <v>1.2659999999999998</v>
      </c>
      <c r="X153" s="188">
        <f t="shared" si="89"/>
        <v>6.3705999999999996</v>
      </c>
      <c r="Y153" s="183">
        <f t="shared" si="96"/>
        <v>8</v>
      </c>
      <c r="Z153" s="188">
        <f t="shared" si="97"/>
        <v>0.24</v>
      </c>
      <c r="AA153" s="183">
        <f t="shared" si="98"/>
        <v>19</v>
      </c>
      <c r="AB153" s="189">
        <f t="shared" si="99"/>
        <v>5.4600000000000003E-2</v>
      </c>
      <c r="AC153" s="189">
        <f>0.3+0.53</f>
        <v>0.83000000000000007</v>
      </c>
      <c r="AD153" s="189">
        <f t="shared" si="112"/>
        <v>-0.04</v>
      </c>
      <c r="AE153" s="189">
        <f>4.557*0.3</f>
        <v>1.3671</v>
      </c>
      <c r="AF153" s="188">
        <f t="shared" si="85"/>
        <v>5.0907</v>
      </c>
      <c r="AG153" s="183">
        <f t="shared" si="100"/>
        <v>8</v>
      </c>
      <c r="AH153" s="182">
        <f t="shared" si="101"/>
        <v>0.24</v>
      </c>
      <c r="AI153" s="183">
        <f t="shared" si="102"/>
        <v>18</v>
      </c>
      <c r="AJ153" s="189">
        <f t="shared" si="103"/>
        <v>5.4600000000000003E-2</v>
      </c>
      <c r="AK153" s="189">
        <f>0.3+0.53</f>
        <v>0.83000000000000007</v>
      </c>
      <c r="AL153" s="189">
        <f t="shared" si="113"/>
        <v>-0.04</v>
      </c>
      <c r="AM153" s="189">
        <f>3.39*0.3</f>
        <v>1.0169999999999999</v>
      </c>
      <c r="AN153" s="188">
        <f t="shared" si="86"/>
        <v>4.7405999999999997</v>
      </c>
      <c r="AO153" s="183">
        <v>8</v>
      </c>
      <c r="AP153" s="182">
        <f t="shared" si="104"/>
        <v>10</v>
      </c>
      <c r="AQ153" s="182">
        <v>1.5</v>
      </c>
      <c r="AR153" s="187">
        <f t="shared" si="114"/>
        <v>223.322</v>
      </c>
      <c r="AS153" s="187">
        <f t="shared" si="115"/>
        <v>0</v>
      </c>
      <c r="AT153" s="187">
        <f t="shared" si="116"/>
        <v>0</v>
      </c>
      <c r="AU153" s="187">
        <f t="shared" si="117"/>
        <v>182.05410000000001</v>
      </c>
      <c r="AV153" s="187">
        <f t="shared" si="105"/>
        <v>0</v>
      </c>
      <c r="AW153" s="187">
        <f t="shared" si="118"/>
        <v>0</v>
      </c>
      <c r="AX153" s="187">
        <f t="shared" si="119"/>
        <v>15</v>
      </c>
      <c r="AY153" s="190"/>
      <c r="AZ153" s="240"/>
      <c r="BA153" s="232"/>
      <c r="BF153" s="206"/>
      <c r="BG153" s="206"/>
      <c r="BK153" s="126"/>
      <c r="BL153" s="126"/>
      <c r="BN153" s="126"/>
      <c r="BO153" s="126"/>
      <c r="BQ153" s="126"/>
      <c r="BR153" s="126"/>
      <c r="BT153" s="126"/>
      <c r="BU153" s="126"/>
      <c r="BW153" s="126"/>
      <c r="BX153" s="126"/>
      <c r="BZ153" s="126"/>
      <c r="CA153" s="126"/>
      <c r="CC153" s="126"/>
      <c r="CD153" s="126"/>
      <c r="CF153" s="126"/>
      <c r="CG153" s="126"/>
    </row>
    <row r="154" spans="1:85" s="197" customFormat="1" x14ac:dyDescent="0.3">
      <c r="A154" s="182" t="s">
        <v>229</v>
      </c>
      <c r="B154" s="183">
        <v>1</v>
      </c>
      <c r="C154" s="184" t="s">
        <v>375</v>
      </c>
      <c r="D154" s="187">
        <v>4.22</v>
      </c>
      <c r="E154" s="187">
        <v>2.879</v>
      </c>
      <c r="F154" s="186">
        <v>0.13</v>
      </c>
      <c r="G154" s="187">
        <f t="shared" si="106"/>
        <v>1.5794193999999999</v>
      </c>
      <c r="H154" s="188">
        <f t="shared" si="90"/>
        <v>12.149379999999999</v>
      </c>
      <c r="I154" s="183">
        <f t="shared" si="91"/>
        <v>8</v>
      </c>
      <c r="J154" s="188">
        <f t="shared" si="107"/>
        <v>0.17</v>
      </c>
      <c r="K154" s="183">
        <f t="shared" si="108"/>
        <v>18</v>
      </c>
      <c r="L154" s="189">
        <f t="shared" si="109"/>
        <v>5.4600000000000003E-2</v>
      </c>
      <c r="M154" s="189">
        <f>0.48+0.3</f>
        <v>0.78</v>
      </c>
      <c r="N154" s="189">
        <f t="shared" si="110"/>
        <v>-0.04</v>
      </c>
      <c r="O154" s="189">
        <f>4.24*0.3</f>
        <v>1.272</v>
      </c>
      <c r="P154" s="188">
        <f t="shared" si="120"/>
        <v>6.2866</v>
      </c>
      <c r="Q154" s="183">
        <f t="shared" si="92"/>
        <v>8</v>
      </c>
      <c r="R154" s="188">
        <f t="shared" si="93"/>
        <v>0.17</v>
      </c>
      <c r="S154" s="183">
        <f t="shared" si="94"/>
        <v>17</v>
      </c>
      <c r="T154" s="189">
        <f t="shared" si="95"/>
        <v>5.4600000000000003E-2</v>
      </c>
      <c r="U154" s="189">
        <f>0.48+0.3</f>
        <v>0.78</v>
      </c>
      <c r="V154" s="189">
        <f t="shared" si="111"/>
        <v>-0.04</v>
      </c>
      <c r="W154" s="189">
        <f>6*0.3</f>
        <v>1.7999999999999998</v>
      </c>
      <c r="X154" s="188">
        <f t="shared" si="89"/>
        <v>6.8145999999999995</v>
      </c>
      <c r="Y154" s="183">
        <f t="shared" si="96"/>
        <v>8</v>
      </c>
      <c r="Z154" s="188">
        <f t="shared" si="97"/>
        <v>0.24</v>
      </c>
      <c r="AA154" s="183">
        <f t="shared" si="98"/>
        <v>19</v>
      </c>
      <c r="AB154" s="189">
        <f t="shared" si="99"/>
        <v>5.4600000000000003E-2</v>
      </c>
      <c r="AC154" s="189">
        <f>0.53+0.3</f>
        <v>0.83000000000000007</v>
      </c>
      <c r="AD154" s="189">
        <f t="shared" si="112"/>
        <v>-0.04</v>
      </c>
      <c r="AE154" s="189">
        <f>4.56*0.3</f>
        <v>1.3679999999999999</v>
      </c>
      <c r="AF154" s="188">
        <f t="shared" si="85"/>
        <v>5.0915999999999997</v>
      </c>
      <c r="AG154" s="183">
        <f t="shared" si="100"/>
        <v>8</v>
      </c>
      <c r="AH154" s="182">
        <f t="shared" si="101"/>
        <v>0.24</v>
      </c>
      <c r="AI154" s="183">
        <f t="shared" si="102"/>
        <v>18</v>
      </c>
      <c r="AJ154" s="189">
        <f t="shared" si="103"/>
        <v>5.4600000000000003E-2</v>
      </c>
      <c r="AK154" s="189">
        <f>0.53+0.3</f>
        <v>0.83000000000000007</v>
      </c>
      <c r="AL154" s="189">
        <f t="shared" si="113"/>
        <v>-0.04</v>
      </c>
      <c r="AM154" s="189">
        <f>3.35*0.3</f>
        <v>1.0049999999999999</v>
      </c>
      <c r="AN154" s="188">
        <f t="shared" si="86"/>
        <v>4.7286000000000001</v>
      </c>
      <c r="AO154" s="183">
        <v>8</v>
      </c>
      <c r="AP154" s="182">
        <f t="shared" si="104"/>
        <v>10</v>
      </c>
      <c r="AQ154" s="182">
        <v>1.5</v>
      </c>
      <c r="AR154" s="187">
        <f t="shared" si="114"/>
        <v>229.00700000000001</v>
      </c>
      <c r="AS154" s="187">
        <f t="shared" si="115"/>
        <v>0</v>
      </c>
      <c r="AT154" s="187">
        <f t="shared" si="116"/>
        <v>0</v>
      </c>
      <c r="AU154" s="187">
        <f t="shared" si="117"/>
        <v>181.8552</v>
      </c>
      <c r="AV154" s="187">
        <f t="shared" si="105"/>
        <v>0</v>
      </c>
      <c r="AW154" s="187">
        <f t="shared" si="118"/>
        <v>0</v>
      </c>
      <c r="AX154" s="187">
        <f t="shared" si="119"/>
        <v>15</v>
      </c>
      <c r="AY154" s="190"/>
      <c r="AZ154" s="240"/>
      <c r="BA154" s="232"/>
      <c r="BF154" s="206"/>
      <c r="BG154" s="206"/>
      <c r="BK154" s="126"/>
      <c r="BL154" s="126"/>
      <c r="BN154" s="126"/>
      <c r="BO154" s="126"/>
      <c r="BQ154" s="126"/>
      <c r="BR154" s="126"/>
      <c r="BT154" s="126"/>
      <c r="BU154" s="126"/>
      <c r="BW154" s="126"/>
      <c r="BX154" s="126"/>
      <c r="BZ154" s="126"/>
      <c r="CA154" s="126"/>
      <c r="CC154" s="126"/>
      <c r="CD154" s="126"/>
      <c r="CF154" s="126"/>
      <c r="CG154" s="126"/>
    </row>
    <row r="155" spans="1:85" s="197" customFormat="1" x14ac:dyDescent="0.3">
      <c r="A155" s="182" t="s">
        <v>259</v>
      </c>
      <c r="B155" s="183">
        <v>1</v>
      </c>
      <c r="C155" s="184" t="s">
        <v>376</v>
      </c>
      <c r="D155" s="187">
        <v>5.375</v>
      </c>
      <c r="E155" s="187">
        <v>5.31</v>
      </c>
      <c r="F155" s="186">
        <v>0.17499999999999999</v>
      </c>
      <c r="G155" s="187">
        <f t="shared" si="106"/>
        <v>4.9947187499999997</v>
      </c>
      <c r="H155" s="188">
        <f t="shared" si="90"/>
        <v>28.541249999999998</v>
      </c>
      <c r="I155" s="183">
        <f t="shared" si="91"/>
        <v>10</v>
      </c>
      <c r="J155" s="188">
        <f t="shared" si="107"/>
        <v>1.5</v>
      </c>
      <c r="K155" s="183">
        <f t="shared" si="108"/>
        <v>5</v>
      </c>
      <c r="L155" s="189">
        <f t="shared" si="109"/>
        <v>7.3499999999999996E-2</v>
      </c>
      <c r="M155" s="189">
        <f>0.45+0.3</f>
        <v>0.75</v>
      </c>
      <c r="N155" s="189">
        <f t="shared" si="110"/>
        <v>-0.04</v>
      </c>
      <c r="O155" s="189">
        <f>2.6*0.3</f>
        <v>0.78</v>
      </c>
      <c r="P155" s="188">
        <f t="shared" si="120"/>
        <v>6.9384999999999994</v>
      </c>
      <c r="Q155" s="183">
        <f t="shared" si="92"/>
        <v>10</v>
      </c>
      <c r="R155" s="188">
        <f t="shared" si="93"/>
        <v>1.5</v>
      </c>
      <c r="S155" s="183">
        <f t="shared" si="94"/>
        <v>4</v>
      </c>
      <c r="T155" s="189">
        <f t="shared" si="95"/>
        <v>7.3499999999999996E-2</v>
      </c>
      <c r="U155" s="189">
        <f>0.45+0.3</f>
        <v>0.75</v>
      </c>
      <c r="V155" s="189">
        <f t="shared" si="111"/>
        <v>-0.04</v>
      </c>
      <c r="W155" s="189">
        <f>4.42*0.3</f>
        <v>1.3259999999999998</v>
      </c>
      <c r="X155" s="188">
        <f t="shared" si="89"/>
        <v>7.4844999999999997</v>
      </c>
      <c r="Y155" s="183">
        <f t="shared" si="96"/>
        <v>10</v>
      </c>
      <c r="Z155" s="188">
        <f t="shared" si="97"/>
        <v>0.17</v>
      </c>
      <c r="AA155" s="183">
        <f t="shared" si="98"/>
        <v>33</v>
      </c>
      <c r="AB155" s="189">
        <f t="shared" si="99"/>
        <v>7.3499999999999996E-2</v>
      </c>
      <c r="AC155" s="189">
        <f t="shared" si="87"/>
        <v>0.6</v>
      </c>
      <c r="AD155" s="189">
        <f t="shared" si="112"/>
        <v>-0.04</v>
      </c>
      <c r="AE155" s="189">
        <f>5.85*0.3</f>
        <v>1.7549999999999999</v>
      </c>
      <c r="AF155" s="188">
        <f t="shared" si="85"/>
        <v>7.6984999999999992</v>
      </c>
      <c r="AG155" s="183">
        <f t="shared" si="100"/>
        <v>10</v>
      </c>
      <c r="AH155" s="182">
        <f t="shared" si="101"/>
        <v>0.17</v>
      </c>
      <c r="AI155" s="183">
        <f t="shared" si="102"/>
        <v>32</v>
      </c>
      <c r="AJ155" s="189">
        <f t="shared" si="103"/>
        <v>7.3499999999999996E-2</v>
      </c>
      <c r="AK155" s="189">
        <f t="shared" si="88"/>
        <v>0.6</v>
      </c>
      <c r="AL155" s="189">
        <f t="shared" si="113"/>
        <v>-0.04</v>
      </c>
      <c r="AM155" s="189">
        <f>2.6*0.3</f>
        <v>0.78</v>
      </c>
      <c r="AN155" s="188">
        <f t="shared" si="86"/>
        <v>6.7234999999999996</v>
      </c>
      <c r="AO155" s="183">
        <v>8</v>
      </c>
      <c r="AP155" s="182">
        <f t="shared" si="104"/>
        <v>16</v>
      </c>
      <c r="AQ155" s="182">
        <v>1.5</v>
      </c>
      <c r="AR155" s="187">
        <f t="shared" si="114"/>
        <v>0</v>
      </c>
      <c r="AS155" s="187">
        <f t="shared" si="115"/>
        <v>64.630499999999998</v>
      </c>
      <c r="AT155" s="187">
        <f t="shared" si="116"/>
        <v>0</v>
      </c>
      <c r="AU155" s="187">
        <f t="shared" si="117"/>
        <v>0</v>
      </c>
      <c r="AV155" s="187">
        <f t="shared" si="105"/>
        <v>469.20249999999999</v>
      </c>
      <c r="AW155" s="187">
        <f t="shared" si="118"/>
        <v>0</v>
      </c>
      <c r="AX155" s="187">
        <f t="shared" si="119"/>
        <v>24</v>
      </c>
      <c r="AY155" s="190"/>
      <c r="AZ155" s="240"/>
      <c r="BA155" s="232"/>
      <c r="BF155" s="206"/>
      <c r="BG155" s="206"/>
      <c r="BK155" s="126"/>
      <c r="BL155" s="126"/>
      <c r="BN155" s="126"/>
      <c r="BO155" s="126"/>
      <c r="BQ155" s="126"/>
      <c r="BR155" s="126"/>
      <c r="BT155" s="126"/>
      <c r="BU155" s="126"/>
      <c r="BW155" s="126"/>
      <c r="BX155" s="126"/>
      <c r="BZ155" s="126"/>
      <c r="CA155" s="126"/>
      <c r="CC155" s="126"/>
      <c r="CD155" s="126"/>
      <c r="CF155" s="126"/>
      <c r="CG155" s="126"/>
    </row>
    <row r="156" spans="1:85" s="197" customFormat="1" x14ac:dyDescent="0.3">
      <c r="A156" s="182" t="s">
        <v>225</v>
      </c>
      <c r="B156" s="183">
        <v>1</v>
      </c>
      <c r="C156" s="184" t="s">
        <v>377</v>
      </c>
      <c r="D156" s="187">
        <v>4.42</v>
      </c>
      <c r="E156" s="187">
        <v>5.31</v>
      </c>
      <c r="F156" s="186">
        <v>0.17499999999999999</v>
      </c>
      <c r="G156" s="187">
        <f t="shared" si="106"/>
        <v>4.1072849999999992</v>
      </c>
      <c r="H156" s="188">
        <f t="shared" si="90"/>
        <v>23.470199999999998</v>
      </c>
      <c r="I156" s="183">
        <f t="shared" si="91"/>
        <v>10</v>
      </c>
      <c r="J156" s="188">
        <f t="shared" si="107"/>
        <v>0.18</v>
      </c>
      <c r="K156" s="183">
        <f t="shared" si="108"/>
        <v>31</v>
      </c>
      <c r="L156" s="189">
        <f t="shared" si="109"/>
        <v>7.3499999999999996E-2</v>
      </c>
      <c r="M156" s="189">
        <f t="shared" ref="M156:M181" si="121">0.3*2</f>
        <v>0.6</v>
      </c>
      <c r="N156" s="189">
        <f t="shared" si="110"/>
        <v>-0.04</v>
      </c>
      <c r="O156" s="189">
        <f>5.375*0.3</f>
        <v>1.6125</v>
      </c>
      <c r="P156" s="188">
        <f t="shared" si="120"/>
        <v>6.6660000000000004</v>
      </c>
      <c r="Q156" s="183">
        <f t="shared" si="92"/>
        <v>10</v>
      </c>
      <c r="R156" s="188">
        <f t="shared" si="93"/>
        <v>0.18</v>
      </c>
      <c r="S156" s="183">
        <f t="shared" si="94"/>
        <v>30</v>
      </c>
      <c r="T156" s="189">
        <f t="shared" si="95"/>
        <v>7.3499999999999996E-2</v>
      </c>
      <c r="U156" s="189">
        <f t="shared" ref="U156:U181" si="122">0.3*2</f>
        <v>0.6</v>
      </c>
      <c r="V156" s="189">
        <f t="shared" si="111"/>
        <v>-0.04</v>
      </c>
      <c r="W156" s="189">
        <f>3.81*0.3</f>
        <v>1.143</v>
      </c>
      <c r="X156" s="188">
        <f t="shared" si="89"/>
        <v>6.1965000000000003</v>
      </c>
      <c r="Y156" s="183">
        <f t="shared" si="96"/>
        <v>10</v>
      </c>
      <c r="Z156" s="188">
        <f t="shared" si="97"/>
        <v>0.2</v>
      </c>
      <c r="AA156" s="183">
        <f t="shared" si="98"/>
        <v>23</v>
      </c>
      <c r="AB156" s="189">
        <f t="shared" si="99"/>
        <v>7.3499999999999996E-2</v>
      </c>
      <c r="AC156" s="189">
        <f t="shared" si="87"/>
        <v>0.6</v>
      </c>
      <c r="AD156" s="189">
        <f t="shared" si="112"/>
        <v>-0.04</v>
      </c>
      <c r="AE156" s="189">
        <f>5.85*0.3</f>
        <v>1.7549999999999999</v>
      </c>
      <c r="AF156" s="188">
        <f t="shared" ref="AF156:AF163" si="123">+E156+SUM(AB156:AE156)</f>
        <v>7.6984999999999992</v>
      </c>
      <c r="AG156" s="183">
        <f t="shared" si="100"/>
        <v>10</v>
      </c>
      <c r="AH156" s="182">
        <f t="shared" si="101"/>
        <v>0.2</v>
      </c>
      <c r="AI156" s="183">
        <f t="shared" si="102"/>
        <v>22</v>
      </c>
      <c r="AJ156" s="189">
        <f t="shared" si="103"/>
        <v>7.3499999999999996E-2</v>
      </c>
      <c r="AK156" s="189">
        <f t="shared" si="88"/>
        <v>0.6</v>
      </c>
      <c r="AL156" s="189">
        <f t="shared" si="113"/>
        <v>-0.04</v>
      </c>
      <c r="AM156" s="189">
        <f>2.6*0.3</f>
        <v>0.78</v>
      </c>
      <c r="AN156" s="188">
        <f t="shared" ref="AN156:AN181" si="124">+E156+SUM(AJ156:AM156)</f>
        <v>6.7234999999999996</v>
      </c>
      <c r="AO156" s="183">
        <v>8</v>
      </c>
      <c r="AP156" s="182">
        <f t="shared" si="104"/>
        <v>14</v>
      </c>
      <c r="AQ156" s="182">
        <v>1.5</v>
      </c>
      <c r="AR156" s="187">
        <f t="shared" si="114"/>
        <v>0</v>
      </c>
      <c r="AS156" s="187">
        <f t="shared" si="115"/>
        <v>392.54100000000005</v>
      </c>
      <c r="AT156" s="187">
        <f t="shared" si="116"/>
        <v>0</v>
      </c>
      <c r="AU156" s="187">
        <f t="shared" si="117"/>
        <v>0</v>
      </c>
      <c r="AV156" s="187">
        <f t="shared" si="105"/>
        <v>324.98249999999996</v>
      </c>
      <c r="AW156" s="187">
        <f t="shared" si="118"/>
        <v>0</v>
      </c>
      <c r="AX156" s="187">
        <f t="shared" si="119"/>
        <v>21</v>
      </c>
      <c r="AY156" s="190"/>
      <c r="AZ156" s="240"/>
      <c r="BA156" s="232"/>
      <c r="BF156" s="206"/>
      <c r="BG156" s="206"/>
      <c r="BK156" s="126"/>
      <c r="BL156" s="126"/>
      <c r="BN156" s="126"/>
      <c r="BO156" s="126"/>
      <c r="BQ156" s="126"/>
      <c r="BR156" s="126"/>
      <c r="BT156" s="126"/>
      <c r="BU156" s="126"/>
      <c r="BW156" s="126"/>
      <c r="BX156" s="126"/>
      <c r="BZ156" s="126"/>
      <c r="CA156" s="126"/>
      <c r="CC156" s="126"/>
      <c r="CD156" s="126"/>
      <c r="CF156" s="126"/>
      <c r="CG156" s="126"/>
    </row>
    <row r="157" spans="1:85" s="197" customFormat="1" x14ac:dyDescent="0.3">
      <c r="A157" s="182" t="s">
        <v>227</v>
      </c>
      <c r="B157" s="183">
        <v>1</v>
      </c>
      <c r="C157" s="184" t="s">
        <v>378</v>
      </c>
      <c r="D157" s="187">
        <v>3.81</v>
      </c>
      <c r="E157" s="187">
        <v>2.0499999999999998</v>
      </c>
      <c r="F157" s="186">
        <v>0.125</v>
      </c>
      <c r="G157" s="187">
        <f t="shared" si="106"/>
        <v>0.97631249999999992</v>
      </c>
      <c r="H157" s="188">
        <f t="shared" si="90"/>
        <v>7.8104999999999993</v>
      </c>
      <c r="I157" s="183">
        <f t="shared" si="91"/>
        <v>8</v>
      </c>
      <c r="J157" s="188">
        <f t="shared" si="107"/>
        <v>0.2</v>
      </c>
      <c r="K157" s="183">
        <f t="shared" si="108"/>
        <v>11</v>
      </c>
      <c r="L157" s="189">
        <f t="shared" si="109"/>
        <v>5.2499999999999998E-2</v>
      </c>
      <c r="M157" s="189">
        <f t="shared" si="121"/>
        <v>0.6</v>
      </c>
      <c r="N157" s="189">
        <f t="shared" si="110"/>
        <v>-0.04</v>
      </c>
      <c r="O157" s="189">
        <f>4.42*0.3</f>
        <v>1.3259999999999998</v>
      </c>
      <c r="P157" s="188">
        <f t="shared" si="120"/>
        <v>5.7484999999999999</v>
      </c>
      <c r="Q157" s="183">
        <f t="shared" si="92"/>
        <v>8</v>
      </c>
      <c r="R157" s="188">
        <f t="shared" si="93"/>
        <v>0.2</v>
      </c>
      <c r="S157" s="183">
        <f t="shared" si="94"/>
        <v>10</v>
      </c>
      <c r="T157" s="189">
        <f t="shared" si="95"/>
        <v>5.2499999999999998E-2</v>
      </c>
      <c r="U157" s="189">
        <f t="shared" si="122"/>
        <v>0.6</v>
      </c>
      <c r="V157" s="189">
        <f t="shared" si="111"/>
        <v>-0.04</v>
      </c>
      <c r="W157" s="189">
        <f>4.49*0.3</f>
        <v>1.347</v>
      </c>
      <c r="X157" s="188">
        <f t="shared" si="89"/>
        <v>5.7694999999999999</v>
      </c>
      <c r="Y157" s="183">
        <f t="shared" si="96"/>
        <v>8</v>
      </c>
      <c r="Z157" s="188">
        <f t="shared" si="97"/>
        <v>0.2</v>
      </c>
      <c r="AA157" s="183">
        <f t="shared" si="98"/>
        <v>20</v>
      </c>
      <c r="AB157" s="189">
        <f t="shared" si="99"/>
        <v>5.2499999999999998E-2</v>
      </c>
      <c r="AC157" s="189">
        <f>0.23*2</f>
        <v>0.46</v>
      </c>
      <c r="AD157" s="189">
        <f t="shared" si="112"/>
        <v>-0.04</v>
      </c>
      <c r="AE157" s="189">
        <f>3.34*0.3</f>
        <v>1.002</v>
      </c>
      <c r="AF157" s="188">
        <f t="shared" si="123"/>
        <v>3.5244999999999997</v>
      </c>
      <c r="AG157" s="183">
        <f t="shared" si="100"/>
        <v>8</v>
      </c>
      <c r="AH157" s="182">
        <f t="shared" si="101"/>
        <v>0.2</v>
      </c>
      <c r="AI157" s="183">
        <f t="shared" si="102"/>
        <v>19</v>
      </c>
      <c r="AJ157" s="189">
        <f t="shared" si="103"/>
        <v>5.2499999999999998E-2</v>
      </c>
      <c r="AK157" s="189">
        <f>0.23*2</f>
        <v>0.46</v>
      </c>
      <c r="AL157" s="189">
        <f t="shared" si="113"/>
        <v>-0.04</v>
      </c>
      <c r="AM157" s="189">
        <f>1.29*0.3</f>
        <v>0.38700000000000001</v>
      </c>
      <c r="AN157" s="188">
        <f t="shared" si="124"/>
        <v>2.9095</v>
      </c>
      <c r="AO157" s="183">
        <v>8</v>
      </c>
      <c r="AP157" s="182">
        <f t="shared" si="104"/>
        <v>8</v>
      </c>
      <c r="AQ157" s="182">
        <v>1.5</v>
      </c>
      <c r="AR157" s="187">
        <f t="shared" si="114"/>
        <v>120.9285</v>
      </c>
      <c r="AS157" s="187">
        <f t="shared" si="115"/>
        <v>0</v>
      </c>
      <c r="AT157" s="187">
        <f t="shared" si="116"/>
        <v>0</v>
      </c>
      <c r="AU157" s="187">
        <f t="shared" si="117"/>
        <v>125.7705</v>
      </c>
      <c r="AV157" s="187">
        <f t="shared" si="105"/>
        <v>0</v>
      </c>
      <c r="AW157" s="187">
        <f t="shared" si="118"/>
        <v>0</v>
      </c>
      <c r="AX157" s="187">
        <f t="shared" si="119"/>
        <v>12</v>
      </c>
      <c r="AY157" s="190"/>
      <c r="AZ157" s="240"/>
      <c r="BA157" s="232"/>
      <c r="BF157" s="206"/>
      <c r="BG157" s="206"/>
      <c r="BK157" s="126"/>
      <c r="BL157" s="126"/>
      <c r="BN157" s="126"/>
      <c r="BO157" s="126"/>
      <c r="BQ157" s="126"/>
      <c r="BR157" s="126"/>
      <c r="BT157" s="126"/>
      <c r="BU157" s="126"/>
      <c r="BW157" s="126"/>
      <c r="BX157" s="126"/>
      <c r="BZ157" s="126"/>
      <c r="CA157" s="126"/>
      <c r="CC157" s="126"/>
      <c r="CD157" s="126"/>
      <c r="CF157" s="126"/>
      <c r="CG157" s="126"/>
    </row>
    <row r="158" spans="1:85" s="197" customFormat="1" x14ac:dyDescent="0.3">
      <c r="A158" s="182" t="s">
        <v>230</v>
      </c>
      <c r="B158" s="183">
        <v>1</v>
      </c>
      <c r="C158" s="184" t="s">
        <v>379</v>
      </c>
      <c r="D158" s="187">
        <v>3.81</v>
      </c>
      <c r="E158" s="187">
        <v>3.34</v>
      </c>
      <c r="F158" s="186">
        <v>0.16500000000000001</v>
      </c>
      <c r="G158" s="187">
        <f t="shared" si="106"/>
        <v>2.099691</v>
      </c>
      <c r="H158" s="188">
        <f t="shared" si="90"/>
        <v>12.7254</v>
      </c>
      <c r="I158" s="183">
        <f t="shared" si="91"/>
        <v>10</v>
      </c>
      <c r="J158" s="188">
        <f t="shared" si="107"/>
        <v>0.23</v>
      </c>
      <c r="K158" s="183">
        <f t="shared" si="108"/>
        <v>16</v>
      </c>
      <c r="L158" s="189">
        <f t="shared" si="109"/>
        <v>6.93E-2</v>
      </c>
      <c r="M158" s="189">
        <f t="shared" si="121"/>
        <v>0.6</v>
      </c>
      <c r="N158" s="189">
        <f t="shared" si="110"/>
        <v>-0.04</v>
      </c>
      <c r="O158" s="189">
        <f>4.42*0.3</f>
        <v>1.3259999999999998</v>
      </c>
      <c r="P158" s="188">
        <f t="shared" si="120"/>
        <v>5.7652999999999999</v>
      </c>
      <c r="Q158" s="183">
        <f t="shared" si="92"/>
        <v>10</v>
      </c>
      <c r="R158" s="188">
        <f t="shared" si="93"/>
        <v>0.23</v>
      </c>
      <c r="S158" s="183">
        <f t="shared" si="94"/>
        <v>15</v>
      </c>
      <c r="T158" s="189">
        <f t="shared" si="95"/>
        <v>6.93E-2</v>
      </c>
      <c r="U158" s="189">
        <f t="shared" si="122"/>
        <v>0.6</v>
      </c>
      <c r="V158" s="189">
        <f t="shared" si="111"/>
        <v>-0.04</v>
      </c>
      <c r="W158" s="189">
        <f>4.49*0.3</f>
        <v>1.347</v>
      </c>
      <c r="X158" s="188">
        <f t="shared" si="89"/>
        <v>5.7862999999999998</v>
      </c>
      <c r="Y158" s="183">
        <f t="shared" si="96"/>
        <v>8</v>
      </c>
      <c r="Z158" s="188">
        <f t="shared" si="97"/>
        <v>0.23</v>
      </c>
      <c r="AA158" s="183">
        <f t="shared" si="98"/>
        <v>18</v>
      </c>
      <c r="AB158" s="189">
        <f t="shared" si="99"/>
        <v>6.93E-2</v>
      </c>
      <c r="AC158" s="189">
        <f>0.3+0.23</f>
        <v>0.53</v>
      </c>
      <c r="AD158" s="189">
        <f t="shared" si="112"/>
        <v>-0.04</v>
      </c>
      <c r="AE158" s="189">
        <f>5.85*0.3</f>
        <v>1.7549999999999999</v>
      </c>
      <c r="AF158" s="188">
        <f t="shared" si="123"/>
        <v>5.6542999999999992</v>
      </c>
      <c r="AG158" s="183">
        <f t="shared" si="100"/>
        <v>8</v>
      </c>
      <c r="AH158" s="182">
        <f t="shared" si="101"/>
        <v>0.23</v>
      </c>
      <c r="AI158" s="183">
        <f t="shared" si="102"/>
        <v>17</v>
      </c>
      <c r="AJ158" s="189">
        <f t="shared" si="103"/>
        <v>6.93E-2</v>
      </c>
      <c r="AK158" s="189">
        <f>0.3+0.23</f>
        <v>0.53</v>
      </c>
      <c r="AL158" s="189">
        <f t="shared" si="113"/>
        <v>-0.04</v>
      </c>
      <c r="AM158" s="189">
        <f>2.05*0.3</f>
        <v>0.61499999999999988</v>
      </c>
      <c r="AN158" s="188">
        <f t="shared" si="124"/>
        <v>4.5142999999999995</v>
      </c>
      <c r="AO158" s="183">
        <v>8</v>
      </c>
      <c r="AP158" s="182">
        <f t="shared" si="104"/>
        <v>10</v>
      </c>
      <c r="AQ158" s="182">
        <v>1.5</v>
      </c>
      <c r="AR158" s="187">
        <f t="shared" si="114"/>
        <v>0</v>
      </c>
      <c r="AS158" s="187">
        <f t="shared" si="115"/>
        <v>179.0393</v>
      </c>
      <c r="AT158" s="187">
        <f t="shared" si="116"/>
        <v>0</v>
      </c>
      <c r="AU158" s="187">
        <f t="shared" si="117"/>
        <v>178.52049999999997</v>
      </c>
      <c r="AV158" s="187">
        <f t="shared" si="105"/>
        <v>0</v>
      </c>
      <c r="AW158" s="187">
        <f t="shared" si="118"/>
        <v>0</v>
      </c>
      <c r="AX158" s="187">
        <f t="shared" si="119"/>
        <v>15</v>
      </c>
      <c r="AY158" s="190"/>
      <c r="AZ158" s="240"/>
      <c r="BA158" s="232"/>
      <c r="BF158" s="206"/>
      <c r="BG158" s="206"/>
      <c r="BK158" s="126"/>
      <c r="BL158" s="126"/>
      <c r="BN158" s="126"/>
      <c r="BO158" s="126"/>
      <c r="BQ158" s="126"/>
      <c r="BR158" s="126"/>
      <c r="BT158" s="126"/>
      <c r="BU158" s="126"/>
      <c r="BW158" s="126"/>
      <c r="BX158" s="126"/>
      <c r="BZ158" s="126"/>
      <c r="CA158" s="126"/>
      <c r="CC158" s="126"/>
      <c r="CD158" s="126"/>
      <c r="CF158" s="126"/>
      <c r="CG158" s="126"/>
    </row>
    <row r="159" spans="1:85" s="197" customFormat="1" x14ac:dyDescent="0.3">
      <c r="A159" s="182" t="s">
        <v>225</v>
      </c>
      <c r="B159" s="183">
        <v>1</v>
      </c>
      <c r="C159" s="184" t="s">
        <v>380</v>
      </c>
      <c r="D159" s="187">
        <v>4.49</v>
      </c>
      <c r="E159" s="187">
        <v>5.31</v>
      </c>
      <c r="F159" s="186">
        <v>0.17499999999999999</v>
      </c>
      <c r="G159" s="187">
        <f t="shared" si="106"/>
        <v>4.1723324999999996</v>
      </c>
      <c r="H159" s="188">
        <f t="shared" si="90"/>
        <v>23.841899999999999</v>
      </c>
      <c r="I159" s="183">
        <f t="shared" si="91"/>
        <v>10</v>
      </c>
      <c r="J159" s="188">
        <f t="shared" si="107"/>
        <v>0.18</v>
      </c>
      <c r="K159" s="183">
        <f t="shared" si="108"/>
        <v>31</v>
      </c>
      <c r="L159" s="189">
        <f t="shared" si="109"/>
        <v>7.3499999999999996E-2</v>
      </c>
      <c r="M159" s="189">
        <f>0.3+0.23</f>
        <v>0.53</v>
      </c>
      <c r="N159" s="189">
        <f t="shared" si="110"/>
        <v>-0.04</v>
      </c>
      <c r="O159" s="189">
        <f>3.81*0.3</f>
        <v>1.143</v>
      </c>
      <c r="P159" s="188">
        <f t="shared" si="120"/>
        <v>6.1965000000000003</v>
      </c>
      <c r="Q159" s="183">
        <f t="shared" si="92"/>
        <v>10</v>
      </c>
      <c r="R159" s="188">
        <f t="shared" si="93"/>
        <v>0.18</v>
      </c>
      <c r="S159" s="183">
        <f t="shared" si="94"/>
        <v>30</v>
      </c>
      <c r="T159" s="189">
        <f t="shared" si="95"/>
        <v>7.3499999999999996E-2</v>
      </c>
      <c r="U159" s="189">
        <f>0.3+0.23</f>
        <v>0.53</v>
      </c>
      <c r="V159" s="189">
        <f t="shared" si="111"/>
        <v>-0.04</v>
      </c>
      <c r="W159" s="189">
        <f>4.08*0.3</f>
        <v>1.224</v>
      </c>
      <c r="X159" s="188">
        <f t="shared" si="89"/>
        <v>6.2774999999999999</v>
      </c>
      <c r="Y159" s="183">
        <f t="shared" si="96"/>
        <v>10</v>
      </c>
      <c r="Z159" s="188">
        <f t="shared" si="97"/>
        <v>0.2</v>
      </c>
      <c r="AA159" s="183">
        <f t="shared" si="98"/>
        <v>23</v>
      </c>
      <c r="AB159" s="189">
        <f t="shared" si="99"/>
        <v>7.3499999999999996E-2</v>
      </c>
      <c r="AC159" s="189">
        <f>0.3+0.23</f>
        <v>0.53</v>
      </c>
      <c r="AD159" s="189">
        <f t="shared" si="112"/>
        <v>-0.04</v>
      </c>
      <c r="AE159" s="189">
        <f>5.85*0.3</f>
        <v>1.7549999999999999</v>
      </c>
      <c r="AF159" s="188">
        <f t="shared" si="123"/>
        <v>7.6284999999999989</v>
      </c>
      <c r="AG159" s="183">
        <f t="shared" si="100"/>
        <v>10</v>
      </c>
      <c r="AH159" s="182">
        <f t="shared" si="101"/>
        <v>0.2</v>
      </c>
      <c r="AI159" s="183">
        <f t="shared" si="102"/>
        <v>22</v>
      </c>
      <c r="AJ159" s="189">
        <f t="shared" si="103"/>
        <v>7.3499999999999996E-2</v>
      </c>
      <c r="AK159" s="189">
        <f>0.3+0.23</f>
        <v>0.53</v>
      </c>
      <c r="AL159" s="189">
        <f t="shared" si="113"/>
        <v>-0.04</v>
      </c>
      <c r="AM159" s="189">
        <f>2.6*0.3</f>
        <v>0.78</v>
      </c>
      <c r="AN159" s="188">
        <f t="shared" si="124"/>
        <v>6.6534999999999993</v>
      </c>
      <c r="AO159" s="183">
        <v>8</v>
      </c>
      <c r="AP159" s="182">
        <f t="shared" si="104"/>
        <v>14</v>
      </c>
      <c r="AQ159" s="182">
        <v>1.5</v>
      </c>
      <c r="AR159" s="187">
        <f t="shared" si="114"/>
        <v>0</v>
      </c>
      <c r="AS159" s="187">
        <f t="shared" si="115"/>
        <v>380.41649999999998</v>
      </c>
      <c r="AT159" s="187">
        <f t="shared" si="116"/>
        <v>0</v>
      </c>
      <c r="AU159" s="187">
        <f t="shared" si="117"/>
        <v>0</v>
      </c>
      <c r="AV159" s="187">
        <f t="shared" si="105"/>
        <v>321.83249999999998</v>
      </c>
      <c r="AW159" s="187">
        <f t="shared" si="118"/>
        <v>0</v>
      </c>
      <c r="AX159" s="187">
        <f t="shared" si="119"/>
        <v>21</v>
      </c>
      <c r="AY159" s="190"/>
      <c r="AZ159" s="240"/>
      <c r="BA159" s="232"/>
      <c r="BF159" s="206"/>
      <c r="BG159" s="206"/>
      <c r="BK159" s="126"/>
      <c r="BL159" s="126"/>
      <c r="BN159" s="126"/>
      <c r="BO159" s="126"/>
      <c r="BQ159" s="126"/>
      <c r="BR159" s="126"/>
      <c r="BT159" s="126"/>
      <c r="BU159" s="126"/>
      <c r="BW159" s="126"/>
      <c r="BX159" s="126"/>
      <c r="BZ159" s="126"/>
      <c r="CA159" s="126"/>
      <c r="CC159" s="126"/>
      <c r="CD159" s="126"/>
      <c r="CF159" s="126"/>
      <c r="CG159" s="126"/>
    </row>
    <row r="160" spans="1:85" s="197" customFormat="1" x14ac:dyDescent="0.3">
      <c r="A160" s="182" t="s">
        <v>225</v>
      </c>
      <c r="B160" s="183">
        <v>1</v>
      </c>
      <c r="C160" s="184" t="s">
        <v>381</v>
      </c>
      <c r="D160" s="187">
        <v>4.08</v>
      </c>
      <c r="E160" s="187">
        <v>5.31</v>
      </c>
      <c r="F160" s="186">
        <v>0.17499999999999999</v>
      </c>
      <c r="G160" s="187">
        <f t="shared" si="106"/>
        <v>3.7913399999999995</v>
      </c>
      <c r="H160" s="188">
        <f t="shared" si="90"/>
        <v>21.6648</v>
      </c>
      <c r="I160" s="183">
        <f t="shared" si="91"/>
        <v>10</v>
      </c>
      <c r="J160" s="188">
        <f t="shared" si="107"/>
        <v>0.18</v>
      </c>
      <c r="K160" s="183">
        <f t="shared" si="108"/>
        <v>31</v>
      </c>
      <c r="L160" s="189">
        <f t="shared" si="109"/>
        <v>7.3499999999999996E-2</v>
      </c>
      <c r="M160" s="189">
        <f>0.3+0.23</f>
        <v>0.53</v>
      </c>
      <c r="N160" s="189">
        <f t="shared" si="110"/>
        <v>-0.04</v>
      </c>
      <c r="O160" s="189">
        <f>4.49*0.3</f>
        <v>1.347</v>
      </c>
      <c r="P160" s="188">
        <f t="shared" si="120"/>
        <v>5.9904999999999999</v>
      </c>
      <c r="Q160" s="183">
        <f t="shared" si="92"/>
        <v>10</v>
      </c>
      <c r="R160" s="188">
        <f t="shared" si="93"/>
        <v>0.18</v>
      </c>
      <c r="S160" s="183">
        <f t="shared" si="94"/>
        <v>30</v>
      </c>
      <c r="T160" s="189">
        <f t="shared" si="95"/>
        <v>7.3499999999999996E-2</v>
      </c>
      <c r="U160" s="189">
        <f>0.3+0.23</f>
        <v>0.53</v>
      </c>
      <c r="V160" s="189">
        <f t="shared" si="111"/>
        <v>-0.04</v>
      </c>
      <c r="W160" s="189">
        <f>3.198*0.3</f>
        <v>0.95939999999999992</v>
      </c>
      <c r="X160" s="188">
        <f t="shared" si="89"/>
        <v>5.6029</v>
      </c>
      <c r="Y160" s="183">
        <f t="shared" si="96"/>
        <v>10</v>
      </c>
      <c r="Z160" s="188">
        <f t="shared" si="97"/>
        <v>0.2</v>
      </c>
      <c r="AA160" s="183">
        <f t="shared" si="98"/>
        <v>21</v>
      </c>
      <c r="AB160" s="189">
        <f t="shared" si="99"/>
        <v>7.3499999999999996E-2</v>
      </c>
      <c r="AC160" s="189">
        <f t="shared" ref="AC160:AC181" si="125">0.3*2</f>
        <v>0.6</v>
      </c>
      <c r="AD160" s="189">
        <f t="shared" si="112"/>
        <v>-0.04</v>
      </c>
      <c r="AE160" s="189">
        <f>5.85*0.3</f>
        <v>1.7549999999999999</v>
      </c>
      <c r="AF160" s="188">
        <f t="shared" si="123"/>
        <v>7.6984999999999992</v>
      </c>
      <c r="AG160" s="183">
        <f t="shared" si="100"/>
        <v>10</v>
      </c>
      <c r="AH160" s="182">
        <f t="shared" si="101"/>
        <v>0.2</v>
      </c>
      <c r="AI160" s="183">
        <f t="shared" si="102"/>
        <v>20</v>
      </c>
      <c r="AJ160" s="189">
        <f t="shared" si="103"/>
        <v>7.3499999999999996E-2</v>
      </c>
      <c r="AK160" s="189">
        <f t="shared" ref="AK160:AK181" si="126">0.3*2</f>
        <v>0.6</v>
      </c>
      <c r="AL160" s="189">
        <f t="shared" si="113"/>
        <v>-0.04</v>
      </c>
      <c r="AM160" s="189">
        <f>2.6*0.3</f>
        <v>0.78</v>
      </c>
      <c r="AN160" s="188">
        <f t="shared" si="124"/>
        <v>6.7234999999999996</v>
      </c>
      <c r="AO160" s="183">
        <v>8</v>
      </c>
      <c r="AP160" s="182">
        <f t="shared" si="104"/>
        <v>14</v>
      </c>
      <c r="AQ160" s="182">
        <v>1.5</v>
      </c>
      <c r="AR160" s="187">
        <f t="shared" si="114"/>
        <v>0</v>
      </c>
      <c r="AS160" s="187">
        <f t="shared" si="115"/>
        <v>353.79250000000002</v>
      </c>
      <c r="AT160" s="187">
        <f t="shared" si="116"/>
        <v>0</v>
      </c>
      <c r="AU160" s="187">
        <f t="shared" si="117"/>
        <v>0</v>
      </c>
      <c r="AV160" s="187">
        <f t="shared" si="105"/>
        <v>296.13850000000002</v>
      </c>
      <c r="AW160" s="187">
        <f t="shared" si="118"/>
        <v>0</v>
      </c>
      <c r="AX160" s="187">
        <f t="shared" si="119"/>
        <v>21</v>
      </c>
      <c r="AY160" s="190"/>
      <c r="AZ160" s="240"/>
      <c r="BA160" s="232"/>
      <c r="BF160" s="206"/>
      <c r="BG160" s="206"/>
      <c r="BK160" s="126"/>
      <c r="BL160" s="126"/>
      <c r="BN160" s="126"/>
      <c r="BO160" s="126"/>
      <c r="BQ160" s="126"/>
      <c r="BR160" s="126"/>
      <c r="BT160" s="126"/>
      <c r="BU160" s="126"/>
      <c r="BW160" s="126"/>
      <c r="BX160" s="126"/>
      <c r="BZ160" s="126"/>
      <c r="CA160" s="126"/>
      <c r="CC160" s="126"/>
      <c r="CD160" s="126"/>
      <c r="CF160" s="126"/>
      <c r="CG160" s="126"/>
    </row>
    <row r="161" spans="1:85" s="197" customFormat="1" x14ac:dyDescent="0.3">
      <c r="A161" s="182" t="s">
        <v>240</v>
      </c>
      <c r="B161" s="183">
        <v>1</v>
      </c>
      <c r="C161" s="184" t="s">
        <v>382</v>
      </c>
      <c r="D161" s="187">
        <v>3.198</v>
      </c>
      <c r="E161" s="187">
        <v>4.5570000000000004</v>
      </c>
      <c r="F161" s="186">
        <v>0.16</v>
      </c>
      <c r="G161" s="187">
        <f t="shared" si="106"/>
        <v>2.3317257600000003</v>
      </c>
      <c r="H161" s="188">
        <f t="shared" si="90"/>
        <v>14.573286000000001</v>
      </c>
      <c r="I161" s="183">
        <f t="shared" si="91"/>
        <v>10</v>
      </c>
      <c r="J161" s="188">
        <f t="shared" si="107"/>
        <v>0.2</v>
      </c>
      <c r="K161" s="183">
        <f t="shared" si="108"/>
        <v>24</v>
      </c>
      <c r="L161" s="189">
        <f t="shared" si="109"/>
        <v>6.7199999999999996E-2</v>
      </c>
      <c r="M161" s="189">
        <f t="shared" si="121"/>
        <v>0.6</v>
      </c>
      <c r="N161" s="189">
        <f t="shared" si="110"/>
        <v>-0.04</v>
      </c>
      <c r="O161" s="189">
        <f>4.08*0.3</f>
        <v>1.224</v>
      </c>
      <c r="P161" s="188">
        <f t="shared" si="120"/>
        <v>5.0491999999999999</v>
      </c>
      <c r="Q161" s="183">
        <f t="shared" si="92"/>
        <v>10</v>
      </c>
      <c r="R161" s="188">
        <f t="shared" si="93"/>
        <v>0.2</v>
      </c>
      <c r="S161" s="183">
        <f t="shared" si="94"/>
        <v>23</v>
      </c>
      <c r="T161" s="189">
        <f t="shared" si="95"/>
        <v>6.7199999999999996E-2</v>
      </c>
      <c r="U161" s="189">
        <f t="shared" si="122"/>
        <v>0.6</v>
      </c>
      <c r="V161" s="189">
        <f t="shared" si="111"/>
        <v>-0.04</v>
      </c>
      <c r="W161" s="189">
        <f>4.86*0.3</f>
        <v>1.458</v>
      </c>
      <c r="X161" s="188">
        <f t="shared" si="89"/>
        <v>5.2831999999999999</v>
      </c>
      <c r="Y161" s="183">
        <f t="shared" si="96"/>
        <v>10</v>
      </c>
      <c r="Z161" s="188">
        <f t="shared" si="97"/>
        <v>0.2</v>
      </c>
      <c r="AA161" s="183">
        <f t="shared" si="98"/>
        <v>17</v>
      </c>
      <c r="AB161" s="189">
        <f t="shared" si="99"/>
        <v>6.7199999999999996E-2</v>
      </c>
      <c r="AC161" s="189">
        <f>0.51+0.53</f>
        <v>1.04</v>
      </c>
      <c r="AD161" s="189">
        <f t="shared" si="112"/>
        <v>-0.04</v>
      </c>
      <c r="AE161" s="189">
        <f>5.88*0.3</f>
        <v>1.764</v>
      </c>
      <c r="AF161" s="188">
        <f t="shared" si="123"/>
        <v>7.3882000000000003</v>
      </c>
      <c r="AG161" s="183">
        <f t="shared" si="100"/>
        <v>10</v>
      </c>
      <c r="AH161" s="182">
        <f t="shared" si="101"/>
        <v>0.2</v>
      </c>
      <c r="AI161" s="183">
        <f t="shared" si="102"/>
        <v>16</v>
      </c>
      <c r="AJ161" s="189">
        <f t="shared" si="103"/>
        <v>6.7199999999999996E-2</v>
      </c>
      <c r="AK161" s="189">
        <f>0.51+0.53</f>
        <v>1.04</v>
      </c>
      <c r="AL161" s="189">
        <f t="shared" si="113"/>
        <v>-0.04</v>
      </c>
      <c r="AM161" s="189">
        <f>2.88*0.3</f>
        <v>0.86399999999999999</v>
      </c>
      <c r="AN161" s="188">
        <f t="shared" si="124"/>
        <v>6.4882000000000009</v>
      </c>
      <c r="AO161" s="183">
        <v>8</v>
      </c>
      <c r="AP161" s="182">
        <f t="shared" si="104"/>
        <v>10</v>
      </c>
      <c r="AQ161" s="182">
        <v>1.5</v>
      </c>
      <c r="AR161" s="187">
        <f t="shared" si="114"/>
        <v>0</v>
      </c>
      <c r="AS161" s="187">
        <f t="shared" si="115"/>
        <v>242.6944</v>
      </c>
      <c r="AT161" s="187">
        <f t="shared" si="116"/>
        <v>0</v>
      </c>
      <c r="AU161" s="187">
        <f t="shared" si="117"/>
        <v>0</v>
      </c>
      <c r="AV161" s="187">
        <f t="shared" si="105"/>
        <v>229.41060000000002</v>
      </c>
      <c r="AW161" s="187">
        <f t="shared" si="118"/>
        <v>0</v>
      </c>
      <c r="AX161" s="187">
        <f t="shared" si="119"/>
        <v>15</v>
      </c>
      <c r="AY161" s="190"/>
      <c r="AZ161" s="240"/>
      <c r="BA161" s="232"/>
      <c r="BF161" s="206"/>
      <c r="BG161" s="206"/>
      <c r="BK161" s="126"/>
      <c r="BL161" s="126"/>
      <c r="BN161" s="126"/>
      <c r="BO161" s="126"/>
      <c r="BQ161" s="126"/>
      <c r="BR161" s="126"/>
      <c r="BT161" s="126"/>
      <c r="BU161" s="126"/>
      <c r="BW161" s="126"/>
      <c r="BX161" s="126"/>
      <c r="BZ161" s="126"/>
      <c r="CA161" s="126"/>
      <c r="CC161" s="126"/>
      <c r="CD161" s="126"/>
      <c r="CF161" s="126"/>
      <c r="CG161" s="126"/>
    </row>
    <row r="162" spans="1:85" s="197" customFormat="1" x14ac:dyDescent="0.3">
      <c r="A162" s="182" t="s">
        <v>259</v>
      </c>
      <c r="B162" s="183">
        <v>1</v>
      </c>
      <c r="C162" s="184" t="s">
        <v>383</v>
      </c>
      <c r="D162" s="187">
        <v>4.8600000000000003</v>
      </c>
      <c r="E162" s="187">
        <v>4.5570000000000004</v>
      </c>
      <c r="F162" s="186">
        <v>0.17499999999999999</v>
      </c>
      <c r="G162" s="187">
        <f t="shared" si="106"/>
        <v>3.8757285000000006</v>
      </c>
      <c r="H162" s="188">
        <f t="shared" si="90"/>
        <v>22.147020000000005</v>
      </c>
      <c r="I162" s="183">
        <f t="shared" si="91"/>
        <v>10</v>
      </c>
      <c r="J162" s="188">
        <f t="shared" si="107"/>
        <v>1.5</v>
      </c>
      <c r="K162" s="183">
        <f t="shared" si="108"/>
        <v>4</v>
      </c>
      <c r="L162" s="189">
        <f t="shared" si="109"/>
        <v>7.3499999999999996E-2</v>
      </c>
      <c r="M162" s="189">
        <f t="shared" si="121"/>
        <v>0.6</v>
      </c>
      <c r="N162" s="189">
        <f t="shared" si="110"/>
        <v>-0.04</v>
      </c>
      <c r="O162" s="189">
        <f>3.198*0.3</f>
        <v>0.95939999999999992</v>
      </c>
      <c r="P162" s="188">
        <f t="shared" si="120"/>
        <v>6.4528999999999996</v>
      </c>
      <c r="Q162" s="183">
        <f t="shared" si="92"/>
        <v>10</v>
      </c>
      <c r="R162" s="188">
        <f t="shared" si="93"/>
        <v>1.5</v>
      </c>
      <c r="S162" s="183">
        <f t="shared" si="94"/>
        <v>3</v>
      </c>
      <c r="T162" s="189">
        <f t="shared" si="95"/>
        <v>7.3499999999999996E-2</v>
      </c>
      <c r="U162" s="189">
        <f t="shared" si="122"/>
        <v>0.6</v>
      </c>
      <c r="V162" s="189">
        <f t="shared" si="111"/>
        <v>-0.04</v>
      </c>
      <c r="W162" s="189">
        <f>6*0.3</f>
        <v>1.7999999999999998</v>
      </c>
      <c r="X162" s="188">
        <f t="shared" si="89"/>
        <v>7.2934999999999999</v>
      </c>
      <c r="Y162" s="183">
        <f t="shared" si="96"/>
        <v>10</v>
      </c>
      <c r="Z162" s="188">
        <f t="shared" si="97"/>
        <v>0.17</v>
      </c>
      <c r="AA162" s="183">
        <f t="shared" si="98"/>
        <v>30</v>
      </c>
      <c r="AB162" s="189">
        <f t="shared" si="99"/>
        <v>7.3499999999999996E-2</v>
      </c>
      <c r="AC162" s="189">
        <f>0.51+0.53</f>
        <v>1.04</v>
      </c>
      <c r="AD162" s="189">
        <f t="shared" si="112"/>
        <v>-0.04</v>
      </c>
      <c r="AE162" s="189">
        <f>5.88*0.3</f>
        <v>1.764</v>
      </c>
      <c r="AF162" s="188">
        <f t="shared" si="123"/>
        <v>7.3945000000000007</v>
      </c>
      <c r="AG162" s="183">
        <f t="shared" si="100"/>
        <v>10</v>
      </c>
      <c r="AH162" s="182">
        <f t="shared" si="101"/>
        <v>0.17</v>
      </c>
      <c r="AI162" s="183">
        <f t="shared" si="102"/>
        <v>29</v>
      </c>
      <c r="AJ162" s="189">
        <f t="shared" si="103"/>
        <v>7.3499999999999996E-2</v>
      </c>
      <c r="AK162" s="189">
        <f>0.51+0.53</f>
        <v>1.04</v>
      </c>
      <c r="AL162" s="189">
        <f t="shared" si="113"/>
        <v>-0.04</v>
      </c>
      <c r="AM162" s="189">
        <f>2.88*0.3</f>
        <v>0.86399999999999999</v>
      </c>
      <c r="AN162" s="188">
        <f t="shared" si="124"/>
        <v>6.4945000000000004</v>
      </c>
      <c r="AO162" s="183">
        <v>8</v>
      </c>
      <c r="AP162" s="182">
        <f t="shared" si="104"/>
        <v>12</v>
      </c>
      <c r="AQ162" s="182">
        <v>1.5</v>
      </c>
      <c r="AR162" s="187">
        <f t="shared" si="114"/>
        <v>0</v>
      </c>
      <c r="AS162" s="187">
        <f t="shared" si="115"/>
        <v>47.692099999999996</v>
      </c>
      <c r="AT162" s="187">
        <f t="shared" si="116"/>
        <v>0</v>
      </c>
      <c r="AU162" s="187">
        <f t="shared" si="117"/>
        <v>0</v>
      </c>
      <c r="AV162" s="187">
        <f t="shared" si="105"/>
        <v>410.17550000000006</v>
      </c>
      <c r="AW162" s="187">
        <f t="shared" si="118"/>
        <v>0</v>
      </c>
      <c r="AX162" s="187">
        <f t="shared" si="119"/>
        <v>18</v>
      </c>
      <c r="AY162" s="190"/>
      <c r="AZ162" s="240"/>
      <c r="BA162" s="232"/>
      <c r="BF162" s="206"/>
      <c r="BG162" s="206"/>
      <c r="BK162" s="126"/>
      <c r="BL162" s="126"/>
      <c r="BN162" s="126"/>
      <c r="BO162" s="126"/>
      <c r="BQ162" s="126"/>
      <c r="BR162" s="126"/>
      <c r="BT162" s="126"/>
      <c r="BU162" s="126"/>
      <c r="BW162" s="126"/>
      <c r="BX162" s="126"/>
      <c r="BZ162" s="126"/>
      <c r="CA162" s="126"/>
      <c r="CC162" s="126"/>
      <c r="CD162" s="126"/>
      <c r="CF162" s="126"/>
      <c r="CG162" s="126"/>
    </row>
    <row r="163" spans="1:85" s="197" customFormat="1" x14ac:dyDescent="0.3">
      <c r="A163" s="182" t="s">
        <v>223</v>
      </c>
      <c r="B163" s="183">
        <v>1</v>
      </c>
      <c r="C163" s="184" t="s">
        <v>384</v>
      </c>
      <c r="D163" s="187">
        <v>2.9</v>
      </c>
      <c r="E163" s="187">
        <v>5.85</v>
      </c>
      <c r="F163" s="186">
        <v>0.13</v>
      </c>
      <c r="G163" s="187">
        <f t="shared" si="106"/>
        <v>2.2054499999999999</v>
      </c>
      <c r="H163" s="188">
        <f t="shared" si="90"/>
        <v>16.965</v>
      </c>
      <c r="I163" s="183">
        <f t="shared" si="91"/>
        <v>8</v>
      </c>
      <c r="J163" s="188">
        <f t="shared" si="107"/>
        <v>0.2</v>
      </c>
      <c r="K163" s="183">
        <f t="shared" si="108"/>
        <v>30</v>
      </c>
      <c r="L163" s="189">
        <f t="shared" si="109"/>
        <v>5.4600000000000003E-2</v>
      </c>
      <c r="M163" s="189">
        <f t="shared" si="121"/>
        <v>0.6</v>
      </c>
      <c r="N163" s="189">
        <f t="shared" si="110"/>
        <v>-0.04</v>
      </c>
      <c r="O163" s="189">
        <f>F163-2*0.02</f>
        <v>0.09</v>
      </c>
      <c r="P163" s="188">
        <f t="shared" si="120"/>
        <v>3.6045999999999996</v>
      </c>
      <c r="Q163" s="183">
        <f t="shared" si="92"/>
        <v>8</v>
      </c>
      <c r="R163" s="188">
        <f t="shared" si="93"/>
        <v>0.2</v>
      </c>
      <c r="S163" s="183">
        <f t="shared" si="94"/>
        <v>29</v>
      </c>
      <c r="T163" s="189">
        <f t="shared" si="95"/>
        <v>5.4600000000000003E-2</v>
      </c>
      <c r="U163" s="189">
        <f t="shared" si="122"/>
        <v>0.6</v>
      </c>
      <c r="V163" s="189">
        <f t="shared" si="111"/>
        <v>-0.04</v>
      </c>
      <c r="W163" s="189">
        <f>2.75*0.3</f>
        <v>0.82499999999999996</v>
      </c>
      <c r="X163" s="188">
        <f t="shared" si="89"/>
        <v>4.3395999999999999</v>
      </c>
      <c r="Y163" s="183">
        <f t="shared" si="96"/>
        <v>8</v>
      </c>
      <c r="Z163" s="188">
        <f t="shared" si="97"/>
        <v>0.36</v>
      </c>
      <c r="AA163" s="183">
        <f t="shared" si="98"/>
        <v>9</v>
      </c>
      <c r="AB163" s="189">
        <f t="shared" si="99"/>
        <v>5.4600000000000003E-2</v>
      </c>
      <c r="AC163" s="189">
        <f t="shared" si="125"/>
        <v>0.6</v>
      </c>
      <c r="AD163" s="189">
        <f t="shared" si="112"/>
        <v>-0.04</v>
      </c>
      <c r="AE163" s="189">
        <f t="shared" ref="AE163:AE172" si="127">1.12*0.3</f>
        <v>0.33600000000000002</v>
      </c>
      <c r="AF163" s="188">
        <f t="shared" si="123"/>
        <v>6.8005999999999993</v>
      </c>
      <c r="AG163" s="183">
        <f t="shared" si="100"/>
        <v>8</v>
      </c>
      <c r="AH163" s="182">
        <f t="shared" si="101"/>
        <v>0.36</v>
      </c>
      <c r="AI163" s="183">
        <f t="shared" si="102"/>
        <v>8</v>
      </c>
      <c r="AJ163" s="189">
        <f t="shared" si="103"/>
        <v>5.4600000000000003E-2</v>
      </c>
      <c r="AK163" s="189">
        <f t="shared" si="126"/>
        <v>0.6</v>
      </c>
      <c r="AL163" s="189">
        <f t="shared" si="113"/>
        <v>-0.04</v>
      </c>
      <c r="AM163" s="189">
        <f>12.82*0.3</f>
        <v>3.8460000000000001</v>
      </c>
      <c r="AN163" s="188">
        <f t="shared" si="124"/>
        <v>10.310600000000001</v>
      </c>
      <c r="AO163" s="183">
        <v>8</v>
      </c>
      <c r="AP163" s="182">
        <f t="shared" si="104"/>
        <v>12</v>
      </c>
      <c r="AQ163" s="182">
        <v>1.5</v>
      </c>
      <c r="AR163" s="187">
        <f t="shared" si="114"/>
        <v>233.9864</v>
      </c>
      <c r="AS163" s="187">
        <f t="shared" si="115"/>
        <v>0</v>
      </c>
      <c r="AT163" s="187">
        <f t="shared" si="116"/>
        <v>0</v>
      </c>
      <c r="AU163" s="187">
        <f t="shared" si="117"/>
        <v>143.6902</v>
      </c>
      <c r="AV163" s="187">
        <f t="shared" si="105"/>
        <v>0</v>
      </c>
      <c r="AW163" s="187">
        <f t="shared" si="118"/>
        <v>0</v>
      </c>
      <c r="AX163" s="187">
        <f t="shared" si="119"/>
        <v>18</v>
      </c>
      <c r="AY163" s="190"/>
      <c r="AZ163" s="240"/>
      <c r="BA163" s="232"/>
      <c r="BF163" s="206"/>
      <c r="BG163" s="206"/>
      <c r="BK163" s="126"/>
      <c r="BL163" s="126"/>
      <c r="BN163" s="126"/>
      <c r="BO163" s="126"/>
      <c r="BQ163" s="126"/>
      <c r="BR163" s="126"/>
      <c r="BT163" s="126"/>
      <c r="BU163" s="126"/>
      <c r="BW163" s="126"/>
      <c r="BX163" s="126"/>
      <c r="BZ163" s="126"/>
      <c r="CA163" s="126"/>
      <c r="CC163" s="126"/>
      <c r="CD163" s="126"/>
      <c r="CF163" s="126"/>
      <c r="CG163" s="126"/>
    </row>
    <row r="164" spans="1:85" s="197" customFormat="1" x14ac:dyDescent="0.3">
      <c r="A164" s="182" t="s">
        <v>223</v>
      </c>
      <c r="B164" s="183">
        <v>1</v>
      </c>
      <c r="C164" s="184" t="s">
        <v>385</v>
      </c>
      <c r="D164" s="187">
        <v>2.75</v>
      </c>
      <c r="E164" s="187">
        <v>5.85</v>
      </c>
      <c r="F164" s="186">
        <v>0.13</v>
      </c>
      <c r="G164" s="187">
        <f t="shared" si="106"/>
        <v>2.0913749999999998</v>
      </c>
      <c r="H164" s="188">
        <f t="shared" si="90"/>
        <v>16.087499999999999</v>
      </c>
      <c r="I164" s="183">
        <f t="shared" si="91"/>
        <v>8</v>
      </c>
      <c r="J164" s="188">
        <f t="shared" si="107"/>
        <v>0.2</v>
      </c>
      <c r="K164" s="183">
        <f t="shared" si="108"/>
        <v>30</v>
      </c>
      <c r="L164" s="189">
        <f t="shared" si="109"/>
        <v>5.4600000000000003E-2</v>
      </c>
      <c r="M164" s="189">
        <f t="shared" si="121"/>
        <v>0.6</v>
      </c>
      <c r="N164" s="189">
        <f t="shared" si="110"/>
        <v>-0.04</v>
      </c>
      <c r="O164" s="189">
        <f>2.9*0.3</f>
        <v>0.87</v>
      </c>
      <c r="P164" s="188">
        <f t="shared" si="120"/>
        <v>4.2346000000000004</v>
      </c>
      <c r="Q164" s="183">
        <f t="shared" si="92"/>
        <v>8</v>
      </c>
      <c r="R164" s="188">
        <f t="shared" si="93"/>
        <v>0.2</v>
      </c>
      <c r="S164" s="183">
        <f t="shared" si="94"/>
        <v>29</v>
      </c>
      <c r="T164" s="189">
        <f t="shared" si="95"/>
        <v>5.4600000000000003E-2</v>
      </c>
      <c r="U164" s="189">
        <f t="shared" si="122"/>
        <v>0.6</v>
      </c>
      <c r="V164" s="189">
        <f t="shared" si="111"/>
        <v>-0.04</v>
      </c>
      <c r="W164" s="189">
        <f>2.839*0.3</f>
        <v>0.85170000000000001</v>
      </c>
      <c r="X164" s="188">
        <f t="shared" si="89"/>
        <v>4.2163000000000004</v>
      </c>
      <c r="Y164" s="183">
        <f t="shared" si="96"/>
        <v>8</v>
      </c>
      <c r="Z164" s="188">
        <f t="shared" si="97"/>
        <v>0.36</v>
      </c>
      <c r="AA164" s="183">
        <f t="shared" si="98"/>
        <v>9</v>
      </c>
      <c r="AB164" s="189">
        <f t="shared" si="99"/>
        <v>5.4600000000000003E-2</v>
      </c>
      <c r="AC164" s="189">
        <f t="shared" si="125"/>
        <v>0.6</v>
      </c>
      <c r="AD164" s="189">
        <f t="shared" si="112"/>
        <v>-0.04</v>
      </c>
      <c r="AE164" s="189">
        <f t="shared" si="127"/>
        <v>0.33600000000000002</v>
      </c>
      <c r="AF164" s="188">
        <f t="shared" ref="AF164:AF181" si="128">+E164+SUM(AB164:AE164)</f>
        <v>6.8005999999999993</v>
      </c>
      <c r="AG164" s="183">
        <f t="shared" si="100"/>
        <v>8</v>
      </c>
      <c r="AH164" s="182">
        <f t="shared" si="101"/>
        <v>0.36</v>
      </c>
      <c r="AI164" s="183">
        <f t="shared" si="102"/>
        <v>8</v>
      </c>
      <c r="AJ164" s="189">
        <f t="shared" si="103"/>
        <v>5.4600000000000003E-2</v>
      </c>
      <c r="AK164" s="189">
        <f t="shared" si="126"/>
        <v>0.6</v>
      </c>
      <c r="AL164" s="189">
        <f t="shared" si="113"/>
        <v>-0.04</v>
      </c>
      <c r="AM164" s="189">
        <f>11.82*0.3</f>
        <v>3.5459999999999998</v>
      </c>
      <c r="AN164" s="188">
        <f t="shared" si="124"/>
        <v>10.0106</v>
      </c>
      <c r="AO164" s="183">
        <v>8</v>
      </c>
      <c r="AP164" s="182">
        <f t="shared" si="104"/>
        <v>12</v>
      </c>
      <c r="AQ164" s="182">
        <v>1.5</v>
      </c>
      <c r="AR164" s="187">
        <f t="shared" si="114"/>
        <v>249.31070000000003</v>
      </c>
      <c r="AS164" s="187">
        <f t="shared" si="115"/>
        <v>0</v>
      </c>
      <c r="AT164" s="187">
        <f t="shared" si="116"/>
        <v>0</v>
      </c>
      <c r="AU164" s="187">
        <f t="shared" si="117"/>
        <v>141.2902</v>
      </c>
      <c r="AV164" s="187">
        <f t="shared" si="105"/>
        <v>0</v>
      </c>
      <c r="AW164" s="187">
        <f t="shared" si="118"/>
        <v>0</v>
      </c>
      <c r="AX164" s="187">
        <f t="shared" si="119"/>
        <v>18</v>
      </c>
      <c r="AY164" s="190"/>
      <c r="AZ164" s="240"/>
      <c r="BA164" s="232"/>
      <c r="BF164" s="206"/>
      <c r="BG164" s="206"/>
      <c r="BK164" s="126"/>
      <c r="BL164" s="126"/>
      <c r="BN164" s="126"/>
      <c r="BO164" s="126"/>
      <c r="BQ164" s="126"/>
      <c r="BR164" s="126"/>
      <c r="BT164" s="126"/>
      <c r="BU164" s="126"/>
      <c r="BW164" s="126"/>
      <c r="BX164" s="126"/>
      <c r="BZ164" s="126"/>
      <c r="CA164" s="126"/>
      <c r="CC164" s="126"/>
      <c r="CD164" s="126"/>
      <c r="CF164" s="126"/>
      <c r="CG164" s="126"/>
    </row>
    <row r="165" spans="1:85" s="197" customFormat="1" x14ac:dyDescent="0.3">
      <c r="A165" s="182" t="s">
        <v>223</v>
      </c>
      <c r="B165" s="183">
        <v>1</v>
      </c>
      <c r="C165" s="184" t="s">
        <v>386</v>
      </c>
      <c r="D165" s="187">
        <v>2.84</v>
      </c>
      <c r="E165" s="187">
        <v>5.85</v>
      </c>
      <c r="F165" s="186">
        <v>0.13</v>
      </c>
      <c r="G165" s="187">
        <f t="shared" si="106"/>
        <v>2.1598199999999999</v>
      </c>
      <c r="H165" s="188">
        <f t="shared" si="90"/>
        <v>16.613999999999997</v>
      </c>
      <c r="I165" s="183">
        <f t="shared" si="91"/>
        <v>8</v>
      </c>
      <c r="J165" s="188">
        <f t="shared" si="107"/>
        <v>0.2</v>
      </c>
      <c r="K165" s="183">
        <f t="shared" si="108"/>
        <v>30</v>
      </c>
      <c r="L165" s="189">
        <f t="shared" si="109"/>
        <v>5.4600000000000003E-2</v>
      </c>
      <c r="M165" s="189">
        <f t="shared" si="121"/>
        <v>0.6</v>
      </c>
      <c r="N165" s="189">
        <f t="shared" si="110"/>
        <v>-0.04</v>
      </c>
      <c r="O165" s="189">
        <f>2.75*0.3</f>
        <v>0.82499999999999996</v>
      </c>
      <c r="P165" s="188">
        <f t="shared" si="120"/>
        <v>4.2796000000000003</v>
      </c>
      <c r="Q165" s="183">
        <f t="shared" si="92"/>
        <v>8</v>
      </c>
      <c r="R165" s="188">
        <f t="shared" si="93"/>
        <v>0.2</v>
      </c>
      <c r="S165" s="183">
        <f t="shared" si="94"/>
        <v>29</v>
      </c>
      <c r="T165" s="189">
        <f t="shared" si="95"/>
        <v>5.4600000000000003E-2</v>
      </c>
      <c r="U165" s="189">
        <f t="shared" si="122"/>
        <v>0.6</v>
      </c>
      <c r="V165" s="189">
        <f t="shared" si="111"/>
        <v>-0.04</v>
      </c>
      <c r="W165" s="189">
        <f>2.78*0.3</f>
        <v>0.83399999999999996</v>
      </c>
      <c r="X165" s="188">
        <f t="shared" si="89"/>
        <v>4.2885999999999997</v>
      </c>
      <c r="Y165" s="183">
        <f t="shared" si="96"/>
        <v>8</v>
      </c>
      <c r="Z165" s="188">
        <f t="shared" si="97"/>
        <v>0.36</v>
      </c>
      <c r="AA165" s="183">
        <f t="shared" si="98"/>
        <v>9</v>
      </c>
      <c r="AB165" s="189">
        <f t="shared" si="99"/>
        <v>5.4600000000000003E-2</v>
      </c>
      <c r="AC165" s="189">
        <f t="shared" si="125"/>
        <v>0.6</v>
      </c>
      <c r="AD165" s="189">
        <f t="shared" si="112"/>
        <v>-0.04</v>
      </c>
      <c r="AE165" s="189">
        <f t="shared" si="127"/>
        <v>0.33600000000000002</v>
      </c>
      <c r="AF165" s="188">
        <f t="shared" si="128"/>
        <v>6.8005999999999993</v>
      </c>
      <c r="AG165" s="183">
        <f t="shared" si="100"/>
        <v>8</v>
      </c>
      <c r="AH165" s="182">
        <f t="shared" si="101"/>
        <v>0.36</v>
      </c>
      <c r="AI165" s="183">
        <f t="shared" si="102"/>
        <v>8</v>
      </c>
      <c r="AJ165" s="189">
        <f t="shared" si="103"/>
        <v>5.4600000000000003E-2</v>
      </c>
      <c r="AK165" s="189">
        <f t="shared" si="126"/>
        <v>0.6</v>
      </c>
      <c r="AL165" s="189">
        <f t="shared" si="113"/>
        <v>-0.04</v>
      </c>
      <c r="AM165" s="189">
        <f>5.31*0.3</f>
        <v>1.5929999999999997</v>
      </c>
      <c r="AN165" s="188">
        <f t="shared" si="124"/>
        <v>8.057599999999999</v>
      </c>
      <c r="AO165" s="183">
        <v>8</v>
      </c>
      <c r="AP165" s="182">
        <f t="shared" si="104"/>
        <v>12</v>
      </c>
      <c r="AQ165" s="182">
        <v>1.5</v>
      </c>
      <c r="AR165" s="187">
        <f t="shared" si="114"/>
        <v>252.75740000000002</v>
      </c>
      <c r="AS165" s="187">
        <f t="shared" si="115"/>
        <v>0</v>
      </c>
      <c r="AT165" s="187">
        <f t="shared" si="116"/>
        <v>0</v>
      </c>
      <c r="AU165" s="187">
        <f t="shared" si="117"/>
        <v>125.66619999999999</v>
      </c>
      <c r="AV165" s="187">
        <f t="shared" si="105"/>
        <v>0</v>
      </c>
      <c r="AW165" s="187">
        <f t="shared" si="118"/>
        <v>0</v>
      </c>
      <c r="AX165" s="187">
        <f t="shared" si="119"/>
        <v>18</v>
      </c>
      <c r="AY165" s="190"/>
      <c r="AZ165" s="240"/>
      <c r="BA165" s="232"/>
      <c r="BF165" s="206"/>
      <c r="BG165" s="206"/>
      <c r="BK165" s="126"/>
      <c r="BL165" s="126"/>
      <c r="BN165" s="126"/>
      <c r="BO165" s="126"/>
      <c r="BQ165" s="126"/>
      <c r="BR165" s="126"/>
      <c r="BT165" s="126"/>
      <c r="BU165" s="126"/>
      <c r="BW165" s="126"/>
      <c r="BX165" s="126"/>
      <c r="BZ165" s="126"/>
      <c r="CA165" s="126"/>
      <c r="CC165" s="126"/>
      <c r="CD165" s="126"/>
      <c r="CF165" s="126"/>
      <c r="CG165" s="126"/>
    </row>
    <row r="166" spans="1:85" s="197" customFormat="1" x14ac:dyDescent="0.3">
      <c r="A166" s="182" t="s">
        <v>223</v>
      </c>
      <c r="B166" s="183">
        <v>1</v>
      </c>
      <c r="C166" s="184" t="s">
        <v>387</v>
      </c>
      <c r="D166" s="187">
        <v>2.78</v>
      </c>
      <c r="E166" s="187">
        <v>5.85</v>
      </c>
      <c r="F166" s="186">
        <v>0.13</v>
      </c>
      <c r="G166" s="187">
        <f t="shared" si="106"/>
        <v>2.1141899999999998</v>
      </c>
      <c r="H166" s="188">
        <f t="shared" si="90"/>
        <v>16.262999999999998</v>
      </c>
      <c r="I166" s="183">
        <f t="shared" si="91"/>
        <v>8</v>
      </c>
      <c r="J166" s="188">
        <f t="shared" si="107"/>
        <v>0.2</v>
      </c>
      <c r="K166" s="183">
        <f t="shared" si="108"/>
        <v>30</v>
      </c>
      <c r="L166" s="189">
        <f t="shared" si="109"/>
        <v>5.4600000000000003E-2</v>
      </c>
      <c r="M166" s="189">
        <f t="shared" si="121"/>
        <v>0.6</v>
      </c>
      <c r="N166" s="189">
        <f t="shared" si="110"/>
        <v>-0.04</v>
      </c>
      <c r="O166" s="189">
        <f>2.84*0.3</f>
        <v>0.85199999999999998</v>
      </c>
      <c r="P166" s="188">
        <f t="shared" si="120"/>
        <v>4.2465999999999999</v>
      </c>
      <c r="Q166" s="183">
        <f t="shared" si="92"/>
        <v>8</v>
      </c>
      <c r="R166" s="188">
        <f t="shared" si="93"/>
        <v>0.2</v>
      </c>
      <c r="S166" s="183">
        <f t="shared" si="94"/>
        <v>29</v>
      </c>
      <c r="T166" s="189">
        <f t="shared" si="95"/>
        <v>5.4600000000000003E-2</v>
      </c>
      <c r="U166" s="189">
        <f t="shared" si="122"/>
        <v>0.6</v>
      </c>
      <c r="V166" s="189">
        <f t="shared" si="111"/>
        <v>-0.04</v>
      </c>
      <c r="W166" s="189">
        <f>4.41*0.3</f>
        <v>1.323</v>
      </c>
      <c r="X166" s="188">
        <f t="shared" si="89"/>
        <v>4.7175999999999991</v>
      </c>
      <c r="Y166" s="183">
        <f t="shared" si="96"/>
        <v>8</v>
      </c>
      <c r="Z166" s="188">
        <f t="shared" si="97"/>
        <v>0.36</v>
      </c>
      <c r="AA166" s="183">
        <f t="shared" si="98"/>
        <v>9</v>
      </c>
      <c r="AB166" s="189">
        <f t="shared" si="99"/>
        <v>5.4600000000000003E-2</v>
      </c>
      <c r="AC166" s="189">
        <f t="shared" si="125"/>
        <v>0.6</v>
      </c>
      <c r="AD166" s="189">
        <f t="shared" si="112"/>
        <v>-0.04</v>
      </c>
      <c r="AE166" s="189">
        <f t="shared" si="127"/>
        <v>0.33600000000000002</v>
      </c>
      <c r="AF166" s="188">
        <f t="shared" si="128"/>
        <v>6.8005999999999993</v>
      </c>
      <c r="AG166" s="183">
        <f t="shared" si="100"/>
        <v>8</v>
      </c>
      <c r="AH166" s="182">
        <f t="shared" si="101"/>
        <v>0.36</v>
      </c>
      <c r="AI166" s="183">
        <f t="shared" si="102"/>
        <v>8</v>
      </c>
      <c r="AJ166" s="189">
        <f t="shared" si="103"/>
        <v>5.4600000000000003E-2</v>
      </c>
      <c r="AK166" s="189">
        <f t="shared" si="126"/>
        <v>0.6</v>
      </c>
      <c r="AL166" s="189">
        <f t="shared" si="113"/>
        <v>-0.04</v>
      </c>
      <c r="AM166" s="189">
        <f>5.31*0.3</f>
        <v>1.5929999999999997</v>
      </c>
      <c r="AN166" s="188">
        <f t="shared" si="124"/>
        <v>8.057599999999999</v>
      </c>
      <c r="AO166" s="183">
        <v>8</v>
      </c>
      <c r="AP166" s="182">
        <f t="shared" si="104"/>
        <v>12</v>
      </c>
      <c r="AQ166" s="182">
        <v>1.5</v>
      </c>
      <c r="AR166" s="187">
        <f t="shared" si="114"/>
        <v>264.20839999999998</v>
      </c>
      <c r="AS166" s="187">
        <f t="shared" si="115"/>
        <v>0</v>
      </c>
      <c r="AT166" s="187">
        <f t="shared" si="116"/>
        <v>0</v>
      </c>
      <c r="AU166" s="187">
        <f t="shared" si="117"/>
        <v>125.66619999999999</v>
      </c>
      <c r="AV166" s="187">
        <f t="shared" si="105"/>
        <v>0</v>
      </c>
      <c r="AW166" s="187">
        <f t="shared" si="118"/>
        <v>0</v>
      </c>
      <c r="AX166" s="187">
        <f t="shared" si="119"/>
        <v>18</v>
      </c>
      <c r="AY166" s="190"/>
      <c r="AZ166" s="240"/>
      <c r="BA166" s="232"/>
      <c r="BF166" s="206"/>
      <c r="BG166" s="206"/>
      <c r="BK166" s="126"/>
      <c r="BL166" s="126"/>
      <c r="BN166" s="126"/>
      <c r="BO166" s="126"/>
      <c r="BQ166" s="126"/>
      <c r="BR166" s="126"/>
      <c r="BT166" s="126"/>
      <c r="BU166" s="126"/>
      <c r="BW166" s="126"/>
      <c r="BX166" s="126"/>
      <c r="BZ166" s="126"/>
      <c r="CA166" s="126"/>
      <c r="CC166" s="126"/>
      <c r="CD166" s="126"/>
      <c r="CF166" s="126"/>
      <c r="CG166" s="126"/>
    </row>
    <row r="167" spans="1:85" s="197" customFormat="1" x14ac:dyDescent="0.3">
      <c r="A167" s="182" t="s">
        <v>225</v>
      </c>
      <c r="B167" s="183">
        <v>1</v>
      </c>
      <c r="C167" s="184" t="s">
        <v>388</v>
      </c>
      <c r="D167" s="187">
        <v>4.41</v>
      </c>
      <c r="E167" s="187">
        <v>5.85</v>
      </c>
      <c r="F167" s="186">
        <v>0.17499999999999999</v>
      </c>
      <c r="G167" s="187">
        <f t="shared" si="106"/>
        <v>4.5147374999999998</v>
      </c>
      <c r="H167" s="188">
        <f t="shared" si="90"/>
        <v>25.798500000000001</v>
      </c>
      <c r="I167" s="183">
        <f t="shared" si="91"/>
        <v>10</v>
      </c>
      <c r="J167" s="188">
        <f t="shared" si="107"/>
        <v>0.18</v>
      </c>
      <c r="K167" s="183">
        <f t="shared" si="108"/>
        <v>34</v>
      </c>
      <c r="L167" s="189">
        <f t="shared" si="109"/>
        <v>7.3499999999999996E-2</v>
      </c>
      <c r="M167" s="189">
        <f t="shared" si="121"/>
        <v>0.6</v>
      </c>
      <c r="N167" s="189">
        <f t="shared" si="110"/>
        <v>-0.04</v>
      </c>
      <c r="O167" s="189">
        <f>2.78*0.3</f>
        <v>0.83399999999999996</v>
      </c>
      <c r="P167" s="188">
        <f t="shared" si="120"/>
        <v>5.8774999999999995</v>
      </c>
      <c r="Q167" s="183">
        <f t="shared" si="92"/>
        <v>10</v>
      </c>
      <c r="R167" s="188">
        <f t="shared" si="93"/>
        <v>0.18</v>
      </c>
      <c r="S167" s="183">
        <f t="shared" si="94"/>
        <v>33</v>
      </c>
      <c r="T167" s="189">
        <f t="shared" si="95"/>
        <v>7.3499999999999996E-2</v>
      </c>
      <c r="U167" s="189">
        <f t="shared" si="122"/>
        <v>0.6</v>
      </c>
      <c r="V167" s="189">
        <f t="shared" si="111"/>
        <v>-0.04</v>
      </c>
      <c r="W167" s="189">
        <f>3.81*0.3</f>
        <v>1.143</v>
      </c>
      <c r="X167" s="188">
        <f t="shared" si="89"/>
        <v>6.1865000000000006</v>
      </c>
      <c r="Y167" s="183">
        <f t="shared" si="96"/>
        <v>10</v>
      </c>
      <c r="Z167" s="188">
        <f t="shared" si="97"/>
        <v>0.2</v>
      </c>
      <c r="AA167" s="183">
        <f t="shared" si="98"/>
        <v>23</v>
      </c>
      <c r="AB167" s="189">
        <f t="shared" si="99"/>
        <v>7.3499999999999996E-2</v>
      </c>
      <c r="AC167" s="189">
        <f t="shared" si="125"/>
        <v>0.6</v>
      </c>
      <c r="AD167" s="189">
        <f t="shared" si="112"/>
        <v>-0.04</v>
      </c>
      <c r="AE167" s="189">
        <f t="shared" si="127"/>
        <v>0.33600000000000002</v>
      </c>
      <c r="AF167" s="188">
        <f t="shared" si="128"/>
        <v>6.8194999999999997</v>
      </c>
      <c r="AG167" s="183">
        <f t="shared" si="100"/>
        <v>10</v>
      </c>
      <c r="AH167" s="182">
        <f t="shared" si="101"/>
        <v>0.2</v>
      </c>
      <c r="AI167" s="183">
        <f t="shared" si="102"/>
        <v>22</v>
      </c>
      <c r="AJ167" s="189">
        <f t="shared" si="103"/>
        <v>7.3499999999999996E-2</v>
      </c>
      <c r="AK167" s="189">
        <f t="shared" si="126"/>
        <v>0.6</v>
      </c>
      <c r="AL167" s="189">
        <f t="shared" si="113"/>
        <v>-0.04</v>
      </c>
      <c r="AM167" s="189">
        <f>5.31*0.3</f>
        <v>1.5929999999999997</v>
      </c>
      <c r="AN167" s="188">
        <f t="shared" si="124"/>
        <v>8.0764999999999993</v>
      </c>
      <c r="AO167" s="183">
        <v>8</v>
      </c>
      <c r="AP167" s="182">
        <f t="shared" si="104"/>
        <v>14</v>
      </c>
      <c r="AQ167" s="182">
        <v>1.5</v>
      </c>
      <c r="AR167" s="187">
        <f t="shared" si="114"/>
        <v>0</v>
      </c>
      <c r="AS167" s="187">
        <f t="shared" si="115"/>
        <v>403.98950000000002</v>
      </c>
      <c r="AT167" s="187">
        <f t="shared" si="116"/>
        <v>0</v>
      </c>
      <c r="AU167" s="187">
        <f t="shared" si="117"/>
        <v>0</v>
      </c>
      <c r="AV167" s="187">
        <f t="shared" si="105"/>
        <v>334.53149999999999</v>
      </c>
      <c r="AW167" s="187">
        <f t="shared" si="118"/>
        <v>0</v>
      </c>
      <c r="AX167" s="187">
        <f t="shared" si="119"/>
        <v>21</v>
      </c>
      <c r="AY167" s="190"/>
      <c r="AZ167" s="240"/>
      <c r="BA167" s="232"/>
      <c r="BF167" s="206"/>
      <c r="BG167" s="206"/>
      <c r="BK167" s="126"/>
      <c r="BL167" s="126"/>
      <c r="BN167" s="126"/>
      <c r="BO167" s="126"/>
      <c r="BQ167" s="126"/>
      <c r="BR167" s="126"/>
      <c r="BT167" s="126"/>
      <c r="BU167" s="126"/>
      <c r="BW167" s="126"/>
      <c r="BX167" s="126"/>
      <c r="BZ167" s="126"/>
      <c r="CA167" s="126"/>
      <c r="CC167" s="126"/>
      <c r="CD167" s="126"/>
      <c r="CF167" s="126"/>
      <c r="CG167" s="126"/>
    </row>
    <row r="168" spans="1:85" s="197" customFormat="1" x14ac:dyDescent="0.3">
      <c r="A168" s="182" t="s">
        <v>218</v>
      </c>
      <c r="B168" s="183">
        <v>1</v>
      </c>
      <c r="C168" s="184" t="s">
        <v>389</v>
      </c>
      <c r="D168" s="187">
        <v>3.81</v>
      </c>
      <c r="E168" s="187">
        <v>5.85</v>
      </c>
      <c r="F168" s="186">
        <v>0.16500000000000001</v>
      </c>
      <c r="G168" s="187">
        <f t="shared" si="106"/>
        <v>3.6776024999999999</v>
      </c>
      <c r="H168" s="188">
        <f t="shared" si="90"/>
        <v>22.288499999999999</v>
      </c>
      <c r="I168" s="183">
        <f t="shared" si="91"/>
        <v>10</v>
      </c>
      <c r="J168" s="188">
        <f t="shared" si="107"/>
        <v>0.2</v>
      </c>
      <c r="K168" s="183">
        <f t="shared" si="108"/>
        <v>30</v>
      </c>
      <c r="L168" s="189">
        <f t="shared" si="109"/>
        <v>6.93E-2</v>
      </c>
      <c r="M168" s="189">
        <f t="shared" si="121"/>
        <v>0.6</v>
      </c>
      <c r="N168" s="189">
        <f t="shared" si="110"/>
        <v>-0.04</v>
      </c>
      <c r="O168" s="189">
        <f>4.41*0.3</f>
        <v>1.323</v>
      </c>
      <c r="P168" s="188">
        <f t="shared" si="120"/>
        <v>5.7622999999999998</v>
      </c>
      <c r="Q168" s="183">
        <f t="shared" si="92"/>
        <v>10</v>
      </c>
      <c r="R168" s="188">
        <f t="shared" si="93"/>
        <v>0.2</v>
      </c>
      <c r="S168" s="183">
        <f t="shared" si="94"/>
        <v>29</v>
      </c>
      <c r="T168" s="189">
        <f t="shared" si="95"/>
        <v>6.93E-2</v>
      </c>
      <c r="U168" s="189">
        <f t="shared" si="122"/>
        <v>0.6</v>
      </c>
      <c r="V168" s="189">
        <f t="shared" si="111"/>
        <v>-0.04</v>
      </c>
      <c r="W168" s="189">
        <f>4.41*0.3</f>
        <v>1.323</v>
      </c>
      <c r="X168" s="188">
        <f t="shared" si="89"/>
        <v>5.7622999999999998</v>
      </c>
      <c r="Y168" s="183">
        <f t="shared" si="96"/>
        <v>10</v>
      </c>
      <c r="Z168" s="188">
        <f t="shared" si="97"/>
        <v>0.2</v>
      </c>
      <c r="AA168" s="183">
        <f t="shared" si="98"/>
        <v>20</v>
      </c>
      <c r="AB168" s="189">
        <f t="shared" si="99"/>
        <v>6.93E-2</v>
      </c>
      <c r="AC168" s="189">
        <f t="shared" si="125"/>
        <v>0.6</v>
      </c>
      <c r="AD168" s="189">
        <f t="shared" si="112"/>
        <v>-0.04</v>
      </c>
      <c r="AE168" s="189">
        <f t="shared" si="127"/>
        <v>0.33600000000000002</v>
      </c>
      <c r="AF168" s="188">
        <f t="shared" si="128"/>
        <v>6.8152999999999997</v>
      </c>
      <c r="AG168" s="183">
        <f t="shared" si="100"/>
        <v>10</v>
      </c>
      <c r="AH168" s="182">
        <f t="shared" si="101"/>
        <v>0.2</v>
      </c>
      <c r="AI168" s="183">
        <f t="shared" si="102"/>
        <v>19</v>
      </c>
      <c r="AJ168" s="189">
        <f t="shared" si="103"/>
        <v>6.93E-2</v>
      </c>
      <c r="AK168" s="189">
        <f t="shared" si="126"/>
        <v>0.6</v>
      </c>
      <c r="AL168" s="189">
        <f t="shared" si="113"/>
        <v>-0.04</v>
      </c>
      <c r="AM168" s="189">
        <f>3.34*0.3</f>
        <v>1.002</v>
      </c>
      <c r="AN168" s="188">
        <f t="shared" si="124"/>
        <v>7.4812999999999992</v>
      </c>
      <c r="AO168" s="183">
        <v>8</v>
      </c>
      <c r="AP168" s="182">
        <f t="shared" si="104"/>
        <v>14</v>
      </c>
      <c r="AQ168" s="182">
        <v>1.5</v>
      </c>
      <c r="AR168" s="187">
        <f t="shared" si="114"/>
        <v>0</v>
      </c>
      <c r="AS168" s="187">
        <f t="shared" si="115"/>
        <v>339.97569999999996</v>
      </c>
      <c r="AT168" s="187">
        <f t="shared" si="116"/>
        <v>0</v>
      </c>
      <c r="AU168" s="187">
        <f t="shared" si="117"/>
        <v>0</v>
      </c>
      <c r="AV168" s="187">
        <f t="shared" si="105"/>
        <v>278.45069999999998</v>
      </c>
      <c r="AW168" s="187">
        <f t="shared" si="118"/>
        <v>0</v>
      </c>
      <c r="AX168" s="187">
        <f t="shared" si="119"/>
        <v>21</v>
      </c>
      <c r="AY168" s="190"/>
      <c r="AZ168" s="240"/>
      <c r="BA168" s="232"/>
      <c r="BF168" s="206"/>
      <c r="BG168" s="206"/>
      <c r="BK168" s="126"/>
      <c r="BL168" s="126"/>
      <c r="BN168" s="126"/>
      <c r="BO168" s="126"/>
      <c r="BQ168" s="126"/>
      <c r="BR168" s="126"/>
      <c r="BT168" s="126"/>
      <c r="BU168" s="126"/>
      <c r="BW168" s="126"/>
      <c r="BX168" s="126"/>
      <c r="BZ168" s="126"/>
      <c r="CA168" s="126"/>
      <c r="CC168" s="126"/>
      <c r="CD168" s="126"/>
      <c r="CF168" s="126"/>
      <c r="CG168" s="126"/>
    </row>
    <row r="169" spans="1:85" s="197" customFormat="1" x14ac:dyDescent="0.3">
      <c r="A169" s="182" t="s">
        <v>225</v>
      </c>
      <c r="B169" s="183">
        <v>1</v>
      </c>
      <c r="C169" s="184" t="s">
        <v>390</v>
      </c>
      <c r="D169" s="187">
        <v>4.41</v>
      </c>
      <c r="E169" s="187">
        <v>5.85</v>
      </c>
      <c r="F169" s="186">
        <v>0.17499999999999999</v>
      </c>
      <c r="G169" s="187">
        <f t="shared" si="106"/>
        <v>4.5147374999999998</v>
      </c>
      <c r="H169" s="188">
        <f t="shared" si="90"/>
        <v>25.798500000000001</v>
      </c>
      <c r="I169" s="183">
        <f t="shared" si="91"/>
        <v>10</v>
      </c>
      <c r="J169" s="188">
        <f t="shared" si="107"/>
        <v>0.18</v>
      </c>
      <c r="K169" s="183">
        <f t="shared" si="108"/>
        <v>34</v>
      </c>
      <c r="L169" s="189">
        <f t="shared" si="109"/>
        <v>7.3499999999999996E-2</v>
      </c>
      <c r="M169" s="189">
        <f t="shared" si="121"/>
        <v>0.6</v>
      </c>
      <c r="N169" s="189">
        <f t="shared" si="110"/>
        <v>-0.04</v>
      </c>
      <c r="O169" s="189">
        <f>3.81*0.3</f>
        <v>1.143</v>
      </c>
      <c r="P169" s="188">
        <f t="shared" si="120"/>
        <v>6.1865000000000006</v>
      </c>
      <c r="Q169" s="183">
        <f t="shared" si="92"/>
        <v>10</v>
      </c>
      <c r="R169" s="188">
        <f t="shared" si="93"/>
        <v>0.18</v>
      </c>
      <c r="S169" s="183">
        <f t="shared" si="94"/>
        <v>33</v>
      </c>
      <c r="T169" s="189">
        <f t="shared" si="95"/>
        <v>7.3499999999999996E-2</v>
      </c>
      <c r="U169" s="189">
        <f t="shared" si="122"/>
        <v>0.6</v>
      </c>
      <c r="V169" s="189">
        <f t="shared" si="111"/>
        <v>-0.04</v>
      </c>
      <c r="W169" s="189">
        <f>4.09*0.3</f>
        <v>1.2269999999999999</v>
      </c>
      <c r="X169" s="188">
        <f t="shared" si="89"/>
        <v>6.2705000000000002</v>
      </c>
      <c r="Y169" s="183">
        <f t="shared" si="96"/>
        <v>10</v>
      </c>
      <c r="Z169" s="188">
        <f t="shared" si="97"/>
        <v>0.2</v>
      </c>
      <c r="AA169" s="183">
        <f t="shared" si="98"/>
        <v>23</v>
      </c>
      <c r="AB169" s="189">
        <f t="shared" si="99"/>
        <v>7.3499999999999996E-2</v>
      </c>
      <c r="AC169" s="189">
        <f t="shared" si="125"/>
        <v>0.6</v>
      </c>
      <c r="AD169" s="189">
        <f t="shared" si="112"/>
        <v>-0.04</v>
      </c>
      <c r="AE169" s="189">
        <f t="shared" si="127"/>
        <v>0.33600000000000002</v>
      </c>
      <c r="AF169" s="188">
        <f t="shared" si="128"/>
        <v>6.8194999999999997</v>
      </c>
      <c r="AG169" s="183">
        <f t="shared" si="100"/>
        <v>10</v>
      </c>
      <c r="AH169" s="182">
        <f t="shared" si="101"/>
        <v>0.2</v>
      </c>
      <c r="AI169" s="183">
        <f t="shared" si="102"/>
        <v>22</v>
      </c>
      <c r="AJ169" s="189">
        <f t="shared" si="103"/>
        <v>7.3499999999999996E-2</v>
      </c>
      <c r="AK169" s="189">
        <f t="shared" si="126"/>
        <v>0.6</v>
      </c>
      <c r="AL169" s="189">
        <f t="shared" si="113"/>
        <v>-0.04</v>
      </c>
      <c r="AM169" s="189">
        <f>5.31*0.3</f>
        <v>1.5929999999999997</v>
      </c>
      <c r="AN169" s="188">
        <f t="shared" si="124"/>
        <v>8.0764999999999993</v>
      </c>
      <c r="AO169" s="183">
        <v>8</v>
      </c>
      <c r="AP169" s="182">
        <f t="shared" si="104"/>
        <v>14</v>
      </c>
      <c r="AQ169" s="182">
        <v>1.5</v>
      </c>
      <c r="AR169" s="187">
        <f t="shared" si="114"/>
        <v>0</v>
      </c>
      <c r="AS169" s="187">
        <f t="shared" si="115"/>
        <v>417.26750000000004</v>
      </c>
      <c r="AT169" s="187">
        <f t="shared" si="116"/>
        <v>0</v>
      </c>
      <c r="AU169" s="187">
        <f t="shared" si="117"/>
        <v>0</v>
      </c>
      <c r="AV169" s="187">
        <f t="shared" si="105"/>
        <v>334.53149999999999</v>
      </c>
      <c r="AW169" s="187">
        <f t="shared" si="118"/>
        <v>0</v>
      </c>
      <c r="AX169" s="187">
        <f t="shared" si="119"/>
        <v>21</v>
      </c>
      <c r="AY169" s="190"/>
      <c r="AZ169" s="240"/>
      <c r="BA169" s="232"/>
      <c r="BF169" s="206"/>
      <c r="BG169" s="206"/>
      <c r="BK169" s="126"/>
      <c r="BL169" s="126"/>
      <c r="BN169" s="126"/>
      <c r="BO169" s="126"/>
      <c r="BQ169" s="126"/>
      <c r="BR169" s="126"/>
      <c r="BT169" s="126"/>
      <c r="BU169" s="126"/>
      <c r="BW169" s="126"/>
      <c r="BX169" s="126"/>
      <c r="BZ169" s="126"/>
      <c r="CA169" s="126"/>
      <c r="CC169" s="126"/>
      <c r="CD169" s="126"/>
      <c r="CF169" s="126"/>
      <c r="CG169" s="126"/>
    </row>
    <row r="170" spans="1:85" s="197" customFormat="1" x14ac:dyDescent="0.3">
      <c r="A170" s="182" t="s">
        <v>225</v>
      </c>
      <c r="B170" s="183">
        <v>1</v>
      </c>
      <c r="C170" s="184" t="s">
        <v>391</v>
      </c>
      <c r="D170" s="187">
        <v>4.09</v>
      </c>
      <c r="E170" s="187">
        <v>5.85</v>
      </c>
      <c r="F170" s="186">
        <v>0.17499999999999999</v>
      </c>
      <c r="G170" s="187">
        <f t="shared" si="106"/>
        <v>4.1871374999999995</v>
      </c>
      <c r="H170" s="188">
        <f t="shared" si="90"/>
        <v>23.926499999999997</v>
      </c>
      <c r="I170" s="183">
        <f t="shared" si="91"/>
        <v>10</v>
      </c>
      <c r="J170" s="188">
        <f t="shared" si="107"/>
        <v>0.18</v>
      </c>
      <c r="K170" s="183">
        <f t="shared" si="108"/>
        <v>34</v>
      </c>
      <c r="L170" s="189">
        <f t="shared" si="109"/>
        <v>7.3499999999999996E-2</v>
      </c>
      <c r="M170" s="189">
        <f t="shared" si="121"/>
        <v>0.6</v>
      </c>
      <c r="N170" s="189">
        <f t="shared" si="110"/>
        <v>-0.04</v>
      </c>
      <c r="O170" s="189">
        <f>4.41*0.3</f>
        <v>1.323</v>
      </c>
      <c r="P170" s="188">
        <f t="shared" si="120"/>
        <v>6.0465</v>
      </c>
      <c r="Q170" s="183">
        <f t="shared" si="92"/>
        <v>10</v>
      </c>
      <c r="R170" s="188">
        <f t="shared" si="93"/>
        <v>0.18</v>
      </c>
      <c r="S170" s="183">
        <f t="shared" si="94"/>
        <v>33</v>
      </c>
      <c r="T170" s="189">
        <f t="shared" si="95"/>
        <v>7.3499999999999996E-2</v>
      </c>
      <c r="U170" s="189">
        <f t="shared" si="122"/>
        <v>0.6</v>
      </c>
      <c r="V170" s="189">
        <f t="shared" si="111"/>
        <v>-0.04</v>
      </c>
      <c r="W170" s="189">
        <f>3.198*0.3</f>
        <v>0.95939999999999992</v>
      </c>
      <c r="X170" s="188">
        <f t="shared" si="89"/>
        <v>5.6829000000000001</v>
      </c>
      <c r="Y170" s="183">
        <f t="shared" si="96"/>
        <v>10</v>
      </c>
      <c r="Z170" s="188">
        <f t="shared" si="97"/>
        <v>0.2</v>
      </c>
      <c r="AA170" s="183">
        <f t="shared" si="98"/>
        <v>21</v>
      </c>
      <c r="AB170" s="189">
        <f t="shared" si="99"/>
        <v>7.3499999999999996E-2</v>
      </c>
      <c r="AC170" s="189">
        <f t="shared" si="125"/>
        <v>0.6</v>
      </c>
      <c r="AD170" s="189">
        <f t="shared" si="112"/>
        <v>-0.04</v>
      </c>
      <c r="AE170" s="189">
        <f t="shared" si="127"/>
        <v>0.33600000000000002</v>
      </c>
      <c r="AF170" s="188">
        <f t="shared" si="128"/>
        <v>6.8194999999999997</v>
      </c>
      <c r="AG170" s="183">
        <f t="shared" si="100"/>
        <v>10</v>
      </c>
      <c r="AH170" s="182">
        <f t="shared" si="101"/>
        <v>0.2</v>
      </c>
      <c r="AI170" s="183">
        <f t="shared" si="102"/>
        <v>20</v>
      </c>
      <c r="AJ170" s="189">
        <f t="shared" si="103"/>
        <v>7.3499999999999996E-2</v>
      </c>
      <c r="AK170" s="189">
        <f t="shared" si="126"/>
        <v>0.6</v>
      </c>
      <c r="AL170" s="189">
        <f t="shared" si="113"/>
        <v>-0.04</v>
      </c>
      <c r="AM170" s="189">
        <f>5.31*0.3</f>
        <v>1.5929999999999997</v>
      </c>
      <c r="AN170" s="188">
        <f t="shared" si="124"/>
        <v>8.0764999999999993</v>
      </c>
      <c r="AO170" s="183">
        <v>8</v>
      </c>
      <c r="AP170" s="182">
        <f t="shared" si="104"/>
        <v>14</v>
      </c>
      <c r="AQ170" s="182">
        <v>1.5</v>
      </c>
      <c r="AR170" s="187">
        <f t="shared" si="114"/>
        <v>0</v>
      </c>
      <c r="AS170" s="187">
        <f t="shared" si="115"/>
        <v>393.11669999999998</v>
      </c>
      <c r="AT170" s="187">
        <f t="shared" si="116"/>
        <v>0</v>
      </c>
      <c r="AU170" s="187">
        <f t="shared" si="117"/>
        <v>0</v>
      </c>
      <c r="AV170" s="187">
        <f t="shared" si="105"/>
        <v>304.73949999999996</v>
      </c>
      <c r="AW170" s="187">
        <f t="shared" si="118"/>
        <v>0</v>
      </c>
      <c r="AX170" s="187">
        <f t="shared" si="119"/>
        <v>21</v>
      </c>
      <c r="AY170" s="190"/>
      <c r="AZ170" s="240"/>
      <c r="BA170" s="232"/>
      <c r="BF170" s="206"/>
      <c r="BG170" s="206"/>
      <c r="BK170" s="126"/>
      <c r="BL170" s="126"/>
      <c r="BN170" s="126"/>
      <c r="BO170" s="126"/>
      <c r="BQ170" s="126"/>
      <c r="BR170" s="126"/>
      <c r="BT170" s="126"/>
      <c r="BU170" s="126"/>
      <c r="BW170" s="126"/>
      <c r="BX170" s="126"/>
      <c r="BZ170" s="126"/>
      <c r="CA170" s="126"/>
      <c r="CC170" s="126"/>
      <c r="CD170" s="126"/>
      <c r="CF170" s="126"/>
      <c r="CG170" s="126"/>
    </row>
    <row r="171" spans="1:85" s="197" customFormat="1" x14ac:dyDescent="0.3">
      <c r="A171" s="182" t="s">
        <v>242</v>
      </c>
      <c r="B171" s="183">
        <v>1</v>
      </c>
      <c r="C171" s="184" t="s">
        <v>392</v>
      </c>
      <c r="D171" s="187">
        <v>3.198</v>
      </c>
      <c r="E171" s="187">
        <v>5.88</v>
      </c>
      <c r="F171" s="186">
        <v>0.14000000000000001</v>
      </c>
      <c r="G171" s="187">
        <f t="shared" si="106"/>
        <v>2.6325936000000003</v>
      </c>
      <c r="H171" s="188">
        <f t="shared" si="90"/>
        <v>18.80424</v>
      </c>
      <c r="I171" s="183">
        <f t="shared" si="91"/>
        <v>10</v>
      </c>
      <c r="J171" s="188">
        <f t="shared" si="107"/>
        <v>0.2</v>
      </c>
      <c r="K171" s="183">
        <f t="shared" si="108"/>
        <v>30</v>
      </c>
      <c r="L171" s="189">
        <f t="shared" si="109"/>
        <v>5.8800000000000005E-2</v>
      </c>
      <c r="M171" s="189">
        <f t="shared" si="121"/>
        <v>0.6</v>
      </c>
      <c r="N171" s="189">
        <f t="shared" si="110"/>
        <v>-0.04</v>
      </c>
      <c r="O171" s="189">
        <f>4.09*0.3</f>
        <v>1.2269999999999999</v>
      </c>
      <c r="P171" s="188">
        <f t="shared" si="120"/>
        <v>5.0437999999999992</v>
      </c>
      <c r="Q171" s="183">
        <f t="shared" si="92"/>
        <v>10</v>
      </c>
      <c r="R171" s="188">
        <f t="shared" si="93"/>
        <v>0.2</v>
      </c>
      <c r="S171" s="183">
        <f t="shared" si="94"/>
        <v>29</v>
      </c>
      <c r="T171" s="189">
        <f t="shared" si="95"/>
        <v>5.8800000000000005E-2</v>
      </c>
      <c r="U171" s="189">
        <f t="shared" si="122"/>
        <v>0.6</v>
      </c>
      <c r="V171" s="189">
        <f t="shared" si="111"/>
        <v>-0.04</v>
      </c>
      <c r="W171" s="189">
        <f>3.28*0.3</f>
        <v>0.98399999999999987</v>
      </c>
      <c r="X171" s="188">
        <f t="shared" si="89"/>
        <v>4.8007999999999997</v>
      </c>
      <c r="Y171" s="183">
        <f t="shared" si="96"/>
        <v>8</v>
      </c>
      <c r="Z171" s="188">
        <f t="shared" si="97"/>
        <v>0.3</v>
      </c>
      <c r="AA171" s="183">
        <f t="shared" si="98"/>
        <v>12</v>
      </c>
      <c r="AB171" s="189">
        <f t="shared" si="99"/>
        <v>5.8800000000000005E-2</v>
      </c>
      <c r="AC171" s="189">
        <f>0.3+0.5</f>
        <v>0.8</v>
      </c>
      <c r="AD171" s="189">
        <f t="shared" si="112"/>
        <v>-0.04</v>
      </c>
      <c r="AE171" s="189">
        <f t="shared" si="127"/>
        <v>0.33600000000000002</v>
      </c>
      <c r="AF171" s="188">
        <f t="shared" si="128"/>
        <v>7.0347999999999997</v>
      </c>
      <c r="AG171" s="183">
        <f t="shared" si="100"/>
        <v>8</v>
      </c>
      <c r="AH171" s="182">
        <f t="shared" si="101"/>
        <v>0.3</v>
      </c>
      <c r="AI171" s="183">
        <f t="shared" si="102"/>
        <v>11</v>
      </c>
      <c r="AJ171" s="189">
        <f t="shared" si="103"/>
        <v>5.8800000000000005E-2</v>
      </c>
      <c r="AK171" s="189">
        <f>0.3+0.5</f>
        <v>0.8</v>
      </c>
      <c r="AL171" s="189">
        <f t="shared" si="113"/>
        <v>-0.04</v>
      </c>
      <c r="AM171" s="189">
        <f>4.56*0.3</f>
        <v>1.3679999999999999</v>
      </c>
      <c r="AN171" s="188">
        <f t="shared" si="124"/>
        <v>8.0668000000000006</v>
      </c>
      <c r="AO171" s="183">
        <v>8</v>
      </c>
      <c r="AP171" s="182">
        <f t="shared" si="104"/>
        <v>12</v>
      </c>
      <c r="AQ171" s="182">
        <v>1.5</v>
      </c>
      <c r="AR171" s="187">
        <f t="shared" si="114"/>
        <v>0</v>
      </c>
      <c r="AS171" s="187">
        <f t="shared" si="115"/>
        <v>290.53719999999998</v>
      </c>
      <c r="AT171" s="187">
        <f t="shared" si="116"/>
        <v>0</v>
      </c>
      <c r="AU171" s="187">
        <f t="shared" si="117"/>
        <v>173.1524</v>
      </c>
      <c r="AV171" s="187">
        <f t="shared" si="105"/>
        <v>0</v>
      </c>
      <c r="AW171" s="187">
        <f t="shared" si="118"/>
        <v>0</v>
      </c>
      <c r="AX171" s="187">
        <f t="shared" si="119"/>
        <v>18</v>
      </c>
      <c r="AY171" s="190"/>
      <c r="AZ171" s="240"/>
      <c r="BA171" s="232"/>
      <c r="BF171" s="206"/>
      <c r="BG171" s="206"/>
      <c r="BK171" s="126"/>
      <c r="BL171" s="126"/>
      <c r="BN171" s="126"/>
      <c r="BO171" s="126"/>
      <c r="BQ171" s="126"/>
      <c r="BR171" s="126"/>
      <c r="BT171" s="126"/>
      <c r="BU171" s="126"/>
      <c r="BW171" s="126"/>
      <c r="BX171" s="126"/>
      <c r="BZ171" s="126"/>
      <c r="CA171" s="126"/>
      <c r="CC171" s="126"/>
      <c r="CD171" s="126"/>
      <c r="CF171" s="126"/>
      <c r="CG171" s="126"/>
    </row>
    <row r="172" spans="1:85" s="197" customFormat="1" x14ac:dyDescent="0.3">
      <c r="A172" s="182" t="s">
        <v>223</v>
      </c>
      <c r="B172" s="183">
        <v>1</v>
      </c>
      <c r="C172" s="184" t="s">
        <v>393</v>
      </c>
      <c r="D172" s="187">
        <v>3.28</v>
      </c>
      <c r="E172" s="187">
        <v>5.88</v>
      </c>
      <c r="F172" s="186">
        <v>0.13</v>
      </c>
      <c r="G172" s="187">
        <f t="shared" si="106"/>
        <v>2.5072319999999997</v>
      </c>
      <c r="H172" s="188">
        <f t="shared" si="90"/>
        <v>19.286399999999997</v>
      </c>
      <c r="I172" s="183">
        <f t="shared" si="91"/>
        <v>8</v>
      </c>
      <c r="J172" s="188">
        <f t="shared" si="107"/>
        <v>0.2</v>
      </c>
      <c r="K172" s="183">
        <f t="shared" si="108"/>
        <v>30</v>
      </c>
      <c r="L172" s="189">
        <f t="shared" si="109"/>
        <v>5.4600000000000003E-2</v>
      </c>
      <c r="M172" s="189">
        <f t="shared" si="121"/>
        <v>0.6</v>
      </c>
      <c r="N172" s="189">
        <f t="shared" si="110"/>
        <v>-0.04</v>
      </c>
      <c r="O172" s="189">
        <f>3.198*0.3</f>
        <v>0.95939999999999992</v>
      </c>
      <c r="P172" s="188">
        <f t="shared" si="120"/>
        <v>4.8539999999999992</v>
      </c>
      <c r="Q172" s="183">
        <f t="shared" si="92"/>
        <v>8</v>
      </c>
      <c r="R172" s="188">
        <f t="shared" si="93"/>
        <v>0.2</v>
      </c>
      <c r="S172" s="183">
        <f t="shared" si="94"/>
        <v>29</v>
      </c>
      <c r="T172" s="189">
        <f t="shared" si="95"/>
        <v>5.4600000000000003E-2</v>
      </c>
      <c r="U172" s="189">
        <f t="shared" si="122"/>
        <v>0.6</v>
      </c>
      <c r="V172" s="189">
        <f t="shared" si="111"/>
        <v>-0.04</v>
      </c>
      <c r="W172" s="189">
        <f>6*0.3</f>
        <v>1.7999999999999998</v>
      </c>
      <c r="X172" s="188">
        <f t="shared" si="89"/>
        <v>5.6945999999999994</v>
      </c>
      <c r="Y172" s="183">
        <f t="shared" si="96"/>
        <v>8</v>
      </c>
      <c r="Z172" s="188">
        <f t="shared" si="97"/>
        <v>0.36</v>
      </c>
      <c r="AA172" s="183">
        <f t="shared" si="98"/>
        <v>10</v>
      </c>
      <c r="AB172" s="189">
        <f t="shared" si="99"/>
        <v>5.4600000000000003E-2</v>
      </c>
      <c r="AC172" s="189">
        <f>0.5+0.3</f>
        <v>0.8</v>
      </c>
      <c r="AD172" s="189">
        <f t="shared" si="112"/>
        <v>-0.04</v>
      </c>
      <c r="AE172" s="189">
        <f t="shared" si="127"/>
        <v>0.33600000000000002</v>
      </c>
      <c r="AF172" s="188">
        <f t="shared" si="128"/>
        <v>7.0305999999999997</v>
      </c>
      <c r="AG172" s="183">
        <f t="shared" si="100"/>
        <v>8</v>
      </c>
      <c r="AH172" s="182">
        <f t="shared" si="101"/>
        <v>0.36</v>
      </c>
      <c r="AI172" s="183">
        <f t="shared" si="102"/>
        <v>9</v>
      </c>
      <c r="AJ172" s="189">
        <f t="shared" si="103"/>
        <v>5.4600000000000003E-2</v>
      </c>
      <c r="AK172" s="189">
        <f>0.5+0.3</f>
        <v>0.8</v>
      </c>
      <c r="AL172" s="189">
        <f t="shared" si="113"/>
        <v>-0.04</v>
      </c>
      <c r="AM172" s="189">
        <f>4.56*0.3</f>
        <v>1.3679999999999999</v>
      </c>
      <c r="AN172" s="188">
        <f t="shared" si="124"/>
        <v>8.0625999999999998</v>
      </c>
      <c r="AO172" s="183">
        <v>8</v>
      </c>
      <c r="AP172" s="182">
        <f t="shared" si="104"/>
        <v>12</v>
      </c>
      <c r="AQ172" s="182">
        <v>1.5</v>
      </c>
      <c r="AR172" s="187">
        <f t="shared" si="114"/>
        <v>310.76339999999993</v>
      </c>
      <c r="AS172" s="187">
        <f t="shared" si="115"/>
        <v>0</v>
      </c>
      <c r="AT172" s="187">
        <f t="shared" si="116"/>
        <v>0</v>
      </c>
      <c r="AU172" s="187">
        <f t="shared" si="117"/>
        <v>142.86939999999998</v>
      </c>
      <c r="AV172" s="187">
        <f t="shared" si="105"/>
        <v>0</v>
      </c>
      <c r="AW172" s="187">
        <f t="shared" si="118"/>
        <v>0</v>
      </c>
      <c r="AX172" s="187">
        <f t="shared" si="119"/>
        <v>18</v>
      </c>
      <c r="AY172" s="190"/>
      <c r="AZ172" s="240"/>
      <c r="BA172" s="232"/>
      <c r="BF172" s="206"/>
      <c r="BG172" s="206"/>
      <c r="BK172" s="126"/>
      <c r="BL172" s="126"/>
      <c r="BN172" s="126"/>
      <c r="BO172" s="126"/>
      <c r="BQ172" s="126"/>
      <c r="BR172" s="126"/>
      <c r="BT172" s="126"/>
      <c r="BU172" s="126"/>
      <c r="BW172" s="126"/>
      <c r="BX172" s="126"/>
      <c r="BZ172" s="126"/>
      <c r="CA172" s="126"/>
      <c r="CC172" s="126"/>
      <c r="CD172" s="126"/>
      <c r="CF172" s="126"/>
      <c r="CG172" s="126"/>
    </row>
    <row r="173" spans="1:85" s="197" customFormat="1" x14ac:dyDescent="0.3">
      <c r="A173" s="182" t="s">
        <v>226</v>
      </c>
      <c r="B173" s="183">
        <v>1</v>
      </c>
      <c r="C173" s="184" t="s">
        <v>394</v>
      </c>
      <c r="D173" s="187">
        <v>1.1200000000000001</v>
      </c>
      <c r="E173" s="187">
        <v>2.9</v>
      </c>
      <c r="F173" s="186">
        <v>0.115</v>
      </c>
      <c r="G173" s="187">
        <f t="shared" si="106"/>
        <v>0.37352000000000002</v>
      </c>
      <c r="H173" s="188">
        <f t="shared" si="90"/>
        <v>3.2480000000000002</v>
      </c>
      <c r="I173" s="183">
        <f t="shared" si="91"/>
        <v>8</v>
      </c>
      <c r="J173" s="188">
        <f t="shared" si="107"/>
        <v>0.25</v>
      </c>
      <c r="K173" s="183">
        <f t="shared" si="108"/>
        <v>13</v>
      </c>
      <c r="L173" s="189">
        <f t="shared" si="109"/>
        <v>4.8300000000000003E-2</v>
      </c>
      <c r="M173" s="189">
        <f t="shared" si="121"/>
        <v>0.6</v>
      </c>
      <c r="N173" s="189">
        <f t="shared" si="110"/>
        <v>-0.04</v>
      </c>
      <c r="O173" s="189">
        <f t="shared" ref="O173:O181" si="129">F173-2*0.02</f>
        <v>7.5000000000000011E-2</v>
      </c>
      <c r="P173" s="188">
        <f t="shared" si="120"/>
        <v>1.8033000000000001</v>
      </c>
      <c r="Q173" s="183">
        <f t="shared" si="92"/>
        <v>8</v>
      </c>
      <c r="R173" s="188">
        <f t="shared" si="93"/>
        <v>0.25</v>
      </c>
      <c r="S173" s="183">
        <f t="shared" si="94"/>
        <v>12</v>
      </c>
      <c r="T173" s="189">
        <f t="shared" si="95"/>
        <v>4.8300000000000003E-2</v>
      </c>
      <c r="U173" s="189">
        <f t="shared" si="122"/>
        <v>0.6</v>
      </c>
      <c r="V173" s="189">
        <f t="shared" si="111"/>
        <v>-0.04</v>
      </c>
      <c r="W173" s="189">
        <f t="shared" ref="W173:W179" si="130">5.85*0.3</f>
        <v>1.7549999999999999</v>
      </c>
      <c r="X173" s="188">
        <f t="shared" ref="X173:X181" si="131">+D173+SUM(T173:W173)</f>
        <v>3.4832999999999998</v>
      </c>
      <c r="Y173" s="183">
        <f t="shared" si="96"/>
        <v>8</v>
      </c>
      <c r="Z173" s="188">
        <f t="shared" si="97"/>
        <v>0.35</v>
      </c>
      <c r="AA173" s="183">
        <f t="shared" si="98"/>
        <v>4</v>
      </c>
      <c r="AB173" s="189">
        <f t="shared" si="99"/>
        <v>0</v>
      </c>
      <c r="AC173" s="189">
        <f>0.3+0.23</f>
        <v>0.53</v>
      </c>
      <c r="AD173" s="189">
        <f t="shared" si="112"/>
        <v>-0.04</v>
      </c>
      <c r="AE173" s="189">
        <f>F173-2*0.02</f>
        <v>7.5000000000000011E-2</v>
      </c>
      <c r="AF173" s="188">
        <f t="shared" si="128"/>
        <v>3.4649999999999999</v>
      </c>
      <c r="AG173" s="183">
        <f t="shared" si="100"/>
        <v>8</v>
      </c>
      <c r="AH173" s="182">
        <f t="shared" si="101"/>
        <v>0.35</v>
      </c>
      <c r="AI173" s="183">
        <f t="shared" si="102"/>
        <v>3</v>
      </c>
      <c r="AJ173" s="189">
        <f t="shared" si="103"/>
        <v>0</v>
      </c>
      <c r="AK173" s="189">
        <f>0.3+0.23</f>
        <v>0.53</v>
      </c>
      <c r="AL173" s="189">
        <f t="shared" si="113"/>
        <v>-0.04</v>
      </c>
      <c r="AM173" s="189">
        <v>0</v>
      </c>
      <c r="AN173" s="188">
        <f t="shared" si="124"/>
        <v>3.39</v>
      </c>
      <c r="AO173" s="183">
        <v>8</v>
      </c>
      <c r="AP173" s="182">
        <f t="shared" si="104"/>
        <v>6</v>
      </c>
      <c r="AQ173" s="182">
        <v>1.5</v>
      </c>
      <c r="AR173" s="187">
        <f t="shared" si="114"/>
        <v>65.242500000000007</v>
      </c>
      <c r="AS173" s="187">
        <f t="shared" si="115"/>
        <v>0</v>
      </c>
      <c r="AT173" s="187">
        <f t="shared" si="116"/>
        <v>0</v>
      </c>
      <c r="AU173" s="187">
        <f t="shared" si="117"/>
        <v>24.03</v>
      </c>
      <c r="AV173" s="187">
        <f t="shared" si="105"/>
        <v>0</v>
      </c>
      <c r="AW173" s="187">
        <f t="shared" si="118"/>
        <v>0</v>
      </c>
      <c r="AX173" s="187">
        <f t="shared" si="119"/>
        <v>9</v>
      </c>
      <c r="AY173" s="190"/>
      <c r="AZ173" s="240"/>
      <c r="BA173" s="232"/>
      <c r="BF173" s="206"/>
      <c r="BG173" s="206"/>
      <c r="BK173" s="126"/>
      <c r="BL173" s="126"/>
      <c r="BN173" s="126"/>
      <c r="BO173" s="126"/>
      <c r="BQ173" s="126"/>
      <c r="BR173" s="126"/>
      <c r="BT173" s="126"/>
      <c r="BU173" s="126"/>
      <c r="BW173" s="126"/>
      <c r="BX173" s="126"/>
      <c r="BZ173" s="126"/>
      <c r="CA173" s="126"/>
      <c r="CC173" s="126"/>
      <c r="CD173" s="126"/>
      <c r="CF173" s="126"/>
      <c r="CG173" s="126"/>
    </row>
    <row r="174" spans="1:85" s="197" customFormat="1" x14ac:dyDescent="0.3">
      <c r="A174" s="182" t="s">
        <v>226</v>
      </c>
      <c r="B174" s="183">
        <v>1</v>
      </c>
      <c r="C174" s="184" t="s">
        <v>395</v>
      </c>
      <c r="D174" s="187">
        <v>1.1200000000000001</v>
      </c>
      <c r="E174" s="187">
        <v>2.75</v>
      </c>
      <c r="F174" s="186">
        <v>0.115</v>
      </c>
      <c r="G174" s="187">
        <f t="shared" si="106"/>
        <v>0.35420000000000001</v>
      </c>
      <c r="H174" s="188">
        <f t="shared" ref="H174:H181" si="132">D174*E174*B174</f>
        <v>3.08</v>
      </c>
      <c r="I174" s="183">
        <f t="shared" si="91"/>
        <v>8</v>
      </c>
      <c r="J174" s="188">
        <f t="shared" si="107"/>
        <v>0.25</v>
      </c>
      <c r="K174" s="183">
        <f t="shared" si="108"/>
        <v>12</v>
      </c>
      <c r="L174" s="189">
        <f t="shared" si="109"/>
        <v>4.8300000000000003E-2</v>
      </c>
      <c r="M174" s="189">
        <f t="shared" si="121"/>
        <v>0.6</v>
      </c>
      <c r="N174" s="189">
        <f t="shared" si="110"/>
        <v>-0.04</v>
      </c>
      <c r="O174" s="189">
        <f t="shared" si="129"/>
        <v>7.5000000000000011E-2</v>
      </c>
      <c r="P174" s="188">
        <f t="shared" si="120"/>
        <v>1.8033000000000001</v>
      </c>
      <c r="Q174" s="183">
        <f t="shared" si="92"/>
        <v>8</v>
      </c>
      <c r="R174" s="188">
        <f t="shared" si="93"/>
        <v>0.25</v>
      </c>
      <c r="S174" s="183">
        <f t="shared" si="94"/>
        <v>11</v>
      </c>
      <c r="T174" s="189">
        <f t="shared" si="95"/>
        <v>4.8300000000000003E-2</v>
      </c>
      <c r="U174" s="189">
        <f t="shared" si="122"/>
        <v>0.6</v>
      </c>
      <c r="V174" s="189">
        <f t="shared" si="111"/>
        <v>-0.04</v>
      </c>
      <c r="W174" s="189">
        <f t="shared" si="130"/>
        <v>1.7549999999999999</v>
      </c>
      <c r="X174" s="188">
        <f t="shared" si="131"/>
        <v>3.4832999999999998</v>
      </c>
      <c r="Y174" s="183">
        <f t="shared" si="96"/>
        <v>8</v>
      </c>
      <c r="Z174" s="188">
        <f t="shared" si="97"/>
        <v>0.35</v>
      </c>
      <c r="AA174" s="183">
        <f t="shared" si="98"/>
        <v>4</v>
      </c>
      <c r="AB174" s="189">
        <f t="shared" si="99"/>
        <v>0</v>
      </c>
      <c r="AC174" s="189">
        <f t="shared" si="125"/>
        <v>0.6</v>
      </c>
      <c r="AD174" s="189">
        <f t="shared" si="112"/>
        <v>-0.04</v>
      </c>
      <c r="AE174" s="189">
        <v>0</v>
      </c>
      <c r="AF174" s="188">
        <f t="shared" si="128"/>
        <v>3.31</v>
      </c>
      <c r="AG174" s="183">
        <f t="shared" si="100"/>
        <v>8</v>
      </c>
      <c r="AH174" s="182">
        <f t="shared" si="101"/>
        <v>0.35</v>
      </c>
      <c r="AI174" s="183">
        <f t="shared" si="102"/>
        <v>3</v>
      </c>
      <c r="AJ174" s="189">
        <f t="shared" si="103"/>
        <v>0</v>
      </c>
      <c r="AK174" s="189">
        <f t="shared" si="126"/>
        <v>0.6</v>
      </c>
      <c r="AL174" s="189">
        <f t="shared" si="113"/>
        <v>-0.04</v>
      </c>
      <c r="AM174" s="189">
        <v>0</v>
      </c>
      <c r="AN174" s="188">
        <f t="shared" si="124"/>
        <v>3.31</v>
      </c>
      <c r="AO174" s="183">
        <v>8</v>
      </c>
      <c r="AP174" s="182">
        <f t="shared" si="104"/>
        <v>6</v>
      </c>
      <c r="AQ174" s="182">
        <v>1.5</v>
      </c>
      <c r="AR174" s="187">
        <f t="shared" si="114"/>
        <v>59.9559</v>
      </c>
      <c r="AS174" s="187">
        <f t="shared" si="115"/>
        <v>0</v>
      </c>
      <c r="AT174" s="187">
        <f t="shared" si="116"/>
        <v>0</v>
      </c>
      <c r="AU174" s="187">
        <f t="shared" si="117"/>
        <v>23.17</v>
      </c>
      <c r="AV174" s="187">
        <f t="shared" si="105"/>
        <v>0</v>
      </c>
      <c r="AW174" s="187">
        <f t="shared" si="118"/>
        <v>0</v>
      </c>
      <c r="AX174" s="187">
        <f t="shared" si="119"/>
        <v>9</v>
      </c>
      <c r="AY174" s="190"/>
      <c r="AZ174" s="240"/>
      <c r="BA174" s="232"/>
      <c r="BF174" s="206"/>
      <c r="BG174" s="206"/>
      <c r="BK174" s="126"/>
      <c r="BL174" s="126"/>
      <c r="BN174" s="126"/>
      <c r="BO174" s="126"/>
      <c r="BQ174" s="126"/>
      <c r="BR174" s="126"/>
      <c r="BT174" s="126"/>
      <c r="BU174" s="126"/>
      <c r="BW174" s="126"/>
      <c r="BX174" s="126"/>
      <c r="BZ174" s="126"/>
      <c r="CA174" s="126"/>
      <c r="CC174" s="126"/>
      <c r="CD174" s="126"/>
      <c r="CF174" s="126"/>
      <c r="CG174" s="126"/>
    </row>
    <row r="175" spans="1:85" s="197" customFormat="1" x14ac:dyDescent="0.3">
      <c r="A175" s="182" t="s">
        <v>226</v>
      </c>
      <c r="B175" s="183">
        <v>1</v>
      </c>
      <c r="C175" s="184" t="s">
        <v>396</v>
      </c>
      <c r="D175" s="187">
        <v>1.1200000000000001</v>
      </c>
      <c r="E175" s="187">
        <v>5.92</v>
      </c>
      <c r="F175" s="186">
        <v>0.115</v>
      </c>
      <c r="G175" s="187">
        <f t="shared" si="106"/>
        <v>0.76249600000000006</v>
      </c>
      <c r="H175" s="188">
        <f t="shared" si="132"/>
        <v>6.6304000000000007</v>
      </c>
      <c r="I175" s="183">
        <f t="shared" si="91"/>
        <v>8</v>
      </c>
      <c r="J175" s="188">
        <f t="shared" si="107"/>
        <v>0.25</v>
      </c>
      <c r="K175" s="183">
        <f t="shared" si="108"/>
        <v>25</v>
      </c>
      <c r="L175" s="189">
        <f t="shared" si="109"/>
        <v>4.8300000000000003E-2</v>
      </c>
      <c r="M175" s="189">
        <f t="shared" si="121"/>
        <v>0.6</v>
      </c>
      <c r="N175" s="189">
        <f t="shared" si="110"/>
        <v>-0.04</v>
      </c>
      <c r="O175" s="189">
        <f t="shared" si="129"/>
        <v>7.5000000000000011E-2</v>
      </c>
      <c r="P175" s="188">
        <f t="shared" si="120"/>
        <v>1.8033000000000001</v>
      </c>
      <c r="Q175" s="183">
        <f t="shared" si="92"/>
        <v>8</v>
      </c>
      <c r="R175" s="188">
        <f t="shared" si="93"/>
        <v>0.25</v>
      </c>
      <c r="S175" s="183">
        <f t="shared" si="94"/>
        <v>24</v>
      </c>
      <c r="T175" s="189">
        <f t="shared" si="95"/>
        <v>4.8300000000000003E-2</v>
      </c>
      <c r="U175" s="189">
        <f t="shared" si="122"/>
        <v>0.6</v>
      </c>
      <c r="V175" s="189">
        <f t="shared" si="111"/>
        <v>-0.04</v>
      </c>
      <c r="W175" s="189">
        <f t="shared" si="130"/>
        <v>1.7549999999999999</v>
      </c>
      <c r="X175" s="188">
        <f t="shared" si="131"/>
        <v>3.4832999999999998</v>
      </c>
      <c r="Y175" s="183">
        <f t="shared" si="96"/>
        <v>8</v>
      </c>
      <c r="Z175" s="188">
        <f t="shared" si="97"/>
        <v>0.35</v>
      </c>
      <c r="AA175" s="183">
        <f t="shared" si="98"/>
        <v>4</v>
      </c>
      <c r="AB175" s="189">
        <f t="shared" si="99"/>
        <v>0</v>
      </c>
      <c r="AC175" s="189">
        <f t="shared" si="125"/>
        <v>0.6</v>
      </c>
      <c r="AD175" s="189">
        <f t="shared" si="112"/>
        <v>-0.04</v>
      </c>
      <c r="AE175" s="189">
        <v>0</v>
      </c>
      <c r="AF175" s="188">
        <f t="shared" si="128"/>
        <v>6.4799999999999995</v>
      </c>
      <c r="AG175" s="183">
        <f t="shared" si="100"/>
        <v>8</v>
      </c>
      <c r="AH175" s="182">
        <f t="shared" si="101"/>
        <v>0.35</v>
      </c>
      <c r="AI175" s="183">
        <f t="shared" si="102"/>
        <v>3</v>
      </c>
      <c r="AJ175" s="189">
        <f t="shared" si="103"/>
        <v>0</v>
      </c>
      <c r="AK175" s="189">
        <f t="shared" si="126"/>
        <v>0.6</v>
      </c>
      <c r="AL175" s="189">
        <f t="shared" si="113"/>
        <v>-0.04</v>
      </c>
      <c r="AM175" s="189">
        <v>0</v>
      </c>
      <c r="AN175" s="188">
        <f t="shared" si="124"/>
        <v>6.4799999999999995</v>
      </c>
      <c r="AO175" s="183">
        <v>8</v>
      </c>
      <c r="AP175" s="182">
        <f t="shared" si="104"/>
        <v>10</v>
      </c>
      <c r="AQ175" s="182">
        <v>1.5</v>
      </c>
      <c r="AR175" s="187">
        <f t="shared" si="114"/>
        <v>128.68170000000001</v>
      </c>
      <c r="AS175" s="187">
        <f t="shared" si="115"/>
        <v>0</v>
      </c>
      <c r="AT175" s="187">
        <f t="shared" si="116"/>
        <v>0</v>
      </c>
      <c r="AU175" s="187">
        <f t="shared" si="117"/>
        <v>45.36</v>
      </c>
      <c r="AV175" s="187">
        <f t="shared" si="105"/>
        <v>0</v>
      </c>
      <c r="AW175" s="187">
        <f t="shared" si="118"/>
        <v>0</v>
      </c>
      <c r="AX175" s="187">
        <f t="shared" si="119"/>
        <v>15</v>
      </c>
      <c r="AY175" s="190"/>
      <c r="AZ175" s="240"/>
      <c r="BA175" s="232"/>
      <c r="BF175" s="206"/>
      <c r="BG175" s="206"/>
      <c r="BK175" s="126"/>
      <c r="BL175" s="126"/>
      <c r="BN175" s="126"/>
      <c r="BO175" s="126"/>
      <c r="BQ175" s="126"/>
      <c r="BR175" s="126"/>
      <c r="BT175" s="126"/>
      <c r="BU175" s="126"/>
      <c r="BW175" s="126"/>
      <c r="BX175" s="126"/>
      <c r="BZ175" s="126"/>
      <c r="CA175" s="126"/>
      <c r="CC175" s="126"/>
      <c r="CD175" s="126"/>
      <c r="CF175" s="126"/>
      <c r="CG175" s="126"/>
    </row>
    <row r="176" spans="1:85" s="197" customFormat="1" x14ac:dyDescent="0.3">
      <c r="A176" s="182" t="s">
        <v>226</v>
      </c>
      <c r="B176" s="183">
        <v>1</v>
      </c>
      <c r="C176" s="184" t="s">
        <v>397</v>
      </c>
      <c r="D176" s="187">
        <v>1.1200000000000001</v>
      </c>
      <c r="E176" s="187">
        <v>4.41</v>
      </c>
      <c r="F176" s="186">
        <v>0.115</v>
      </c>
      <c r="G176" s="187">
        <f t="shared" si="106"/>
        <v>0.56800800000000007</v>
      </c>
      <c r="H176" s="188">
        <f t="shared" si="132"/>
        <v>4.9392000000000005</v>
      </c>
      <c r="I176" s="183">
        <f t="shared" si="91"/>
        <v>8</v>
      </c>
      <c r="J176" s="188">
        <f t="shared" si="107"/>
        <v>0.25</v>
      </c>
      <c r="K176" s="183">
        <f t="shared" si="108"/>
        <v>19</v>
      </c>
      <c r="L176" s="189">
        <f t="shared" si="109"/>
        <v>4.8300000000000003E-2</v>
      </c>
      <c r="M176" s="189">
        <f t="shared" si="121"/>
        <v>0.6</v>
      </c>
      <c r="N176" s="189">
        <f t="shared" si="110"/>
        <v>-0.04</v>
      </c>
      <c r="O176" s="189">
        <f t="shared" si="129"/>
        <v>7.5000000000000011E-2</v>
      </c>
      <c r="P176" s="188">
        <f t="shared" si="120"/>
        <v>1.8033000000000001</v>
      </c>
      <c r="Q176" s="183">
        <f t="shared" si="92"/>
        <v>8</v>
      </c>
      <c r="R176" s="188">
        <f t="shared" si="93"/>
        <v>0.25</v>
      </c>
      <c r="S176" s="183">
        <f t="shared" si="94"/>
        <v>18</v>
      </c>
      <c r="T176" s="189">
        <f t="shared" si="95"/>
        <v>4.8300000000000003E-2</v>
      </c>
      <c r="U176" s="189">
        <f t="shared" si="122"/>
        <v>0.6</v>
      </c>
      <c r="V176" s="189">
        <f t="shared" si="111"/>
        <v>-0.04</v>
      </c>
      <c r="W176" s="189">
        <f t="shared" si="130"/>
        <v>1.7549999999999999</v>
      </c>
      <c r="X176" s="188">
        <f t="shared" si="131"/>
        <v>3.4832999999999998</v>
      </c>
      <c r="Y176" s="183">
        <f t="shared" si="96"/>
        <v>8</v>
      </c>
      <c r="Z176" s="188">
        <f t="shared" si="97"/>
        <v>0.35</v>
      </c>
      <c r="AA176" s="183">
        <f t="shared" si="98"/>
        <v>4</v>
      </c>
      <c r="AB176" s="189">
        <f t="shared" si="99"/>
        <v>0</v>
      </c>
      <c r="AC176" s="189">
        <f t="shared" si="125"/>
        <v>0.6</v>
      </c>
      <c r="AD176" s="189">
        <f t="shared" si="112"/>
        <v>-0.04</v>
      </c>
      <c r="AE176" s="189">
        <v>0</v>
      </c>
      <c r="AF176" s="188">
        <f t="shared" si="128"/>
        <v>4.97</v>
      </c>
      <c r="AG176" s="183">
        <f t="shared" si="100"/>
        <v>8</v>
      </c>
      <c r="AH176" s="182">
        <f t="shared" si="101"/>
        <v>0.35</v>
      </c>
      <c r="AI176" s="183">
        <f t="shared" si="102"/>
        <v>3</v>
      </c>
      <c r="AJ176" s="189">
        <f t="shared" si="103"/>
        <v>0</v>
      </c>
      <c r="AK176" s="189">
        <f t="shared" si="126"/>
        <v>0.6</v>
      </c>
      <c r="AL176" s="189">
        <f t="shared" si="113"/>
        <v>-0.04</v>
      </c>
      <c r="AM176" s="189">
        <v>0</v>
      </c>
      <c r="AN176" s="188">
        <f t="shared" si="124"/>
        <v>4.97</v>
      </c>
      <c r="AO176" s="183">
        <v>8</v>
      </c>
      <c r="AP176" s="182">
        <f t="shared" si="104"/>
        <v>8</v>
      </c>
      <c r="AQ176" s="182">
        <v>1.5</v>
      </c>
      <c r="AR176" s="187">
        <f t="shared" si="114"/>
        <v>96.962099999999992</v>
      </c>
      <c r="AS176" s="187">
        <f t="shared" si="115"/>
        <v>0</v>
      </c>
      <c r="AT176" s="187">
        <f t="shared" si="116"/>
        <v>0</v>
      </c>
      <c r="AU176" s="187">
        <f t="shared" si="117"/>
        <v>34.79</v>
      </c>
      <c r="AV176" s="187">
        <f t="shared" si="105"/>
        <v>0</v>
      </c>
      <c r="AW176" s="187">
        <f t="shared" si="118"/>
        <v>0</v>
      </c>
      <c r="AX176" s="187">
        <f t="shared" si="119"/>
        <v>12</v>
      </c>
      <c r="AY176" s="190"/>
      <c r="AZ176" s="240"/>
      <c r="BA176" s="232"/>
      <c r="BF176" s="206"/>
      <c r="BG176" s="206"/>
      <c r="BK176" s="126"/>
      <c r="BL176" s="126"/>
      <c r="BN176" s="126"/>
      <c r="BO176" s="126"/>
      <c r="BQ176" s="126"/>
      <c r="BR176" s="126"/>
      <c r="BT176" s="126"/>
      <c r="BU176" s="126"/>
      <c r="BW176" s="126"/>
      <c r="BX176" s="126"/>
      <c r="BZ176" s="126"/>
      <c r="CA176" s="126"/>
      <c r="CC176" s="126"/>
      <c r="CD176" s="126"/>
      <c r="CF176" s="126"/>
      <c r="CG176" s="126"/>
    </row>
    <row r="177" spans="1:105" s="197" customFormat="1" outlineLevel="1" x14ac:dyDescent="0.3">
      <c r="A177" s="182" t="s">
        <v>226</v>
      </c>
      <c r="B177" s="183">
        <v>1</v>
      </c>
      <c r="C177" s="184" t="s">
        <v>398</v>
      </c>
      <c r="D177" s="187">
        <v>1.1200000000000001</v>
      </c>
      <c r="E177" s="187">
        <v>3.81</v>
      </c>
      <c r="F177" s="186">
        <v>0.115</v>
      </c>
      <c r="G177" s="187">
        <f t="shared" si="106"/>
        <v>0.49072800000000011</v>
      </c>
      <c r="H177" s="188">
        <f t="shared" si="132"/>
        <v>4.2672000000000008</v>
      </c>
      <c r="I177" s="183">
        <f t="shared" si="91"/>
        <v>8</v>
      </c>
      <c r="J177" s="188">
        <f t="shared" si="107"/>
        <v>0.25</v>
      </c>
      <c r="K177" s="183">
        <f t="shared" si="108"/>
        <v>16</v>
      </c>
      <c r="L177" s="189">
        <f t="shared" si="109"/>
        <v>4.8300000000000003E-2</v>
      </c>
      <c r="M177" s="189">
        <f t="shared" si="121"/>
        <v>0.6</v>
      </c>
      <c r="N177" s="189">
        <f t="shared" si="110"/>
        <v>-0.04</v>
      </c>
      <c r="O177" s="189">
        <f t="shared" si="129"/>
        <v>7.5000000000000011E-2</v>
      </c>
      <c r="P177" s="188">
        <f t="shared" si="120"/>
        <v>1.8033000000000001</v>
      </c>
      <c r="Q177" s="183">
        <f t="shared" si="92"/>
        <v>8</v>
      </c>
      <c r="R177" s="188">
        <f t="shared" si="93"/>
        <v>0.25</v>
      </c>
      <c r="S177" s="183">
        <f t="shared" si="94"/>
        <v>15</v>
      </c>
      <c r="T177" s="189">
        <f t="shared" si="95"/>
        <v>4.8300000000000003E-2</v>
      </c>
      <c r="U177" s="189">
        <f t="shared" si="122"/>
        <v>0.6</v>
      </c>
      <c r="V177" s="189">
        <f t="shared" si="111"/>
        <v>-0.04</v>
      </c>
      <c r="W177" s="189">
        <f t="shared" si="130"/>
        <v>1.7549999999999999</v>
      </c>
      <c r="X177" s="188">
        <f t="shared" si="131"/>
        <v>3.4832999999999998</v>
      </c>
      <c r="Y177" s="183">
        <f t="shared" si="96"/>
        <v>8</v>
      </c>
      <c r="Z177" s="188">
        <f t="shared" si="97"/>
        <v>0.35</v>
      </c>
      <c r="AA177" s="183">
        <f t="shared" si="98"/>
        <v>4</v>
      </c>
      <c r="AB177" s="189">
        <f t="shared" si="99"/>
        <v>0</v>
      </c>
      <c r="AC177" s="189">
        <f t="shared" si="125"/>
        <v>0.6</v>
      </c>
      <c r="AD177" s="189">
        <f t="shared" si="112"/>
        <v>-0.04</v>
      </c>
      <c r="AE177" s="189">
        <v>0</v>
      </c>
      <c r="AF177" s="188">
        <f t="shared" si="128"/>
        <v>4.37</v>
      </c>
      <c r="AG177" s="183">
        <f t="shared" si="100"/>
        <v>8</v>
      </c>
      <c r="AH177" s="182">
        <f t="shared" si="101"/>
        <v>0.35</v>
      </c>
      <c r="AI177" s="183">
        <f t="shared" si="102"/>
        <v>3</v>
      </c>
      <c r="AJ177" s="189">
        <f t="shared" si="103"/>
        <v>0</v>
      </c>
      <c r="AK177" s="189">
        <f t="shared" si="126"/>
        <v>0.6</v>
      </c>
      <c r="AL177" s="189">
        <f t="shared" si="113"/>
        <v>-0.04</v>
      </c>
      <c r="AM177" s="189">
        <v>0</v>
      </c>
      <c r="AN177" s="188">
        <f t="shared" si="124"/>
        <v>4.37</v>
      </c>
      <c r="AO177" s="183">
        <v>8</v>
      </c>
      <c r="AP177" s="182">
        <f t="shared" si="104"/>
        <v>8</v>
      </c>
      <c r="AQ177" s="182">
        <v>1.5</v>
      </c>
      <c r="AR177" s="187">
        <f t="shared" si="114"/>
        <v>81.1023</v>
      </c>
      <c r="AS177" s="187">
        <f t="shared" si="115"/>
        <v>0</v>
      </c>
      <c r="AT177" s="187">
        <f t="shared" si="116"/>
        <v>0</v>
      </c>
      <c r="AU177" s="187">
        <f t="shared" si="117"/>
        <v>30.59</v>
      </c>
      <c r="AV177" s="187">
        <f t="shared" si="105"/>
        <v>0</v>
      </c>
      <c r="AW177" s="187">
        <f t="shared" si="118"/>
        <v>0</v>
      </c>
      <c r="AX177" s="187">
        <f t="shared" si="119"/>
        <v>12</v>
      </c>
      <c r="AY177" s="190"/>
      <c r="AZ177" s="240"/>
      <c r="BA177" s="232"/>
      <c r="BF177" s="206"/>
      <c r="BG177" s="206"/>
      <c r="BK177" s="126"/>
      <c r="BL177" s="126"/>
      <c r="BN177" s="126"/>
      <c r="BO177" s="126"/>
      <c r="BQ177" s="126"/>
      <c r="BR177" s="126"/>
      <c r="BT177" s="126"/>
      <c r="BU177" s="126"/>
      <c r="BW177" s="126"/>
      <c r="BX177" s="126"/>
      <c r="BZ177" s="126"/>
      <c r="CA177" s="126"/>
      <c r="CC177" s="126"/>
      <c r="CD177" s="126"/>
      <c r="CF177" s="126"/>
      <c r="CG177" s="126"/>
    </row>
    <row r="178" spans="1:105" s="197" customFormat="1" outlineLevel="1" x14ac:dyDescent="0.3">
      <c r="A178" s="182" t="s">
        <v>226</v>
      </c>
      <c r="B178" s="183">
        <v>1</v>
      </c>
      <c r="C178" s="184" t="s">
        <v>399</v>
      </c>
      <c r="D178" s="187">
        <v>1.1200000000000001</v>
      </c>
      <c r="E178" s="187">
        <v>4.41</v>
      </c>
      <c r="F178" s="186">
        <v>0.115</v>
      </c>
      <c r="G178" s="187">
        <f t="shared" si="106"/>
        <v>0.56800800000000007</v>
      </c>
      <c r="H178" s="188">
        <f t="shared" si="132"/>
        <v>4.9392000000000005</v>
      </c>
      <c r="I178" s="183">
        <f t="shared" si="91"/>
        <v>8</v>
      </c>
      <c r="J178" s="188">
        <f t="shared" si="107"/>
        <v>0.25</v>
      </c>
      <c r="K178" s="183">
        <f t="shared" si="108"/>
        <v>19</v>
      </c>
      <c r="L178" s="189">
        <f t="shared" si="109"/>
        <v>4.8300000000000003E-2</v>
      </c>
      <c r="M178" s="189">
        <f t="shared" si="121"/>
        <v>0.6</v>
      </c>
      <c r="N178" s="189">
        <f t="shared" si="110"/>
        <v>-0.04</v>
      </c>
      <c r="O178" s="189">
        <f t="shared" si="129"/>
        <v>7.5000000000000011E-2</v>
      </c>
      <c r="P178" s="188">
        <f t="shared" si="120"/>
        <v>1.8033000000000001</v>
      </c>
      <c r="Q178" s="183">
        <f t="shared" si="92"/>
        <v>8</v>
      </c>
      <c r="R178" s="188">
        <f t="shared" si="93"/>
        <v>0.25</v>
      </c>
      <c r="S178" s="183">
        <f t="shared" si="94"/>
        <v>18</v>
      </c>
      <c r="T178" s="189">
        <f t="shared" si="95"/>
        <v>4.8300000000000003E-2</v>
      </c>
      <c r="U178" s="189">
        <f t="shared" si="122"/>
        <v>0.6</v>
      </c>
      <c r="V178" s="189">
        <f t="shared" si="111"/>
        <v>-0.04</v>
      </c>
      <c r="W178" s="189">
        <f t="shared" si="130"/>
        <v>1.7549999999999999</v>
      </c>
      <c r="X178" s="188">
        <f t="shared" si="131"/>
        <v>3.4832999999999998</v>
      </c>
      <c r="Y178" s="183">
        <f t="shared" si="96"/>
        <v>8</v>
      </c>
      <c r="Z178" s="188">
        <f t="shared" si="97"/>
        <v>0.35</v>
      </c>
      <c r="AA178" s="183">
        <f t="shared" si="98"/>
        <v>4</v>
      </c>
      <c r="AB178" s="189">
        <f t="shared" si="99"/>
        <v>0</v>
      </c>
      <c r="AC178" s="189">
        <f t="shared" si="125"/>
        <v>0.6</v>
      </c>
      <c r="AD178" s="189">
        <f t="shared" si="112"/>
        <v>-0.04</v>
      </c>
      <c r="AE178" s="189">
        <v>0</v>
      </c>
      <c r="AF178" s="188">
        <f t="shared" si="128"/>
        <v>4.97</v>
      </c>
      <c r="AG178" s="183">
        <f t="shared" si="100"/>
        <v>8</v>
      </c>
      <c r="AH178" s="182">
        <f t="shared" si="101"/>
        <v>0.35</v>
      </c>
      <c r="AI178" s="183">
        <f t="shared" si="102"/>
        <v>3</v>
      </c>
      <c r="AJ178" s="189">
        <f t="shared" si="103"/>
        <v>0</v>
      </c>
      <c r="AK178" s="189">
        <f t="shared" si="126"/>
        <v>0.6</v>
      </c>
      <c r="AL178" s="189">
        <f t="shared" si="113"/>
        <v>-0.04</v>
      </c>
      <c r="AM178" s="189">
        <v>0</v>
      </c>
      <c r="AN178" s="188">
        <f t="shared" si="124"/>
        <v>4.97</v>
      </c>
      <c r="AO178" s="183">
        <v>8</v>
      </c>
      <c r="AP178" s="182">
        <f t="shared" si="104"/>
        <v>8</v>
      </c>
      <c r="AQ178" s="182">
        <v>1.5</v>
      </c>
      <c r="AR178" s="187">
        <f t="shared" si="114"/>
        <v>96.962099999999992</v>
      </c>
      <c r="AS178" s="187">
        <f t="shared" si="115"/>
        <v>0</v>
      </c>
      <c r="AT178" s="187">
        <f t="shared" si="116"/>
        <v>0</v>
      </c>
      <c r="AU178" s="187">
        <f t="shared" si="117"/>
        <v>34.79</v>
      </c>
      <c r="AV178" s="187">
        <f t="shared" si="105"/>
        <v>0</v>
      </c>
      <c r="AW178" s="187">
        <f t="shared" si="118"/>
        <v>0</v>
      </c>
      <c r="AX178" s="187">
        <f t="shared" si="119"/>
        <v>12</v>
      </c>
      <c r="AY178" s="190"/>
      <c r="AZ178" s="240"/>
      <c r="BA178" s="232"/>
      <c r="BF178" s="206"/>
      <c r="BG178" s="206"/>
      <c r="BK178" s="126"/>
      <c r="BL178" s="126"/>
      <c r="BN178" s="126"/>
      <c r="BO178" s="126"/>
      <c r="BQ178" s="126"/>
      <c r="BR178" s="126"/>
      <c r="BT178" s="126"/>
      <c r="BU178" s="126"/>
      <c r="BW178" s="126"/>
      <c r="BX178" s="126"/>
      <c r="BZ178" s="126"/>
      <c r="CA178" s="126"/>
      <c r="CC178" s="126"/>
      <c r="CD178" s="126"/>
      <c r="CF178" s="126"/>
      <c r="CG178" s="126"/>
    </row>
    <row r="179" spans="1:105" s="197" customFormat="1" outlineLevel="1" x14ac:dyDescent="0.3">
      <c r="A179" s="182" t="s">
        <v>226</v>
      </c>
      <c r="B179" s="183">
        <v>1</v>
      </c>
      <c r="C179" s="184" t="s">
        <v>400</v>
      </c>
      <c r="D179" s="187">
        <v>1.1200000000000001</v>
      </c>
      <c r="E179" s="187">
        <v>4.09</v>
      </c>
      <c r="F179" s="186">
        <v>0.115</v>
      </c>
      <c r="G179" s="187">
        <f t="shared" si="106"/>
        <v>0.52679200000000004</v>
      </c>
      <c r="H179" s="188">
        <f t="shared" si="132"/>
        <v>4.5808</v>
      </c>
      <c r="I179" s="183">
        <f t="shared" si="91"/>
        <v>8</v>
      </c>
      <c r="J179" s="188">
        <f t="shared" si="107"/>
        <v>0.25</v>
      </c>
      <c r="K179" s="183">
        <f t="shared" si="108"/>
        <v>17</v>
      </c>
      <c r="L179" s="189">
        <f t="shared" si="109"/>
        <v>4.8300000000000003E-2</v>
      </c>
      <c r="M179" s="189">
        <f t="shared" si="121"/>
        <v>0.6</v>
      </c>
      <c r="N179" s="189">
        <f t="shared" si="110"/>
        <v>-0.04</v>
      </c>
      <c r="O179" s="189">
        <f t="shared" si="129"/>
        <v>7.5000000000000011E-2</v>
      </c>
      <c r="P179" s="188">
        <f t="shared" si="120"/>
        <v>1.8033000000000001</v>
      </c>
      <c r="Q179" s="183">
        <f t="shared" si="92"/>
        <v>8</v>
      </c>
      <c r="R179" s="188">
        <f t="shared" si="93"/>
        <v>0.25</v>
      </c>
      <c r="S179" s="183">
        <f t="shared" si="94"/>
        <v>16</v>
      </c>
      <c r="T179" s="189">
        <f t="shared" si="95"/>
        <v>4.8300000000000003E-2</v>
      </c>
      <c r="U179" s="189">
        <f t="shared" si="122"/>
        <v>0.6</v>
      </c>
      <c r="V179" s="189">
        <f t="shared" si="111"/>
        <v>-0.04</v>
      </c>
      <c r="W179" s="189">
        <f t="shared" si="130"/>
        <v>1.7549999999999999</v>
      </c>
      <c r="X179" s="188">
        <f t="shared" si="131"/>
        <v>3.4832999999999998</v>
      </c>
      <c r="Y179" s="183">
        <f t="shared" si="96"/>
        <v>8</v>
      </c>
      <c r="Z179" s="188">
        <f t="shared" si="97"/>
        <v>0.35</v>
      </c>
      <c r="AA179" s="183">
        <f t="shared" si="98"/>
        <v>4</v>
      </c>
      <c r="AB179" s="189">
        <f t="shared" si="99"/>
        <v>0</v>
      </c>
      <c r="AC179" s="189">
        <f t="shared" si="125"/>
        <v>0.6</v>
      </c>
      <c r="AD179" s="189">
        <f t="shared" si="112"/>
        <v>-0.04</v>
      </c>
      <c r="AE179" s="189">
        <v>0</v>
      </c>
      <c r="AF179" s="188">
        <f t="shared" si="128"/>
        <v>4.6499999999999995</v>
      </c>
      <c r="AG179" s="183">
        <f t="shared" si="100"/>
        <v>8</v>
      </c>
      <c r="AH179" s="182">
        <f t="shared" si="101"/>
        <v>0.35</v>
      </c>
      <c r="AI179" s="183">
        <f t="shared" si="102"/>
        <v>3</v>
      </c>
      <c r="AJ179" s="189">
        <f t="shared" si="103"/>
        <v>0</v>
      </c>
      <c r="AK179" s="189">
        <f t="shared" si="126"/>
        <v>0.6</v>
      </c>
      <c r="AL179" s="189">
        <f t="shared" si="113"/>
        <v>-0.04</v>
      </c>
      <c r="AM179" s="189">
        <v>0</v>
      </c>
      <c r="AN179" s="188">
        <f t="shared" si="124"/>
        <v>4.6499999999999995</v>
      </c>
      <c r="AO179" s="183">
        <v>8</v>
      </c>
      <c r="AP179" s="182">
        <f t="shared" si="104"/>
        <v>8</v>
      </c>
      <c r="AQ179" s="182">
        <v>1.5</v>
      </c>
      <c r="AR179" s="187">
        <f t="shared" si="114"/>
        <v>86.388900000000007</v>
      </c>
      <c r="AS179" s="187">
        <f t="shared" si="115"/>
        <v>0</v>
      </c>
      <c r="AT179" s="187">
        <f t="shared" si="116"/>
        <v>0</v>
      </c>
      <c r="AU179" s="187">
        <f t="shared" si="117"/>
        <v>32.549999999999997</v>
      </c>
      <c r="AV179" s="187">
        <f t="shared" si="105"/>
        <v>0</v>
      </c>
      <c r="AW179" s="187">
        <f t="shared" si="118"/>
        <v>0</v>
      </c>
      <c r="AX179" s="187">
        <f t="shared" si="119"/>
        <v>12</v>
      </c>
      <c r="AY179" s="190"/>
      <c r="AZ179" s="240"/>
      <c r="BA179" s="232"/>
      <c r="BF179" s="206"/>
      <c r="BG179" s="206"/>
      <c r="BK179" s="126"/>
      <c r="BL179" s="126"/>
      <c r="BN179" s="126"/>
      <c r="BO179" s="126"/>
      <c r="BQ179" s="126"/>
      <c r="BR179" s="126"/>
      <c r="BT179" s="126"/>
      <c r="BU179" s="126"/>
      <c r="BW179" s="126"/>
      <c r="BX179" s="126"/>
      <c r="BZ179" s="126"/>
      <c r="CA179" s="126"/>
      <c r="CC179" s="126"/>
      <c r="CD179" s="126"/>
      <c r="CF179" s="126"/>
      <c r="CG179" s="126"/>
    </row>
    <row r="180" spans="1:105" s="197" customFormat="1" outlineLevel="1" x14ac:dyDescent="0.3">
      <c r="A180" s="182" t="s">
        <v>226</v>
      </c>
      <c r="B180" s="183">
        <v>1</v>
      </c>
      <c r="C180" s="184" t="s">
        <v>401</v>
      </c>
      <c r="D180" s="187">
        <v>1.1200000000000001</v>
      </c>
      <c r="E180" s="187">
        <v>5.28</v>
      </c>
      <c r="F180" s="186">
        <v>0.115</v>
      </c>
      <c r="G180" s="187">
        <f t="shared" si="106"/>
        <v>0.68006400000000011</v>
      </c>
      <c r="H180" s="188">
        <f t="shared" si="132"/>
        <v>5.9136000000000006</v>
      </c>
      <c r="I180" s="183">
        <f t="shared" si="91"/>
        <v>8</v>
      </c>
      <c r="J180" s="188">
        <f t="shared" si="107"/>
        <v>0.25</v>
      </c>
      <c r="K180" s="183">
        <f t="shared" si="108"/>
        <v>22</v>
      </c>
      <c r="L180" s="189">
        <f t="shared" si="109"/>
        <v>4.8300000000000003E-2</v>
      </c>
      <c r="M180" s="189">
        <f t="shared" si="121"/>
        <v>0.6</v>
      </c>
      <c r="N180" s="189">
        <f t="shared" si="110"/>
        <v>-0.04</v>
      </c>
      <c r="O180" s="189">
        <f t="shared" si="129"/>
        <v>7.5000000000000011E-2</v>
      </c>
      <c r="P180" s="188">
        <f t="shared" si="120"/>
        <v>1.8033000000000001</v>
      </c>
      <c r="Q180" s="183">
        <f t="shared" si="92"/>
        <v>8</v>
      </c>
      <c r="R180" s="188">
        <f t="shared" si="93"/>
        <v>0.25</v>
      </c>
      <c r="S180" s="183">
        <f t="shared" si="94"/>
        <v>21</v>
      </c>
      <c r="T180" s="189">
        <f t="shared" si="95"/>
        <v>4.8300000000000003E-2</v>
      </c>
      <c r="U180" s="189">
        <f t="shared" si="122"/>
        <v>0.6</v>
      </c>
      <c r="V180" s="189">
        <f t="shared" si="111"/>
        <v>-0.04</v>
      </c>
      <c r="W180" s="189">
        <f>5.88*0.3</f>
        <v>1.764</v>
      </c>
      <c r="X180" s="188">
        <f t="shared" si="131"/>
        <v>3.4923000000000002</v>
      </c>
      <c r="Y180" s="183">
        <f t="shared" si="96"/>
        <v>8</v>
      </c>
      <c r="Z180" s="188">
        <f t="shared" si="97"/>
        <v>0.35</v>
      </c>
      <c r="AA180" s="183">
        <f t="shared" si="98"/>
        <v>4</v>
      </c>
      <c r="AB180" s="189">
        <f t="shared" si="99"/>
        <v>0</v>
      </c>
      <c r="AC180" s="189">
        <f t="shared" si="125"/>
        <v>0.6</v>
      </c>
      <c r="AD180" s="189">
        <f t="shared" si="112"/>
        <v>-0.04</v>
      </c>
      <c r="AE180" s="189">
        <v>0</v>
      </c>
      <c r="AF180" s="188">
        <f t="shared" si="128"/>
        <v>5.84</v>
      </c>
      <c r="AG180" s="183">
        <f t="shared" si="100"/>
        <v>8</v>
      </c>
      <c r="AH180" s="182">
        <f t="shared" si="101"/>
        <v>0.35</v>
      </c>
      <c r="AI180" s="183">
        <f t="shared" si="102"/>
        <v>3</v>
      </c>
      <c r="AJ180" s="189">
        <f t="shared" si="103"/>
        <v>0</v>
      </c>
      <c r="AK180" s="189">
        <f t="shared" si="126"/>
        <v>0.6</v>
      </c>
      <c r="AL180" s="189">
        <f t="shared" si="113"/>
        <v>-0.04</v>
      </c>
      <c r="AM180" s="189">
        <v>0</v>
      </c>
      <c r="AN180" s="188">
        <f t="shared" si="124"/>
        <v>5.84</v>
      </c>
      <c r="AO180" s="183">
        <v>8</v>
      </c>
      <c r="AP180" s="182">
        <f t="shared" si="104"/>
        <v>10</v>
      </c>
      <c r="AQ180" s="182">
        <v>1.5</v>
      </c>
      <c r="AR180" s="187">
        <f t="shared" si="114"/>
        <v>113.01090000000001</v>
      </c>
      <c r="AS180" s="187">
        <f t="shared" si="115"/>
        <v>0</v>
      </c>
      <c r="AT180" s="187">
        <f t="shared" si="116"/>
        <v>0</v>
      </c>
      <c r="AU180" s="187">
        <f t="shared" si="117"/>
        <v>40.879999999999995</v>
      </c>
      <c r="AV180" s="187">
        <f t="shared" si="105"/>
        <v>0</v>
      </c>
      <c r="AW180" s="187">
        <f t="shared" si="118"/>
        <v>0</v>
      </c>
      <c r="AX180" s="187">
        <f t="shared" si="119"/>
        <v>15</v>
      </c>
      <c r="AY180" s="190"/>
      <c r="AZ180" s="240"/>
      <c r="BA180" s="232"/>
      <c r="BF180" s="206"/>
      <c r="BG180" s="206"/>
      <c r="BK180" s="126"/>
      <c r="BL180" s="126"/>
      <c r="BN180" s="126"/>
      <c r="BO180" s="126"/>
      <c r="BQ180" s="126"/>
      <c r="BR180" s="126"/>
      <c r="BT180" s="126"/>
      <c r="BU180" s="126"/>
      <c r="BW180" s="126"/>
      <c r="BX180" s="126"/>
      <c r="BZ180" s="126"/>
      <c r="CA180" s="126"/>
      <c r="CC180" s="126"/>
      <c r="CD180" s="126"/>
      <c r="CF180" s="126"/>
      <c r="CG180" s="126"/>
    </row>
    <row r="181" spans="1:105" s="197" customFormat="1" outlineLevel="1" x14ac:dyDescent="0.3">
      <c r="A181" s="182" t="s">
        <v>226</v>
      </c>
      <c r="B181" s="183">
        <v>1</v>
      </c>
      <c r="C181" s="184" t="s">
        <v>402</v>
      </c>
      <c r="D181" s="187">
        <v>1.1200000000000001</v>
      </c>
      <c r="E181" s="187">
        <v>6.32</v>
      </c>
      <c r="F181" s="186">
        <v>0.115</v>
      </c>
      <c r="G181" s="187">
        <f t="shared" si="106"/>
        <v>0.81401600000000018</v>
      </c>
      <c r="H181" s="188">
        <f t="shared" si="132"/>
        <v>7.0784000000000011</v>
      </c>
      <c r="I181" s="183">
        <f t="shared" si="91"/>
        <v>8</v>
      </c>
      <c r="J181" s="188">
        <f t="shared" si="107"/>
        <v>0.25</v>
      </c>
      <c r="K181" s="183">
        <f t="shared" si="108"/>
        <v>26</v>
      </c>
      <c r="L181" s="189">
        <f t="shared" si="109"/>
        <v>4.8300000000000003E-2</v>
      </c>
      <c r="M181" s="189">
        <f t="shared" si="121"/>
        <v>0.6</v>
      </c>
      <c r="N181" s="189">
        <f t="shared" si="110"/>
        <v>-0.04</v>
      </c>
      <c r="O181" s="189">
        <f t="shared" si="129"/>
        <v>7.5000000000000011E-2</v>
      </c>
      <c r="P181" s="188">
        <f t="shared" si="120"/>
        <v>1.8033000000000001</v>
      </c>
      <c r="Q181" s="183">
        <f t="shared" si="92"/>
        <v>8</v>
      </c>
      <c r="R181" s="188">
        <f t="shared" si="93"/>
        <v>0.25</v>
      </c>
      <c r="S181" s="183">
        <f t="shared" si="94"/>
        <v>25</v>
      </c>
      <c r="T181" s="189">
        <f t="shared" si="95"/>
        <v>4.8300000000000003E-2</v>
      </c>
      <c r="U181" s="189">
        <f t="shared" si="122"/>
        <v>0.6</v>
      </c>
      <c r="V181" s="189">
        <f t="shared" si="111"/>
        <v>-0.04</v>
      </c>
      <c r="W181" s="189">
        <f>2.36*0.3</f>
        <v>0.70799999999999996</v>
      </c>
      <c r="X181" s="188">
        <f t="shared" si="131"/>
        <v>2.4363000000000001</v>
      </c>
      <c r="Y181" s="183">
        <f t="shared" si="96"/>
        <v>8</v>
      </c>
      <c r="Z181" s="188">
        <f t="shared" si="97"/>
        <v>0.35</v>
      </c>
      <c r="AA181" s="183">
        <f t="shared" si="98"/>
        <v>4</v>
      </c>
      <c r="AB181" s="189">
        <f t="shared" si="99"/>
        <v>0</v>
      </c>
      <c r="AC181" s="189">
        <f t="shared" si="125"/>
        <v>0.6</v>
      </c>
      <c r="AD181" s="189">
        <f t="shared" si="112"/>
        <v>-0.04</v>
      </c>
      <c r="AE181" s="189">
        <v>0</v>
      </c>
      <c r="AF181" s="188">
        <f t="shared" si="128"/>
        <v>6.88</v>
      </c>
      <c r="AG181" s="183">
        <f t="shared" si="100"/>
        <v>8</v>
      </c>
      <c r="AH181" s="182">
        <f t="shared" si="101"/>
        <v>0.35</v>
      </c>
      <c r="AI181" s="183">
        <f t="shared" si="102"/>
        <v>3</v>
      </c>
      <c r="AJ181" s="189">
        <f t="shared" si="103"/>
        <v>0</v>
      </c>
      <c r="AK181" s="189">
        <f t="shared" si="126"/>
        <v>0.6</v>
      </c>
      <c r="AL181" s="189">
        <f t="shared" si="113"/>
        <v>-0.04</v>
      </c>
      <c r="AM181" s="189">
        <f>F181-2*0.02</f>
        <v>7.5000000000000011E-2</v>
      </c>
      <c r="AN181" s="188">
        <f t="shared" si="124"/>
        <v>6.9550000000000001</v>
      </c>
      <c r="AO181" s="183">
        <v>8</v>
      </c>
      <c r="AP181" s="182">
        <f t="shared" si="104"/>
        <v>10</v>
      </c>
      <c r="AQ181" s="182">
        <v>1.5</v>
      </c>
      <c r="AR181" s="187">
        <f t="shared" si="114"/>
        <v>107.79330000000002</v>
      </c>
      <c r="AS181" s="187">
        <f t="shared" si="115"/>
        <v>0</v>
      </c>
      <c r="AT181" s="187">
        <f t="shared" si="116"/>
        <v>0</v>
      </c>
      <c r="AU181" s="187">
        <f t="shared" si="117"/>
        <v>48.385000000000005</v>
      </c>
      <c r="AV181" s="187">
        <f t="shared" si="105"/>
        <v>0</v>
      </c>
      <c r="AW181" s="187">
        <f t="shared" si="118"/>
        <v>0</v>
      </c>
      <c r="AX181" s="187">
        <f t="shared" si="119"/>
        <v>15</v>
      </c>
      <c r="AY181" s="190"/>
      <c r="AZ181" s="240"/>
      <c r="BA181" s="232"/>
      <c r="BF181" s="206"/>
      <c r="BG181" s="206"/>
      <c r="BK181" s="126"/>
      <c r="BL181" s="126"/>
      <c r="BN181" s="126"/>
      <c r="BO181" s="126"/>
      <c r="BQ181" s="126"/>
      <c r="BR181" s="126"/>
      <c r="BT181" s="126"/>
      <c r="BU181" s="126"/>
      <c r="BW181" s="126"/>
      <c r="BX181" s="126"/>
      <c r="BZ181" s="126"/>
      <c r="CA181" s="126"/>
      <c r="CC181" s="126"/>
      <c r="CD181" s="126"/>
      <c r="CF181" s="126"/>
      <c r="CG181" s="126"/>
    </row>
    <row r="182" spans="1:105" s="196" customFormat="1" x14ac:dyDescent="0.3">
      <c r="A182" s="248"/>
      <c r="B182" s="249"/>
      <c r="C182" s="250"/>
      <c r="D182" s="251"/>
      <c r="E182" s="1057" t="s">
        <v>403</v>
      </c>
      <c r="F182" s="1058"/>
      <c r="G182" s="252">
        <f>SUM(G10:G181)</f>
        <v>328.27965265299986</v>
      </c>
      <c r="H182" s="252">
        <f>SUM(H11:H88)</f>
        <v>1053.0719642599997</v>
      </c>
      <c r="I182" s="253"/>
      <c r="J182" s="254"/>
      <c r="K182" s="255"/>
      <c r="L182" s="256"/>
      <c r="M182" s="256"/>
      <c r="N182" s="256"/>
      <c r="O182" s="256"/>
      <c r="P182" s="255"/>
      <c r="Q182" s="257"/>
      <c r="R182" s="139"/>
      <c r="S182" s="249"/>
      <c r="T182" s="141"/>
      <c r="U182" s="141"/>
      <c r="V182" s="141"/>
      <c r="W182" s="141"/>
      <c r="X182" s="248"/>
      <c r="Y182" s="249"/>
      <c r="Z182" s="139"/>
      <c r="AA182" s="249"/>
      <c r="AB182" s="249"/>
      <c r="AC182" s="249"/>
      <c r="AD182" s="249"/>
      <c r="AE182" s="249"/>
      <c r="AF182" s="248"/>
      <c r="AG182" s="249"/>
      <c r="AH182" s="139"/>
      <c r="AI182" s="249"/>
      <c r="AJ182" s="249"/>
      <c r="AK182" s="249"/>
      <c r="AL182" s="249"/>
      <c r="AM182" s="249"/>
      <c r="AN182" s="248"/>
      <c r="AO182" s="1054" t="s">
        <v>404</v>
      </c>
      <c r="AP182" s="1055"/>
      <c r="AQ182" s="1056"/>
      <c r="AR182" s="252">
        <f>SUM(AR43:AR181)</f>
        <v>13686.107699999999</v>
      </c>
      <c r="AS182" s="252">
        <f t="shared" ref="AS182:AX182" si="133">SUM(AS43:AS181)</f>
        <v>9643.0955900000026</v>
      </c>
      <c r="AT182" s="252">
        <f t="shared" si="133"/>
        <v>0</v>
      </c>
      <c r="AU182" s="252">
        <f t="shared" si="133"/>
        <v>12471.67966</v>
      </c>
      <c r="AV182" s="252">
        <f t="shared" si="133"/>
        <v>5337.4192000000003</v>
      </c>
      <c r="AW182" s="252">
        <f t="shared" si="133"/>
        <v>0</v>
      </c>
      <c r="AX182" s="252">
        <f t="shared" si="133"/>
        <v>1989</v>
      </c>
      <c r="AY182" s="258"/>
      <c r="AZ182" s="259"/>
      <c r="BA182" s="260"/>
      <c r="BC182" s="198"/>
      <c r="BK182" s="131"/>
      <c r="BL182" s="131"/>
      <c r="BM182" s="197"/>
      <c r="BN182" s="131"/>
      <c r="BO182" s="131"/>
      <c r="BP182" s="197"/>
      <c r="BQ182" s="131"/>
      <c r="BR182" s="131"/>
      <c r="BS182" s="197"/>
      <c r="BT182" s="131"/>
      <c r="BU182" s="131"/>
      <c r="BV182" s="197"/>
      <c r="BW182" s="131"/>
      <c r="BX182" s="131"/>
      <c r="BY182" s="197"/>
      <c r="BZ182" s="131"/>
      <c r="CA182" s="131"/>
      <c r="CB182" s="197"/>
      <c r="CC182" s="131"/>
      <c r="CD182" s="131"/>
      <c r="CE182" s="197"/>
      <c r="CF182" s="131"/>
      <c r="CG182" s="131"/>
      <c r="CH182" s="197"/>
      <c r="CI182" s="197"/>
      <c r="CJ182" s="197"/>
      <c r="CK182" s="197"/>
      <c r="CL182" s="197"/>
      <c r="CM182" s="197"/>
      <c r="CN182" s="197"/>
      <c r="CO182" s="197"/>
      <c r="CP182" s="197"/>
      <c r="CQ182" s="197"/>
      <c r="CR182" s="197"/>
      <c r="CS182" s="197"/>
      <c r="CT182" s="197"/>
      <c r="CU182" s="197"/>
      <c r="CV182" s="197"/>
      <c r="CW182" s="197"/>
      <c r="CX182" s="197"/>
      <c r="CY182" s="197"/>
      <c r="CZ182" s="197"/>
      <c r="DA182" s="197"/>
    </row>
    <row r="183" spans="1:105" s="196" customFormat="1" ht="13.8" x14ac:dyDescent="0.3">
      <c r="A183" s="248"/>
      <c r="B183" s="249"/>
      <c r="C183" s="250"/>
      <c r="D183" s="251"/>
      <c r="E183" s="1057" t="s">
        <v>405</v>
      </c>
      <c r="F183" s="1058"/>
      <c r="G183" s="261">
        <f>+G182*35.28</f>
        <v>11581.706145597835</v>
      </c>
      <c r="H183" s="262"/>
      <c r="I183" s="182"/>
      <c r="J183" s="254"/>
      <c r="K183" s="263"/>
      <c r="L183" s="264"/>
      <c r="M183" s="264"/>
      <c r="N183" s="264"/>
      <c r="O183" s="264"/>
      <c r="P183" s="265"/>
      <c r="Q183" s="265"/>
      <c r="R183" s="265"/>
      <c r="S183" s="265"/>
      <c r="T183" s="265"/>
      <c r="U183" s="265"/>
      <c r="V183" s="265"/>
      <c r="W183" s="265"/>
      <c r="X183" s="265"/>
      <c r="Y183" s="265"/>
      <c r="Z183" s="265"/>
      <c r="AA183" s="265"/>
      <c r="AB183" s="265"/>
      <c r="AC183" s="265"/>
      <c r="AD183" s="265"/>
      <c r="AE183" s="265"/>
      <c r="AF183" s="265"/>
      <c r="AG183" s="265"/>
      <c r="AH183" s="265"/>
      <c r="AI183" s="265"/>
      <c r="AJ183" s="265"/>
      <c r="AK183" s="265"/>
      <c r="AL183" s="265"/>
      <c r="AM183" s="265"/>
      <c r="AN183" s="265"/>
      <c r="AO183" s="1059" t="s">
        <v>406</v>
      </c>
      <c r="AP183" s="1060"/>
      <c r="AQ183" s="1061"/>
      <c r="AR183" s="187">
        <f>+(8^2)/162</f>
        <v>0.39506172839506171</v>
      </c>
      <c r="AS183" s="187">
        <f>+(10^2)/162</f>
        <v>0.61728395061728392</v>
      </c>
      <c r="AT183" s="187">
        <f>+(12^2)/162</f>
        <v>0.88888888888888884</v>
      </c>
      <c r="AU183" s="187">
        <f>+(8^2)/162</f>
        <v>0.39506172839506171</v>
      </c>
      <c r="AV183" s="187">
        <f>+(10^2)/162</f>
        <v>0.61728395061728392</v>
      </c>
      <c r="AW183" s="187">
        <f>+(12^2)/162</f>
        <v>0.88888888888888884</v>
      </c>
      <c r="AX183" s="187">
        <f>+(8^2)/162</f>
        <v>0.39506172839506171</v>
      </c>
      <c r="AY183" s="190"/>
      <c r="AZ183" s="259"/>
      <c r="BA183" s="260"/>
      <c r="BF183" s="198"/>
      <c r="BK183" s="197"/>
      <c r="BL183" s="197"/>
      <c r="BM183" s="197"/>
      <c r="BN183" s="197"/>
      <c r="BO183" s="197"/>
      <c r="BP183" s="197"/>
      <c r="BQ183" s="197"/>
      <c r="BR183" s="197"/>
      <c r="BS183" s="197"/>
      <c r="BT183" s="197"/>
      <c r="BU183" s="197"/>
      <c r="BV183" s="197"/>
      <c r="BW183" s="197"/>
      <c r="BX183" s="197"/>
      <c r="BY183" s="197"/>
      <c r="BZ183" s="197"/>
      <c r="CA183" s="197"/>
      <c r="CB183" s="197"/>
      <c r="CC183" s="197"/>
      <c r="CD183" s="197"/>
      <c r="CE183" s="197"/>
      <c r="CF183" s="197"/>
      <c r="CG183" s="197"/>
      <c r="CH183" s="197"/>
      <c r="CI183" s="197"/>
      <c r="CJ183" s="197"/>
      <c r="CK183" s="197"/>
      <c r="CL183" s="197"/>
      <c r="CM183" s="197"/>
      <c r="CN183" s="197"/>
      <c r="CO183" s="197"/>
      <c r="CP183" s="197"/>
      <c r="CQ183" s="197"/>
      <c r="CR183" s="197"/>
      <c r="CS183" s="197"/>
      <c r="CT183" s="197"/>
      <c r="CU183" s="197"/>
      <c r="CV183" s="197"/>
      <c r="CW183" s="197"/>
      <c r="CX183" s="197"/>
      <c r="CY183" s="197"/>
      <c r="CZ183" s="197"/>
      <c r="DA183" s="197"/>
    </row>
    <row r="184" spans="1:105" s="196" customFormat="1" ht="13.8" x14ac:dyDescent="0.3">
      <c r="A184" s="248"/>
      <c r="B184" s="249"/>
      <c r="C184" s="250"/>
      <c r="D184" s="251"/>
      <c r="E184" s="266"/>
      <c r="F184" s="267"/>
      <c r="G184" s="268"/>
      <c r="H184" s="265"/>
      <c r="I184" s="265"/>
      <c r="J184" s="265"/>
      <c r="K184" s="265"/>
      <c r="L184" s="265"/>
      <c r="M184" s="265"/>
      <c r="N184" s="265"/>
      <c r="O184" s="265"/>
      <c r="P184" s="265"/>
      <c r="Q184" s="265"/>
      <c r="R184" s="265"/>
      <c r="S184" s="265"/>
      <c r="T184" s="265"/>
      <c r="U184" s="265"/>
      <c r="V184" s="265"/>
      <c r="W184" s="265"/>
      <c r="X184" s="265"/>
      <c r="Y184" s="265"/>
      <c r="Z184" s="265"/>
      <c r="AA184" s="265"/>
      <c r="AB184" s="265"/>
      <c r="AC184" s="265"/>
      <c r="AD184" s="265"/>
      <c r="AE184" s="265"/>
      <c r="AF184" s="265"/>
      <c r="AG184" s="265"/>
      <c r="AH184" s="265"/>
      <c r="AI184" s="265"/>
      <c r="AJ184" s="265"/>
      <c r="AK184" s="265"/>
      <c r="AL184" s="265"/>
      <c r="AM184" s="265"/>
      <c r="AN184" s="265"/>
      <c r="AO184" s="1054" t="s">
        <v>407</v>
      </c>
      <c r="AP184" s="1055"/>
      <c r="AQ184" s="1056"/>
      <c r="AR184" s="269">
        <f>+AR182*AR183</f>
        <v>5406.8573629629618</v>
      </c>
      <c r="AS184" s="269">
        <f t="shared" ref="AS184:AW184" si="134">+AS182*AS183</f>
        <v>5952.5281419753101</v>
      </c>
      <c r="AT184" s="269">
        <f t="shared" si="134"/>
        <v>0</v>
      </c>
      <c r="AU184" s="269">
        <f t="shared" si="134"/>
        <v>4927.0833224691351</v>
      </c>
      <c r="AV184" s="269">
        <f t="shared" si="134"/>
        <v>3294.703209876543</v>
      </c>
      <c r="AW184" s="269">
        <f t="shared" si="134"/>
        <v>0</v>
      </c>
      <c r="AX184" s="269"/>
      <c r="AY184" s="258"/>
      <c r="AZ184" s="259"/>
      <c r="BA184" s="260"/>
      <c r="BF184" s="198"/>
    </row>
    <row r="185" spans="1:105" s="143" customFormat="1" ht="13.8" x14ac:dyDescent="0.25">
      <c r="A185" s="270"/>
      <c r="B185" s="270" t="s">
        <v>408</v>
      </c>
      <c r="C185" s="271"/>
      <c r="D185" s="266"/>
      <c r="E185" s="266"/>
      <c r="F185" s="267"/>
      <c r="G185" s="268"/>
      <c r="H185" s="265"/>
      <c r="I185" s="265"/>
      <c r="J185" s="265"/>
      <c r="K185" s="265"/>
      <c r="L185" s="265"/>
      <c r="M185" s="265"/>
      <c r="N185" s="265"/>
      <c r="O185" s="265"/>
      <c r="P185" s="265"/>
      <c r="Q185" s="265"/>
      <c r="R185" s="265"/>
      <c r="S185" s="265"/>
      <c r="T185" s="265"/>
      <c r="U185" s="265"/>
      <c r="V185" s="265"/>
      <c r="W185" s="265"/>
      <c r="X185" s="265"/>
      <c r="Y185" s="265"/>
      <c r="Z185" s="265"/>
      <c r="AA185" s="265"/>
      <c r="AB185" s="265"/>
      <c r="AC185" s="265"/>
      <c r="AD185" s="265"/>
      <c r="AE185" s="265"/>
      <c r="AF185" s="265"/>
      <c r="AG185" s="265"/>
      <c r="AH185" s="265"/>
      <c r="AI185" s="265"/>
      <c r="AJ185" s="265"/>
      <c r="AK185" s="265"/>
      <c r="AL185" s="265"/>
      <c r="AM185" s="265"/>
      <c r="AN185" s="265"/>
      <c r="AO185" s="1054" t="s">
        <v>409</v>
      </c>
      <c r="AP185" s="1055"/>
      <c r="AQ185" s="1056"/>
      <c r="AR185" s="1045">
        <f>SUM(AR184:AW184)</f>
        <v>19581.172037283948</v>
      </c>
      <c r="AS185" s="1046"/>
      <c r="AT185" s="1046"/>
      <c r="AU185" s="1046"/>
      <c r="AV185" s="1046"/>
      <c r="AW185" s="1047"/>
      <c r="AX185" s="272"/>
      <c r="AZ185" s="144"/>
      <c r="BA185" s="145"/>
    </row>
    <row r="186" spans="1:105" s="143" customFormat="1" ht="13.8" x14ac:dyDescent="0.25">
      <c r="A186" s="270" t="s">
        <v>410</v>
      </c>
      <c r="B186" s="273">
        <f>+AR185/G182</f>
        <v>59.647839514384273</v>
      </c>
      <c r="C186" s="274"/>
      <c r="D186" s="266"/>
      <c r="E186" s="136"/>
      <c r="F186" s="137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263"/>
      <c r="AP186" s="265"/>
      <c r="AQ186" s="265"/>
      <c r="AR186" s="265"/>
      <c r="AS186" s="265"/>
      <c r="AT186" s="265"/>
      <c r="AU186" s="265"/>
      <c r="AV186" s="265"/>
      <c r="AW186" s="265"/>
      <c r="AX186" s="275"/>
      <c r="AY186" s="276"/>
      <c r="AZ186" s="144"/>
      <c r="BA186" s="145"/>
    </row>
    <row r="187" spans="1:105" s="196" customFormat="1" ht="13.8" x14ac:dyDescent="0.25">
      <c r="A187" s="265"/>
      <c r="B187" s="263"/>
      <c r="C187" s="271"/>
      <c r="D187" s="266"/>
      <c r="E187" s="136"/>
      <c r="F187" s="137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263"/>
      <c r="AP187" s="265"/>
      <c r="AQ187" s="265"/>
      <c r="AR187" s="254">
        <f>AR184/1000</f>
        <v>5.4068573629629615</v>
      </c>
      <c r="AS187" s="254">
        <f t="shared" ref="AS187:AW187" si="135">AS184/1000</f>
        <v>5.9525281419753098</v>
      </c>
      <c r="AT187" s="254">
        <f t="shared" si="135"/>
        <v>0</v>
      </c>
      <c r="AU187" s="254">
        <f t="shared" si="135"/>
        <v>4.9270833224691355</v>
      </c>
      <c r="AV187" s="254">
        <f t="shared" si="135"/>
        <v>3.294703209876543</v>
      </c>
      <c r="AW187" s="254">
        <f t="shared" si="135"/>
        <v>0</v>
      </c>
      <c r="AX187" s="265"/>
      <c r="AY187" s="197"/>
      <c r="AZ187" s="198"/>
      <c r="BE187" s="259"/>
      <c r="BH187" s="277"/>
      <c r="BI187" s="277"/>
      <c r="BK187" s="277"/>
      <c r="BL187" s="277"/>
      <c r="BN187" s="277"/>
      <c r="BO187" s="277"/>
      <c r="BQ187" s="277"/>
      <c r="BR187" s="277"/>
      <c r="BT187" s="277"/>
      <c r="BU187" s="277"/>
      <c r="BW187" s="277"/>
      <c r="BX187" s="277"/>
      <c r="BZ187" s="277"/>
      <c r="CA187" s="277"/>
      <c r="CC187" s="277"/>
      <c r="CD187" s="277"/>
    </row>
    <row r="188" spans="1:105" s="284" customFormat="1" ht="9.75" customHeight="1" x14ac:dyDescent="0.25">
      <c r="A188" s="278"/>
      <c r="B188" s="279"/>
      <c r="C188" s="280"/>
      <c r="D188" s="281"/>
      <c r="E188" s="282"/>
      <c r="F188" s="283"/>
      <c r="M188" s="285"/>
      <c r="U188" s="285"/>
      <c r="AC188" s="285"/>
      <c r="AK188" s="285"/>
      <c r="AO188" s="279"/>
      <c r="AP188" s="278"/>
      <c r="AQ188" s="278"/>
      <c r="AR188" s="278"/>
      <c r="AS188" s="278"/>
      <c r="AT188" s="278"/>
      <c r="AU188" s="278"/>
      <c r="AV188" s="278"/>
      <c r="AW188" s="278"/>
      <c r="AX188" s="286"/>
      <c r="AY188" s="286"/>
      <c r="AZ188" s="287"/>
      <c r="BA188" s="282"/>
    </row>
    <row r="189" spans="1:105" s="259" customFormat="1" ht="13.8" x14ac:dyDescent="0.3">
      <c r="A189" s="196"/>
      <c r="C189" s="288"/>
      <c r="D189" s="289"/>
      <c r="E189" s="289"/>
      <c r="F189" s="290"/>
      <c r="G189" s="291"/>
      <c r="H189" s="292"/>
      <c r="I189" s="196"/>
      <c r="J189" s="292"/>
      <c r="L189" s="293"/>
      <c r="M189" s="294"/>
      <c r="N189" s="293"/>
      <c r="O189" s="293"/>
      <c r="P189" s="196"/>
      <c r="Q189" s="196"/>
      <c r="R189" s="292"/>
      <c r="T189" s="293"/>
      <c r="U189" s="294"/>
      <c r="V189" s="293"/>
      <c r="W189" s="293"/>
      <c r="X189" s="196"/>
      <c r="Z189" s="292"/>
      <c r="AC189" s="295"/>
      <c r="AF189" s="196"/>
      <c r="AH189" s="292"/>
      <c r="AK189" s="295"/>
      <c r="AN189" s="196"/>
      <c r="AP189" s="196"/>
      <c r="AQ189" s="196"/>
      <c r="AR189" s="296"/>
      <c r="AS189" s="296"/>
      <c r="AT189" s="296"/>
      <c r="AU189" s="291"/>
      <c r="AV189" s="291"/>
      <c r="AW189" s="291"/>
      <c r="AY189" s="240"/>
      <c r="AZ189" s="297"/>
      <c r="BA189" s="297"/>
      <c r="BB189" s="297"/>
      <c r="BC189" s="297"/>
      <c r="BD189" s="297"/>
      <c r="BE189" s="297"/>
      <c r="BF189" s="298"/>
      <c r="BG189" s="240"/>
      <c r="BH189" s="240"/>
    </row>
    <row r="190" spans="1:105" s="143" customFormat="1" x14ac:dyDescent="0.3">
      <c r="A190" s="299" t="s">
        <v>168</v>
      </c>
      <c r="C190" s="300" t="s">
        <v>29</v>
      </c>
      <c r="D190" s="145"/>
      <c r="E190" s="145"/>
      <c r="F190" s="301"/>
      <c r="H190" s="302"/>
      <c r="I190" s="303"/>
      <c r="M190" s="304"/>
      <c r="U190" s="304"/>
      <c r="W190" s="305"/>
      <c r="AB190" s="306"/>
      <c r="AC190" s="304"/>
      <c r="AK190" s="304"/>
      <c r="AO190" s="144"/>
      <c r="AZ190" s="144"/>
      <c r="BA190" s="145"/>
    </row>
    <row r="191" spans="1:105" s="152" customFormat="1" ht="22.5" customHeight="1" x14ac:dyDescent="0.3">
      <c r="A191" s="307" t="s">
        <v>411</v>
      </c>
      <c r="C191" s="308"/>
      <c r="D191" s="154"/>
      <c r="E191" s="154"/>
      <c r="F191" s="309"/>
      <c r="H191" s="307"/>
      <c r="M191" s="310"/>
      <c r="U191" s="310"/>
      <c r="AC191" s="310"/>
      <c r="AK191" s="310"/>
      <c r="AO191" s="153"/>
      <c r="AZ191" s="153"/>
      <c r="BA191" s="154"/>
    </row>
    <row r="192" spans="1:105" s="153" customFormat="1" ht="27.6" x14ac:dyDescent="0.3">
      <c r="A192" s="1048" t="s">
        <v>170</v>
      </c>
      <c r="B192" s="1048" t="s">
        <v>171</v>
      </c>
      <c r="C192" s="1048" t="s">
        <v>51</v>
      </c>
      <c r="D192" s="311" t="s">
        <v>44</v>
      </c>
      <c r="E192" s="311" t="s">
        <v>45</v>
      </c>
      <c r="F192" s="312" t="s">
        <v>46</v>
      </c>
      <c r="G192" s="313" t="s">
        <v>95</v>
      </c>
      <c r="H192" s="313" t="s">
        <v>172</v>
      </c>
      <c r="I192" s="1050" t="s">
        <v>173</v>
      </c>
      <c r="J192" s="1050"/>
      <c r="K192" s="1050"/>
      <c r="L192" s="1050"/>
      <c r="M192" s="1050"/>
      <c r="N192" s="1050"/>
      <c r="O192" s="1050"/>
      <c r="P192" s="1050"/>
      <c r="Q192" s="1050" t="s">
        <v>174</v>
      </c>
      <c r="R192" s="1050"/>
      <c r="S192" s="1050"/>
      <c r="T192" s="1050"/>
      <c r="U192" s="1050"/>
      <c r="V192" s="1050"/>
      <c r="W192" s="1050"/>
      <c r="X192" s="1050"/>
      <c r="Y192" s="1050" t="s">
        <v>175</v>
      </c>
      <c r="Z192" s="1050"/>
      <c r="AA192" s="1050"/>
      <c r="AB192" s="1050"/>
      <c r="AC192" s="1050"/>
      <c r="AD192" s="1050"/>
      <c r="AE192" s="1050"/>
      <c r="AF192" s="1050"/>
      <c r="AG192" s="1050" t="s">
        <v>176</v>
      </c>
      <c r="AH192" s="1050"/>
      <c r="AI192" s="1050"/>
      <c r="AJ192" s="1050"/>
      <c r="AK192" s="1050"/>
      <c r="AL192" s="1050"/>
      <c r="AM192" s="1050"/>
      <c r="AN192" s="1050"/>
      <c r="AO192" s="1051" t="s">
        <v>177</v>
      </c>
      <c r="AP192" s="1052"/>
      <c r="AQ192" s="1053"/>
      <c r="AR192" s="1037"/>
      <c r="AS192" s="1037"/>
      <c r="AT192" s="1038"/>
      <c r="AU192" s="1037"/>
      <c r="AV192" s="1037"/>
      <c r="AW192" s="1038"/>
      <c r="AX192" s="314" t="s">
        <v>177</v>
      </c>
      <c r="AY192" s="159"/>
      <c r="BA192" s="160"/>
    </row>
    <row r="193" spans="1:85" s="169" customFormat="1" ht="27.6" x14ac:dyDescent="0.3">
      <c r="A193" s="1049"/>
      <c r="B193" s="1049"/>
      <c r="C193" s="1048"/>
      <c r="D193" s="315" t="s">
        <v>178</v>
      </c>
      <c r="E193" s="315" t="s">
        <v>178</v>
      </c>
      <c r="F193" s="316" t="s">
        <v>178</v>
      </c>
      <c r="G193" s="314" t="s">
        <v>179</v>
      </c>
      <c r="H193" s="314" t="s">
        <v>180</v>
      </c>
      <c r="I193" s="317" t="s">
        <v>48</v>
      </c>
      <c r="J193" s="318" t="s">
        <v>53</v>
      </c>
      <c r="K193" s="318" t="s">
        <v>181</v>
      </c>
      <c r="L193" s="318" t="s">
        <v>182</v>
      </c>
      <c r="M193" s="319" t="s">
        <v>183</v>
      </c>
      <c r="N193" s="318" t="s">
        <v>184</v>
      </c>
      <c r="O193" s="318" t="s">
        <v>185</v>
      </c>
      <c r="P193" s="318" t="s">
        <v>186</v>
      </c>
      <c r="Q193" s="318" t="s">
        <v>48</v>
      </c>
      <c r="R193" s="318" t="s">
        <v>53</v>
      </c>
      <c r="S193" s="318" t="s">
        <v>181</v>
      </c>
      <c r="T193" s="318" t="s">
        <v>182</v>
      </c>
      <c r="U193" s="319" t="s">
        <v>183</v>
      </c>
      <c r="V193" s="318" t="s">
        <v>184</v>
      </c>
      <c r="W193" s="318" t="s">
        <v>185</v>
      </c>
      <c r="X193" s="318" t="s">
        <v>186</v>
      </c>
      <c r="Y193" s="318" t="s">
        <v>48</v>
      </c>
      <c r="Z193" s="318" t="s">
        <v>187</v>
      </c>
      <c r="AA193" s="318" t="s">
        <v>181</v>
      </c>
      <c r="AB193" s="318" t="s">
        <v>182</v>
      </c>
      <c r="AC193" s="319" t="s">
        <v>183</v>
      </c>
      <c r="AD193" s="318" t="s">
        <v>184</v>
      </c>
      <c r="AE193" s="318" t="s">
        <v>185</v>
      </c>
      <c r="AF193" s="318" t="s">
        <v>186</v>
      </c>
      <c r="AG193" s="318" t="s">
        <v>48</v>
      </c>
      <c r="AH193" s="318" t="s">
        <v>187</v>
      </c>
      <c r="AI193" s="318" t="s">
        <v>181</v>
      </c>
      <c r="AJ193" s="318" t="s">
        <v>182</v>
      </c>
      <c r="AK193" s="319" t="s">
        <v>183</v>
      </c>
      <c r="AL193" s="318" t="s">
        <v>184</v>
      </c>
      <c r="AM193" s="318" t="s">
        <v>185</v>
      </c>
      <c r="AN193" s="318" t="s">
        <v>186</v>
      </c>
      <c r="AO193" s="318" t="s">
        <v>48</v>
      </c>
      <c r="AP193" s="318" t="s">
        <v>181</v>
      </c>
      <c r="AQ193" s="318" t="s">
        <v>50</v>
      </c>
      <c r="AR193" s="318" t="s">
        <v>55</v>
      </c>
      <c r="AS193" s="318" t="s">
        <v>56</v>
      </c>
      <c r="AT193" s="318" t="s">
        <v>57</v>
      </c>
      <c r="AU193" s="318" t="s">
        <v>55</v>
      </c>
      <c r="AV193" s="318" t="s">
        <v>56</v>
      </c>
      <c r="AW193" s="318" t="s">
        <v>57</v>
      </c>
      <c r="AX193" s="318" t="s">
        <v>55</v>
      </c>
      <c r="AY193" s="165"/>
      <c r="AZ193" s="1086" t="s">
        <v>188</v>
      </c>
      <c r="BA193" s="1087"/>
      <c r="BB193" s="1087"/>
      <c r="BC193" s="1087"/>
      <c r="BD193" s="1087"/>
      <c r="BE193" s="1087"/>
      <c r="BF193" s="320"/>
      <c r="BG193" s="321"/>
      <c r="BH193" s="322"/>
    </row>
    <row r="194" spans="1:85" s="169" customFormat="1" ht="13.8" x14ac:dyDescent="0.3">
      <c r="A194" s="170" t="s">
        <v>189</v>
      </c>
      <c r="B194" s="171"/>
      <c r="C194" s="172"/>
      <c r="D194" s="173"/>
      <c r="E194" s="173"/>
      <c r="F194" s="174"/>
      <c r="G194" s="175"/>
      <c r="H194" s="158"/>
      <c r="I194" s="163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64"/>
      <c r="AG194" s="164"/>
      <c r="AH194" s="164"/>
      <c r="AI194" s="164"/>
      <c r="AJ194" s="164"/>
      <c r="AK194" s="164"/>
      <c r="AL194" s="164"/>
      <c r="AM194" s="164"/>
      <c r="AN194" s="164"/>
      <c r="AO194" s="164"/>
      <c r="AP194" s="164"/>
      <c r="AQ194" s="164"/>
      <c r="AR194" s="164"/>
      <c r="AS194" s="164"/>
      <c r="AT194" s="164"/>
      <c r="AU194" s="164"/>
      <c r="AV194" s="164"/>
      <c r="AW194" s="164"/>
      <c r="AX194" s="164"/>
      <c r="AY194" s="165"/>
      <c r="AZ194" s="176"/>
      <c r="BA194" s="323"/>
      <c r="BB194" s="324"/>
      <c r="BC194" s="324"/>
      <c r="BD194" s="324"/>
      <c r="BE194" s="324"/>
      <c r="BF194" s="325"/>
      <c r="BG194" s="326"/>
      <c r="BH194" s="327"/>
    </row>
    <row r="195" spans="1:85" s="196" customFormat="1" ht="13.8" x14ac:dyDescent="0.3">
      <c r="A195" s="182" t="s">
        <v>221</v>
      </c>
      <c r="B195" s="183">
        <v>1</v>
      </c>
      <c r="C195" s="184" t="s">
        <v>412</v>
      </c>
      <c r="D195" s="185">
        <v>2.41</v>
      </c>
      <c r="E195" s="185">
        <v>5.96</v>
      </c>
      <c r="F195" s="186">
        <v>0.17499999999999999</v>
      </c>
      <c r="G195" s="187">
        <f t="shared" ref="G195:G204" si="136">D195*E195*F195*B195</f>
        <v>2.51363</v>
      </c>
      <c r="H195" s="188">
        <f t="shared" ref="H195:H204" si="137">D195*E195*B195</f>
        <v>14.3636</v>
      </c>
      <c r="I195" s="183">
        <f t="shared" ref="I195:I204" si="138">GETPIVOTDATA($BN$20,A195)</f>
        <v>12</v>
      </c>
      <c r="J195" s="188">
        <f t="shared" ref="J195:J204" si="139">GETPIVOTDATA($BQ$20,A195)*2</f>
        <v>0.2</v>
      </c>
      <c r="K195" s="183">
        <f t="shared" ref="K195:K204" si="140">(ROUND(E195/J195,0)+1)*GETPIVOTDATA($CF$20,A195)</f>
        <v>31</v>
      </c>
      <c r="L195" s="189">
        <f t="shared" ref="L195:L204" si="141">GETPIVOTDATA($BT$20,A195)</f>
        <v>7.3499999999999996E-2</v>
      </c>
      <c r="M195" s="189">
        <f>0.48+0.27</f>
        <v>0.75</v>
      </c>
      <c r="N195" s="189">
        <f>-(0.02*2)</f>
        <v>-0.04</v>
      </c>
      <c r="O195" s="189">
        <f>2.98*0.3</f>
        <v>0.89400000000000002</v>
      </c>
      <c r="P195" s="188">
        <f>+D195+SUM(L195:O195)</f>
        <v>4.0875000000000004</v>
      </c>
      <c r="Q195" s="183">
        <f t="shared" ref="Q195:Q204" si="142">GETPIVOTDATA($BN$20,A195)</f>
        <v>12</v>
      </c>
      <c r="R195" s="188">
        <f t="shared" ref="R195:R204" si="143">GETPIVOTDATA($BQ$20,A195)*2</f>
        <v>0.2</v>
      </c>
      <c r="S195" s="183">
        <f t="shared" ref="S195:S204" si="144">(ROUND(E195/R195,0))*GETPIVOTDATA($CF$20,A195)</f>
        <v>30</v>
      </c>
      <c r="T195" s="189">
        <f t="shared" ref="T195:T204" si="145">GETPIVOTDATA($BT$20,A195)</f>
        <v>7.3499999999999996E-2</v>
      </c>
      <c r="U195" s="189">
        <f>0.48+0.27</f>
        <v>0.75</v>
      </c>
      <c r="V195" s="189">
        <f>-(0.02*2)</f>
        <v>-0.04</v>
      </c>
      <c r="W195" s="189">
        <f>F195-2*0.02</f>
        <v>0.13499999999999998</v>
      </c>
      <c r="X195" s="188">
        <f>+D195+SUM(T195:W195)</f>
        <v>3.3285</v>
      </c>
      <c r="Y195" s="183">
        <f t="shared" ref="Y195:Y204" si="146">GETPIVOTDATA($BW$20,A195)</f>
        <v>8</v>
      </c>
      <c r="Z195" s="182">
        <f t="shared" ref="Z195:Z204" si="147">GETPIVOTDATA($CC$20,A195)*2</f>
        <v>0.32</v>
      </c>
      <c r="AA195" s="183">
        <f t="shared" ref="AA195:AA204" si="148">(ROUND(D195/Z195,0)+1)*GETPIVOTDATA($CF$20,A195)</f>
        <v>9</v>
      </c>
      <c r="AB195" s="189">
        <f t="shared" ref="AB195:AB204" si="149">GETPIVOTDATA($BZ$20,A195)</f>
        <v>7.3499999999999996E-2</v>
      </c>
      <c r="AC195" s="189">
        <f>0.23+0.3</f>
        <v>0.53</v>
      </c>
      <c r="AD195" s="189">
        <f>-(0.02*2)</f>
        <v>-0.04</v>
      </c>
      <c r="AE195" s="189">
        <f>5.69*0.3</f>
        <v>1.7070000000000001</v>
      </c>
      <c r="AF195" s="188">
        <f>+E195+SUM(AB195:AE195)</f>
        <v>8.2304999999999993</v>
      </c>
      <c r="AG195" s="183">
        <f t="shared" ref="AG195:AG204" si="150">GETPIVOTDATA($BW$20,A195)</f>
        <v>8</v>
      </c>
      <c r="AH195" s="182">
        <f t="shared" ref="AH195:AH204" si="151">GETPIVOTDATA($CC$20,A195)*2</f>
        <v>0.32</v>
      </c>
      <c r="AI195" s="183">
        <f t="shared" ref="AI195:AI204" si="152">(ROUND(D195/AH195,0))*GETPIVOTDATA($CF$20,A195)</f>
        <v>8</v>
      </c>
      <c r="AJ195" s="189">
        <f t="shared" ref="AJ195:AJ204" si="153">GETPIVOTDATA($BZ$20,A195)</f>
        <v>7.3499999999999996E-2</v>
      </c>
      <c r="AK195" s="189">
        <f>0.23+0.3</f>
        <v>0.53</v>
      </c>
      <c r="AL195" s="189">
        <f>-(0.02*2)</f>
        <v>-0.04</v>
      </c>
      <c r="AM195" s="189">
        <f t="shared" ref="AM195:AM204" si="154">F195-2*0.02</f>
        <v>0.13499999999999998</v>
      </c>
      <c r="AN195" s="188">
        <f>+E195+SUM(AJ195:AM195)</f>
        <v>6.6585000000000001</v>
      </c>
      <c r="AO195" s="183">
        <v>0</v>
      </c>
      <c r="AP195" s="182">
        <f t="shared" ref="AP195:AP255" si="155">(ROUND(D195/1.5,0)+ROUND(E195/1.5,0))*2</f>
        <v>12</v>
      </c>
      <c r="AQ195" s="182">
        <v>1.5</v>
      </c>
      <c r="AR195" s="187">
        <f>IF(I195=8,K195*P195*B195,0)+IF(Q195=8,S195*X195*B195,0)</f>
        <v>0</v>
      </c>
      <c r="AS195" s="187">
        <f>IF(I195=10,K195*P195*B195,0)+IF(Q195=10,S195*X195*B195,0)</f>
        <v>0</v>
      </c>
      <c r="AT195" s="187">
        <f>IF(I195=12,K195*P195*B195,0)+IF(Q195=12,S195*X195*B195,0)</f>
        <v>226.5675</v>
      </c>
      <c r="AU195" s="187">
        <f t="shared" ref="AU195:AU204" si="156">IF(AG195=8,AI195*AN195*B195,0)+IF(Y195=8,B195*AA195*AF195,0)</f>
        <v>127.3425</v>
      </c>
      <c r="AV195" s="187">
        <f t="shared" ref="AV195:AV204" si="157">IF(AG195=10,AI195*AN195*B195,0)+IF(Y195=10,B195*AA195*AF195,0)</f>
        <v>0</v>
      </c>
      <c r="AW195" s="187">
        <f>IF(AG195=12,AI195*AN195*B195,0)+IF(Y195=12,B195*AA195*AF195,0)</f>
        <v>0</v>
      </c>
      <c r="AX195" s="187">
        <f>AP195*AQ195*B195</f>
        <v>18</v>
      </c>
      <c r="AY195" s="190"/>
      <c r="AZ195" s="191" t="s">
        <v>192</v>
      </c>
      <c r="BA195" s="192" t="s">
        <v>193</v>
      </c>
      <c r="BB195" s="1093" t="s">
        <v>194</v>
      </c>
      <c r="BC195" s="1093"/>
      <c r="BD195" s="1064" t="s">
        <v>195</v>
      </c>
      <c r="BE195" s="1094"/>
      <c r="BF195" s="328"/>
      <c r="BG195" s="329"/>
      <c r="BH195" s="330"/>
      <c r="BK195" s="197"/>
      <c r="BL195" s="197"/>
      <c r="BM195" s="197"/>
      <c r="BN195" s="197"/>
      <c r="BO195" s="197"/>
      <c r="BP195" s="197"/>
      <c r="BQ195" s="198"/>
      <c r="BS195" s="197"/>
      <c r="BT195" s="197"/>
      <c r="BU195" s="197"/>
      <c r="BV195" s="197"/>
      <c r="BW195" s="197"/>
      <c r="BX195" s="197"/>
      <c r="BY195" s="197"/>
    </row>
    <row r="196" spans="1:85" s="196" customFormat="1" ht="13.8" x14ac:dyDescent="0.3">
      <c r="A196" s="182" t="s">
        <v>190</v>
      </c>
      <c r="B196" s="183">
        <v>1</v>
      </c>
      <c r="C196" s="184" t="s">
        <v>413</v>
      </c>
      <c r="D196" s="185">
        <v>2.98</v>
      </c>
      <c r="E196" s="185">
        <v>5.96</v>
      </c>
      <c r="F196" s="186">
        <v>0.2</v>
      </c>
      <c r="G196" s="187">
        <f t="shared" si="136"/>
        <v>3.5521600000000002</v>
      </c>
      <c r="H196" s="188">
        <f t="shared" si="137"/>
        <v>17.7608</v>
      </c>
      <c r="I196" s="183">
        <f t="shared" si="138"/>
        <v>12</v>
      </c>
      <c r="J196" s="188">
        <f t="shared" si="139"/>
        <v>0.2</v>
      </c>
      <c r="K196" s="183">
        <f t="shared" si="140"/>
        <v>31</v>
      </c>
      <c r="L196" s="189">
        <f t="shared" si="141"/>
        <v>8.4000000000000005E-2</v>
      </c>
      <c r="M196" s="189">
        <f>0.3+0.48</f>
        <v>0.78</v>
      </c>
      <c r="N196" s="189">
        <f t="shared" ref="N196:N255" si="158">-(0.02*2)</f>
        <v>-0.04</v>
      </c>
      <c r="O196" s="189">
        <f>3.02*0.3</f>
        <v>0.90599999999999992</v>
      </c>
      <c r="P196" s="188">
        <f t="shared" ref="P196:P255" si="159">+D196+SUM(L196:O196)</f>
        <v>4.71</v>
      </c>
      <c r="Q196" s="183">
        <f t="shared" si="142"/>
        <v>12</v>
      </c>
      <c r="R196" s="188">
        <f t="shared" si="143"/>
        <v>0.2</v>
      </c>
      <c r="S196" s="183">
        <f t="shared" si="144"/>
        <v>30</v>
      </c>
      <c r="T196" s="189">
        <f t="shared" si="145"/>
        <v>8.4000000000000005E-2</v>
      </c>
      <c r="U196" s="189">
        <f>0.3+0.48</f>
        <v>0.78</v>
      </c>
      <c r="V196" s="189">
        <f t="shared" ref="V196:V255" si="160">-(0.02*2)</f>
        <v>-0.04</v>
      </c>
      <c r="W196" s="189">
        <f>2.41*0.3</f>
        <v>0.72299999999999998</v>
      </c>
      <c r="X196" s="188">
        <f t="shared" ref="X196:X255" si="161">+D196+SUM(T196:W196)</f>
        <v>4.5270000000000001</v>
      </c>
      <c r="Y196" s="183">
        <f t="shared" si="146"/>
        <v>8</v>
      </c>
      <c r="Z196" s="182">
        <f t="shared" si="147"/>
        <v>0.24</v>
      </c>
      <c r="AA196" s="183">
        <f t="shared" si="148"/>
        <v>13</v>
      </c>
      <c r="AB196" s="189">
        <f t="shared" si="149"/>
        <v>8.4000000000000005E-2</v>
      </c>
      <c r="AC196" s="189">
        <f>0.3+0.23</f>
        <v>0.53</v>
      </c>
      <c r="AD196" s="189">
        <f t="shared" ref="AD196:AD255" si="162">-(0.02*2)</f>
        <v>-0.04</v>
      </c>
      <c r="AE196" s="189">
        <f>5.69*0.3</f>
        <v>1.7070000000000001</v>
      </c>
      <c r="AF196" s="188">
        <f t="shared" ref="AF196:AF255" si="163">+E196+SUM(AB196:AE196)</f>
        <v>8.2409999999999997</v>
      </c>
      <c r="AG196" s="183">
        <f t="shared" si="150"/>
        <v>8</v>
      </c>
      <c r="AH196" s="182">
        <f t="shared" si="151"/>
        <v>0.24</v>
      </c>
      <c r="AI196" s="183">
        <f t="shared" si="152"/>
        <v>12</v>
      </c>
      <c r="AJ196" s="189">
        <f t="shared" si="153"/>
        <v>8.4000000000000005E-2</v>
      </c>
      <c r="AK196" s="189">
        <f>0.3+0.23</f>
        <v>0.53</v>
      </c>
      <c r="AL196" s="189">
        <f t="shared" ref="AL196:AL255" si="164">-(0.02*2)</f>
        <v>-0.04</v>
      </c>
      <c r="AM196" s="189">
        <f t="shared" si="154"/>
        <v>0.16</v>
      </c>
      <c r="AN196" s="188">
        <f t="shared" ref="AN196:AN255" si="165">+E196+SUM(AJ196:AM196)</f>
        <v>6.694</v>
      </c>
      <c r="AO196" s="183">
        <v>0</v>
      </c>
      <c r="AP196" s="182">
        <f t="shared" si="155"/>
        <v>12</v>
      </c>
      <c r="AQ196" s="182">
        <v>1.5</v>
      </c>
      <c r="AR196" s="187">
        <f t="shared" ref="AR196:AR204" si="166">IF(I196=8,K196*P196*B196,0)+IF(Q196=8,S196*X196*B196,0)</f>
        <v>0</v>
      </c>
      <c r="AS196" s="187">
        <f t="shared" ref="AS196:AS204" si="167">IF(I196=10,K196*P196*B196,0)+IF(Q196=10,S196*X196*B196,0)</f>
        <v>0</v>
      </c>
      <c r="AT196" s="187">
        <f t="shared" ref="AT196:AT204" si="168">IF(I196=12,K196*P196*B196,0)+IF(Q196=12,S196*X196*B196,0)</f>
        <v>281.82</v>
      </c>
      <c r="AU196" s="187">
        <f t="shared" si="156"/>
        <v>187.46100000000001</v>
      </c>
      <c r="AV196" s="187">
        <f t="shared" si="157"/>
        <v>0</v>
      </c>
      <c r="AW196" s="187">
        <f t="shared" ref="AW196:AW255" si="169">IF(AG196=12,AI196*AN196*B196,0)+IF(Y196=12,B196*AA196*AF196,0)</f>
        <v>0</v>
      </c>
      <c r="AX196" s="187">
        <f t="shared" ref="AX196:AX255" si="170">AP196*AQ196*B196</f>
        <v>18</v>
      </c>
      <c r="AY196" s="190"/>
      <c r="AZ196" s="191"/>
      <c r="BA196" s="192"/>
      <c r="BB196" s="191"/>
      <c r="BC196" s="191"/>
      <c r="BD196" s="199"/>
      <c r="BE196" s="331"/>
      <c r="BF196" s="328"/>
      <c r="BG196" s="329"/>
      <c r="BH196" s="330"/>
      <c r="BK196" s="197"/>
      <c r="BL196" s="197"/>
      <c r="BM196" s="197"/>
      <c r="BN196" s="197"/>
      <c r="BO196" s="197"/>
      <c r="BP196" s="197"/>
      <c r="BQ196" s="198"/>
      <c r="BS196" s="197"/>
      <c r="BT196" s="197"/>
      <c r="BU196" s="197"/>
      <c r="BV196" s="197"/>
      <c r="BW196" s="197"/>
      <c r="BX196" s="197"/>
      <c r="BY196" s="197"/>
    </row>
    <row r="197" spans="1:85" s="196" customFormat="1" ht="13.8" x14ac:dyDescent="0.3">
      <c r="A197" s="182" t="s">
        <v>190</v>
      </c>
      <c r="B197" s="183">
        <v>1</v>
      </c>
      <c r="C197" s="184" t="s">
        <v>414</v>
      </c>
      <c r="D197" s="185">
        <v>3.02</v>
      </c>
      <c r="E197" s="185">
        <v>5.96</v>
      </c>
      <c r="F197" s="186">
        <v>0.2</v>
      </c>
      <c r="G197" s="187">
        <f t="shared" si="136"/>
        <v>3.5998399999999999</v>
      </c>
      <c r="H197" s="188">
        <f t="shared" si="137"/>
        <v>17.999199999999998</v>
      </c>
      <c r="I197" s="183">
        <f t="shared" si="138"/>
        <v>12</v>
      </c>
      <c r="J197" s="188">
        <f t="shared" si="139"/>
        <v>0.2</v>
      </c>
      <c r="K197" s="183">
        <f t="shared" si="140"/>
        <v>31</v>
      </c>
      <c r="L197" s="189">
        <f t="shared" si="141"/>
        <v>8.4000000000000005E-2</v>
      </c>
      <c r="M197" s="189">
        <f>0.45+0.3</f>
        <v>0.75</v>
      </c>
      <c r="N197" s="189">
        <f t="shared" si="158"/>
        <v>-0.04</v>
      </c>
      <c r="O197" s="189">
        <f>3.67*0.3</f>
        <v>1.101</v>
      </c>
      <c r="P197" s="188">
        <f t="shared" si="159"/>
        <v>4.915</v>
      </c>
      <c r="Q197" s="183">
        <f t="shared" si="142"/>
        <v>12</v>
      </c>
      <c r="R197" s="188">
        <f t="shared" si="143"/>
        <v>0.2</v>
      </c>
      <c r="S197" s="183">
        <f t="shared" si="144"/>
        <v>30</v>
      </c>
      <c r="T197" s="189">
        <f t="shared" si="145"/>
        <v>8.4000000000000005E-2</v>
      </c>
      <c r="U197" s="189">
        <f>0.45+0.3</f>
        <v>0.75</v>
      </c>
      <c r="V197" s="189">
        <f t="shared" si="160"/>
        <v>-0.04</v>
      </c>
      <c r="W197" s="189">
        <f>2.98*0.3</f>
        <v>0.89400000000000002</v>
      </c>
      <c r="X197" s="188">
        <f t="shared" si="161"/>
        <v>4.7080000000000002</v>
      </c>
      <c r="Y197" s="183">
        <f t="shared" si="146"/>
        <v>8</v>
      </c>
      <c r="Z197" s="182">
        <f t="shared" si="147"/>
        <v>0.24</v>
      </c>
      <c r="AA197" s="183">
        <f t="shared" si="148"/>
        <v>14</v>
      </c>
      <c r="AB197" s="189">
        <f t="shared" si="149"/>
        <v>8.4000000000000005E-2</v>
      </c>
      <c r="AC197" s="189">
        <f>0.3+0.23</f>
        <v>0.53</v>
      </c>
      <c r="AD197" s="189">
        <f t="shared" si="162"/>
        <v>-0.04</v>
      </c>
      <c r="AE197" s="189">
        <f>5.69*0.3</f>
        <v>1.7070000000000001</v>
      </c>
      <c r="AF197" s="188">
        <f t="shared" si="163"/>
        <v>8.2409999999999997</v>
      </c>
      <c r="AG197" s="183">
        <f t="shared" si="150"/>
        <v>8</v>
      </c>
      <c r="AH197" s="182">
        <f t="shared" si="151"/>
        <v>0.24</v>
      </c>
      <c r="AI197" s="183">
        <f t="shared" si="152"/>
        <v>13</v>
      </c>
      <c r="AJ197" s="189">
        <f t="shared" si="153"/>
        <v>8.4000000000000005E-2</v>
      </c>
      <c r="AK197" s="189">
        <f>0.3+0.23</f>
        <v>0.53</v>
      </c>
      <c r="AL197" s="189">
        <f t="shared" si="164"/>
        <v>-0.04</v>
      </c>
      <c r="AM197" s="189">
        <f t="shared" si="154"/>
        <v>0.16</v>
      </c>
      <c r="AN197" s="188">
        <f t="shared" si="165"/>
        <v>6.694</v>
      </c>
      <c r="AO197" s="183">
        <v>0</v>
      </c>
      <c r="AP197" s="182">
        <f t="shared" si="155"/>
        <v>12</v>
      </c>
      <c r="AQ197" s="182">
        <v>1.5</v>
      </c>
      <c r="AR197" s="187">
        <f t="shared" si="166"/>
        <v>0</v>
      </c>
      <c r="AS197" s="187">
        <f t="shared" si="167"/>
        <v>0</v>
      </c>
      <c r="AT197" s="187">
        <f t="shared" si="168"/>
        <v>293.60500000000002</v>
      </c>
      <c r="AU197" s="187">
        <f t="shared" si="156"/>
        <v>202.39600000000002</v>
      </c>
      <c r="AV197" s="187">
        <f t="shared" si="157"/>
        <v>0</v>
      </c>
      <c r="AW197" s="187">
        <f t="shared" si="169"/>
        <v>0</v>
      </c>
      <c r="AX197" s="187">
        <f t="shared" si="170"/>
        <v>18</v>
      </c>
      <c r="AY197" s="190"/>
      <c r="AZ197" s="191" t="s">
        <v>192</v>
      </c>
      <c r="BA197" s="192" t="s">
        <v>193</v>
      </c>
      <c r="BB197" s="201" t="s">
        <v>198</v>
      </c>
      <c r="BC197" s="201" t="s">
        <v>199</v>
      </c>
      <c r="BD197" s="201" t="s">
        <v>200</v>
      </c>
      <c r="BE197" s="202" t="s">
        <v>201</v>
      </c>
      <c r="BF197" s="328" t="s">
        <v>202</v>
      </c>
      <c r="BG197" s="328" t="s">
        <v>203</v>
      </c>
      <c r="BH197" s="330" t="s">
        <v>204</v>
      </c>
      <c r="BK197" s="197"/>
      <c r="BL197" s="197"/>
      <c r="BM197" s="197"/>
      <c r="BN197" s="197"/>
      <c r="BO197" s="197"/>
      <c r="BP197" s="197"/>
      <c r="BQ197" s="198"/>
      <c r="BS197" s="197"/>
      <c r="BT197" s="197"/>
      <c r="BU197" s="197"/>
      <c r="BV197" s="197"/>
      <c r="BY197" s="197"/>
    </row>
    <row r="198" spans="1:85" s="196" customFormat="1" x14ac:dyDescent="0.3">
      <c r="A198" s="182" t="s">
        <v>217</v>
      </c>
      <c r="B198" s="183">
        <v>1</v>
      </c>
      <c r="C198" s="184" t="s">
        <v>415</v>
      </c>
      <c r="D198" s="203">
        <v>3.67</v>
      </c>
      <c r="E198" s="185">
        <v>5.96</v>
      </c>
      <c r="F198" s="186">
        <v>0.2</v>
      </c>
      <c r="G198" s="187">
        <f t="shared" si="136"/>
        <v>4.3746400000000003</v>
      </c>
      <c r="H198" s="188">
        <f t="shared" si="137"/>
        <v>21.873200000000001</v>
      </c>
      <c r="I198" s="183">
        <f t="shared" si="138"/>
        <v>12</v>
      </c>
      <c r="J198" s="188">
        <f t="shared" si="139"/>
        <v>0.2</v>
      </c>
      <c r="K198" s="183">
        <f t="shared" si="140"/>
        <v>31</v>
      </c>
      <c r="L198" s="189">
        <f t="shared" si="141"/>
        <v>8.4000000000000005E-2</v>
      </c>
      <c r="M198" s="189">
        <f>0.45+0.3</f>
        <v>0.75</v>
      </c>
      <c r="N198" s="189">
        <f t="shared" si="158"/>
        <v>-0.04</v>
      </c>
      <c r="O198" s="189">
        <f>3.05*0.3</f>
        <v>0.91499999999999992</v>
      </c>
      <c r="P198" s="188">
        <f t="shared" si="159"/>
        <v>5.3789999999999996</v>
      </c>
      <c r="Q198" s="183">
        <f t="shared" si="142"/>
        <v>12</v>
      </c>
      <c r="R198" s="188">
        <f t="shared" si="143"/>
        <v>0.2</v>
      </c>
      <c r="S198" s="183">
        <f t="shared" si="144"/>
        <v>30</v>
      </c>
      <c r="T198" s="189">
        <f t="shared" si="145"/>
        <v>8.4000000000000005E-2</v>
      </c>
      <c r="U198" s="189">
        <f>0.45+0.3</f>
        <v>0.75</v>
      </c>
      <c r="V198" s="189">
        <f t="shared" si="160"/>
        <v>-0.04</v>
      </c>
      <c r="W198" s="189">
        <f>3.02*0.3</f>
        <v>0.90599999999999992</v>
      </c>
      <c r="X198" s="188">
        <f t="shared" si="161"/>
        <v>5.3699999999999992</v>
      </c>
      <c r="Y198" s="183">
        <f t="shared" si="146"/>
        <v>10</v>
      </c>
      <c r="Z198" s="182">
        <f t="shared" si="147"/>
        <v>0.4</v>
      </c>
      <c r="AA198" s="183">
        <f t="shared" si="148"/>
        <v>10</v>
      </c>
      <c r="AB198" s="189">
        <f t="shared" si="149"/>
        <v>8.4000000000000005E-2</v>
      </c>
      <c r="AC198" s="189">
        <f>0.3+0.23</f>
        <v>0.53</v>
      </c>
      <c r="AD198" s="189">
        <f t="shared" si="162"/>
        <v>-0.04</v>
      </c>
      <c r="AE198" s="189">
        <f>2.94*0.3</f>
        <v>0.88200000000000001</v>
      </c>
      <c r="AF198" s="188">
        <f t="shared" si="163"/>
        <v>7.4160000000000004</v>
      </c>
      <c r="AG198" s="183">
        <f t="shared" si="150"/>
        <v>10</v>
      </c>
      <c r="AH198" s="182">
        <f t="shared" si="151"/>
        <v>0.4</v>
      </c>
      <c r="AI198" s="183">
        <f t="shared" si="152"/>
        <v>9</v>
      </c>
      <c r="AJ198" s="189">
        <f t="shared" si="153"/>
        <v>8.4000000000000005E-2</v>
      </c>
      <c r="AK198" s="189">
        <f>0.3+0.23</f>
        <v>0.53</v>
      </c>
      <c r="AL198" s="189">
        <f t="shared" si="164"/>
        <v>-0.04</v>
      </c>
      <c r="AM198" s="189">
        <f t="shared" si="154"/>
        <v>0.16</v>
      </c>
      <c r="AN198" s="188">
        <f t="shared" si="165"/>
        <v>6.694</v>
      </c>
      <c r="AO198" s="183">
        <v>0</v>
      </c>
      <c r="AP198" s="182">
        <f t="shared" si="155"/>
        <v>12</v>
      </c>
      <c r="AQ198" s="182">
        <v>1.5</v>
      </c>
      <c r="AR198" s="187">
        <f t="shared" si="166"/>
        <v>0</v>
      </c>
      <c r="AS198" s="187">
        <f t="shared" si="167"/>
        <v>0</v>
      </c>
      <c r="AT198" s="187">
        <f t="shared" si="168"/>
        <v>327.84899999999993</v>
      </c>
      <c r="AU198" s="187">
        <f t="shared" si="156"/>
        <v>0</v>
      </c>
      <c r="AV198" s="187">
        <f t="shared" si="157"/>
        <v>134.40600000000001</v>
      </c>
      <c r="AW198" s="187">
        <f t="shared" si="169"/>
        <v>0</v>
      </c>
      <c r="AX198" s="187">
        <f t="shared" si="170"/>
        <v>18</v>
      </c>
      <c r="AY198" s="190"/>
      <c r="AZ198" s="227" t="s">
        <v>190</v>
      </c>
      <c r="BA198" s="205">
        <v>0.2</v>
      </c>
      <c r="BB198" s="197">
        <v>12</v>
      </c>
      <c r="BC198" s="206">
        <v>0.1</v>
      </c>
      <c r="BD198" s="197">
        <v>8</v>
      </c>
      <c r="BE198" s="206">
        <v>0.12</v>
      </c>
      <c r="BF198" s="206">
        <f>BA198*0.42</f>
        <v>8.4000000000000005E-2</v>
      </c>
      <c r="BG198" s="206">
        <f>BA198*0.42</f>
        <v>8.4000000000000005E-2</v>
      </c>
      <c r="BH198" s="207">
        <v>1</v>
      </c>
      <c r="BK198" s="332" t="s">
        <v>206</v>
      </c>
      <c r="BL198" s="333"/>
      <c r="BM198" s="197"/>
      <c r="BN198" s="332" t="s">
        <v>207</v>
      </c>
      <c r="BO198" s="333"/>
      <c r="BP198" s="197"/>
      <c r="BQ198" s="334" t="s">
        <v>208</v>
      </c>
      <c r="BR198" s="333"/>
      <c r="BS198" s="197"/>
      <c r="BT198" s="332" t="s">
        <v>209</v>
      </c>
      <c r="BU198" s="333"/>
      <c r="BV198" s="197"/>
      <c r="BW198" s="335" t="s">
        <v>210</v>
      </c>
      <c r="BX198" s="336"/>
      <c r="BY198" s="197"/>
      <c r="BZ198" s="332" t="s">
        <v>211</v>
      </c>
      <c r="CA198" s="333"/>
      <c r="CC198" s="332" t="s">
        <v>212</v>
      </c>
      <c r="CD198" s="333"/>
      <c r="CF198" s="335" t="s">
        <v>213</v>
      </c>
      <c r="CG198" s="336"/>
    </row>
    <row r="199" spans="1:85" s="196" customFormat="1" x14ac:dyDescent="0.3">
      <c r="A199" s="182" t="s">
        <v>190</v>
      </c>
      <c r="B199" s="183">
        <v>1</v>
      </c>
      <c r="C199" s="184" t="s">
        <v>416</v>
      </c>
      <c r="D199" s="203">
        <v>3.05</v>
      </c>
      <c r="E199" s="185">
        <v>5.96</v>
      </c>
      <c r="F199" s="186">
        <v>0.2</v>
      </c>
      <c r="G199" s="187">
        <f t="shared" si="136"/>
        <v>3.6355999999999997</v>
      </c>
      <c r="H199" s="188">
        <f t="shared" si="137"/>
        <v>18.177999999999997</v>
      </c>
      <c r="I199" s="183">
        <f t="shared" si="138"/>
        <v>12</v>
      </c>
      <c r="J199" s="188">
        <f t="shared" si="139"/>
        <v>0.2</v>
      </c>
      <c r="K199" s="183">
        <f t="shared" si="140"/>
        <v>31</v>
      </c>
      <c r="L199" s="189">
        <f t="shared" si="141"/>
        <v>8.4000000000000005E-2</v>
      </c>
      <c r="M199" s="189">
        <f t="shared" ref="M199:M204" si="171">0.3*2</f>
        <v>0.6</v>
      </c>
      <c r="N199" s="189">
        <f t="shared" si="158"/>
        <v>-0.04</v>
      </c>
      <c r="O199" s="189">
        <f>4.11*0.3</f>
        <v>1.2330000000000001</v>
      </c>
      <c r="P199" s="188">
        <f t="shared" si="159"/>
        <v>4.9269999999999996</v>
      </c>
      <c r="Q199" s="183">
        <f t="shared" si="142"/>
        <v>12</v>
      </c>
      <c r="R199" s="188">
        <f t="shared" si="143"/>
        <v>0.2</v>
      </c>
      <c r="S199" s="183">
        <f t="shared" si="144"/>
        <v>30</v>
      </c>
      <c r="T199" s="189">
        <f t="shared" si="145"/>
        <v>8.4000000000000005E-2</v>
      </c>
      <c r="U199" s="189">
        <f t="shared" ref="U199:U204" si="172">0.3*2</f>
        <v>0.6</v>
      </c>
      <c r="V199" s="189">
        <f t="shared" si="160"/>
        <v>-0.04</v>
      </c>
      <c r="W199" s="189">
        <f>3.67*0.3</f>
        <v>1.101</v>
      </c>
      <c r="X199" s="188">
        <f t="shared" si="161"/>
        <v>4.7949999999999999</v>
      </c>
      <c r="Y199" s="183">
        <f t="shared" si="146"/>
        <v>8</v>
      </c>
      <c r="Z199" s="182">
        <f t="shared" si="147"/>
        <v>0.24</v>
      </c>
      <c r="AA199" s="183">
        <f t="shared" si="148"/>
        <v>14</v>
      </c>
      <c r="AB199" s="189">
        <f t="shared" si="149"/>
        <v>8.4000000000000005E-2</v>
      </c>
      <c r="AC199" s="189">
        <f>0.3+0.23</f>
        <v>0.53</v>
      </c>
      <c r="AD199" s="189">
        <f t="shared" si="162"/>
        <v>-0.04</v>
      </c>
      <c r="AE199" s="189">
        <f>3.01*0.3</f>
        <v>0.90299999999999991</v>
      </c>
      <c r="AF199" s="188">
        <f t="shared" si="163"/>
        <v>7.4369999999999994</v>
      </c>
      <c r="AG199" s="183">
        <f t="shared" si="150"/>
        <v>8</v>
      </c>
      <c r="AH199" s="182">
        <f t="shared" si="151"/>
        <v>0.24</v>
      </c>
      <c r="AI199" s="183">
        <f t="shared" si="152"/>
        <v>13</v>
      </c>
      <c r="AJ199" s="189">
        <f t="shared" si="153"/>
        <v>8.4000000000000005E-2</v>
      </c>
      <c r="AK199" s="189">
        <f>0.3+0.23</f>
        <v>0.53</v>
      </c>
      <c r="AL199" s="189">
        <f t="shared" si="164"/>
        <v>-0.04</v>
      </c>
      <c r="AM199" s="189">
        <f t="shared" si="154"/>
        <v>0.16</v>
      </c>
      <c r="AN199" s="188">
        <f t="shared" si="165"/>
        <v>6.694</v>
      </c>
      <c r="AO199" s="183">
        <v>0</v>
      </c>
      <c r="AP199" s="182">
        <f t="shared" si="155"/>
        <v>12</v>
      </c>
      <c r="AQ199" s="182">
        <v>1.5</v>
      </c>
      <c r="AR199" s="187">
        <f t="shared" si="166"/>
        <v>0</v>
      </c>
      <c r="AS199" s="187">
        <f t="shared" si="167"/>
        <v>0</v>
      </c>
      <c r="AT199" s="187">
        <f t="shared" si="168"/>
        <v>296.58699999999999</v>
      </c>
      <c r="AU199" s="187">
        <f t="shared" si="156"/>
        <v>191.14</v>
      </c>
      <c r="AV199" s="187">
        <f t="shared" si="157"/>
        <v>0</v>
      </c>
      <c r="AW199" s="187">
        <f t="shared" si="169"/>
        <v>0</v>
      </c>
      <c r="AX199" s="187">
        <f t="shared" si="170"/>
        <v>18</v>
      </c>
      <c r="AY199" s="190"/>
      <c r="AZ199" s="227" t="s">
        <v>215</v>
      </c>
      <c r="BA199" s="205">
        <v>0.22500000000000001</v>
      </c>
      <c r="BB199" s="197">
        <v>12</v>
      </c>
      <c r="BC199" s="206">
        <v>0.09</v>
      </c>
      <c r="BD199" s="197">
        <v>10</v>
      </c>
      <c r="BE199" s="206">
        <v>0.15</v>
      </c>
      <c r="BF199" s="206">
        <f t="shared" ref="BF199:BF222" si="173">BA199*0.42</f>
        <v>9.4500000000000001E-2</v>
      </c>
      <c r="BG199" s="206">
        <f t="shared" ref="BG199:BG211" si="174">BA199*0.42</f>
        <v>9.4500000000000001E-2</v>
      </c>
      <c r="BH199" s="207">
        <v>1</v>
      </c>
      <c r="BK199" s="337" t="s">
        <v>192</v>
      </c>
      <c r="BL199" s="338" t="s">
        <v>95</v>
      </c>
      <c r="BM199" s="197"/>
      <c r="BN199" s="337" t="s">
        <v>192</v>
      </c>
      <c r="BO199" s="338" t="s">
        <v>95</v>
      </c>
      <c r="BP199" s="197"/>
      <c r="BQ199" s="339" t="s">
        <v>192</v>
      </c>
      <c r="BR199" s="338" t="s">
        <v>95</v>
      </c>
      <c r="BS199" s="197"/>
      <c r="BT199" s="337" t="s">
        <v>192</v>
      </c>
      <c r="BU199" s="338" t="s">
        <v>95</v>
      </c>
      <c r="BV199" s="197"/>
      <c r="BW199" s="216" t="s">
        <v>192</v>
      </c>
      <c r="BX199" s="217" t="s">
        <v>95</v>
      </c>
      <c r="BY199" s="197"/>
      <c r="BZ199" s="337" t="s">
        <v>192</v>
      </c>
      <c r="CA199" s="338" t="s">
        <v>95</v>
      </c>
      <c r="CC199" s="337" t="s">
        <v>192</v>
      </c>
      <c r="CD199" s="338" t="s">
        <v>95</v>
      </c>
      <c r="CF199" s="216" t="s">
        <v>192</v>
      </c>
      <c r="CG199" s="217" t="s">
        <v>95</v>
      </c>
    </row>
    <row r="200" spans="1:85" s="218" customFormat="1" x14ac:dyDescent="0.3">
      <c r="A200" s="182" t="s">
        <v>215</v>
      </c>
      <c r="B200" s="183">
        <v>1</v>
      </c>
      <c r="C200" s="184" t="s">
        <v>417</v>
      </c>
      <c r="D200" s="203">
        <v>4.1100000000000003</v>
      </c>
      <c r="E200" s="185">
        <v>5.92</v>
      </c>
      <c r="F200" s="186">
        <v>0.22500000000000001</v>
      </c>
      <c r="G200" s="187">
        <f t="shared" si="136"/>
        <v>5.4745200000000009</v>
      </c>
      <c r="H200" s="188">
        <f t="shared" si="137"/>
        <v>24.331200000000003</v>
      </c>
      <c r="I200" s="183">
        <f t="shared" si="138"/>
        <v>12</v>
      </c>
      <c r="J200" s="188">
        <f t="shared" si="139"/>
        <v>0.18</v>
      </c>
      <c r="K200" s="183">
        <f t="shared" si="140"/>
        <v>34</v>
      </c>
      <c r="L200" s="189">
        <f t="shared" si="141"/>
        <v>9.4500000000000001E-2</v>
      </c>
      <c r="M200" s="189">
        <f t="shared" si="171"/>
        <v>0.6</v>
      </c>
      <c r="N200" s="189">
        <f t="shared" si="158"/>
        <v>-0.04</v>
      </c>
      <c r="O200" s="189">
        <f>3.05*0.3</f>
        <v>0.91499999999999992</v>
      </c>
      <c r="P200" s="188">
        <f t="shared" si="159"/>
        <v>5.6795</v>
      </c>
      <c r="Q200" s="183">
        <f t="shared" si="142"/>
        <v>12</v>
      </c>
      <c r="R200" s="188">
        <f t="shared" si="143"/>
        <v>0.18</v>
      </c>
      <c r="S200" s="183">
        <f t="shared" si="144"/>
        <v>33</v>
      </c>
      <c r="T200" s="189">
        <f t="shared" si="145"/>
        <v>9.4500000000000001E-2</v>
      </c>
      <c r="U200" s="189">
        <f t="shared" si="172"/>
        <v>0.6</v>
      </c>
      <c r="V200" s="189">
        <f t="shared" si="160"/>
        <v>-0.04</v>
      </c>
      <c r="W200" s="189">
        <f>3.05*0.3</f>
        <v>0.91499999999999992</v>
      </c>
      <c r="X200" s="188">
        <f t="shared" si="161"/>
        <v>5.6795</v>
      </c>
      <c r="Y200" s="183">
        <f t="shared" si="146"/>
        <v>10</v>
      </c>
      <c r="Z200" s="182">
        <f t="shared" si="147"/>
        <v>0.3</v>
      </c>
      <c r="AA200" s="183">
        <f t="shared" si="148"/>
        <v>15</v>
      </c>
      <c r="AB200" s="189">
        <f t="shared" si="149"/>
        <v>9.4500000000000001E-2</v>
      </c>
      <c r="AC200" s="189">
        <f>0.23*2</f>
        <v>0.46</v>
      </c>
      <c r="AD200" s="189">
        <f t="shared" si="162"/>
        <v>-0.04</v>
      </c>
      <c r="AE200" s="189">
        <v>0</v>
      </c>
      <c r="AF200" s="188">
        <f t="shared" si="163"/>
        <v>6.4344999999999999</v>
      </c>
      <c r="AG200" s="183">
        <f t="shared" si="150"/>
        <v>10</v>
      </c>
      <c r="AH200" s="182">
        <f t="shared" si="151"/>
        <v>0.3</v>
      </c>
      <c r="AI200" s="183">
        <f t="shared" si="152"/>
        <v>14</v>
      </c>
      <c r="AJ200" s="189">
        <f t="shared" si="153"/>
        <v>9.4500000000000001E-2</v>
      </c>
      <c r="AK200" s="189">
        <f>0.23*2</f>
        <v>0.46</v>
      </c>
      <c r="AL200" s="189">
        <f t="shared" si="164"/>
        <v>-0.04</v>
      </c>
      <c r="AM200" s="189">
        <f t="shared" si="154"/>
        <v>0.185</v>
      </c>
      <c r="AN200" s="188">
        <f t="shared" si="165"/>
        <v>6.6195000000000004</v>
      </c>
      <c r="AO200" s="183">
        <v>0</v>
      </c>
      <c r="AP200" s="182">
        <f t="shared" si="155"/>
        <v>14</v>
      </c>
      <c r="AQ200" s="182">
        <v>1.5</v>
      </c>
      <c r="AR200" s="187">
        <f t="shared" si="166"/>
        <v>0</v>
      </c>
      <c r="AS200" s="187">
        <f t="shared" si="167"/>
        <v>0</v>
      </c>
      <c r="AT200" s="187">
        <f t="shared" si="168"/>
        <v>380.5265</v>
      </c>
      <c r="AU200" s="187">
        <f t="shared" si="156"/>
        <v>0</v>
      </c>
      <c r="AV200" s="187">
        <f t="shared" si="157"/>
        <v>189.19049999999999</v>
      </c>
      <c r="AW200" s="187">
        <f t="shared" si="169"/>
        <v>0</v>
      </c>
      <c r="AX200" s="187">
        <f t="shared" si="170"/>
        <v>21</v>
      </c>
      <c r="AY200" s="190"/>
      <c r="AZ200" s="227" t="s">
        <v>217</v>
      </c>
      <c r="BA200" s="205">
        <v>0.2</v>
      </c>
      <c r="BB200" s="197">
        <v>12</v>
      </c>
      <c r="BC200" s="206">
        <v>0.1</v>
      </c>
      <c r="BD200" s="197">
        <v>10</v>
      </c>
      <c r="BE200" s="206">
        <v>0.2</v>
      </c>
      <c r="BF200" s="206">
        <f t="shared" si="173"/>
        <v>8.4000000000000005E-2</v>
      </c>
      <c r="BG200" s="206">
        <f t="shared" si="174"/>
        <v>8.4000000000000005E-2</v>
      </c>
      <c r="BH200" s="207">
        <v>1</v>
      </c>
      <c r="BK200" s="340" t="s">
        <v>218</v>
      </c>
      <c r="BL200" s="341">
        <v>0.16500000000000001</v>
      </c>
      <c r="BM200" s="197"/>
      <c r="BN200" s="340" t="s">
        <v>218</v>
      </c>
      <c r="BO200" s="341">
        <v>10</v>
      </c>
      <c r="BP200" s="197"/>
      <c r="BQ200" s="339" t="s">
        <v>218</v>
      </c>
      <c r="BR200" s="342">
        <v>0.1</v>
      </c>
      <c r="BS200" s="197"/>
      <c r="BT200" s="337" t="s">
        <v>219</v>
      </c>
      <c r="BU200" s="342">
        <v>7.3499999999999996E-2</v>
      </c>
      <c r="BV200" s="197"/>
      <c r="BW200" s="337" t="s">
        <v>218</v>
      </c>
      <c r="BX200" s="342">
        <v>10</v>
      </c>
      <c r="BY200" s="197"/>
      <c r="BZ200" s="337" t="s">
        <v>218</v>
      </c>
      <c r="CA200" s="342">
        <v>6.93E-2</v>
      </c>
      <c r="CB200" s="196"/>
      <c r="CC200" s="337" t="s">
        <v>218</v>
      </c>
      <c r="CD200" s="342">
        <v>0.1</v>
      </c>
      <c r="CE200" s="196"/>
      <c r="CF200" s="337" t="s">
        <v>218</v>
      </c>
      <c r="CG200" s="342">
        <v>1</v>
      </c>
    </row>
    <row r="201" spans="1:85" s="196" customFormat="1" x14ac:dyDescent="0.3">
      <c r="A201" s="182" t="s">
        <v>190</v>
      </c>
      <c r="B201" s="183">
        <v>1</v>
      </c>
      <c r="C201" s="184" t="s">
        <v>418</v>
      </c>
      <c r="D201" s="185">
        <v>3.05</v>
      </c>
      <c r="E201" s="185">
        <v>5.96</v>
      </c>
      <c r="F201" s="186">
        <v>0.2</v>
      </c>
      <c r="G201" s="187">
        <f t="shared" si="136"/>
        <v>3.6355999999999997</v>
      </c>
      <c r="H201" s="188">
        <f t="shared" si="137"/>
        <v>18.177999999999997</v>
      </c>
      <c r="I201" s="183">
        <f t="shared" si="138"/>
        <v>12</v>
      </c>
      <c r="J201" s="188">
        <f t="shared" si="139"/>
        <v>0.2</v>
      </c>
      <c r="K201" s="183">
        <f t="shared" si="140"/>
        <v>31</v>
      </c>
      <c r="L201" s="189">
        <f t="shared" si="141"/>
        <v>8.4000000000000005E-2</v>
      </c>
      <c r="M201" s="189">
        <f t="shared" si="171"/>
        <v>0.6</v>
      </c>
      <c r="N201" s="189">
        <f t="shared" si="158"/>
        <v>-0.04</v>
      </c>
      <c r="O201" s="189">
        <f>3.2*0.3</f>
        <v>0.96</v>
      </c>
      <c r="P201" s="188">
        <f t="shared" si="159"/>
        <v>4.6539999999999999</v>
      </c>
      <c r="Q201" s="183">
        <f t="shared" si="142"/>
        <v>12</v>
      </c>
      <c r="R201" s="188">
        <f t="shared" si="143"/>
        <v>0.2</v>
      </c>
      <c r="S201" s="183">
        <f t="shared" si="144"/>
        <v>30</v>
      </c>
      <c r="T201" s="189">
        <f t="shared" si="145"/>
        <v>8.4000000000000005E-2</v>
      </c>
      <c r="U201" s="189">
        <f t="shared" si="172"/>
        <v>0.6</v>
      </c>
      <c r="V201" s="189">
        <f t="shared" si="160"/>
        <v>-0.04</v>
      </c>
      <c r="W201" s="189">
        <f>4.11*0.3</f>
        <v>1.2330000000000001</v>
      </c>
      <c r="X201" s="188">
        <f t="shared" si="161"/>
        <v>4.9269999999999996</v>
      </c>
      <c r="Y201" s="183">
        <f t="shared" si="146"/>
        <v>8</v>
      </c>
      <c r="Z201" s="182">
        <f t="shared" si="147"/>
        <v>0.24</v>
      </c>
      <c r="AA201" s="183">
        <f t="shared" si="148"/>
        <v>14</v>
      </c>
      <c r="AB201" s="189">
        <f t="shared" si="149"/>
        <v>8.4000000000000005E-2</v>
      </c>
      <c r="AC201" s="189">
        <f>0.3+0.23</f>
        <v>0.53</v>
      </c>
      <c r="AD201" s="189">
        <f t="shared" si="162"/>
        <v>-0.04</v>
      </c>
      <c r="AE201" s="189">
        <f>2.94*0.3</f>
        <v>0.88200000000000001</v>
      </c>
      <c r="AF201" s="188">
        <f t="shared" si="163"/>
        <v>7.4160000000000004</v>
      </c>
      <c r="AG201" s="183">
        <f t="shared" si="150"/>
        <v>8</v>
      </c>
      <c r="AH201" s="182">
        <f t="shared" si="151"/>
        <v>0.24</v>
      </c>
      <c r="AI201" s="183">
        <f t="shared" si="152"/>
        <v>13</v>
      </c>
      <c r="AJ201" s="189">
        <f t="shared" si="153"/>
        <v>8.4000000000000005E-2</v>
      </c>
      <c r="AK201" s="189">
        <f>0.3+0.23</f>
        <v>0.53</v>
      </c>
      <c r="AL201" s="189">
        <f t="shared" si="164"/>
        <v>-0.04</v>
      </c>
      <c r="AM201" s="189">
        <f t="shared" si="154"/>
        <v>0.16</v>
      </c>
      <c r="AN201" s="188">
        <f t="shared" si="165"/>
        <v>6.694</v>
      </c>
      <c r="AO201" s="183">
        <v>0</v>
      </c>
      <c r="AP201" s="182">
        <f t="shared" si="155"/>
        <v>12</v>
      </c>
      <c r="AQ201" s="182">
        <v>1.5</v>
      </c>
      <c r="AR201" s="187">
        <f t="shared" si="166"/>
        <v>0</v>
      </c>
      <c r="AS201" s="187">
        <f t="shared" si="167"/>
        <v>0</v>
      </c>
      <c r="AT201" s="187">
        <f t="shared" si="168"/>
        <v>292.084</v>
      </c>
      <c r="AU201" s="187">
        <f t="shared" si="156"/>
        <v>190.846</v>
      </c>
      <c r="AV201" s="187">
        <f t="shared" si="157"/>
        <v>0</v>
      </c>
      <c r="AW201" s="187">
        <f t="shared" si="169"/>
        <v>0</v>
      </c>
      <c r="AX201" s="187">
        <f t="shared" si="170"/>
        <v>18</v>
      </c>
      <c r="AY201" s="190"/>
      <c r="AZ201" s="227" t="s">
        <v>221</v>
      </c>
      <c r="BA201" s="205">
        <v>0.17499999999999999</v>
      </c>
      <c r="BB201" s="197">
        <v>12</v>
      </c>
      <c r="BC201" s="206">
        <v>0.1</v>
      </c>
      <c r="BD201" s="197">
        <v>8</v>
      </c>
      <c r="BE201" s="206">
        <v>0.16</v>
      </c>
      <c r="BF201" s="206">
        <f t="shared" si="173"/>
        <v>7.3499999999999996E-2</v>
      </c>
      <c r="BG201" s="206">
        <f t="shared" si="174"/>
        <v>7.3499999999999996E-2</v>
      </c>
      <c r="BH201" s="207">
        <v>1</v>
      </c>
      <c r="BK201" s="343" t="s">
        <v>219</v>
      </c>
      <c r="BL201" s="344">
        <v>0.17499999999999999</v>
      </c>
      <c r="BM201" s="197"/>
      <c r="BN201" s="343" t="s">
        <v>219</v>
      </c>
      <c r="BO201" s="344">
        <v>10</v>
      </c>
      <c r="BP201" s="197"/>
      <c r="BQ201" s="345" t="s">
        <v>219</v>
      </c>
      <c r="BR201" s="346">
        <v>0.09</v>
      </c>
      <c r="BS201" s="197"/>
      <c r="BT201" s="347" t="s">
        <v>222</v>
      </c>
      <c r="BU201" s="346">
        <v>7.3499999999999996E-2</v>
      </c>
      <c r="BW201" s="347" t="s">
        <v>223</v>
      </c>
      <c r="BX201" s="346">
        <v>8</v>
      </c>
      <c r="BZ201" s="347" t="s">
        <v>223</v>
      </c>
      <c r="CA201" s="346">
        <v>5.4600000000000003E-2</v>
      </c>
      <c r="CC201" s="347" t="s">
        <v>219</v>
      </c>
      <c r="CD201" s="346">
        <v>0.1</v>
      </c>
      <c r="CF201" s="347" t="s">
        <v>223</v>
      </c>
      <c r="CG201" s="346">
        <v>1</v>
      </c>
    </row>
    <row r="202" spans="1:85" s="196" customFormat="1" x14ac:dyDescent="0.3">
      <c r="A202" s="182" t="s">
        <v>190</v>
      </c>
      <c r="B202" s="183">
        <v>1</v>
      </c>
      <c r="C202" s="184" t="s">
        <v>419</v>
      </c>
      <c r="D202" s="185">
        <v>3.2</v>
      </c>
      <c r="E202" s="185">
        <v>5.96</v>
      </c>
      <c r="F202" s="186">
        <v>0.2</v>
      </c>
      <c r="G202" s="187">
        <f>D202*E202*F202*B202</f>
        <v>3.8144</v>
      </c>
      <c r="H202" s="188">
        <f t="shared" si="137"/>
        <v>19.071999999999999</v>
      </c>
      <c r="I202" s="183">
        <f t="shared" si="138"/>
        <v>12</v>
      </c>
      <c r="J202" s="188">
        <f t="shared" si="139"/>
        <v>0.2</v>
      </c>
      <c r="K202" s="183">
        <f t="shared" si="140"/>
        <v>31</v>
      </c>
      <c r="L202" s="189">
        <f t="shared" si="141"/>
        <v>8.4000000000000005E-2</v>
      </c>
      <c r="M202" s="189">
        <f t="shared" si="171"/>
        <v>0.6</v>
      </c>
      <c r="N202" s="189">
        <f t="shared" si="158"/>
        <v>-0.04</v>
      </c>
      <c r="O202" s="189">
        <f>2.9*0.3</f>
        <v>0.87</v>
      </c>
      <c r="P202" s="188">
        <f t="shared" si="159"/>
        <v>4.7140000000000004</v>
      </c>
      <c r="Q202" s="183">
        <f t="shared" si="142"/>
        <v>12</v>
      </c>
      <c r="R202" s="188">
        <f t="shared" si="143"/>
        <v>0.2</v>
      </c>
      <c r="S202" s="183">
        <f t="shared" si="144"/>
        <v>30</v>
      </c>
      <c r="T202" s="189">
        <f t="shared" si="145"/>
        <v>8.4000000000000005E-2</v>
      </c>
      <c r="U202" s="189">
        <f t="shared" si="172"/>
        <v>0.6</v>
      </c>
      <c r="V202" s="189">
        <f t="shared" si="160"/>
        <v>-0.04</v>
      </c>
      <c r="W202" s="189">
        <f>3.05*0.3</f>
        <v>0.91499999999999992</v>
      </c>
      <c r="X202" s="188">
        <f t="shared" si="161"/>
        <v>4.7590000000000003</v>
      </c>
      <c r="Y202" s="183">
        <f t="shared" si="146"/>
        <v>8</v>
      </c>
      <c r="Z202" s="182">
        <f t="shared" si="147"/>
        <v>0.24</v>
      </c>
      <c r="AA202" s="183">
        <f t="shared" si="148"/>
        <v>14</v>
      </c>
      <c r="AB202" s="189">
        <f t="shared" si="149"/>
        <v>8.4000000000000005E-2</v>
      </c>
      <c r="AC202" s="189">
        <f>0.3+0.23</f>
        <v>0.53</v>
      </c>
      <c r="AD202" s="189">
        <f t="shared" si="162"/>
        <v>-0.04</v>
      </c>
      <c r="AE202" s="189">
        <f>2.94*0.3</f>
        <v>0.88200000000000001</v>
      </c>
      <c r="AF202" s="188">
        <f t="shared" si="163"/>
        <v>7.4160000000000004</v>
      </c>
      <c r="AG202" s="183">
        <f t="shared" si="150"/>
        <v>8</v>
      </c>
      <c r="AH202" s="182">
        <f t="shared" si="151"/>
        <v>0.24</v>
      </c>
      <c r="AI202" s="183">
        <f t="shared" si="152"/>
        <v>13</v>
      </c>
      <c r="AJ202" s="189">
        <f t="shared" si="153"/>
        <v>8.4000000000000005E-2</v>
      </c>
      <c r="AK202" s="189">
        <f>0.3+0.23</f>
        <v>0.53</v>
      </c>
      <c r="AL202" s="189">
        <f t="shared" si="164"/>
        <v>-0.04</v>
      </c>
      <c r="AM202" s="189">
        <f t="shared" si="154"/>
        <v>0.16</v>
      </c>
      <c r="AN202" s="188">
        <f t="shared" si="165"/>
        <v>6.694</v>
      </c>
      <c r="AO202" s="183">
        <v>0</v>
      </c>
      <c r="AP202" s="182">
        <f t="shared" si="155"/>
        <v>12</v>
      </c>
      <c r="AQ202" s="182">
        <v>1.5</v>
      </c>
      <c r="AR202" s="187">
        <f t="shared" si="166"/>
        <v>0</v>
      </c>
      <c r="AS202" s="187">
        <f t="shared" si="167"/>
        <v>0</v>
      </c>
      <c r="AT202" s="187">
        <f t="shared" si="168"/>
        <v>288.904</v>
      </c>
      <c r="AU202" s="187">
        <f t="shared" si="156"/>
        <v>190.846</v>
      </c>
      <c r="AV202" s="187">
        <f t="shared" si="157"/>
        <v>0</v>
      </c>
      <c r="AW202" s="187">
        <f t="shared" si="169"/>
        <v>0</v>
      </c>
      <c r="AX202" s="187">
        <f t="shared" si="170"/>
        <v>18</v>
      </c>
      <c r="AY202" s="190"/>
      <c r="AZ202" s="227" t="s">
        <v>218</v>
      </c>
      <c r="BA202" s="205">
        <v>0.16500000000000001</v>
      </c>
      <c r="BB202" s="197">
        <v>10</v>
      </c>
      <c r="BC202" s="206">
        <v>0.1</v>
      </c>
      <c r="BD202" s="197">
        <v>10</v>
      </c>
      <c r="BE202" s="206">
        <v>0.1</v>
      </c>
      <c r="BF202" s="206">
        <f t="shared" si="173"/>
        <v>6.93E-2</v>
      </c>
      <c r="BG202" s="206">
        <f t="shared" si="174"/>
        <v>6.93E-2</v>
      </c>
      <c r="BH202" s="207">
        <v>1</v>
      </c>
      <c r="BK202" s="343" t="s">
        <v>222</v>
      </c>
      <c r="BL202" s="344">
        <v>0.17499999999999999</v>
      </c>
      <c r="BM202" s="197"/>
      <c r="BN202" s="343" t="s">
        <v>222</v>
      </c>
      <c r="BO202" s="344">
        <v>10</v>
      </c>
      <c r="BP202" s="197"/>
      <c r="BQ202" s="345" t="s">
        <v>222</v>
      </c>
      <c r="BR202" s="346">
        <v>0.09</v>
      </c>
      <c r="BS202" s="197"/>
      <c r="BT202" s="347" t="s">
        <v>225</v>
      </c>
      <c r="BU202" s="346">
        <v>7.3499999999999996E-2</v>
      </c>
      <c r="BW202" s="347" t="s">
        <v>226</v>
      </c>
      <c r="BX202" s="346">
        <v>8</v>
      </c>
      <c r="BZ202" s="347" t="s">
        <v>227</v>
      </c>
      <c r="CA202" s="346">
        <v>5.2499999999999998E-2</v>
      </c>
      <c r="CC202" s="347" t="s">
        <v>222</v>
      </c>
      <c r="CD202" s="346">
        <v>0.1</v>
      </c>
      <c r="CF202" s="347" t="s">
        <v>226</v>
      </c>
      <c r="CG202" s="346">
        <v>1</v>
      </c>
    </row>
    <row r="203" spans="1:85" s="196" customFormat="1" x14ac:dyDescent="0.3">
      <c r="A203" s="182" t="s">
        <v>190</v>
      </c>
      <c r="B203" s="183">
        <v>1</v>
      </c>
      <c r="C203" s="184" t="s">
        <v>420</v>
      </c>
      <c r="D203" s="185">
        <v>2.9</v>
      </c>
      <c r="E203" s="185">
        <v>5.96</v>
      </c>
      <c r="F203" s="186">
        <v>0.2</v>
      </c>
      <c r="G203" s="187">
        <f t="shared" si="136"/>
        <v>3.4567999999999999</v>
      </c>
      <c r="H203" s="188">
        <f t="shared" si="137"/>
        <v>17.283999999999999</v>
      </c>
      <c r="I203" s="183">
        <f t="shared" si="138"/>
        <v>12</v>
      </c>
      <c r="J203" s="188">
        <f t="shared" si="139"/>
        <v>0.2</v>
      </c>
      <c r="K203" s="183">
        <f t="shared" si="140"/>
        <v>31</v>
      </c>
      <c r="L203" s="189">
        <f t="shared" si="141"/>
        <v>8.4000000000000005E-2</v>
      </c>
      <c r="M203" s="189">
        <f t="shared" si="171"/>
        <v>0.6</v>
      </c>
      <c r="N203" s="189">
        <f t="shared" si="158"/>
        <v>-0.04</v>
      </c>
      <c r="O203" s="189">
        <f>2.92*0.3</f>
        <v>0.876</v>
      </c>
      <c r="P203" s="188">
        <f t="shared" si="159"/>
        <v>4.42</v>
      </c>
      <c r="Q203" s="183">
        <f t="shared" si="142"/>
        <v>12</v>
      </c>
      <c r="R203" s="188">
        <f t="shared" si="143"/>
        <v>0.2</v>
      </c>
      <c r="S203" s="183">
        <f t="shared" si="144"/>
        <v>30</v>
      </c>
      <c r="T203" s="189">
        <f t="shared" si="145"/>
        <v>8.4000000000000005E-2</v>
      </c>
      <c r="U203" s="189">
        <f t="shared" si="172"/>
        <v>0.6</v>
      </c>
      <c r="V203" s="189">
        <f t="shared" si="160"/>
        <v>-0.04</v>
      </c>
      <c r="W203" s="189">
        <f>3.2*0.3</f>
        <v>0.96</v>
      </c>
      <c r="X203" s="188">
        <f t="shared" si="161"/>
        <v>4.5039999999999996</v>
      </c>
      <c r="Y203" s="183">
        <f t="shared" si="146"/>
        <v>8</v>
      </c>
      <c r="Z203" s="182">
        <f t="shared" si="147"/>
        <v>0.24</v>
      </c>
      <c r="AA203" s="183">
        <f t="shared" si="148"/>
        <v>13</v>
      </c>
      <c r="AB203" s="189">
        <f t="shared" si="149"/>
        <v>8.4000000000000005E-2</v>
      </c>
      <c r="AC203" s="189">
        <f>0.3+0.23</f>
        <v>0.53</v>
      </c>
      <c r="AD203" s="189">
        <f t="shared" si="162"/>
        <v>-0.04</v>
      </c>
      <c r="AE203" s="189">
        <f>4.23*0.3</f>
        <v>1.2690000000000001</v>
      </c>
      <c r="AF203" s="188">
        <f t="shared" si="163"/>
        <v>7.8029999999999999</v>
      </c>
      <c r="AG203" s="183">
        <f t="shared" si="150"/>
        <v>8</v>
      </c>
      <c r="AH203" s="182">
        <f t="shared" si="151"/>
        <v>0.24</v>
      </c>
      <c r="AI203" s="183">
        <f t="shared" si="152"/>
        <v>12</v>
      </c>
      <c r="AJ203" s="189">
        <f t="shared" si="153"/>
        <v>8.4000000000000005E-2</v>
      </c>
      <c r="AK203" s="189">
        <f>0.3+0.23</f>
        <v>0.53</v>
      </c>
      <c r="AL203" s="189">
        <f t="shared" si="164"/>
        <v>-0.04</v>
      </c>
      <c r="AM203" s="189">
        <f t="shared" si="154"/>
        <v>0.16</v>
      </c>
      <c r="AN203" s="188">
        <f t="shared" si="165"/>
        <v>6.694</v>
      </c>
      <c r="AO203" s="183">
        <v>0</v>
      </c>
      <c r="AP203" s="182">
        <f t="shared" si="155"/>
        <v>12</v>
      </c>
      <c r="AQ203" s="182">
        <v>1.5</v>
      </c>
      <c r="AR203" s="187">
        <f t="shared" si="166"/>
        <v>0</v>
      </c>
      <c r="AS203" s="187">
        <f t="shared" si="167"/>
        <v>0</v>
      </c>
      <c r="AT203" s="187">
        <f t="shared" si="168"/>
        <v>272.14</v>
      </c>
      <c r="AU203" s="187">
        <f t="shared" si="156"/>
        <v>181.767</v>
      </c>
      <c r="AV203" s="187">
        <f t="shared" si="157"/>
        <v>0</v>
      </c>
      <c r="AW203" s="187">
        <f t="shared" si="169"/>
        <v>0</v>
      </c>
      <c r="AX203" s="187">
        <f t="shared" si="170"/>
        <v>18</v>
      </c>
      <c r="AY203" s="190"/>
      <c r="AZ203" s="227" t="s">
        <v>219</v>
      </c>
      <c r="BA203" s="205">
        <v>0.17499999999999999</v>
      </c>
      <c r="BB203" s="197">
        <v>10</v>
      </c>
      <c r="BC203" s="206">
        <v>0.09</v>
      </c>
      <c r="BD203" s="197">
        <v>10</v>
      </c>
      <c r="BE203" s="206">
        <v>0.1</v>
      </c>
      <c r="BF203" s="206">
        <f t="shared" si="173"/>
        <v>7.3499999999999996E-2</v>
      </c>
      <c r="BG203" s="206">
        <f t="shared" si="174"/>
        <v>7.3499999999999996E-2</v>
      </c>
      <c r="BH203" s="207">
        <v>1</v>
      </c>
      <c r="BK203" s="343" t="s">
        <v>225</v>
      </c>
      <c r="BL203" s="344">
        <v>0.17499999999999999</v>
      </c>
      <c r="BM203" s="197"/>
      <c r="BN203" s="343" t="s">
        <v>225</v>
      </c>
      <c r="BO203" s="344">
        <v>10</v>
      </c>
      <c r="BP203" s="197"/>
      <c r="BQ203" s="345" t="s">
        <v>225</v>
      </c>
      <c r="BR203" s="346">
        <v>0.09</v>
      </c>
      <c r="BS203" s="197"/>
      <c r="BT203" s="347" t="s">
        <v>229</v>
      </c>
      <c r="BU203" s="346">
        <v>5.4600000000000003E-2</v>
      </c>
      <c r="BW203" s="347" t="s">
        <v>227</v>
      </c>
      <c r="BX203" s="346">
        <v>8</v>
      </c>
      <c r="BZ203" s="347" t="s">
        <v>230</v>
      </c>
      <c r="CA203" s="346">
        <v>6.93E-2</v>
      </c>
      <c r="CC203" s="347" t="s">
        <v>225</v>
      </c>
      <c r="CD203" s="346">
        <v>0.1</v>
      </c>
      <c r="CF203" s="347" t="s">
        <v>227</v>
      </c>
      <c r="CG203" s="346">
        <v>1</v>
      </c>
    </row>
    <row r="204" spans="1:85" s="196" customFormat="1" x14ac:dyDescent="0.3">
      <c r="A204" s="182" t="s">
        <v>190</v>
      </c>
      <c r="B204" s="183">
        <v>1</v>
      </c>
      <c r="C204" s="184" t="s">
        <v>421</v>
      </c>
      <c r="D204" s="185">
        <v>2.92</v>
      </c>
      <c r="E204" s="185">
        <v>5.96</v>
      </c>
      <c r="F204" s="186">
        <v>0.2</v>
      </c>
      <c r="G204" s="187">
        <f t="shared" si="136"/>
        <v>3.4806399999999997</v>
      </c>
      <c r="H204" s="188">
        <f t="shared" si="137"/>
        <v>17.403199999999998</v>
      </c>
      <c r="I204" s="183">
        <f t="shared" si="138"/>
        <v>12</v>
      </c>
      <c r="J204" s="188">
        <f t="shared" si="139"/>
        <v>0.2</v>
      </c>
      <c r="K204" s="183">
        <f t="shared" si="140"/>
        <v>31</v>
      </c>
      <c r="L204" s="189">
        <f t="shared" si="141"/>
        <v>8.4000000000000005E-2</v>
      </c>
      <c r="M204" s="189">
        <f t="shared" si="171"/>
        <v>0.6</v>
      </c>
      <c r="N204" s="189">
        <f t="shared" si="158"/>
        <v>-0.04</v>
      </c>
      <c r="O204" s="189">
        <f>4.25*0.3</f>
        <v>1.2749999999999999</v>
      </c>
      <c r="P204" s="188">
        <f t="shared" si="159"/>
        <v>4.8389999999999995</v>
      </c>
      <c r="Q204" s="183">
        <f t="shared" si="142"/>
        <v>12</v>
      </c>
      <c r="R204" s="188">
        <f t="shared" si="143"/>
        <v>0.2</v>
      </c>
      <c r="S204" s="183">
        <f t="shared" si="144"/>
        <v>30</v>
      </c>
      <c r="T204" s="189">
        <f t="shared" si="145"/>
        <v>8.4000000000000005E-2</v>
      </c>
      <c r="U204" s="189">
        <f t="shared" si="172"/>
        <v>0.6</v>
      </c>
      <c r="V204" s="189">
        <f t="shared" si="160"/>
        <v>-0.04</v>
      </c>
      <c r="W204" s="189">
        <f>2.9*0.3</f>
        <v>0.87</v>
      </c>
      <c r="X204" s="188">
        <f t="shared" si="161"/>
        <v>4.4339999999999993</v>
      </c>
      <c r="Y204" s="183">
        <f t="shared" si="146"/>
        <v>8</v>
      </c>
      <c r="Z204" s="182">
        <f t="shared" si="147"/>
        <v>0.24</v>
      </c>
      <c r="AA204" s="183">
        <f t="shared" si="148"/>
        <v>13</v>
      </c>
      <c r="AB204" s="189">
        <f t="shared" si="149"/>
        <v>8.4000000000000005E-2</v>
      </c>
      <c r="AC204" s="189">
        <f>0.3+0.23</f>
        <v>0.53</v>
      </c>
      <c r="AD204" s="189">
        <f t="shared" si="162"/>
        <v>-0.04</v>
      </c>
      <c r="AE204" s="189">
        <f>4.23*0.3</f>
        <v>1.2690000000000001</v>
      </c>
      <c r="AF204" s="188">
        <f t="shared" si="163"/>
        <v>7.8029999999999999</v>
      </c>
      <c r="AG204" s="183">
        <f t="shared" si="150"/>
        <v>8</v>
      </c>
      <c r="AH204" s="182">
        <f t="shared" si="151"/>
        <v>0.24</v>
      </c>
      <c r="AI204" s="183">
        <f t="shared" si="152"/>
        <v>12</v>
      </c>
      <c r="AJ204" s="189">
        <f t="shared" si="153"/>
        <v>8.4000000000000005E-2</v>
      </c>
      <c r="AK204" s="189">
        <f>0.3+0.23</f>
        <v>0.53</v>
      </c>
      <c r="AL204" s="189">
        <f t="shared" si="164"/>
        <v>-0.04</v>
      </c>
      <c r="AM204" s="189">
        <f t="shared" si="154"/>
        <v>0.16</v>
      </c>
      <c r="AN204" s="188">
        <f t="shared" si="165"/>
        <v>6.694</v>
      </c>
      <c r="AO204" s="183">
        <v>0</v>
      </c>
      <c r="AP204" s="182">
        <f t="shared" si="155"/>
        <v>12</v>
      </c>
      <c r="AQ204" s="182">
        <v>1.5</v>
      </c>
      <c r="AR204" s="187">
        <f t="shared" si="166"/>
        <v>0</v>
      </c>
      <c r="AS204" s="187">
        <f t="shared" si="167"/>
        <v>0</v>
      </c>
      <c r="AT204" s="187">
        <f t="shared" si="168"/>
        <v>283.029</v>
      </c>
      <c r="AU204" s="187">
        <f t="shared" si="156"/>
        <v>181.767</v>
      </c>
      <c r="AV204" s="187">
        <f t="shared" si="157"/>
        <v>0</v>
      </c>
      <c r="AW204" s="187">
        <f t="shared" si="169"/>
        <v>0</v>
      </c>
      <c r="AX204" s="187">
        <f t="shared" si="170"/>
        <v>18</v>
      </c>
      <c r="AY204" s="190"/>
      <c r="AZ204" s="227" t="s">
        <v>222</v>
      </c>
      <c r="BA204" s="205">
        <v>0.17499999999999999</v>
      </c>
      <c r="BB204" s="197">
        <v>10</v>
      </c>
      <c r="BC204" s="206">
        <v>0.09</v>
      </c>
      <c r="BD204" s="197">
        <v>10</v>
      </c>
      <c r="BE204" s="206">
        <v>0.1</v>
      </c>
      <c r="BF204" s="206">
        <f t="shared" si="173"/>
        <v>7.3499999999999996E-2</v>
      </c>
      <c r="BG204" s="206">
        <f t="shared" si="174"/>
        <v>7.3499999999999996E-2</v>
      </c>
      <c r="BH204" s="207">
        <v>1</v>
      </c>
      <c r="BK204" s="343" t="s">
        <v>229</v>
      </c>
      <c r="BL204" s="344">
        <v>0.13</v>
      </c>
      <c r="BM204" s="197"/>
      <c r="BN204" s="343" t="s">
        <v>229</v>
      </c>
      <c r="BO204" s="344">
        <v>8</v>
      </c>
      <c r="BP204" s="197"/>
      <c r="BQ204" s="345" t="s">
        <v>229</v>
      </c>
      <c r="BR204" s="346">
        <v>8.5000000000000006E-2</v>
      </c>
      <c r="BS204" s="197"/>
      <c r="BT204" s="347" t="s">
        <v>232</v>
      </c>
      <c r="BU204" s="346">
        <v>5.4600000000000003E-2</v>
      </c>
      <c r="BW204" s="347" t="s">
        <v>233</v>
      </c>
      <c r="BX204" s="346">
        <v>10</v>
      </c>
      <c r="BZ204" s="347" t="s">
        <v>234</v>
      </c>
      <c r="CA204" s="346"/>
      <c r="CC204" s="347" t="s">
        <v>229</v>
      </c>
      <c r="CD204" s="346">
        <v>0.12</v>
      </c>
      <c r="CF204" s="347" t="s">
        <v>233</v>
      </c>
      <c r="CG204" s="346">
        <v>1</v>
      </c>
    </row>
    <row r="205" spans="1:85" s="196" customFormat="1" x14ac:dyDescent="0.3">
      <c r="A205" s="348" t="s">
        <v>265</v>
      </c>
      <c r="B205" s="191"/>
      <c r="C205" s="349"/>
      <c r="D205" s="350"/>
      <c r="E205" s="350"/>
      <c r="F205" s="351"/>
      <c r="G205" s="352"/>
      <c r="H205" s="353"/>
      <c r="I205" s="191"/>
      <c r="J205" s="353"/>
      <c r="K205" s="191"/>
      <c r="L205" s="354"/>
      <c r="M205" s="355"/>
      <c r="N205" s="354"/>
      <c r="O205" s="354"/>
      <c r="P205" s="353"/>
      <c r="Q205" s="191"/>
      <c r="R205" s="353"/>
      <c r="S205" s="191"/>
      <c r="T205" s="354"/>
      <c r="U205" s="355"/>
      <c r="V205" s="354"/>
      <c r="W205" s="354"/>
      <c r="X205" s="353"/>
      <c r="Y205" s="191"/>
      <c r="Z205" s="201"/>
      <c r="AA205" s="191"/>
      <c r="AB205" s="354"/>
      <c r="AC205" s="355"/>
      <c r="AD205" s="354"/>
      <c r="AE205" s="354"/>
      <c r="AF205" s="353"/>
      <c r="AG205" s="191"/>
      <c r="AH205" s="201"/>
      <c r="AI205" s="191"/>
      <c r="AJ205" s="354"/>
      <c r="AK205" s="355"/>
      <c r="AL205" s="354"/>
      <c r="AM205" s="354"/>
      <c r="AN205" s="353"/>
      <c r="AO205" s="191"/>
      <c r="AP205" s="201"/>
      <c r="AQ205" s="201"/>
      <c r="AR205" s="352"/>
      <c r="AS205" s="352"/>
      <c r="AT205" s="352"/>
      <c r="AU205" s="352"/>
      <c r="AV205" s="352"/>
      <c r="AW205" s="352"/>
      <c r="AX205" s="352"/>
      <c r="AY205" s="190"/>
      <c r="AZ205" s="227" t="s">
        <v>225</v>
      </c>
      <c r="BA205" s="205">
        <v>0.17499999999999999</v>
      </c>
      <c r="BB205" s="197">
        <v>10</v>
      </c>
      <c r="BC205" s="206">
        <v>0.09</v>
      </c>
      <c r="BD205" s="197">
        <v>10</v>
      </c>
      <c r="BE205" s="206">
        <v>0.1</v>
      </c>
      <c r="BF205" s="206">
        <f t="shared" si="173"/>
        <v>7.3499999999999996E-2</v>
      </c>
      <c r="BG205" s="206">
        <f t="shared" si="174"/>
        <v>7.3499999999999996E-2</v>
      </c>
      <c r="BH205" s="207">
        <v>1</v>
      </c>
      <c r="BK205" s="343" t="s">
        <v>232</v>
      </c>
      <c r="BL205" s="344">
        <v>0.13</v>
      </c>
      <c r="BM205" s="197"/>
      <c r="BN205" s="343" t="s">
        <v>232</v>
      </c>
      <c r="BO205" s="344">
        <v>8</v>
      </c>
      <c r="BP205" s="197"/>
      <c r="BQ205" s="345" t="s">
        <v>232</v>
      </c>
      <c r="BR205" s="346">
        <v>0.1</v>
      </c>
      <c r="BS205" s="197"/>
      <c r="BT205" s="347" t="s">
        <v>218</v>
      </c>
      <c r="BU205" s="346">
        <v>6.93E-2</v>
      </c>
      <c r="BW205" s="347" t="s">
        <v>230</v>
      </c>
      <c r="BX205" s="346">
        <v>8</v>
      </c>
      <c r="BZ205" s="347" t="s">
        <v>236</v>
      </c>
      <c r="CA205" s="346">
        <v>6.93E-2</v>
      </c>
      <c r="CC205" s="347" t="s">
        <v>232</v>
      </c>
      <c r="CD205" s="346">
        <v>0.12</v>
      </c>
      <c r="CF205" s="347" t="s">
        <v>230</v>
      </c>
      <c r="CG205" s="346">
        <v>1</v>
      </c>
    </row>
    <row r="206" spans="1:85" s="196" customFormat="1" x14ac:dyDescent="0.3">
      <c r="A206" s="201"/>
      <c r="B206" s="191"/>
      <c r="C206" s="349"/>
      <c r="D206" s="350"/>
      <c r="E206" s="350"/>
      <c r="F206" s="351"/>
      <c r="G206" s="352"/>
      <c r="H206" s="353"/>
      <c r="I206" s="191"/>
      <c r="J206" s="353"/>
      <c r="K206" s="191"/>
      <c r="L206" s="354"/>
      <c r="M206" s="355"/>
      <c r="N206" s="354"/>
      <c r="O206" s="354"/>
      <c r="P206" s="353"/>
      <c r="Q206" s="191"/>
      <c r="R206" s="353"/>
      <c r="S206" s="191"/>
      <c r="T206" s="354"/>
      <c r="U206" s="355"/>
      <c r="V206" s="354"/>
      <c r="W206" s="354"/>
      <c r="X206" s="353"/>
      <c r="Y206" s="191"/>
      <c r="Z206" s="201"/>
      <c r="AA206" s="191"/>
      <c r="AB206" s="354"/>
      <c r="AC206" s="355"/>
      <c r="AD206" s="354"/>
      <c r="AE206" s="354"/>
      <c r="AF206" s="353"/>
      <c r="AG206" s="191"/>
      <c r="AH206" s="201"/>
      <c r="AI206" s="191"/>
      <c r="AJ206" s="354"/>
      <c r="AK206" s="355"/>
      <c r="AL206" s="354"/>
      <c r="AM206" s="354"/>
      <c r="AN206" s="353"/>
      <c r="AO206" s="191"/>
      <c r="AP206" s="201"/>
      <c r="AQ206" s="201"/>
      <c r="AR206" s="352"/>
      <c r="AS206" s="352"/>
      <c r="AT206" s="352"/>
      <c r="AU206" s="352"/>
      <c r="AV206" s="352"/>
      <c r="AW206" s="352"/>
      <c r="AX206" s="352"/>
      <c r="AY206" s="190"/>
      <c r="AZ206" s="227" t="s">
        <v>229</v>
      </c>
      <c r="BA206" s="205">
        <v>0.13</v>
      </c>
      <c r="BB206" s="197">
        <v>8</v>
      </c>
      <c r="BC206" s="206">
        <v>8.5000000000000006E-2</v>
      </c>
      <c r="BD206" s="197">
        <v>8</v>
      </c>
      <c r="BE206" s="206">
        <v>0.12</v>
      </c>
      <c r="BF206" s="206">
        <f t="shared" si="173"/>
        <v>5.4600000000000003E-2</v>
      </c>
      <c r="BG206" s="206">
        <f t="shared" si="174"/>
        <v>5.4600000000000003E-2</v>
      </c>
      <c r="BH206" s="207">
        <v>1</v>
      </c>
      <c r="BK206" s="343" t="s">
        <v>238</v>
      </c>
      <c r="BL206" s="344"/>
      <c r="BM206" s="197"/>
      <c r="BN206" s="343" t="s">
        <v>238</v>
      </c>
      <c r="BO206" s="344"/>
      <c r="BP206" s="197"/>
      <c r="BQ206" s="347" t="s">
        <v>238</v>
      </c>
      <c r="BR206" s="346"/>
      <c r="BS206" s="197"/>
      <c r="BT206" s="347" t="s">
        <v>239</v>
      </c>
      <c r="BU206" s="346">
        <v>5.2499999999999998E-2</v>
      </c>
      <c r="BW206" s="347" t="s">
        <v>219</v>
      </c>
      <c r="BX206" s="346">
        <v>10</v>
      </c>
      <c r="BZ206" s="347" t="s">
        <v>240</v>
      </c>
      <c r="CA206" s="346">
        <v>6.7199999999999996E-2</v>
      </c>
      <c r="CC206" s="347" t="s">
        <v>238</v>
      </c>
      <c r="CD206" s="346"/>
      <c r="CF206" s="347" t="s">
        <v>234</v>
      </c>
      <c r="CG206" s="346">
        <v>1</v>
      </c>
    </row>
    <row r="207" spans="1:85" s="196" customFormat="1" x14ac:dyDescent="0.3">
      <c r="A207" s="201"/>
      <c r="B207" s="191"/>
      <c r="C207" s="349"/>
      <c r="D207" s="350"/>
      <c r="E207" s="350"/>
      <c r="F207" s="351"/>
      <c r="G207" s="352"/>
      <c r="H207" s="353"/>
      <c r="I207" s="191"/>
      <c r="J207" s="353"/>
      <c r="K207" s="191"/>
      <c r="L207" s="354"/>
      <c r="M207" s="355"/>
      <c r="N207" s="354"/>
      <c r="O207" s="354"/>
      <c r="P207" s="353"/>
      <c r="Q207" s="191"/>
      <c r="R207" s="353"/>
      <c r="S207" s="191"/>
      <c r="T207" s="354"/>
      <c r="U207" s="355"/>
      <c r="V207" s="354"/>
      <c r="W207" s="354"/>
      <c r="X207" s="353"/>
      <c r="Y207" s="191"/>
      <c r="Z207" s="201"/>
      <c r="AA207" s="191"/>
      <c r="AB207" s="354"/>
      <c r="AC207" s="355"/>
      <c r="AD207" s="354"/>
      <c r="AE207" s="354"/>
      <c r="AF207" s="353"/>
      <c r="AG207" s="191"/>
      <c r="AH207" s="201"/>
      <c r="AI207" s="191"/>
      <c r="AJ207" s="354"/>
      <c r="AK207" s="355"/>
      <c r="AL207" s="354"/>
      <c r="AM207" s="354"/>
      <c r="AN207" s="353"/>
      <c r="AO207" s="191"/>
      <c r="AP207" s="201"/>
      <c r="AQ207" s="201"/>
      <c r="AR207" s="352"/>
      <c r="AS207" s="352"/>
      <c r="AT207" s="352"/>
      <c r="AU207" s="352"/>
      <c r="AV207" s="352"/>
      <c r="AW207" s="352"/>
      <c r="AX207" s="352"/>
      <c r="AY207" s="190"/>
      <c r="AZ207" s="227" t="s">
        <v>232</v>
      </c>
      <c r="BA207" s="205">
        <v>0.13</v>
      </c>
      <c r="BB207" s="197">
        <v>8</v>
      </c>
      <c r="BC207" s="206">
        <v>0.1</v>
      </c>
      <c r="BD207" s="197">
        <v>8</v>
      </c>
      <c r="BE207" s="206">
        <v>0.12</v>
      </c>
      <c r="BF207" s="206">
        <f t="shared" si="173"/>
        <v>5.4600000000000003E-2</v>
      </c>
      <c r="BG207" s="206">
        <f t="shared" si="174"/>
        <v>5.4600000000000003E-2</v>
      </c>
      <c r="BH207" s="207">
        <v>1</v>
      </c>
      <c r="BI207" s="197"/>
      <c r="BK207" s="343" t="s">
        <v>239</v>
      </c>
      <c r="BL207" s="344">
        <v>0.125</v>
      </c>
      <c r="BM207" s="197"/>
      <c r="BN207" s="343" t="s">
        <v>239</v>
      </c>
      <c r="BO207" s="344">
        <v>8</v>
      </c>
      <c r="BP207" s="197"/>
      <c r="BQ207" s="347" t="s">
        <v>239</v>
      </c>
      <c r="BR207" s="346">
        <v>0.115</v>
      </c>
      <c r="BS207" s="197"/>
      <c r="BT207" s="347" t="s">
        <v>242</v>
      </c>
      <c r="BU207" s="346">
        <v>5.8800000000000005E-2</v>
      </c>
      <c r="BW207" s="347" t="s">
        <v>222</v>
      </c>
      <c r="BX207" s="346">
        <v>10</v>
      </c>
      <c r="BZ207" s="347" t="s">
        <v>219</v>
      </c>
      <c r="CA207" s="346">
        <v>7.3499999999999996E-2</v>
      </c>
      <c r="CC207" s="347" t="s">
        <v>239</v>
      </c>
      <c r="CD207" s="346">
        <v>0.15</v>
      </c>
      <c r="CF207" s="347" t="s">
        <v>243</v>
      </c>
      <c r="CG207" s="346">
        <v>1</v>
      </c>
    </row>
    <row r="208" spans="1:85" s="196" customFormat="1" x14ac:dyDescent="0.3">
      <c r="A208" s="201"/>
      <c r="B208" s="191"/>
      <c r="C208" s="349"/>
      <c r="D208" s="350"/>
      <c r="E208" s="350"/>
      <c r="F208" s="351"/>
      <c r="G208" s="352"/>
      <c r="H208" s="353"/>
      <c r="I208" s="191"/>
      <c r="J208" s="353"/>
      <c r="K208" s="191"/>
      <c r="L208" s="354"/>
      <c r="M208" s="355"/>
      <c r="N208" s="354"/>
      <c r="O208" s="354"/>
      <c r="P208" s="353"/>
      <c r="Q208" s="191"/>
      <c r="R208" s="353"/>
      <c r="S208" s="191"/>
      <c r="T208" s="354"/>
      <c r="U208" s="355"/>
      <c r="V208" s="354"/>
      <c r="W208" s="354"/>
      <c r="X208" s="353"/>
      <c r="Y208" s="191"/>
      <c r="Z208" s="201"/>
      <c r="AA208" s="191"/>
      <c r="AB208" s="354"/>
      <c r="AC208" s="355"/>
      <c r="AD208" s="354"/>
      <c r="AE208" s="354"/>
      <c r="AF208" s="353"/>
      <c r="AG208" s="191"/>
      <c r="AH208" s="201"/>
      <c r="AI208" s="191"/>
      <c r="AJ208" s="354"/>
      <c r="AK208" s="355"/>
      <c r="AL208" s="354"/>
      <c r="AM208" s="354"/>
      <c r="AN208" s="353"/>
      <c r="AO208" s="191"/>
      <c r="AP208" s="201"/>
      <c r="AQ208" s="201"/>
      <c r="AR208" s="352"/>
      <c r="AS208" s="352"/>
      <c r="AT208" s="352"/>
      <c r="AU208" s="352"/>
      <c r="AV208" s="352"/>
      <c r="AW208" s="352"/>
      <c r="AX208" s="352"/>
      <c r="AY208" s="190"/>
      <c r="AZ208" s="227" t="s">
        <v>239</v>
      </c>
      <c r="BA208" s="205">
        <v>0.125</v>
      </c>
      <c r="BB208" s="197">
        <v>8</v>
      </c>
      <c r="BC208" s="206">
        <v>0.115</v>
      </c>
      <c r="BD208" s="197">
        <v>8</v>
      </c>
      <c r="BE208" s="206">
        <v>0.15</v>
      </c>
      <c r="BF208" s="206">
        <f t="shared" si="173"/>
        <v>5.2499999999999998E-2</v>
      </c>
      <c r="BG208" s="206">
        <f t="shared" si="174"/>
        <v>5.2499999999999998E-2</v>
      </c>
      <c r="BH208" s="207">
        <v>1</v>
      </c>
      <c r="BI208" s="197"/>
      <c r="BK208" s="343" t="s">
        <v>242</v>
      </c>
      <c r="BL208" s="344">
        <v>0.14000000000000001</v>
      </c>
      <c r="BM208" s="197"/>
      <c r="BN208" s="343" t="s">
        <v>242</v>
      </c>
      <c r="BO208" s="344">
        <v>10</v>
      </c>
      <c r="BQ208" s="347" t="s">
        <v>242</v>
      </c>
      <c r="BR208" s="346">
        <v>0.1</v>
      </c>
      <c r="BS208" s="197"/>
      <c r="BT208" s="347" t="s">
        <v>245</v>
      </c>
      <c r="BU208" s="346">
        <v>5.8800000000000005E-2</v>
      </c>
      <c r="BW208" s="347" t="s">
        <v>225</v>
      </c>
      <c r="BX208" s="346">
        <v>10</v>
      </c>
      <c r="BZ208" s="347" t="s">
        <v>222</v>
      </c>
      <c r="CA208" s="346">
        <v>7.3499999999999996E-2</v>
      </c>
      <c r="CC208" s="347" t="s">
        <v>242</v>
      </c>
      <c r="CD208" s="346">
        <v>0.15</v>
      </c>
      <c r="CF208" s="347" t="s">
        <v>219</v>
      </c>
      <c r="CG208" s="346">
        <v>1</v>
      </c>
    </row>
    <row r="209" spans="1:85" s="196" customFormat="1" x14ac:dyDescent="0.3">
      <c r="A209" s="201" t="s">
        <v>218</v>
      </c>
      <c r="B209" s="191">
        <v>0</v>
      </c>
      <c r="C209" s="356" t="s">
        <v>422</v>
      </c>
      <c r="D209" s="350">
        <v>4.8280000000000003</v>
      </c>
      <c r="E209" s="350">
        <v>4.2300000000000004</v>
      </c>
      <c r="F209" s="351">
        <v>0.16500000000000001</v>
      </c>
      <c r="G209" s="352">
        <f>D209*E209*F209*B209</f>
        <v>0</v>
      </c>
      <c r="H209" s="353">
        <f t="shared" ref="H209" si="175">D209*E209*B209</f>
        <v>0</v>
      </c>
      <c r="I209" s="191">
        <f>GETPIVOTDATA($BN$20,A209)</f>
        <v>10</v>
      </c>
      <c r="J209" s="353">
        <f>GETPIVOTDATA($BQ$20,A209)*2</f>
        <v>0.2</v>
      </c>
      <c r="K209" s="191">
        <f>(ROUND(E209/J209,0)+1)*GETPIVOTDATA($CF$20,A209)</f>
        <v>22</v>
      </c>
      <c r="L209" s="354">
        <f>GETPIVOTDATA($BT$20,A209)</f>
        <v>6.93E-2</v>
      </c>
      <c r="M209" s="355">
        <f>0.3*2</f>
        <v>0.6</v>
      </c>
      <c r="N209" s="354">
        <f t="shared" si="158"/>
        <v>-0.04</v>
      </c>
      <c r="O209" s="354">
        <f>1.125*0.3</f>
        <v>0.33749999999999997</v>
      </c>
      <c r="P209" s="353">
        <f t="shared" si="159"/>
        <v>5.7948000000000004</v>
      </c>
      <c r="Q209" s="191">
        <f>GETPIVOTDATA($BN$20,A209)</f>
        <v>10</v>
      </c>
      <c r="R209" s="353">
        <f>GETPIVOTDATA($BQ$20,A209)*2</f>
        <v>0.2</v>
      </c>
      <c r="S209" s="191">
        <f>(ROUND(E209/R209,0))*GETPIVOTDATA($CF$20,A209)</f>
        <v>21</v>
      </c>
      <c r="T209" s="354">
        <f>GETPIVOTDATA($BT$20,A209)</f>
        <v>6.93E-2</v>
      </c>
      <c r="U209" s="355">
        <f>0.3*2</f>
        <v>0.6</v>
      </c>
      <c r="V209" s="354">
        <f t="shared" si="160"/>
        <v>-0.04</v>
      </c>
      <c r="W209" s="354">
        <f>5.4*0.3</f>
        <v>1.62</v>
      </c>
      <c r="X209" s="353">
        <f t="shared" si="161"/>
        <v>7.0773000000000001</v>
      </c>
      <c r="Y209" s="191">
        <f>GETPIVOTDATA($BW$20,A209)</f>
        <v>10</v>
      </c>
      <c r="Z209" s="201">
        <f>GETPIVOTDATA($CC$20,A209)*2</f>
        <v>0.2</v>
      </c>
      <c r="AA209" s="191">
        <f>(ROUND(D209/Z209,0)+1)*GETPIVOTDATA($CF$20,A209)</f>
        <v>25</v>
      </c>
      <c r="AB209" s="354">
        <f>GETPIVOTDATA($BZ$20,A209)</f>
        <v>6.93E-2</v>
      </c>
      <c r="AC209" s="355">
        <f>0.3*2</f>
        <v>0.6</v>
      </c>
      <c r="AD209" s="354">
        <f t="shared" si="162"/>
        <v>-0.04</v>
      </c>
      <c r="AE209" s="354">
        <f>4.85*0.3</f>
        <v>1.4549999999999998</v>
      </c>
      <c r="AF209" s="353">
        <f t="shared" si="163"/>
        <v>6.3143000000000002</v>
      </c>
      <c r="AG209" s="191">
        <f>GETPIVOTDATA($BW$20,A209)</f>
        <v>10</v>
      </c>
      <c r="AH209" s="201">
        <f>GETPIVOTDATA($CC$20,A209)*2</f>
        <v>0.2</v>
      </c>
      <c r="AI209" s="191">
        <f>(ROUND(D209/AH209,0))*GETPIVOTDATA($CF$20,A209)</f>
        <v>24</v>
      </c>
      <c r="AJ209" s="354">
        <f>GETPIVOTDATA($BZ$20,A209)</f>
        <v>6.93E-2</v>
      </c>
      <c r="AK209" s="355">
        <f>0.3*2</f>
        <v>0.6</v>
      </c>
      <c r="AL209" s="354">
        <f t="shared" si="164"/>
        <v>-0.04</v>
      </c>
      <c r="AM209" s="354">
        <f>5.96*0.3</f>
        <v>1.788</v>
      </c>
      <c r="AN209" s="353">
        <f t="shared" si="165"/>
        <v>6.6473000000000004</v>
      </c>
      <c r="AO209" s="191">
        <v>0</v>
      </c>
      <c r="AP209" s="201">
        <f t="shared" si="155"/>
        <v>12</v>
      </c>
      <c r="AQ209" s="201">
        <v>1.5</v>
      </c>
      <c r="AR209" s="352">
        <f t="shared" ref="AR209:AR262" si="176">IF(I209=8,K209*P209*B209,0)+IF(Q209=8,S209*X209*B209,0)</f>
        <v>0</v>
      </c>
      <c r="AS209" s="352">
        <f t="shared" ref="AS209:AS262" si="177">IF(I209=10,K209*P209*B209,0)+IF(Q209=10,S209*X209*B209,0)</f>
        <v>0</v>
      </c>
      <c r="AT209" s="352">
        <f t="shared" ref="AT209:AT262" si="178">IF(I209=12,K209*P209*B209,0)+IF(Q209=12,S209*X209*B209,0)</f>
        <v>0</v>
      </c>
      <c r="AU209" s="352">
        <f t="shared" ref="AU209:AU262" si="179">IF(AG209=8,AI209*AN209*B209,0)+IF(Y209=8,B209*AA209*AF209,0)</f>
        <v>0</v>
      </c>
      <c r="AV209" s="352">
        <f t="shared" ref="AV209:AV262" si="180">IF(AG209=10,AI209*AN209*B209,0)+IF(Y209=10,B209*AA209*AF209,0)</f>
        <v>0</v>
      </c>
      <c r="AW209" s="352">
        <f t="shared" si="169"/>
        <v>0</v>
      </c>
      <c r="AX209" s="352">
        <f t="shared" si="170"/>
        <v>0</v>
      </c>
      <c r="AY209" s="190"/>
      <c r="AZ209" s="227" t="s">
        <v>242</v>
      </c>
      <c r="BA209" s="205">
        <v>0.14000000000000001</v>
      </c>
      <c r="BB209" s="197">
        <v>10</v>
      </c>
      <c r="BC209" s="206">
        <v>0.1</v>
      </c>
      <c r="BD209" s="197">
        <v>8</v>
      </c>
      <c r="BE209" s="206">
        <v>0.15</v>
      </c>
      <c r="BF209" s="206">
        <f t="shared" si="173"/>
        <v>5.8800000000000005E-2</v>
      </c>
      <c r="BG209" s="206">
        <f t="shared" si="174"/>
        <v>5.8800000000000005E-2</v>
      </c>
      <c r="BH209" s="207">
        <v>1</v>
      </c>
      <c r="BI209" s="197"/>
      <c r="BK209" s="343" t="s">
        <v>245</v>
      </c>
      <c r="BL209" s="344">
        <v>0.14000000000000001</v>
      </c>
      <c r="BM209" s="197"/>
      <c r="BN209" s="343" t="s">
        <v>245</v>
      </c>
      <c r="BO209" s="344">
        <v>10</v>
      </c>
      <c r="BQ209" s="347" t="s">
        <v>245</v>
      </c>
      <c r="BR209" s="346">
        <v>0.1</v>
      </c>
      <c r="BS209" s="197"/>
      <c r="BT209" s="347" t="s">
        <v>223</v>
      </c>
      <c r="BU209" s="346">
        <v>5.4600000000000003E-2</v>
      </c>
      <c r="BW209" s="347" t="s">
        <v>229</v>
      </c>
      <c r="BX209" s="346">
        <v>8</v>
      </c>
      <c r="BZ209" s="347" t="s">
        <v>225</v>
      </c>
      <c r="CA209" s="346">
        <v>7.3499999999999996E-2</v>
      </c>
      <c r="CC209" s="347" t="s">
        <v>245</v>
      </c>
      <c r="CD209" s="346">
        <v>0.12</v>
      </c>
      <c r="CF209" s="347" t="s">
        <v>222</v>
      </c>
      <c r="CG209" s="346">
        <v>1</v>
      </c>
    </row>
    <row r="210" spans="1:85" s="196" customFormat="1" x14ac:dyDescent="0.3">
      <c r="A210" s="201"/>
      <c r="B210" s="191"/>
      <c r="C210" s="349"/>
      <c r="D210" s="350"/>
      <c r="E210" s="350"/>
      <c r="F210" s="351"/>
      <c r="G210" s="352"/>
      <c r="H210" s="353"/>
      <c r="I210" s="191"/>
      <c r="J210" s="353"/>
      <c r="K210" s="191"/>
      <c r="L210" s="354"/>
      <c r="M210" s="355"/>
      <c r="N210" s="354"/>
      <c r="O210" s="354"/>
      <c r="P210" s="353"/>
      <c r="Q210" s="191"/>
      <c r="R210" s="353"/>
      <c r="S210" s="191"/>
      <c r="T210" s="354"/>
      <c r="U210" s="355"/>
      <c r="V210" s="354"/>
      <c r="W210" s="354"/>
      <c r="X210" s="353"/>
      <c r="Y210" s="191"/>
      <c r="Z210" s="201"/>
      <c r="AA210" s="191"/>
      <c r="AB210" s="354"/>
      <c r="AC210" s="355"/>
      <c r="AD210" s="354"/>
      <c r="AE210" s="354"/>
      <c r="AF210" s="353"/>
      <c r="AG210" s="191"/>
      <c r="AH210" s="201"/>
      <c r="AI210" s="191"/>
      <c r="AJ210" s="354"/>
      <c r="AK210" s="355"/>
      <c r="AL210" s="354"/>
      <c r="AM210" s="354"/>
      <c r="AN210" s="353"/>
      <c r="AO210" s="191"/>
      <c r="AP210" s="201"/>
      <c r="AQ210" s="201"/>
      <c r="AR210" s="352"/>
      <c r="AS210" s="352"/>
      <c r="AT210" s="352"/>
      <c r="AU210" s="352"/>
      <c r="AV210" s="352"/>
      <c r="AW210" s="352"/>
      <c r="AX210" s="352"/>
      <c r="AY210" s="190"/>
      <c r="AZ210" s="227" t="s">
        <v>245</v>
      </c>
      <c r="BA210" s="205">
        <v>0.14000000000000001</v>
      </c>
      <c r="BB210" s="197">
        <v>10</v>
      </c>
      <c r="BC210" s="206">
        <v>0.1</v>
      </c>
      <c r="BD210" s="197">
        <v>10</v>
      </c>
      <c r="BE210" s="197">
        <v>0.12</v>
      </c>
      <c r="BF210" s="206">
        <f t="shared" si="173"/>
        <v>5.8800000000000005E-2</v>
      </c>
      <c r="BG210" s="206">
        <f t="shared" si="174"/>
        <v>5.8800000000000005E-2</v>
      </c>
      <c r="BH210" s="207">
        <v>1</v>
      </c>
      <c r="BI210" s="197"/>
      <c r="BK210" s="343" t="s">
        <v>223</v>
      </c>
      <c r="BL210" s="344">
        <v>0.13</v>
      </c>
      <c r="BM210" s="197"/>
      <c r="BN210" s="343" t="s">
        <v>223</v>
      </c>
      <c r="BO210" s="344">
        <v>8</v>
      </c>
      <c r="BQ210" s="347" t="s">
        <v>223</v>
      </c>
      <c r="BR210" s="346">
        <v>0.1</v>
      </c>
      <c r="BS210" s="197"/>
      <c r="BT210" s="347" t="s">
        <v>226</v>
      </c>
      <c r="BU210" s="346">
        <v>4.8300000000000003E-2</v>
      </c>
      <c r="BW210" s="347" t="s">
        <v>232</v>
      </c>
      <c r="BX210" s="346">
        <v>8</v>
      </c>
      <c r="BZ210" s="347" t="s">
        <v>229</v>
      </c>
      <c r="CA210" s="346">
        <v>5.4600000000000003E-2</v>
      </c>
      <c r="CC210" s="347" t="s">
        <v>223</v>
      </c>
      <c r="CD210" s="346">
        <v>0.18</v>
      </c>
      <c r="CF210" s="347" t="s">
        <v>225</v>
      </c>
      <c r="CG210" s="346">
        <v>1</v>
      </c>
    </row>
    <row r="211" spans="1:85" s="196" customFormat="1" x14ac:dyDescent="0.3">
      <c r="A211" s="201"/>
      <c r="B211" s="191"/>
      <c r="C211" s="349"/>
      <c r="D211" s="350"/>
      <c r="E211" s="350"/>
      <c r="F211" s="351"/>
      <c r="G211" s="352"/>
      <c r="H211" s="353"/>
      <c r="I211" s="191"/>
      <c r="J211" s="353"/>
      <c r="K211" s="191"/>
      <c r="L211" s="354"/>
      <c r="M211" s="355"/>
      <c r="N211" s="354"/>
      <c r="O211" s="354"/>
      <c r="P211" s="353"/>
      <c r="Q211" s="191"/>
      <c r="R211" s="353"/>
      <c r="S211" s="191"/>
      <c r="T211" s="354"/>
      <c r="U211" s="355"/>
      <c r="V211" s="354"/>
      <c r="W211" s="354"/>
      <c r="X211" s="353"/>
      <c r="Y211" s="191"/>
      <c r="Z211" s="201"/>
      <c r="AA211" s="191"/>
      <c r="AB211" s="354"/>
      <c r="AC211" s="355"/>
      <c r="AD211" s="354"/>
      <c r="AE211" s="354"/>
      <c r="AF211" s="353"/>
      <c r="AG211" s="191"/>
      <c r="AH211" s="201"/>
      <c r="AI211" s="191"/>
      <c r="AJ211" s="354"/>
      <c r="AK211" s="355"/>
      <c r="AL211" s="354"/>
      <c r="AM211" s="354"/>
      <c r="AN211" s="353"/>
      <c r="AO211" s="191"/>
      <c r="AP211" s="201"/>
      <c r="AQ211" s="201"/>
      <c r="AR211" s="352"/>
      <c r="AS211" s="352"/>
      <c r="AT211" s="352"/>
      <c r="AU211" s="352"/>
      <c r="AV211" s="352"/>
      <c r="AW211" s="352"/>
      <c r="AX211" s="352"/>
      <c r="AY211" s="190"/>
      <c r="AZ211" s="227" t="s">
        <v>223</v>
      </c>
      <c r="BA211" s="205">
        <v>0.13</v>
      </c>
      <c r="BB211" s="197">
        <v>8</v>
      </c>
      <c r="BC211" s="206">
        <v>0.1</v>
      </c>
      <c r="BD211" s="197">
        <v>8</v>
      </c>
      <c r="BE211" s="197">
        <v>0.18</v>
      </c>
      <c r="BF211" s="206">
        <f t="shared" si="173"/>
        <v>5.4600000000000003E-2</v>
      </c>
      <c r="BG211" s="206">
        <f t="shared" si="174"/>
        <v>5.4600000000000003E-2</v>
      </c>
      <c r="BH211" s="207">
        <v>1</v>
      </c>
      <c r="BI211" s="197"/>
      <c r="BK211" s="343" t="s">
        <v>226</v>
      </c>
      <c r="BL211" s="344">
        <v>0.115</v>
      </c>
      <c r="BM211" s="197"/>
      <c r="BN211" s="343" t="s">
        <v>226</v>
      </c>
      <c r="BO211" s="344">
        <v>8</v>
      </c>
      <c r="BQ211" s="347" t="s">
        <v>226</v>
      </c>
      <c r="BR211" s="346">
        <v>0.125</v>
      </c>
      <c r="BS211" s="197"/>
      <c r="BT211" s="347" t="s">
        <v>227</v>
      </c>
      <c r="BU211" s="346">
        <v>5.2499999999999998E-2</v>
      </c>
      <c r="BW211" s="347" t="s">
        <v>239</v>
      </c>
      <c r="BX211" s="346">
        <v>8</v>
      </c>
      <c r="BZ211" s="347" t="s">
        <v>232</v>
      </c>
      <c r="CA211" s="346">
        <v>5.4600000000000003E-2</v>
      </c>
      <c r="CC211" s="347" t="s">
        <v>226</v>
      </c>
      <c r="CD211" s="346">
        <v>0.17499999999999999</v>
      </c>
      <c r="CF211" s="347" t="s">
        <v>229</v>
      </c>
      <c r="CG211" s="346">
        <v>1</v>
      </c>
    </row>
    <row r="212" spans="1:85" s="196" customFormat="1" x14ac:dyDescent="0.3">
      <c r="A212" s="201"/>
      <c r="B212" s="191"/>
      <c r="C212" s="349"/>
      <c r="D212" s="350"/>
      <c r="E212" s="350"/>
      <c r="F212" s="351"/>
      <c r="G212" s="352"/>
      <c r="H212" s="353"/>
      <c r="I212" s="191"/>
      <c r="J212" s="353"/>
      <c r="K212" s="191"/>
      <c r="L212" s="354"/>
      <c r="M212" s="355"/>
      <c r="N212" s="354"/>
      <c r="O212" s="354"/>
      <c r="P212" s="353"/>
      <c r="Q212" s="191"/>
      <c r="R212" s="353"/>
      <c r="S212" s="191"/>
      <c r="T212" s="354"/>
      <c r="U212" s="355"/>
      <c r="V212" s="354"/>
      <c r="W212" s="354"/>
      <c r="X212" s="353"/>
      <c r="Y212" s="191"/>
      <c r="Z212" s="201"/>
      <c r="AA212" s="191"/>
      <c r="AB212" s="354"/>
      <c r="AC212" s="355"/>
      <c r="AD212" s="354"/>
      <c r="AE212" s="354"/>
      <c r="AF212" s="353"/>
      <c r="AG212" s="191"/>
      <c r="AH212" s="201"/>
      <c r="AI212" s="191"/>
      <c r="AJ212" s="354"/>
      <c r="AK212" s="355"/>
      <c r="AL212" s="354"/>
      <c r="AM212" s="354"/>
      <c r="AN212" s="353"/>
      <c r="AO212" s="191"/>
      <c r="AP212" s="201"/>
      <c r="AQ212" s="201"/>
      <c r="AR212" s="352"/>
      <c r="AS212" s="352"/>
      <c r="AT212" s="352"/>
      <c r="AU212" s="352"/>
      <c r="AV212" s="352"/>
      <c r="AW212" s="352"/>
      <c r="AX212" s="352"/>
      <c r="AY212" s="190"/>
      <c r="AZ212" s="227" t="s">
        <v>226</v>
      </c>
      <c r="BA212" s="205">
        <v>0.115</v>
      </c>
      <c r="BB212" s="197">
        <v>8</v>
      </c>
      <c r="BC212" s="197">
        <v>0.125</v>
      </c>
      <c r="BD212" s="197">
        <v>8</v>
      </c>
      <c r="BE212" s="197">
        <v>0.17499999999999999</v>
      </c>
      <c r="BF212" s="206">
        <f t="shared" si="173"/>
        <v>4.8300000000000003E-2</v>
      </c>
      <c r="BG212" s="206"/>
      <c r="BH212" s="207">
        <v>1</v>
      </c>
      <c r="BI212" s="197"/>
      <c r="BK212" s="343" t="s">
        <v>227</v>
      </c>
      <c r="BL212" s="344">
        <v>0.125</v>
      </c>
      <c r="BM212" s="197"/>
      <c r="BN212" s="343" t="s">
        <v>227</v>
      </c>
      <c r="BO212" s="344">
        <v>8</v>
      </c>
      <c r="BQ212" s="347" t="s">
        <v>227</v>
      </c>
      <c r="BR212" s="346">
        <v>0.1</v>
      </c>
      <c r="BS212" s="197"/>
      <c r="BT212" s="347" t="s">
        <v>233</v>
      </c>
      <c r="BU212" s="346">
        <v>6.3E-2</v>
      </c>
      <c r="BW212" s="347" t="s">
        <v>242</v>
      </c>
      <c r="BX212" s="346">
        <v>8</v>
      </c>
      <c r="BZ212" s="347" t="s">
        <v>239</v>
      </c>
      <c r="CA212" s="346">
        <v>5.2499999999999998E-2</v>
      </c>
      <c r="CC212" s="347" t="s">
        <v>227</v>
      </c>
      <c r="CD212" s="346">
        <v>0.1</v>
      </c>
      <c r="CF212" s="347" t="s">
        <v>232</v>
      </c>
      <c r="CG212" s="346">
        <v>1</v>
      </c>
    </row>
    <row r="213" spans="1:85" s="196" customFormat="1" x14ac:dyDescent="0.3">
      <c r="A213" s="201"/>
      <c r="B213" s="191"/>
      <c r="C213" s="349"/>
      <c r="D213" s="350"/>
      <c r="E213" s="350"/>
      <c r="F213" s="351"/>
      <c r="G213" s="352"/>
      <c r="H213" s="353"/>
      <c r="I213" s="191"/>
      <c r="J213" s="353"/>
      <c r="K213" s="191"/>
      <c r="L213" s="354"/>
      <c r="M213" s="355"/>
      <c r="N213" s="354"/>
      <c r="O213" s="354"/>
      <c r="P213" s="353"/>
      <c r="Q213" s="191"/>
      <c r="R213" s="353"/>
      <c r="S213" s="191"/>
      <c r="T213" s="354"/>
      <c r="U213" s="355"/>
      <c r="V213" s="354"/>
      <c r="W213" s="354"/>
      <c r="X213" s="353"/>
      <c r="Y213" s="191"/>
      <c r="Z213" s="201"/>
      <c r="AA213" s="191"/>
      <c r="AB213" s="354"/>
      <c r="AC213" s="355"/>
      <c r="AD213" s="354"/>
      <c r="AE213" s="354"/>
      <c r="AF213" s="353"/>
      <c r="AG213" s="191"/>
      <c r="AH213" s="201"/>
      <c r="AI213" s="191"/>
      <c r="AJ213" s="354"/>
      <c r="AK213" s="355"/>
      <c r="AL213" s="354"/>
      <c r="AM213" s="354"/>
      <c r="AN213" s="353"/>
      <c r="AO213" s="191"/>
      <c r="AP213" s="201"/>
      <c r="AQ213" s="201"/>
      <c r="AR213" s="352"/>
      <c r="AS213" s="352"/>
      <c r="AT213" s="352"/>
      <c r="AU213" s="352"/>
      <c r="AV213" s="352"/>
      <c r="AW213" s="352"/>
      <c r="AX213" s="352"/>
      <c r="AY213" s="190"/>
      <c r="AZ213" s="227" t="s">
        <v>227</v>
      </c>
      <c r="BA213" s="205">
        <v>0.125</v>
      </c>
      <c r="BB213" s="197">
        <v>8</v>
      </c>
      <c r="BC213" s="197">
        <v>0.1</v>
      </c>
      <c r="BD213" s="197">
        <v>8</v>
      </c>
      <c r="BE213" s="197">
        <v>0.1</v>
      </c>
      <c r="BF213" s="206">
        <f t="shared" si="173"/>
        <v>5.2499999999999998E-2</v>
      </c>
      <c r="BG213" s="206">
        <f t="shared" ref="BG213:BG215" si="181">BA213*0.42</f>
        <v>5.2499999999999998E-2</v>
      </c>
      <c r="BH213" s="207">
        <v>1</v>
      </c>
      <c r="BI213" s="197"/>
      <c r="BK213" s="357" t="s">
        <v>233</v>
      </c>
      <c r="BL213" s="358">
        <v>0.15</v>
      </c>
      <c r="BM213" s="197"/>
      <c r="BN213" s="357" t="s">
        <v>233</v>
      </c>
      <c r="BO213" s="358">
        <v>10</v>
      </c>
      <c r="BQ213" s="359" t="s">
        <v>233</v>
      </c>
      <c r="BR213" s="360">
        <v>8.5000000000000006E-2</v>
      </c>
      <c r="BT213" s="359" t="s">
        <v>230</v>
      </c>
      <c r="BU213" s="360">
        <v>6.93E-2</v>
      </c>
      <c r="BW213" s="359" t="s">
        <v>245</v>
      </c>
      <c r="BX213" s="360">
        <v>10</v>
      </c>
      <c r="BZ213" s="347" t="s">
        <v>242</v>
      </c>
      <c r="CA213" s="346">
        <v>5.8800000000000005E-2</v>
      </c>
      <c r="CC213" s="359" t="s">
        <v>233</v>
      </c>
      <c r="CD213" s="360">
        <v>0.125</v>
      </c>
      <c r="CF213" s="359" t="s">
        <v>239</v>
      </c>
      <c r="CG213" s="360">
        <v>1</v>
      </c>
    </row>
    <row r="214" spans="1:85" s="196" customFormat="1" x14ac:dyDescent="0.3">
      <c r="A214" s="201"/>
      <c r="B214" s="191"/>
      <c r="C214" s="349"/>
      <c r="D214" s="350"/>
      <c r="E214" s="350"/>
      <c r="F214" s="351"/>
      <c r="G214" s="352"/>
      <c r="H214" s="353"/>
      <c r="I214" s="191"/>
      <c r="J214" s="353"/>
      <c r="K214" s="191"/>
      <c r="L214" s="354"/>
      <c r="M214" s="355"/>
      <c r="N214" s="354"/>
      <c r="O214" s="354"/>
      <c r="P214" s="353"/>
      <c r="Q214" s="191"/>
      <c r="R214" s="353"/>
      <c r="S214" s="191"/>
      <c r="T214" s="354"/>
      <c r="U214" s="355"/>
      <c r="V214" s="354"/>
      <c r="W214" s="354"/>
      <c r="X214" s="353"/>
      <c r="Y214" s="191"/>
      <c r="Z214" s="201"/>
      <c r="AA214" s="191"/>
      <c r="AB214" s="354"/>
      <c r="AC214" s="355"/>
      <c r="AD214" s="354"/>
      <c r="AE214" s="354"/>
      <c r="AF214" s="353"/>
      <c r="AG214" s="191"/>
      <c r="AH214" s="201"/>
      <c r="AI214" s="191"/>
      <c r="AJ214" s="354"/>
      <c r="AK214" s="355"/>
      <c r="AL214" s="354"/>
      <c r="AM214" s="354"/>
      <c r="AN214" s="353"/>
      <c r="AO214" s="191"/>
      <c r="AP214" s="201"/>
      <c r="AQ214" s="201"/>
      <c r="AR214" s="352"/>
      <c r="AS214" s="352"/>
      <c r="AT214" s="352"/>
      <c r="AU214" s="352"/>
      <c r="AV214" s="352"/>
      <c r="AW214" s="352"/>
      <c r="AX214" s="352"/>
      <c r="AY214" s="190"/>
      <c r="AZ214" s="227" t="s">
        <v>233</v>
      </c>
      <c r="BA214" s="205">
        <v>0.15</v>
      </c>
      <c r="BB214" s="197">
        <v>10</v>
      </c>
      <c r="BC214" s="197">
        <v>8.5000000000000006E-2</v>
      </c>
      <c r="BD214" s="197">
        <v>10</v>
      </c>
      <c r="BE214" s="197">
        <v>0.125</v>
      </c>
      <c r="BF214" s="206">
        <f t="shared" si="173"/>
        <v>6.3E-2</v>
      </c>
      <c r="BG214" s="206">
        <f t="shared" si="181"/>
        <v>6.3E-2</v>
      </c>
      <c r="BH214" s="207">
        <v>1</v>
      </c>
      <c r="BI214" s="197"/>
      <c r="BK214" s="343" t="s">
        <v>230</v>
      </c>
      <c r="BL214" s="344">
        <v>0.16500000000000001</v>
      </c>
      <c r="BM214" s="197"/>
      <c r="BN214" s="343" t="s">
        <v>230</v>
      </c>
      <c r="BO214" s="344">
        <v>10</v>
      </c>
      <c r="BQ214" s="347" t="s">
        <v>230</v>
      </c>
      <c r="BR214" s="346">
        <v>0.115</v>
      </c>
      <c r="BT214" s="347" t="s">
        <v>234</v>
      </c>
      <c r="BU214" s="346">
        <v>6.3E-2</v>
      </c>
      <c r="BW214" s="347" t="s">
        <v>238</v>
      </c>
      <c r="BX214" s="346"/>
      <c r="BZ214" s="347" t="s">
        <v>245</v>
      </c>
      <c r="CA214" s="346">
        <v>5.8800000000000005E-2</v>
      </c>
      <c r="CC214" s="347" t="s">
        <v>230</v>
      </c>
      <c r="CD214" s="346">
        <v>0.115</v>
      </c>
      <c r="CF214" s="347" t="s">
        <v>242</v>
      </c>
      <c r="CG214" s="346">
        <v>1</v>
      </c>
    </row>
    <row r="215" spans="1:85" s="196" customFormat="1" x14ac:dyDescent="0.3">
      <c r="A215" s="201"/>
      <c r="B215" s="191"/>
      <c r="C215" s="349"/>
      <c r="D215" s="350"/>
      <c r="E215" s="350"/>
      <c r="F215" s="351"/>
      <c r="G215" s="352"/>
      <c r="H215" s="353"/>
      <c r="I215" s="191"/>
      <c r="J215" s="353"/>
      <c r="K215" s="191"/>
      <c r="L215" s="354"/>
      <c r="M215" s="355"/>
      <c r="N215" s="354"/>
      <c r="O215" s="354"/>
      <c r="P215" s="353"/>
      <c r="Q215" s="191"/>
      <c r="R215" s="353"/>
      <c r="S215" s="191"/>
      <c r="T215" s="354"/>
      <c r="U215" s="355"/>
      <c r="V215" s="354"/>
      <c r="W215" s="354"/>
      <c r="X215" s="353"/>
      <c r="Y215" s="191"/>
      <c r="Z215" s="201"/>
      <c r="AA215" s="191"/>
      <c r="AB215" s="354"/>
      <c r="AC215" s="355"/>
      <c r="AD215" s="354"/>
      <c r="AE215" s="354"/>
      <c r="AF215" s="353"/>
      <c r="AG215" s="191"/>
      <c r="AH215" s="201"/>
      <c r="AI215" s="191"/>
      <c r="AJ215" s="354"/>
      <c r="AK215" s="355"/>
      <c r="AL215" s="354"/>
      <c r="AM215" s="354"/>
      <c r="AN215" s="353"/>
      <c r="AO215" s="191"/>
      <c r="AP215" s="201"/>
      <c r="AQ215" s="201"/>
      <c r="AR215" s="352"/>
      <c r="AS215" s="352"/>
      <c r="AT215" s="352"/>
      <c r="AU215" s="352"/>
      <c r="AV215" s="352"/>
      <c r="AW215" s="352"/>
      <c r="AX215" s="352"/>
      <c r="AY215" s="190"/>
      <c r="AZ215" s="227" t="s">
        <v>230</v>
      </c>
      <c r="BA215" s="232">
        <v>0.16500000000000001</v>
      </c>
      <c r="BB215" s="197">
        <v>10</v>
      </c>
      <c r="BC215" s="197">
        <v>0.115</v>
      </c>
      <c r="BD215" s="197">
        <v>8</v>
      </c>
      <c r="BE215" s="197">
        <v>0.115</v>
      </c>
      <c r="BF215" s="206">
        <f t="shared" si="173"/>
        <v>6.93E-2</v>
      </c>
      <c r="BG215" s="206">
        <f t="shared" si="181"/>
        <v>6.93E-2</v>
      </c>
      <c r="BH215" s="207">
        <v>1</v>
      </c>
      <c r="BI215" s="197"/>
      <c r="BK215" s="343" t="s">
        <v>234</v>
      </c>
      <c r="BL215" s="344">
        <v>0.15</v>
      </c>
      <c r="BM215" s="197"/>
      <c r="BN215" s="343" t="s">
        <v>234</v>
      </c>
      <c r="BO215" s="344">
        <v>12</v>
      </c>
      <c r="BQ215" s="347" t="s">
        <v>234</v>
      </c>
      <c r="BR215" s="346">
        <v>0.1</v>
      </c>
      <c r="BT215" s="347" t="s">
        <v>243</v>
      </c>
      <c r="BU215" s="346">
        <v>6.3E-2</v>
      </c>
      <c r="BW215" s="347" t="s">
        <v>234</v>
      </c>
      <c r="BX215" s="346">
        <v>8</v>
      </c>
      <c r="BZ215" s="359" t="s">
        <v>226</v>
      </c>
      <c r="CA215" s="360"/>
      <c r="CC215" s="347" t="s">
        <v>234</v>
      </c>
      <c r="CD215" s="346">
        <v>0.15</v>
      </c>
      <c r="CF215" s="347" t="s">
        <v>245</v>
      </c>
      <c r="CG215" s="346">
        <v>1</v>
      </c>
    </row>
    <row r="216" spans="1:85" s="197" customFormat="1" x14ac:dyDescent="0.3">
      <c r="A216" s="201"/>
      <c r="B216" s="191"/>
      <c r="C216" s="349"/>
      <c r="D216" s="350"/>
      <c r="E216" s="350"/>
      <c r="F216" s="351"/>
      <c r="G216" s="352"/>
      <c r="H216" s="353"/>
      <c r="I216" s="191"/>
      <c r="J216" s="353"/>
      <c r="K216" s="191"/>
      <c r="L216" s="354"/>
      <c r="M216" s="355"/>
      <c r="N216" s="354"/>
      <c r="O216" s="354"/>
      <c r="P216" s="353"/>
      <c r="Q216" s="191"/>
      <c r="R216" s="353"/>
      <c r="S216" s="191"/>
      <c r="T216" s="354"/>
      <c r="U216" s="355"/>
      <c r="V216" s="354"/>
      <c r="W216" s="354"/>
      <c r="X216" s="353"/>
      <c r="Y216" s="191"/>
      <c r="Z216" s="201"/>
      <c r="AA216" s="191"/>
      <c r="AB216" s="354"/>
      <c r="AC216" s="355"/>
      <c r="AD216" s="354"/>
      <c r="AE216" s="354"/>
      <c r="AF216" s="353"/>
      <c r="AG216" s="191"/>
      <c r="AH216" s="201"/>
      <c r="AI216" s="191"/>
      <c r="AJ216" s="354"/>
      <c r="AK216" s="355"/>
      <c r="AL216" s="354"/>
      <c r="AM216" s="354"/>
      <c r="AN216" s="353"/>
      <c r="AO216" s="191"/>
      <c r="AP216" s="201"/>
      <c r="AQ216" s="201"/>
      <c r="AR216" s="352"/>
      <c r="AS216" s="352"/>
      <c r="AT216" s="352"/>
      <c r="AU216" s="352"/>
      <c r="AV216" s="352"/>
      <c r="AW216" s="352"/>
      <c r="AX216" s="352"/>
      <c r="AY216" s="190"/>
      <c r="AZ216" s="227" t="s">
        <v>234</v>
      </c>
      <c r="BA216" s="232">
        <v>0.15</v>
      </c>
      <c r="BB216" s="197">
        <v>12</v>
      </c>
      <c r="BC216" s="197">
        <v>0.1</v>
      </c>
      <c r="BD216" s="197">
        <v>8</v>
      </c>
      <c r="BE216" s="197">
        <v>0.15</v>
      </c>
      <c r="BF216" s="206">
        <f t="shared" si="173"/>
        <v>6.3E-2</v>
      </c>
      <c r="BG216" s="206"/>
      <c r="BH216" s="207">
        <v>1</v>
      </c>
      <c r="BK216" s="343" t="s">
        <v>243</v>
      </c>
      <c r="BL216" s="344">
        <v>0.15</v>
      </c>
      <c r="BN216" s="343" t="s">
        <v>243</v>
      </c>
      <c r="BO216" s="344">
        <v>10</v>
      </c>
      <c r="BQ216" s="361" t="s">
        <v>243</v>
      </c>
      <c r="BR216" s="362">
        <v>0.1</v>
      </c>
      <c r="BT216" s="347" t="s">
        <v>254</v>
      </c>
      <c r="BU216" s="346">
        <v>6.3E-2</v>
      </c>
      <c r="BW216" s="361" t="s">
        <v>243</v>
      </c>
      <c r="BX216" s="362">
        <v>8</v>
      </c>
      <c r="BZ216" s="347" t="s">
        <v>233</v>
      </c>
      <c r="CA216" s="346">
        <v>6.3E-2</v>
      </c>
      <c r="CC216" s="361" t="s">
        <v>243</v>
      </c>
      <c r="CD216" s="362">
        <v>0.12</v>
      </c>
      <c r="CF216" s="361" t="s">
        <v>238</v>
      </c>
      <c r="CG216" s="362"/>
    </row>
    <row r="217" spans="1:85" s="197" customFormat="1" x14ac:dyDescent="0.3">
      <c r="A217" s="201"/>
      <c r="B217" s="191"/>
      <c r="C217" s="349"/>
      <c r="D217" s="350"/>
      <c r="E217" s="350"/>
      <c r="F217" s="351"/>
      <c r="G217" s="352"/>
      <c r="H217" s="353"/>
      <c r="I217" s="191"/>
      <c r="J217" s="353"/>
      <c r="K217" s="191"/>
      <c r="L217" s="354"/>
      <c r="M217" s="355"/>
      <c r="N217" s="354"/>
      <c r="O217" s="354"/>
      <c r="P217" s="353"/>
      <c r="Q217" s="191"/>
      <c r="R217" s="353"/>
      <c r="S217" s="191"/>
      <c r="T217" s="354"/>
      <c r="U217" s="355"/>
      <c r="V217" s="354"/>
      <c r="W217" s="354"/>
      <c r="X217" s="353"/>
      <c r="Y217" s="191"/>
      <c r="Z217" s="201"/>
      <c r="AA217" s="191"/>
      <c r="AB217" s="354"/>
      <c r="AC217" s="355"/>
      <c r="AD217" s="354"/>
      <c r="AE217" s="354"/>
      <c r="AF217" s="353"/>
      <c r="AG217" s="191"/>
      <c r="AH217" s="201"/>
      <c r="AI217" s="191"/>
      <c r="AJ217" s="354"/>
      <c r="AK217" s="355"/>
      <c r="AL217" s="354"/>
      <c r="AM217" s="354"/>
      <c r="AN217" s="353"/>
      <c r="AO217" s="191"/>
      <c r="AP217" s="201"/>
      <c r="AQ217" s="201"/>
      <c r="AR217" s="352"/>
      <c r="AS217" s="352"/>
      <c r="AT217" s="352"/>
      <c r="AU217" s="352"/>
      <c r="AV217" s="352"/>
      <c r="AW217" s="352"/>
      <c r="AX217" s="352"/>
      <c r="AY217" s="190"/>
      <c r="AZ217" s="227" t="s">
        <v>243</v>
      </c>
      <c r="BA217" s="232">
        <v>0.15</v>
      </c>
      <c r="BB217" s="197">
        <v>10</v>
      </c>
      <c r="BC217" s="197">
        <v>0.1</v>
      </c>
      <c r="BD217" s="197">
        <v>8</v>
      </c>
      <c r="BE217" s="197">
        <v>0.12</v>
      </c>
      <c r="BF217" s="206">
        <f t="shared" si="173"/>
        <v>6.3E-2</v>
      </c>
      <c r="BG217" s="206">
        <f t="shared" ref="BG217:BG221" si="182">BA217*0.42</f>
        <v>6.3E-2</v>
      </c>
      <c r="BH217" s="207">
        <v>1</v>
      </c>
      <c r="BK217" s="343" t="s">
        <v>254</v>
      </c>
      <c r="BL217" s="344">
        <v>0.15</v>
      </c>
      <c r="BN217" s="343" t="s">
        <v>254</v>
      </c>
      <c r="BO217" s="344">
        <v>10</v>
      </c>
      <c r="BQ217" s="347" t="s">
        <v>254</v>
      </c>
      <c r="BR217" s="346">
        <v>0.09</v>
      </c>
      <c r="BT217" s="347" t="s">
        <v>236</v>
      </c>
      <c r="BU217" s="346">
        <v>6.93E-2</v>
      </c>
      <c r="BW217" s="347" t="s">
        <v>254</v>
      </c>
      <c r="BX217" s="346">
        <v>8</v>
      </c>
      <c r="BZ217" s="347" t="s">
        <v>243</v>
      </c>
      <c r="CA217" s="346">
        <v>6.3E-2</v>
      </c>
      <c r="CC217" s="347" t="s">
        <v>254</v>
      </c>
      <c r="CD217" s="346">
        <v>0.1</v>
      </c>
      <c r="CF217" s="347" t="s">
        <v>254</v>
      </c>
      <c r="CG217" s="346">
        <v>1</v>
      </c>
    </row>
    <row r="218" spans="1:85" s="197" customFormat="1" x14ac:dyDescent="0.3">
      <c r="A218" s="201"/>
      <c r="B218" s="191"/>
      <c r="C218" s="349"/>
      <c r="D218" s="350"/>
      <c r="E218" s="350"/>
      <c r="F218" s="351"/>
      <c r="G218" s="352"/>
      <c r="H218" s="353"/>
      <c r="I218" s="191"/>
      <c r="J218" s="353"/>
      <c r="K218" s="191"/>
      <c r="L218" s="354"/>
      <c r="M218" s="355"/>
      <c r="N218" s="354"/>
      <c r="O218" s="355"/>
      <c r="P218" s="353"/>
      <c r="Q218" s="191"/>
      <c r="R218" s="353"/>
      <c r="S218" s="191"/>
      <c r="T218" s="354"/>
      <c r="U218" s="355"/>
      <c r="V218" s="354"/>
      <c r="W218" s="354"/>
      <c r="X218" s="353"/>
      <c r="Y218" s="191"/>
      <c r="Z218" s="201"/>
      <c r="AA218" s="191"/>
      <c r="AB218" s="354"/>
      <c r="AC218" s="355"/>
      <c r="AD218" s="354"/>
      <c r="AE218" s="354"/>
      <c r="AF218" s="353"/>
      <c r="AG218" s="191"/>
      <c r="AH218" s="201"/>
      <c r="AI218" s="191"/>
      <c r="AJ218" s="354"/>
      <c r="AK218" s="355"/>
      <c r="AL218" s="354"/>
      <c r="AM218" s="354"/>
      <c r="AN218" s="353"/>
      <c r="AO218" s="191"/>
      <c r="AP218" s="201"/>
      <c r="AQ218" s="201"/>
      <c r="AR218" s="352"/>
      <c r="AS218" s="352"/>
      <c r="AT218" s="352"/>
      <c r="AU218" s="352"/>
      <c r="AV218" s="352"/>
      <c r="AW218" s="352"/>
      <c r="AX218" s="352"/>
      <c r="AY218" s="190"/>
      <c r="AZ218" s="227" t="s">
        <v>254</v>
      </c>
      <c r="BA218" s="232">
        <v>0.15</v>
      </c>
      <c r="BB218" s="197">
        <v>10</v>
      </c>
      <c r="BC218" s="197">
        <v>0.09</v>
      </c>
      <c r="BD218" s="197">
        <v>8</v>
      </c>
      <c r="BE218" s="197">
        <v>0.1</v>
      </c>
      <c r="BF218" s="206">
        <f t="shared" si="173"/>
        <v>6.3E-2</v>
      </c>
      <c r="BG218" s="206">
        <f t="shared" si="182"/>
        <v>6.3E-2</v>
      </c>
      <c r="BH218" s="207">
        <v>1</v>
      </c>
      <c r="BK218" s="343" t="s">
        <v>236</v>
      </c>
      <c r="BL218" s="344">
        <v>0.16500000000000001</v>
      </c>
      <c r="BN218" s="343" t="s">
        <v>236</v>
      </c>
      <c r="BO218" s="344">
        <v>10</v>
      </c>
      <c r="BQ218" s="347" t="s">
        <v>236</v>
      </c>
      <c r="BR218" s="346">
        <v>9.5000000000000001E-2</v>
      </c>
      <c r="BT218" s="361" t="s">
        <v>238</v>
      </c>
      <c r="BU218" s="362"/>
      <c r="BW218" s="347" t="s">
        <v>190</v>
      </c>
      <c r="BX218" s="346">
        <v>8</v>
      </c>
      <c r="BZ218" s="361" t="s">
        <v>238</v>
      </c>
      <c r="CA218" s="362"/>
      <c r="CC218" s="347" t="s">
        <v>236</v>
      </c>
      <c r="CD218" s="346">
        <v>0.1</v>
      </c>
      <c r="CF218" s="347" t="s">
        <v>190</v>
      </c>
      <c r="CG218" s="346">
        <v>1</v>
      </c>
    </row>
    <row r="219" spans="1:85" s="197" customFormat="1" x14ac:dyDescent="0.3">
      <c r="A219" s="201"/>
      <c r="B219" s="191"/>
      <c r="C219" s="349"/>
      <c r="D219" s="350"/>
      <c r="E219" s="350"/>
      <c r="F219" s="351"/>
      <c r="G219" s="352"/>
      <c r="H219" s="353"/>
      <c r="I219" s="191"/>
      <c r="J219" s="353"/>
      <c r="K219" s="191"/>
      <c r="L219" s="354"/>
      <c r="M219" s="355"/>
      <c r="N219" s="354"/>
      <c r="O219" s="354"/>
      <c r="P219" s="353"/>
      <c r="Q219" s="191"/>
      <c r="R219" s="353"/>
      <c r="S219" s="191"/>
      <c r="T219" s="354"/>
      <c r="U219" s="355"/>
      <c r="V219" s="354"/>
      <c r="W219" s="354"/>
      <c r="X219" s="353"/>
      <c r="Y219" s="191"/>
      <c r="Z219" s="201"/>
      <c r="AA219" s="191"/>
      <c r="AB219" s="354"/>
      <c r="AC219" s="355"/>
      <c r="AD219" s="354"/>
      <c r="AE219" s="354"/>
      <c r="AF219" s="353"/>
      <c r="AG219" s="191"/>
      <c r="AH219" s="201"/>
      <c r="AI219" s="191"/>
      <c r="AJ219" s="354"/>
      <c r="AK219" s="355"/>
      <c r="AL219" s="354"/>
      <c r="AM219" s="354"/>
      <c r="AN219" s="353"/>
      <c r="AO219" s="191"/>
      <c r="AP219" s="201"/>
      <c r="AQ219" s="201"/>
      <c r="AR219" s="352"/>
      <c r="AS219" s="352"/>
      <c r="AT219" s="352"/>
      <c r="AU219" s="352"/>
      <c r="AV219" s="352"/>
      <c r="AW219" s="352"/>
      <c r="AX219" s="352"/>
      <c r="AY219" s="190"/>
      <c r="AZ219" s="227" t="s">
        <v>236</v>
      </c>
      <c r="BA219" s="232">
        <v>0.16500000000000001</v>
      </c>
      <c r="BB219" s="197">
        <v>10</v>
      </c>
      <c r="BC219" s="197">
        <v>9.5000000000000001E-2</v>
      </c>
      <c r="BD219" s="197">
        <v>8</v>
      </c>
      <c r="BE219" s="197">
        <v>0.1</v>
      </c>
      <c r="BF219" s="206">
        <f t="shared" si="173"/>
        <v>6.93E-2</v>
      </c>
      <c r="BG219" s="206">
        <f t="shared" si="182"/>
        <v>6.93E-2</v>
      </c>
      <c r="BH219" s="207">
        <v>1</v>
      </c>
      <c r="BK219" s="343" t="s">
        <v>240</v>
      </c>
      <c r="BL219" s="344">
        <v>0.16</v>
      </c>
      <c r="BN219" s="343" t="s">
        <v>240</v>
      </c>
      <c r="BO219" s="344">
        <v>10</v>
      </c>
      <c r="BQ219" s="347" t="s">
        <v>240</v>
      </c>
      <c r="BR219" s="346">
        <v>0.1</v>
      </c>
      <c r="BT219" s="347" t="s">
        <v>240</v>
      </c>
      <c r="BU219" s="346">
        <v>6.7199999999999996E-2</v>
      </c>
      <c r="BW219" s="347" t="s">
        <v>215</v>
      </c>
      <c r="BX219" s="346">
        <v>10</v>
      </c>
      <c r="BZ219" s="347" t="s">
        <v>254</v>
      </c>
      <c r="CA219" s="346">
        <v>6.3E-2</v>
      </c>
      <c r="CC219" s="347" t="s">
        <v>240</v>
      </c>
      <c r="CD219" s="346">
        <v>0.1</v>
      </c>
      <c r="CF219" s="347" t="s">
        <v>215</v>
      </c>
      <c r="CG219" s="346">
        <v>1</v>
      </c>
    </row>
    <row r="220" spans="1:85" s="197" customFormat="1" x14ac:dyDescent="0.3">
      <c r="A220" s="201"/>
      <c r="B220" s="191"/>
      <c r="C220" s="349"/>
      <c r="D220" s="352"/>
      <c r="E220" s="352"/>
      <c r="F220" s="351"/>
      <c r="G220" s="352"/>
      <c r="H220" s="353"/>
      <c r="I220" s="191"/>
      <c r="J220" s="353"/>
      <c r="K220" s="191"/>
      <c r="L220" s="354"/>
      <c r="M220" s="355"/>
      <c r="N220" s="354"/>
      <c r="O220" s="354"/>
      <c r="P220" s="353"/>
      <c r="Q220" s="191"/>
      <c r="R220" s="353"/>
      <c r="S220" s="191"/>
      <c r="T220" s="354"/>
      <c r="U220" s="355"/>
      <c r="V220" s="354"/>
      <c r="W220" s="354"/>
      <c r="X220" s="353"/>
      <c r="Y220" s="191"/>
      <c r="Z220" s="201"/>
      <c r="AA220" s="191"/>
      <c r="AB220" s="354"/>
      <c r="AC220" s="355"/>
      <c r="AD220" s="354"/>
      <c r="AE220" s="354"/>
      <c r="AF220" s="353"/>
      <c r="AG220" s="191"/>
      <c r="AH220" s="201"/>
      <c r="AI220" s="191"/>
      <c r="AJ220" s="354"/>
      <c r="AK220" s="355"/>
      <c r="AL220" s="354"/>
      <c r="AM220" s="354"/>
      <c r="AN220" s="353"/>
      <c r="AO220" s="191"/>
      <c r="AP220" s="201"/>
      <c r="AQ220" s="201"/>
      <c r="AR220" s="352"/>
      <c r="AS220" s="352"/>
      <c r="AT220" s="352"/>
      <c r="AU220" s="352"/>
      <c r="AV220" s="352"/>
      <c r="AW220" s="352"/>
      <c r="AX220" s="352"/>
      <c r="AY220" s="190"/>
      <c r="AZ220" s="227" t="s">
        <v>240</v>
      </c>
      <c r="BA220" s="232">
        <v>0.16</v>
      </c>
      <c r="BB220" s="197">
        <v>10</v>
      </c>
      <c r="BC220" s="197">
        <v>0.1</v>
      </c>
      <c r="BD220" s="197">
        <v>10</v>
      </c>
      <c r="BE220" s="197">
        <v>0.1</v>
      </c>
      <c r="BF220" s="206">
        <f t="shared" si="173"/>
        <v>6.7199999999999996E-2</v>
      </c>
      <c r="BG220" s="206">
        <f t="shared" si="182"/>
        <v>6.7199999999999996E-2</v>
      </c>
      <c r="BH220" s="207">
        <v>1</v>
      </c>
      <c r="BK220" s="343" t="s">
        <v>190</v>
      </c>
      <c r="BL220" s="344">
        <v>0.2</v>
      </c>
      <c r="BN220" s="343" t="s">
        <v>190</v>
      </c>
      <c r="BO220" s="344">
        <v>12</v>
      </c>
      <c r="BQ220" s="347" t="s">
        <v>190</v>
      </c>
      <c r="BR220" s="346">
        <v>0.1</v>
      </c>
      <c r="BT220" s="347" t="s">
        <v>190</v>
      </c>
      <c r="BU220" s="346">
        <v>8.4000000000000005E-2</v>
      </c>
      <c r="BW220" s="347" t="s">
        <v>217</v>
      </c>
      <c r="BX220" s="346">
        <v>10</v>
      </c>
      <c r="BZ220" s="347" t="s">
        <v>190</v>
      </c>
      <c r="CA220" s="346">
        <v>8.4000000000000005E-2</v>
      </c>
      <c r="CC220" s="347" t="s">
        <v>190</v>
      </c>
      <c r="CD220" s="346">
        <v>0.12</v>
      </c>
      <c r="CF220" s="347" t="s">
        <v>217</v>
      </c>
      <c r="CG220" s="346">
        <v>1</v>
      </c>
    </row>
    <row r="221" spans="1:85" s="197" customFormat="1" x14ac:dyDescent="0.3">
      <c r="A221" s="201"/>
      <c r="B221" s="191"/>
      <c r="C221" s="349"/>
      <c r="D221" s="352"/>
      <c r="E221" s="352"/>
      <c r="F221" s="351"/>
      <c r="G221" s="352"/>
      <c r="H221" s="353"/>
      <c r="I221" s="191"/>
      <c r="J221" s="353"/>
      <c r="K221" s="191"/>
      <c r="L221" s="354"/>
      <c r="M221" s="355"/>
      <c r="N221" s="354"/>
      <c r="O221" s="354"/>
      <c r="P221" s="353"/>
      <c r="Q221" s="191"/>
      <c r="R221" s="353"/>
      <c r="S221" s="191"/>
      <c r="T221" s="354"/>
      <c r="U221" s="355"/>
      <c r="V221" s="354"/>
      <c r="W221" s="354"/>
      <c r="X221" s="353"/>
      <c r="Y221" s="191"/>
      <c r="Z221" s="201"/>
      <c r="AA221" s="191"/>
      <c r="AB221" s="354"/>
      <c r="AC221" s="355"/>
      <c r="AD221" s="354"/>
      <c r="AE221" s="354"/>
      <c r="AF221" s="353"/>
      <c r="AG221" s="191"/>
      <c r="AH221" s="201"/>
      <c r="AI221" s="191"/>
      <c r="AJ221" s="354"/>
      <c r="AK221" s="355"/>
      <c r="AL221" s="354"/>
      <c r="AM221" s="354"/>
      <c r="AN221" s="353"/>
      <c r="AO221" s="191"/>
      <c r="AP221" s="201"/>
      <c r="AQ221" s="201"/>
      <c r="AR221" s="352"/>
      <c r="AS221" s="352"/>
      <c r="AT221" s="352"/>
      <c r="AU221" s="352"/>
      <c r="AV221" s="352"/>
      <c r="AW221" s="352"/>
      <c r="AX221" s="352"/>
      <c r="AY221" s="190"/>
      <c r="AZ221" s="227" t="s">
        <v>259</v>
      </c>
      <c r="BA221" s="232">
        <v>0.17499999999999999</v>
      </c>
      <c r="BB221" s="197">
        <v>10</v>
      </c>
      <c r="BC221" s="197">
        <v>0.75</v>
      </c>
      <c r="BD221" s="197">
        <v>10</v>
      </c>
      <c r="BE221" s="197">
        <v>8.5000000000000006E-2</v>
      </c>
      <c r="BF221" s="206">
        <f t="shared" si="173"/>
        <v>7.3499999999999996E-2</v>
      </c>
      <c r="BG221" s="206">
        <f t="shared" si="182"/>
        <v>7.3499999999999996E-2</v>
      </c>
      <c r="BH221" s="207">
        <v>1</v>
      </c>
      <c r="BK221" s="343" t="s">
        <v>215</v>
      </c>
      <c r="BL221" s="344">
        <v>0.22500000000000001</v>
      </c>
      <c r="BN221" s="343" t="s">
        <v>215</v>
      </c>
      <c r="BO221" s="344">
        <v>12</v>
      </c>
      <c r="BQ221" s="347" t="s">
        <v>215</v>
      </c>
      <c r="BR221" s="346">
        <v>0.09</v>
      </c>
      <c r="BT221" s="347" t="s">
        <v>215</v>
      </c>
      <c r="BU221" s="346">
        <v>9.4500000000000001E-2</v>
      </c>
      <c r="BW221" s="347" t="s">
        <v>221</v>
      </c>
      <c r="BX221" s="346">
        <v>8</v>
      </c>
      <c r="BZ221" s="347" t="s">
        <v>215</v>
      </c>
      <c r="CA221" s="346">
        <v>9.4500000000000001E-2</v>
      </c>
      <c r="CC221" s="347" t="s">
        <v>215</v>
      </c>
      <c r="CD221" s="346">
        <v>0.15</v>
      </c>
      <c r="CF221" s="347" t="s">
        <v>221</v>
      </c>
      <c r="CG221" s="346">
        <v>1</v>
      </c>
    </row>
    <row r="222" spans="1:85" s="197" customFormat="1" x14ac:dyDescent="0.3">
      <c r="A222" s="201"/>
      <c r="B222" s="191"/>
      <c r="C222" s="349"/>
      <c r="D222" s="352"/>
      <c r="E222" s="352"/>
      <c r="F222" s="351"/>
      <c r="G222" s="352"/>
      <c r="H222" s="353"/>
      <c r="I222" s="191"/>
      <c r="J222" s="353"/>
      <c r="K222" s="191"/>
      <c r="L222" s="354"/>
      <c r="M222" s="355"/>
      <c r="N222" s="354"/>
      <c r="O222" s="354"/>
      <c r="P222" s="353"/>
      <c r="Q222" s="191"/>
      <c r="R222" s="353"/>
      <c r="S222" s="191"/>
      <c r="T222" s="354"/>
      <c r="U222" s="355"/>
      <c r="V222" s="354"/>
      <c r="W222" s="354"/>
      <c r="X222" s="353"/>
      <c r="Y222" s="191"/>
      <c r="Z222" s="201"/>
      <c r="AA222" s="191"/>
      <c r="AB222" s="354"/>
      <c r="AC222" s="355"/>
      <c r="AD222" s="354"/>
      <c r="AE222" s="354"/>
      <c r="AF222" s="353"/>
      <c r="AG222" s="191"/>
      <c r="AH222" s="201"/>
      <c r="AI222" s="191"/>
      <c r="AJ222" s="354"/>
      <c r="AK222" s="355"/>
      <c r="AL222" s="354"/>
      <c r="AM222" s="354"/>
      <c r="AN222" s="353"/>
      <c r="AO222" s="191"/>
      <c r="AP222" s="201"/>
      <c r="AQ222" s="201"/>
      <c r="AR222" s="352"/>
      <c r="AS222" s="352"/>
      <c r="AT222" s="352"/>
      <c r="AU222" s="352"/>
      <c r="AV222" s="352"/>
      <c r="AW222" s="352"/>
      <c r="AX222" s="352"/>
      <c r="AY222" s="190"/>
      <c r="AZ222" s="227" t="s">
        <v>261</v>
      </c>
      <c r="BA222" s="232">
        <v>0.12</v>
      </c>
      <c r="BB222" s="197">
        <v>10</v>
      </c>
      <c r="BC222" s="197">
        <v>0.125</v>
      </c>
      <c r="BD222" s="197">
        <v>8</v>
      </c>
      <c r="BE222" s="197">
        <v>0.2</v>
      </c>
      <c r="BF222" s="206">
        <f t="shared" si="173"/>
        <v>5.0399999999999993E-2</v>
      </c>
      <c r="BG222" s="206"/>
      <c r="BH222" s="207">
        <v>1</v>
      </c>
      <c r="BK222" s="343" t="s">
        <v>217</v>
      </c>
      <c r="BL222" s="344">
        <v>0.2</v>
      </c>
      <c r="BN222" s="343" t="s">
        <v>217</v>
      </c>
      <c r="BO222" s="344">
        <v>12</v>
      </c>
      <c r="BQ222" s="347" t="s">
        <v>217</v>
      </c>
      <c r="BR222" s="346">
        <v>0.1</v>
      </c>
      <c r="BT222" s="347" t="s">
        <v>217</v>
      </c>
      <c r="BU222" s="346">
        <v>8.4000000000000005E-2</v>
      </c>
      <c r="BW222" s="347" t="s">
        <v>236</v>
      </c>
      <c r="BX222" s="346">
        <v>8</v>
      </c>
      <c r="BZ222" s="347" t="s">
        <v>217</v>
      </c>
      <c r="CA222" s="346">
        <v>8.4000000000000005E-2</v>
      </c>
      <c r="CC222" s="347" t="s">
        <v>217</v>
      </c>
      <c r="CD222" s="346">
        <v>0.2</v>
      </c>
      <c r="CF222" s="347" t="s">
        <v>236</v>
      </c>
      <c r="CG222" s="346">
        <v>1</v>
      </c>
    </row>
    <row r="223" spans="1:85" s="197" customFormat="1" x14ac:dyDescent="0.3">
      <c r="A223" s="201"/>
      <c r="B223" s="191"/>
      <c r="C223" s="349"/>
      <c r="D223" s="352"/>
      <c r="E223" s="352"/>
      <c r="F223" s="351"/>
      <c r="G223" s="352"/>
      <c r="H223" s="353"/>
      <c r="I223" s="191"/>
      <c r="J223" s="353"/>
      <c r="K223" s="191"/>
      <c r="L223" s="354"/>
      <c r="M223" s="355"/>
      <c r="N223" s="354"/>
      <c r="O223" s="354"/>
      <c r="P223" s="353"/>
      <c r="Q223" s="191"/>
      <c r="R223" s="353"/>
      <c r="S223" s="191"/>
      <c r="T223" s="354"/>
      <c r="U223" s="355"/>
      <c r="V223" s="354"/>
      <c r="W223" s="354"/>
      <c r="X223" s="353"/>
      <c r="Y223" s="191"/>
      <c r="Z223" s="201"/>
      <c r="AA223" s="191"/>
      <c r="AB223" s="354"/>
      <c r="AC223" s="355"/>
      <c r="AD223" s="354"/>
      <c r="AE223" s="354"/>
      <c r="AF223" s="353"/>
      <c r="AG223" s="191"/>
      <c r="AH223" s="201"/>
      <c r="AI223" s="191"/>
      <c r="AJ223" s="354"/>
      <c r="AK223" s="355"/>
      <c r="AL223" s="354"/>
      <c r="AM223" s="354"/>
      <c r="AN223" s="353"/>
      <c r="AO223" s="191"/>
      <c r="AP223" s="201"/>
      <c r="AQ223" s="201"/>
      <c r="AR223" s="352"/>
      <c r="AS223" s="352"/>
      <c r="AT223" s="352"/>
      <c r="AU223" s="352"/>
      <c r="AV223" s="352"/>
      <c r="AW223" s="352"/>
      <c r="AX223" s="352"/>
      <c r="AY223" s="190"/>
      <c r="AZ223" s="227"/>
      <c r="BA223" s="232"/>
      <c r="BF223" s="206"/>
      <c r="BG223" s="206"/>
      <c r="BH223" s="207"/>
      <c r="BK223" s="343" t="s">
        <v>221</v>
      </c>
      <c r="BL223" s="344">
        <v>0.17499999999999999</v>
      </c>
      <c r="BN223" s="343" t="s">
        <v>221</v>
      </c>
      <c r="BO223" s="344">
        <v>12</v>
      </c>
      <c r="BQ223" s="347" t="s">
        <v>221</v>
      </c>
      <c r="BR223" s="346">
        <v>0.1</v>
      </c>
      <c r="BT223" s="347" t="s">
        <v>221</v>
      </c>
      <c r="BU223" s="346">
        <v>7.3499999999999996E-2</v>
      </c>
      <c r="BW223" s="347" t="s">
        <v>240</v>
      </c>
      <c r="BX223" s="346">
        <v>10</v>
      </c>
      <c r="BZ223" s="347" t="s">
        <v>221</v>
      </c>
      <c r="CA223" s="346">
        <v>7.3499999999999996E-2</v>
      </c>
      <c r="CC223" s="347" t="s">
        <v>221</v>
      </c>
      <c r="CD223" s="346">
        <v>0.16</v>
      </c>
      <c r="CF223" s="347" t="s">
        <v>240</v>
      </c>
      <c r="CG223" s="346">
        <v>1</v>
      </c>
    </row>
    <row r="224" spans="1:85" s="197" customFormat="1" x14ac:dyDescent="0.3">
      <c r="A224" s="201"/>
      <c r="B224" s="191"/>
      <c r="C224" s="349"/>
      <c r="D224" s="352"/>
      <c r="E224" s="352"/>
      <c r="F224" s="351"/>
      <c r="G224" s="352"/>
      <c r="H224" s="353"/>
      <c r="I224" s="191"/>
      <c r="J224" s="353"/>
      <c r="K224" s="191"/>
      <c r="L224" s="354"/>
      <c r="M224" s="355"/>
      <c r="N224" s="354"/>
      <c r="O224" s="354"/>
      <c r="P224" s="353"/>
      <c r="Q224" s="191"/>
      <c r="R224" s="353"/>
      <c r="S224" s="191"/>
      <c r="T224" s="354"/>
      <c r="U224" s="355"/>
      <c r="V224" s="354"/>
      <c r="W224" s="354"/>
      <c r="X224" s="353"/>
      <c r="Y224" s="191"/>
      <c r="Z224" s="201"/>
      <c r="AA224" s="191"/>
      <c r="AB224" s="354"/>
      <c r="AC224" s="355"/>
      <c r="AD224" s="354"/>
      <c r="AE224" s="354"/>
      <c r="AF224" s="353"/>
      <c r="AG224" s="191"/>
      <c r="AH224" s="201"/>
      <c r="AI224" s="191"/>
      <c r="AJ224" s="354"/>
      <c r="AK224" s="355"/>
      <c r="AL224" s="354"/>
      <c r="AM224" s="354"/>
      <c r="AN224" s="353"/>
      <c r="AO224" s="191"/>
      <c r="AP224" s="201"/>
      <c r="AQ224" s="201"/>
      <c r="AR224" s="352"/>
      <c r="AS224" s="352"/>
      <c r="AT224" s="352"/>
      <c r="AU224" s="352"/>
      <c r="AV224" s="352"/>
      <c r="AW224" s="352"/>
      <c r="AX224" s="352"/>
      <c r="AY224" s="190"/>
      <c r="AZ224" s="235"/>
      <c r="BA224" s="236"/>
      <c r="BB224" s="237"/>
      <c r="BC224" s="237"/>
      <c r="BD224" s="237"/>
      <c r="BE224" s="237"/>
      <c r="BF224" s="238"/>
      <c r="BG224" s="237"/>
      <c r="BH224" s="239"/>
      <c r="BK224" s="343" t="s">
        <v>259</v>
      </c>
      <c r="BL224" s="344">
        <v>0.17499999999999999</v>
      </c>
      <c r="BN224" s="343" t="s">
        <v>259</v>
      </c>
      <c r="BO224" s="344">
        <v>10</v>
      </c>
      <c r="BQ224" s="347" t="s">
        <v>259</v>
      </c>
      <c r="BR224" s="346">
        <v>0.75</v>
      </c>
      <c r="BT224" s="347" t="s">
        <v>259</v>
      </c>
      <c r="BU224" s="346">
        <v>7.3499999999999996E-2</v>
      </c>
      <c r="BW224" s="347" t="s">
        <v>259</v>
      </c>
      <c r="BX224" s="346">
        <v>10</v>
      </c>
      <c r="BZ224" s="347" t="s">
        <v>259</v>
      </c>
      <c r="CA224" s="346">
        <v>7.3499999999999996E-2</v>
      </c>
      <c r="CC224" s="347" t="s">
        <v>259</v>
      </c>
      <c r="CD224" s="346">
        <v>8.5000000000000006E-2</v>
      </c>
      <c r="CF224" s="347" t="s">
        <v>259</v>
      </c>
      <c r="CG224" s="346">
        <v>1</v>
      </c>
    </row>
    <row r="225" spans="1:85" s="197" customFormat="1" x14ac:dyDescent="0.3">
      <c r="A225" s="201"/>
      <c r="B225" s="191"/>
      <c r="C225" s="349"/>
      <c r="D225" s="352"/>
      <c r="E225" s="352"/>
      <c r="F225" s="351"/>
      <c r="G225" s="352"/>
      <c r="H225" s="353"/>
      <c r="I225" s="191"/>
      <c r="J225" s="353"/>
      <c r="K225" s="191"/>
      <c r="L225" s="354"/>
      <c r="M225" s="355"/>
      <c r="N225" s="354"/>
      <c r="O225" s="354"/>
      <c r="P225" s="353"/>
      <c r="Q225" s="191"/>
      <c r="R225" s="353"/>
      <c r="S225" s="191"/>
      <c r="T225" s="354"/>
      <c r="U225" s="355"/>
      <c r="V225" s="354"/>
      <c r="W225" s="354"/>
      <c r="X225" s="353"/>
      <c r="Y225" s="191"/>
      <c r="Z225" s="201"/>
      <c r="AA225" s="191"/>
      <c r="AB225" s="354"/>
      <c r="AC225" s="355"/>
      <c r="AD225" s="354"/>
      <c r="AE225" s="354"/>
      <c r="AF225" s="353"/>
      <c r="AG225" s="191"/>
      <c r="AH225" s="201"/>
      <c r="AI225" s="191"/>
      <c r="AJ225" s="354"/>
      <c r="AK225" s="355"/>
      <c r="AL225" s="354"/>
      <c r="AM225" s="354"/>
      <c r="AN225" s="353"/>
      <c r="AO225" s="191"/>
      <c r="AP225" s="201"/>
      <c r="AQ225" s="201"/>
      <c r="AR225" s="352"/>
      <c r="AS225" s="352"/>
      <c r="AT225" s="352"/>
      <c r="AU225" s="352"/>
      <c r="AV225" s="352"/>
      <c r="AW225" s="352"/>
      <c r="AX225" s="352"/>
      <c r="AY225" s="190"/>
      <c r="AZ225" s="240"/>
      <c r="BA225" s="232"/>
      <c r="BF225" s="206"/>
      <c r="BG225" s="206"/>
      <c r="BK225" s="363" t="s">
        <v>261</v>
      </c>
      <c r="BL225" s="344">
        <v>0.12</v>
      </c>
      <c r="BN225" s="363" t="s">
        <v>261</v>
      </c>
      <c r="BO225" s="364">
        <v>10</v>
      </c>
      <c r="BQ225" s="347" t="s">
        <v>261</v>
      </c>
      <c r="BR225" s="346">
        <v>0.125</v>
      </c>
      <c r="BT225" s="347" t="s">
        <v>261</v>
      </c>
      <c r="BU225" s="346">
        <v>5.0399999999999993E-2</v>
      </c>
      <c r="BW225" s="347" t="s">
        <v>261</v>
      </c>
      <c r="BX225" s="346">
        <v>8</v>
      </c>
      <c r="BZ225" s="347" t="s">
        <v>261</v>
      </c>
      <c r="CA225" s="346"/>
      <c r="CC225" s="347" t="s">
        <v>261</v>
      </c>
      <c r="CD225" s="346">
        <v>0.2</v>
      </c>
      <c r="CF225" s="347" t="s">
        <v>261</v>
      </c>
      <c r="CG225" s="346">
        <v>1</v>
      </c>
    </row>
    <row r="226" spans="1:85" s="197" customFormat="1" x14ac:dyDescent="0.3">
      <c r="A226" s="201"/>
      <c r="B226" s="191"/>
      <c r="C226" s="349"/>
      <c r="D226" s="352"/>
      <c r="E226" s="352"/>
      <c r="F226" s="351"/>
      <c r="G226" s="352"/>
      <c r="H226" s="353"/>
      <c r="I226" s="191"/>
      <c r="J226" s="353"/>
      <c r="K226" s="191"/>
      <c r="L226" s="354"/>
      <c r="M226" s="355"/>
      <c r="N226" s="354"/>
      <c r="O226" s="354"/>
      <c r="P226" s="353"/>
      <c r="Q226" s="191"/>
      <c r="R226" s="353"/>
      <c r="S226" s="191"/>
      <c r="T226" s="354"/>
      <c r="U226" s="355"/>
      <c r="V226" s="354"/>
      <c r="W226" s="354"/>
      <c r="X226" s="353"/>
      <c r="Y226" s="191"/>
      <c r="Z226" s="201"/>
      <c r="AA226" s="191"/>
      <c r="AB226" s="354"/>
      <c r="AC226" s="355"/>
      <c r="AD226" s="354"/>
      <c r="AE226" s="354"/>
      <c r="AF226" s="353"/>
      <c r="AG226" s="191"/>
      <c r="AH226" s="201"/>
      <c r="AI226" s="191"/>
      <c r="AJ226" s="354"/>
      <c r="AK226" s="355"/>
      <c r="AL226" s="354"/>
      <c r="AM226" s="354"/>
      <c r="AN226" s="353"/>
      <c r="AO226" s="191"/>
      <c r="AP226" s="201"/>
      <c r="AQ226" s="201"/>
      <c r="AR226" s="352"/>
      <c r="AS226" s="352"/>
      <c r="AT226" s="352"/>
      <c r="AU226" s="352"/>
      <c r="AV226" s="352"/>
      <c r="AW226" s="352"/>
      <c r="AX226" s="352"/>
      <c r="AY226" s="190"/>
      <c r="AZ226" s="240"/>
      <c r="BA226" s="232"/>
      <c r="BF226" s="206"/>
      <c r="BG226" s="206"/>
      <c r="BK226" s="365" t="s">
        <v>266</v>
      </c>
      <c r="BL226" s="366">
        <v>3.9099999999999997</v>
      </c>
      <c r="BN226" s="363" t="s">
        <v>266</v>
      </c>
      <c r="BO226" s="364">
        <v>248</v>
      </c>
      <c r="BQ226" s="367" t="s">
        <v>266</v>
      </c>
      <c r="BR226" s="362">
        <v>3.1450000000000005</v>
      </c>
      <c r="BT226" s="361" t="s">
        <v>266</v>
      </c>
      <c r="BU226" s="362">
        <v>1.6421999999999997</v>
      </c>
      <c r="BW226" s="361" t="s">
        <v>266</v>
      </c>
      <c r="BX226" s="362">
        <v>220</v>
      </c>
      <c r="BZ226" s="361" t="s">
        <v>266</v>
      </c>
      <c r="CA226" s="362">
        <v>1.4804999999999997</v>
      </c>
      <c r="CC226" s="361" t="s">
        <v>266</v>
      </c>
      <c r="CD226" s="362">
        <v>3.2400000000000007</v>
      </c>
      <c r="CF226" s="361" t="s">
        <v>266</v>
      </c>
      <c r="CG226" s="362">
        <v>25</v>
      </c>
    </row>
    <row r="227" spans="1:85" s="197" customFormat="1" x14ac:dyDescent="0.3">
      <c r="A227" s="201"/>
      <c r="B227" s="191"/>
      <c r="C227" s="349"/>
      <c r="D227" s="368"/>
      <c r="E227" s="352"/>
      <c r="F227" s="351"/>
      <c r="G227" s="352"/>
      <c r="H227" s="353"/>
      <c r="I227" s="191"/>
      <c r="J227" s="353"/>
      <c r="K227" s="191"/>
      <c r="L227" s="354"/>
      <c r="M227" s="355"/>
      <c r="N227" s="354"/>
      <c r="O227" s="354"/>
      <c r="P227" s="353"/>
      <c r="Q227" s="191"/>
      <c r="R227" s="353"/>
      <c r="S227" s="191"/>
      <c r="T227" s="354"/>
      <c r="U227" s="355"/>
      <c r="V227" s="354"/>
      <c r="W227" s="354"/>
      <c r="X227" s="353"/>
      <c r="Y227" s="191"/>
      <c r="Z227" s="201"/>
      <c r="AA227" s="191"/>
      <c r="AB227" s="354"/>
      <c r="AC227" s="354"/>
      <c r="AD227" s="354"/>
      <c r="AE227" s="354"/>
      <c r="AF227" s="353"/>
      <c r="AG227" s="191"/>
      <c r="AH227" s="201"/>
      <c r="AI227" s="191"/>
      <c r="AJ227" s="354"/>
      <c r="AK227" s="354"/>
      <c r="AL227" s="354"/>
      <c r="AM227" s="354"/>
      <c r="AN227" s="353"/>
      <c r="AO227" s="191"/>
      <c r="AP227" s="201"/>
      <c r="AQ227" s="201"/>
      <c r="AR227" s="352"/>
      <c r="AS227" s="352"/>
      <c r="AT227" s="352"/>
      <c r="AU227" s="352"/>
      <c r="AV227" s="352"/>
      <c r="AW227" s="352"/>
      <c r="AX227" s="352"/>
      <c r="AY227" s="190"/>
      <c r="AZ227" s="240"/>
      <c r="BA227" s="232"/>
      <c r="BF227" s="206"/>
      <c r="BG227" s="206"/>
      <c r="BK227" s="126"/>
      <c r="BL227" s="126"/>
      <c r="BN227" s="126"/>
      <c r="BO227" s="126"/>
      <c r="BQ227" s="126"/>
      <c r="BR227" s="126"/>
      <c r="BT227" s="126"/>
      <c r="BU227" s="126"/>
      <c r="BW227" s="126"/>
      <c r="BX227" s="126"/>
      <c r="BZ227" s="126"/>
      <c r="CA227" s="126"/>
      <c r="CC227" s="126"/>
      <c r="CD227" s="126"/>
      <c r="CF227" s="126"/>
      <c r="CG227" s="126"/>
    </row>
    <row r="228" spans="1:85" s="197" customFormat="1" x14ac:dyDescent="0.3">
      <c r="A228" s="201" t="s">
        <v>219</v>
      </c>
      <c r="B228" s="191">
        <v>0</v>
      </c>
      <c r="C228" s="356" t="s">
        <v>423</v>
      </c>
      <c r="D228" s="369">
        <v>5.31</v>
      </c>
      <c r="E228" s="352">
        <v>4.8499999999999996</v>
      </c>
      <c r="F228" s="351">
        <v>0.17499999999999999</v>
      </c>
      <c r="G228" s="352">
        <f t="shared" ref="G228:G262" si="183">D228*E228*F228*B228</f>
        <v>0</v>
      </c>
      <c r="H228" s="353">
        <f t="shared" ref="H228" si="184">D228*E228*B228</f>
        <v>0</v>
      </c>
      <c r="I228" s="191">
        <f>GETPIVOTDATA($BN$20,A228)</f>
        <v>10</v>
      </c>
      <c r="J228" s="353">
        <f>GETPIVOTDATA($BQ$20,A228)*2</f>
        <v>0.18</v>
      </c>
      <c r="K228" s="191">
        <f>(ROUND(E228/J228,0)+1)*GETPIVOTDATA($CF$20,A228)</f>
        <v>28</v>
      </c>
      <c r="L228" s="354">
        <f>GETPIVOTDATA($BT$20,A228)</f>
        <v>7.3499999999999996E-2</v>
      </c>
      <c r="M228" s="355">
        <f>0.3*2</f>
        <v>0.6</v>
      </c>
      <c r="N228" s="354">
        <f t="shared" si="158"/>
        <v>-0.04</v>
      </c>
      <c r="O228" s="354">
        <f>1.114*0.3</f>
        <v>0.3342</v>
      </c>
      <c r="P228" s="353">
        <f t="shared" si="159"/>
        <v>6.2776999999999994</v>
      </c>
      <c r="Q228" s="191">
        <f>GETPIVOTDATA($BN$20,A228)</f>
        <v>10</v>
      </c>
      <c r="R228" s="353">
        <f>GETPIVOTDATA($BQ$20,A228)*2</f>
        <v>0.18</v>
      </c>
      <c r="S228" s="191">
        <f>(ROUND(E228/R228,0))*GETPIVOTDATA($CF$20,A228)</f>
        <v>27</v>
      </c>
      <c r="T228" s="354">
        <f>GETPIVOTDATA($BT$20,A228)</f>
        <v>7.3499999999999996E-2</v>
      </c>
      <c r="U228" s="355">
        <f>0.3*2</f>
        <v>0.6</v>
      </c>
      <c r="V228" s="354">
        <f t="shared" si="160"/>
        <v>-0.04</v>
      </c>
      <c r="W228" s="354">
        <f>5.4*0.3</f>
        <v>1.62</v>
      </c>
      <c r="X228" s="353">
        <f t="shared" si="161"/>
        <v>7.5634999999999994</v>
      </c>
      <c r="Y228" s="191">
        <f>GETPIVOTDATA($BW$20,A228)</f>
        <v>10</v>
      </c>
      <c r="Z228" s="201">
        <f>GETPIVOTDATA($CC$20,A228)*2</f>
        <v>0.2</v>
      </c>
      <c r="AA228" s="191">
        <f>(ROUND(D228/Z228,0)+1)*GETPIVOTDATA($CF$20,A228)</f>
        <v>28</v>
      </c>
      <c r="AB228" s="354">
        <f>GETPIVOTDATA($BZ$20,A228)</f>
        <v>7.3499999999999996E-2</v>
      </c>
      <c r="AC228" s="355">
        <f>0.3*2</f>
        <v>0.6</v>
      </c>
      <c r="AD228" s="354">
        <f t="shared" si="162"/>
        <v>-0.04</v>
      </c>
      <c r="AE228" s="354">
        <f>4.42*0.3</f>
        <v>1.3259999999999998</v>
      </c>
      <c r="AF228" s="353">
        <f t="shared" si="163"/>
        <v>6.8094999999999999</v>
      </c>
      <c r="AG228" s="191">
        <f>GETPIVOTDATA($BW$20,A228)</f>
        <v>10</v>
      </c>
      <c r="AH228" s="201">
        <f>GETPIVOTDATA($CC$20,A228)*2</f>
        <v>0.2</v>
      </c>
      <c r="AI228" s="191">
        <f>(ROUND(D228/AH228,0))*GETPIVOTDATA($CF$20,A228)</f>
        <v>27</v>
      </c>
      <c r="AJ228" s="354">
        <f>GETPIVOTDATA($BZ$20,A228)</f>
        <v>7.3499999999999996E-2</v>
      </c>
      <c r="AK228" s="355">
        <f>0.3*2</f>
        <v>0.6</v>
      </c>
      <c r="AL228" s="354">
        <f t="shared" si="164"/>
        <v>-0.04</v>
      </c>
      <c r="AM228" s="354">
        <f>4.23*0.3</f>
        <v>1.2690000000000001</v>
      </c>
      <c r="AN228" s="353">
        <f t="shared" si="165"/>
        <v>6.7524999999999995</v>
      </c>
      <c r="AO228" s="191">
        <v>0</v>
      </c>
      <c r="AP228" s="201">
        <f t="shared" si="155"/>
        <v>14</v>
      </c>
      <c r="AQ228" s="201">
        <v>1.5</v>
      </c>
      <c r="AR228" s="352">
        <f t="shared" si="176"/>
        <v>0</v>
      </c>
      <c r="AS228" s="352">
        <f t="shared" si="177"/>
        <v>0</v>
      </c>
      <c r="AT228" s="352">
        <f t="shared" si="178"/>
        <v>0</v>
      </c>
      <c r="AU228" s="352">
        <f t="shared" si="179"/>
        <v>0</v>
      </c>
      <c r="AV228" s="352">
        <f t="shared" si="180"/>
        <v>0</v>
      </c>
      <c r="AW228" s="352">
        <f t="shared" si="169"/>
        <v>0</v>
      </c>
      <c r="AX228" s="352">
        <f t="shared" si="170"/>
        <v>0</v>
      </c>
      <c r="AY228" s="190"/>
      <c r="AZ228" s="240"/>
      <c r="BA228" s="232"/>
      <c r="BF228" s="206"/>
      <c r="BG228" s="206"/>
      <c r="BK228" s="126"/>
      <c r="BL228" s="126"/>
      <c r="BN228" s="126"/>
      <c r="BO228" s="126"/>
      <c r="BQ228" s="126"/>
      <c r="BR228" s="126"/>
      <c r="BT228" s="126"/>
      <c r="BU228" s="126"/>
      <c r="BW228" s="126"/>
      <c r="BX228" s="126"/>
      <c r="BZ228" s="126"/>
      <c r="CA228" s="126"/>
      <c r="CC228" s="126"/>
      <c r="CD228" s="126"/>
      <c r="CF228" s="126"/>
      <c r="CG228" s="126"/>
    </row>
    <row r="229" spans="1:85" s="197" customFormat="1" x14ac:dyDescent="0.3">
      <c r="A229" s="201"/>
      <c r="B229" s="191">
        <v>0</v>
      </c>
      <c r="C229" s="349"/>
      <c r="D229" s="352"/>
      <c r="E229" s="352"/>
      <c r="F229" s="351"/>
      <c r="G229" s="352"/>
      <c r="H229" s="353"/>
      <c r="I229" s="191"/>
      <c r="J229" s="353"/>
      <c r="K229" s="191"/>
      <c r="L229" s="354"/>
      <c r="M229" s="355"/>
      <c r="N229" s="354"/>
      <c r="O229" s="354"/>
      <c r="P229" s="353"/>
      <c r="Q229" s="191"/>
      <c r="R229" s="353"/>
      <c r="S229" s="191"/>
      <c r="T229" s="354"/>
      <c r="U229" s="355"/>
      <c r="V229" s="354"/>
      <c r="W229" s="354"/>
      <c r="X229" s="353"/>
      <c r="Y229" s="191"/>
      <c r="Z229" s="353"/>
      <c r="AA229" s="191"/>
      <c r="AB229" s="354"/>
      <c r="AC229" s="355"/>
      <c r="AD229" s="354"/>
      <c r="AE229" s="354"/>
      <c r="AF229" s="353"/>
      <c r="AG229" s="191"/>
      <c r="AH229" s="201"/>
      <c r="AI229" s="191"/>
      <c r="AJ229" s="354"/>
      <c r="AK229" s="355"/>
      <c r="AL229" s="354"/>
      <c r="AM229" s="354"/>
      <c r="AN229" s="353"/>
      <c r="AO229" s="191"/>
      <c r="AP229" s="201"/>
      <c r="AQ229" s="201"/>
      <c r="AR229" s="352"/>
      <c r="AS229" s="352"/>
      <c r="AT229" s="352"/>
      <c r="AU229" s="352"/>
      <c r="AV229" s="352"/>
      <c r="AW229" s="352"/>
      <c r="AX229" s="352"/>
      <c r="AY229" s="190"/>
      <c r="AZ229" s="240"/>
      <c r="BA229" s="232"/>
      <c r="BF229" s="206"/>
      <c r="BG229" s="206"/>
      <c r="BK229" s="126"/>
      <c r="BL229" s="126"/>
      <c r="BN229" s="126"/>
      <c r="BO229" s="126"/>
      <c r="BQ229" s="126"/>
      <c r="BR229" s="126"/>
      <c r="BT229" s="126"/>
      <c r="BU229" s="126"/>
      <c r="BW229" s="126"/>
      <c r="BX229" s="126"/>
      <c r="BZ229" s="126"/>
      <c r="CA229" s="126"/>
      <c r="CC229" s="126"/>
      <c r="CD229" s="126"/>
      <c r="CF229" s="126"/>
      <c r="CG229" s="126"/>
    </row>
    <row r="230" spans="1:85" s="197" customFormat="1" x14ac:dyDescent="0.3">
      <c r="A230" s="201"/>
      <c r="B230" s="191"/>
      <c r="C230" s="349"/>
      <c r="D230" s="352"/>
      <c r="E230" s="352"/>
      <c r="F230" s="351"/>
      <c r="G230" s="352"/>
      <c r="H230" s="353"/>
      <c r="I230" s="191"/>
      <c r="J230" s="353"/>
      <c r="K230" s="191"/>
      <c r="L230" s="354"/>
      <c r="M230" s="355"/>
      <c r="N230" s="354"/>
      <c r="O230" s="354"/>
      <c r="P230" s="353"/>
      <c r="Q230" s="191"/>
      <c r="R230" s="353"/>
      <c r="S230" s="191"/>
      <c r="T230" s="354"/>
      <c r="U230" s="355"/>
      <c r="V230" s="354"/>
      <c r="W230" s="354"/>
      <c r="X230" s="353"/>
      <c r="Y230" s="191"/>
      <c r="Z230" s="353"/>
      <c r="AA230" s="191"/>
      <c r="AB230" s="354"/>
      <c r="AC230" s="355"/>
      <c r="AD230" s="354"/>
      <c r="AE230" s="354"/>
      <c r="AF230" s="353"/>
      <c r="AG230" s="191"/>
      <c r="AH230" s="201"/>
      <c r="AI230" s="191"/>
      <c r="AJ230" s="354"/>
      <c r="AK230" s="355"/>
      <c r="AL230" s="354"/>
      <c r="AM230" s="354"/>
      <c r="AN230" s="353"/>
      <c r="AO230" s="191"/>
      <c r="AP230" s="201"/>
      <c r="AQ230" s="201"/>
      <c r="AR230" s="352"/>
      <c r="AS230" s="352"/>
      <c r="AT230" s="352"/>
      <c r="AU230" s="352"/>
      <c r="AV230" s="352"/>
      <c r="AW230" s="352"/>
      <c r="AX230" s="352"/>
      <c r="AY230" s="190"/>
      <c r="AZ230" s="240"/>
      <c r="BA230" s="232"/>
      <c r="BF230" s="206"/>
      <c r="BG230" s="206"/>
      <c r="BK230" s="126"/>
      <c r="BL230" s="126"/>
      <c r="BN230" s="126"/>
      <c r="BO230" s="126"/>
      <c r="BQ230" s="126"/>
      <c r="BR230" s="126"/>
      <c r="BT230" s="126"/>
      <c r="BU230" s="126"/>
      <c r="BW230" s="126"/>
      <c r="BX230" s="126"/>
      <c r="BZ230" s="126"/>
      <c r="CA230" s="126"/>
      <c r="CC230" s="126"/>
      <c r="CD230" s="126"/>
      <c r="CF230" s="126"/>
      <c r="CG230" s="126"/>
    </row>
    <row r="231" spans="1:85" s="197" customFormat="1" x14ac:dyDescent="0.3">
      <c r="A231" s="201"/>
      <c r="B231" s="191"/>
      <c r="C231" s="349"/>
      <c r="D231" s="352"/>
      <c r="E231" s="352"/>
      <c r="F231" s="351"/>
      <c r="G231" s="352"/>
      <c r="H231" s="353"/>
      <c r="I231" s="191"/>
      <c r="J231" s="353"/>
      <c r="K231" s="191"/>
      <c r="L231" s="354"/>
      <c r="M231" s="355"/>
      <c r="N231" s="354"/>
      <c r="O231" s="354"/>
      <c r="P231" s="353"/>
      <c r="Q231" s="191"/>
      <c r="R231" s="353"/>
      <c r="S231" s="191"/>
      <c r="T231" s="354"/>
      <c r="U231" s="355"/>
      <c r="V231" s="354"/>
      <c r="W231" s="354"/>
      <c r="X231" s="353"/>
      <c r="Y231" s="191"/>
      <c r="Z231" s="353"/>
      <c r="AA231" s="191"/>
      <c r="AB231" s="354"/>
      <c r="AC231" s="355"/>
      <c r="AD231" s="354"/>
      <c r="AE231" s="354"/>
      <c r="AF231" s="353"/>
      <c r="AG231" s="191"/>
      <c r="AH231" s="201"/>
      <c r="AI231" s="191"/>
      <c r="AJ231" s="354"/>
      <c r="AK231" s="355"/>
      <c r="AL231" s="354"/>
      <c r="AM231" s="354"/>
      <c r="AN231" s="353"/>
      <c r="AO231" s="191"/>
      <c r="AP231" s="201"/>
      <c r="AQ231" s="201"/>
      <c r="AR231" s="352"/>
      <c r="AS231" s="352"/>
      <c r="AT231" s="352"/>
      <c r="AU231" s="352"/>
      <c r="AV231" s="352"/>
      <c r="AW231" s="352"/>
      <c r="AX231" s="352"/>
      <c r="AY231" s="190"/>
      <c r="AZ231" s="240"/>
      <c r="BA231" s="232"/>
      <c r="BF231" s="206"/>
      <c r="BG231" s="206"/>
      <c r="BK231" s="126"/>
      <c r="BL231" s="126"/>
      <c r="BN231" s="126"/>
      <c r="BO231" s="126"/>
      <c r="BQ231" s="126"/>
      <c r="BR231" s="126"/>
      <c r="BT231" s="126"/>
      <c r="BU231" s="126"/>
      <c r="BW231" s="126"/>
      <c r="BX231" s="126"/>
      <c r="BZ231" s="126"/>
      <c r="CA231" s="126"/>
      <c r="CC231" s="126"/>
      <c r="CD231" s="126"/>
      <c r="CF231" s="126"/>
      <c r="CG231" s="126"/>
    </row>
    <row r="232" spans="1:85" s="197" customFormat="1" x14ac:dyDescent="0.3">
      <c r="A232" s="201"/>
      <c r="B232" s="191"/>
      <c r="C232" s="349"/>
      <c r="D232" s="352"/>
      <c r="E232" s="352"/>
      <c r="F232" s="351"/>
      <c r="G232" s="352"/>
      <c r="H232" s="353"/>
      <c r="I232" s="191"/>
      <c r="J232" s="353"/>
      <c r="K232" s="191"/>
      <c r="L232" s="354"/>
      <c r="M232" s="355"/>
      <c r="N232" s="354"/>
      <c r="O232" s="354"/>
      <c r="P232" s="353"/>
      <c r="Q232" s="191"/>
      <c r="R232" s="353"/>
      <c r="S232" s="191"/>
      <c r="T232" s="354"/>
      <c r="U232" s="355"/>
      <c r="V232" s="354"/>
      <c r="W232" s="354"/>
      <c r="X232" s="353"/>
      <c r="Y232" s="191"/>
      <c r="Z232" s="353"/>
      <c r="AA232" s="191"/>
      <c r="AB232" s="354"/>
      <c r="AC232" s="355"/>
      <c r="AD232" s="354"/>
      <c r="AE232" s="354"/>
      <c r="AF232" s="353"/>
      <c r="AG232" s="191"/>
      <c r="AH232" s="201"/>
      <c r="AI232" s="191"/>
      <c r="AJ232" s="354"/>
      <c r="AK232" s="355"/>
      <c r="AL232" s="354"/>
      <c r="AM232" s="354"/>
      <c r="AN232" s="353"/>
      <c r="AO232" s="191"/>
      <c r="AP232" s="201"/>
      <c r="AQ232" s="201"/>
      <c r="AR232" s="352"/>
      <c r="AS232" s="352"/>
      <c r="AT232" s="352"/>
      <c r="AU232" s="352"/>
      <c r="AV232" s="352"/>
      <c r="AW232" s="352"/>
      <c r="AX232" s="352"/>
      <c r="AY232" s="190"/>
      <c r="AZ232" s="240"/>
      <c r="BA232" s="232"/>
      <c r="BF232" s="206"/>
      <c r="BG232" s="206"/>
      <c r="BK232" s="126"/>
      <c r="BL232" s="126"/>
      <c r="BN232" s="126"/>
      <c r="BO232" s="126"/>
      <c r="BQ232" s="126"/>
      <c r="BR232" s="126"/>
      <c r="BT232" s="126"/>
      <c r="BU232" s="126"/>
      <c r="BW232" s="126"/>
      <c r="BX232" s="126"/>
      <c r="BZ232" s="126"/>
      <c r="CA232" s="126"/>
      <c r="CC232" s="126"/>
      <c r="CD232" s="126"/>
      <c r="CF232" s="126"/>
      <c r="CG232" s="126"/>
    </row>
    <row r="233" spans="1:85" s="197" customFormat="1" x14ac:dyDescent="0.3">
      <c r="A233" s="201"/>
      <c r="B233" s="191"/>
      <c r="C233" s="349"/>
      <c r="D233" s="352"/>
      <c r="E233" s="352"/>
      <c r="F233" s="351"/>
      <c r="G233" s="352"/>
      <c r="H233" s="353"/>
      <c r="I233" s="191"/>
      <c r="J233" s="353"/>
      <c r="K233" s="191"/>
      <c r="L233" s="354"/>
      <c r="M233" s="355"/>
      <c r="N233" s="354"/>
      <c r="O233" s="354"/>
      <c r="P233" s="353"/>
      <c r="Q233" s="191"/>
      <c r="R233" s="353"/>
      <c r="S233" s="191"/>
      <c r="T233" s="354"/>
      <c r="U233" s="355"/>
      <c r="V233" s="354"/>
      <c r="W233" s="354"/>
      <c r="X233" s="353"/>
      <c r="Y233" s="191"/>
      <c r="Z233" s="353"/>
      <c r="AA233" s="191"/>
      <c r="AB233" s="354"/>
      <c r="AC233" s="355"/>
      <c r="AD233" s="354"/>
      <c r="AE233" s="354"/>
      <c r="AF233" s="353"/>
      <c r="AG233" s="191"/>
      <c r="AH233" s="201"/>
      <c r="AI233" s="191"/>
      <c r="AJ233" s="354"/>
      <c r="AK233" s="355"/>
      <c r="AL233" s="354"/>
      <c r="AM233" s="354"/>
      <c r="AN233" s="353"/>
      <c r="AO233" s="191"/>
      <c r="AP233" s="201"/>
      <c r="AQ233" s="201"/>
      <c r="AR233" s="352"/>
      <c r="AS233" s="352"/>
      <c r="AT233" s="352"/>
      <c r="AU233" s="352"/>
      <c r="AV233" s="352"/>
      <c r="AW233" s="352"/>
      <c r="AX233" s="352"/>
      <c r="AY233" s="190"/>
      <c r="AZ233" s="240"/>
      <c r="BA233" s="232"/>
      <c r="BF233" s="206"/>
      <c r="BG233" s="206"/>
      <c r="BK233" s="126"/>
      <c r="BL233" s="126"/>
      <c r="BN233" s="126"/>
      <c r="BO233" s="126"/>
      <c r="BQ233" s="126"/>
      <c r="BR233" s="126"/>
      <c r="BT233" s="126"/>
      <c r="BU233" s="126"/>
      <c r="BW233" s="126"/>
      <c r="BX233" s="126"/>
      <c r="BZ233" s="126"/>
      <c r="CA233" s="126"/>
      <c r="CC233" s="126"/>
      <c r="CD233" s="126"/>
      <c r="CF233" s="126"/>
      <c r="CG233" s="126"/>
    </row>
    <row r="234" spans="1:85" s="197" customFormat="1" x14ac:dyDescent="0.3">
      <c r="A234" s="201"/>
      <c r="B234" s="191"/>
      <c r="C234" s="349"/>
      <c r="D234" s="352"/>
      <c r="E234" s="352"/>
      <c r="F234" s="351"/>
      <c r="G234" s="352"/>
      <c r="H234" s="353"/>
      <c r="I234" s="191"/>
      <c r="J234" s="353"/>
      <c r="K234" s="191"/>
      <c r="L234" s="354"/>
      <c r="M234" s="354"/>
      <c r="N234" s="354"/>
      <c r="O234" s="354"/>
      <c r="P234" s="353"/>
      <c r="Q234" s="191"/>
      <c r="R234" s="353"/>
      <c r="S234" s="191"/>
      <c r="T234" s="354"/>
      <c r="U234" s="354"/>
      <c r="V234" s="354"/>
      <c r="W234" s="354"/>
      <c r="X234" s="353"/>
      <c r="Y234" s="191"/>
      <c r="Z234" s="353"/>
      <c r="AA234" s="191"/>
      <c r="AB234" s="354"/>
      <c r="AC234" s="355"/>
      <c r="AD234" s="354"/>
      <c r="AE234" s="354"/>
      <c r="AF234" s="353"/>
      <c r="AG234" s="191"/>
      <c r="AH234" s="201"/>
      <c r="AI234" s="191"/>
      <c r="AJ234" s="354"/>
      <c r="AK234" s="355"/>
      <c r="AL234" s="354"/>
      <c r="AM234" s="354"/>
      <c r="AN234" s="353"/>
      <c r="AO234" s="191"/>
      <c r="AP234" s="201"/>
      <c r="AQ234" s="201"/>
      <c r="AR234" s="352"/>
      <c r="AS234" s="352"/>
      <c r="AT234" s="352"/>
      <c r="AU234" s="352"/>
      <c r="AV234" s="352"/>
      <c r="AW234" s="352"/>
      <c r="AX234" s="352"/>
      <c r="AY234" s="190"/>
      <c r="AZ234" s="240"/>
      <c r="BA234" s="232"/>
      <c r="BF234" s="206"/>
      <c r="BG234" s="206"/>
      <c r="BK234" s="126"/>
      <c r="BL234" s="126"/>
      <c r="BN234" s="126"/>
      <c r="BO234" s="126"/>
      <c r="BQ234" s="126"/>
      <c r="BR234" s="126"/>
      <c r="BT234" s="126"/>
      <c r="BU234" s="126"/>
      <c r="BW234" s="126"/>
      <c r="BX234" s="126"/>
      <c r="BZ234" s="126"/>
      <c r="CA234" s="126"/>
      <c r="CC234" s="126"/>
      <c r="CD234" s="126"/>
      <c r="CF234" s="126"/>
      <c r="CG234" s="126"/>
    </row>
    <row r="235" spans="1:85" s="197" customFormat="1" x14ac:dyDescent="0.3">
      <c r="A235" s="201"/>
      <c r="B235" s="191"/>
      <c r="C235" s="349"/>
      <c r="D235" s="352"/>
      <c r="E235" s="352"/>
      <c r="F235" s="351"/>
      <c r="G235" s="352"/>
      <c r="H235" s="353"/>
      <c r="I235" s="191"/>
      <c r="J235" s="353"/>
      <c r="K235" s="191"/>
      <c r="L235" s="354"/>
      <c r="M235" s="354"/>
      <c r="N235" s="354"/>
      <c r="O235" s="354"/>
      <c r="P235" s="353"/>
      <c r="Q235" s="191"/>
      <c r="R235" s="353"/>
      <c r="S235" s="191"/>
      <c r="T235" s="354"/>
      <c r="U235" s="354"/>
      <c r="V235" s="354"/>
      <c r="W235" s="354"/>
      <c r="X235" s="353"/>
      <c r="Y235" s="191"/>
      <c r="Z235" s="353"/>
      <c r="AA235" s="191"/>
      <c r="AB235" s="354"/>
      <c r="AC235" s="355"/>
      <c r="AD235" s="354"/>
      <c r="AE235" s="354"/>
      <c r="AF235" s="353"/>
      <c r="AG235" s="191"/>
      <c r="AH235" s="201"/>
      <c r="AI235" s="191"/>
      <c r="AJ235" s="354"/>
      <c r="AK235" s="355"/>
      <c r="AL235" s="354"/>
      <c r="AM235" s="354"/>
      <c r="AN235" s="353"/>
      <c r="AO235" s="191"/>
      <c r="AP235" s="201"/>
      <c r="AQ235" s="201"/>
      <c r="AR235" s="352"/>
      <c r="AS235" s="352"/>
      <c r="AT235" s="352"/>
      <c r="AU235" s="352"/>
      <c r="AV235" s="352"/>
      <c r="AW235" s="352"/>
      <c r="AX235" s="352"/>
      <c r="AY235" s="190"/>
      <c r="AZ235" s="240"/>
      <c r="BA235" s="232"/>
      <c r="BF235" s="206"/>
      <c r="BG235" s="206"/>
      <c r="BK235" s="126"/>
      <c r="BL235" s="126"/>
      <c r="BN235" s="126"/>
      <c r="BO235" s="126"/>
      <c r="BQ235" s="126"/>
      <c r="BR235" s="126"/>
      <c r="BT235" s="126"/>
      <c r="BU235" s="126"/>
      <c r="BW235" s="126"/>
      <c r="BX235" s="126"/>
      <c r="BZ235" s="126"/>
      <c r="CA235" s="126"/>
      <c r="CC235" s="126"/>
      <c r="CD235" s="126"/>
      <c r="CF235" s="126"/>
      <c r="CG235" s="126"/>
    </row>
    <row r="236" spans="1:85" s="197" customFormat="1" x14ac:dyDescent="0.3">
      <c r="A236" s="201"/>
      <c r="B236" s="191"/>
      <c r="C236" s="349"/>
      <c r="D236" s="352"/>
      <c r="E236" s="352"/>
      <c r="F236" s="351"/>
      <c r="G236" s="352"/>
      <c r="H236" s="353"/>
      <c r="I236" s="191"/>
      <c r="J236" s="353"/>
      <c r="K236" s="191"/>
      <c r="L236" s="354"/>
      <c r="M236" s="355"/>
      <c r="N236" s="354"/>
      <c r="O236" s="354"/>
      <c r="P236" s="353"/>
      <c r="Q236" s="191"/>
      <c r="R236" s="353"/>
      <c r="S236" s="191"/>
      <c r="T236" s="354"/>
      <c r="U236" s="355"/>
      <c r="V236" s="354"/>
      <c r="W236" s="354"/>
      <c r="X236" s="353"/>
      <c r="Y236" s="191"/>
      <c r="Z236" s="353"/>
      <c r="AA236" s="191"/>
      <c r="AB236" s="354"/>
      <c r="AC236" s="355"/>
      <c r="AD236" s="354"/>
      <c r="AE236" s="354"/>
      <c r="AF236" s="353"/>
      <c r="AG236" s="191"/>
      <c r="AH236" s="201"/>
      <c r="AI236" s="191"/>
      <c r="AJ236" s="354"/>
      <c r="AK236" s="355"/>
      <c r="AL236" s="354"/>
      <c r="AM236" s="354"/>
      <c r="AN236" s="353"/>
      <c r="AO236" s="191"/>
      <c r="AP236" s="201"/>
      <c r="AQ236" s="201"/>
      <c r="AR236" s="352"/>
      <c r="AS236" s="352"/>
      <c r="AT236" s="352"/>
      <c r="AU236" s="352"/>
      <c r="AV236" s="352"/>
      <c r="AW236" s="352"/>
      <c r="AX236" s="352"/>
      <c r="AY236" s="190"/>
      <c r="AZ236" s="240"/>
      <c r="BA236" s="232"/>
      <c r="BF236" s="206"/>
      <c r="BG236" s="206"/>
      <c r="BK236" s="126"/>
      <c r="BL236" s="126"/>
      <c r="BN236" s="126"/>
      <c r="BO236" s="126"/>
      <c r="BQ236" s="126"/>
      <c r="BR236" s="126"/>
      <c r="BT236" s="126"/>
      <c r="BU236" s="126"/>
      <c r="BW236" s="126"/>
      <c r="BX236" s="126"/>
      <c r="BZ236" s="126"/>
      <c r="CA236" s="126"/>
      <c r="CC236" s="126"/>
      <c r="CD236" s="126"/>
      <c r="CF236" s="126"/>
      <c r="CG236" s="126"/>
    </row>
    <row r="237" spans="1:85" s="197" customFormat="1" x14ac:dyDescent="0.3">
      <c r="A237" s="201"/>
      <c r="B237" s="191"/>
      <c r="C237" s="349"/>
      <c r="D237" s="352"/>
      <c r="E237" s="352"/>
      <c r="F237" s="351"/>
      <c r="G237" s="352"/>
      <c r="H237" s="353"/>
      <c r="I237" s="191"/>
      <c r="J237" s="353"/>
      <c r="K237" s="191"/>
      <c r="L237" s="354"/>
      <c r="M237" s="355"/>
      <c r="N237" s="354"/>
      <c r="O237" s="354"/>
      <c r="P237" s="353"/>
      <c r="Q237" s="191"/>
      <c r="R237" s="353"/>
      <c r="S237" s="191"/>
      <c r="T237" s="354"/>
      <c r="U237" s="355"/>
      <c r="V237" s="354"/>
      <c r="W237" s="354"/>
      <c r="X237" s="353"/>
      <c r="Y237" s="191"/>
      <c r="Z237" s="353"/>
      <c r="AA237" s="191"/>
      <c r="AB237" s="354"/>
      <c r="AC237" s="355"/>
      <c r="AD237" s="354"/>
      <c r="AE237" s="354"/>
      <c r="AF237" s="353"/>
      <c r="AG237" s="191"/>
      <c r="AH237" s="201"/>
      <c r="AI237" s="191"/>
      <c r="AJ237" s="354"/>
      <c r="AK237" s="355"/>
      <c r="AL237" s="354"/>
      <c r="AM237" s="354"/>
      <c r="AN237" s="353"/>
      <c r="AO237" s="191"/>
      <c r="AP237" s="201"/>
      <c r="AQ237" s="201"/>
      <c r="AR237" s="352"/>
      <c r="AS237" s="352"/>
      <c r="AT237" s="352"/>
      <c r="AU237" s="352"/>
      <c r="AV237" s="352"/>
      <c r="AW237" s="352"/>
      <c r="AX237" s="352"/>
      <c r="AY237" s="190"/>
      <c r="AZ237" s="240"/>
      <c r="BA237" s="232"/>
      <c r="BF237" s="206"/>
      <c r="BG237" s="206"/>
      <c r="BK237" s="126"/>
      <c r="BL237" s="126"/>
      <c r="BN237" s="126"/>
      <c r="BO237" s="126"/>
      <c r="BQ237" s="126"/>
      <c r="BR237" s="126"/>
      <c r="BT237" s="126"/>
      <c r="BU237" s="126"/>
      <c r="BW237" s="126"/>
      <c r="BX237" s="126"/>
      <c r="BZ237" s="126"/>
      <c r="CA237" s="126"/>
      <c r="CC237" s="126"/>
      <c r="CD237" s="126"/>
      <c r="CF237" s="126"/>
      <c r="CG237" s="126"/>
    </row>
    <row r="238" spans="1:85" s="197" customFormat="1" x14ac:dyDescent="0.3">
      <c r="A238" s="201"/>
      <c r="B238" s="191"/>
      <c r="C238" s="349"/>
      <c r="D238" s="352"/>
      <c r="E238" s="352"/>
      <c r="F238" s="351"/>
      <c r="G238" s="352"/>
      <c r="H238" s="353"/>
      <c r="I238" s="191"/>
      <c r="J238" s="353"/>
      <c r="K238" s="191"/>
      <c r="L238" s="354"/>
      <c r="M238" s="355"/>
      <c r="N238" s="354"/>
      <c r="O238" s="354"/>
      <c r="P238" s="353"/>
      <c r="Q238" s="191"/>
      <c r="R238" s="353"/>
      <c r="S238" s="191"/>
      <c r="T238" s="354"/>
      <c r="U238" s="355"/>
      <c r="V238" s="354"/>
      <c r="W238" s="354"/>
      <c r="X238" s="353"/>
      <c r="Y238" s="191"/>
      <c r="Z238" s="353"/>
      <c r="AA238" s="191"/>
      <c r="AB238" s="354"/>
      <c r="AC238" s="355"/>
      <c r="AD238" s="354"/>
      <c r="AE238" s="354"/>
      <c r="AF238" s="353"/>
      <c r="AG238" s="191"/>
      <c r="AH238" s="201"/>
      <c r="AI238" s="191"/>
      <c r="AJ238" s="354"/>
      <c r="AK238" s="355"/>
      <c r="AL238" s="354"/>
      <c r="AM238" s="354"/>
      <c r="AN238" s="353"/>
      <c r="AO238" s="191"/>
      <c r="AP238" s="201"/>
      <c r="AQ238" s="201"/>
      <c r="AR238" s="352"/>
      <c r="AS238" s="352"/>
      <c r="AT238" s="352"/>
      <c r="AU238" s="352"/>
      <c r="AV238" s="352"/>
      <c r="AW238" s="352"/>
      <c r="AX238" s="352"/>
      <c r="AY238" s="190"/>
      <c r="AZ238" s="240"/>
      <c r="BA238" s="232"/>
      <c r="BF238" s="206"/>
      <c r="BG238" s="206"/>
      <c r="BK238" s="126"/>
      <c r="BL238" s="126"/>
      <c r="BN238" s="126"/>
      <c r="BO238" s="126"/>
      <c r="BQ238" s="126"/>
      <c r="BR238" s="126"/>
      <c r="BT238" s="126"/>
      <c r="BU238" s="126"/>
      <c r="BW238" s="126"/>
      <c r="BX238" s="126"/>
      <c r="BZ238" s="126"/>
      <c r="CA238" s="126"/>
      <c r="CC238" s="126"/>
      <c r="CD238" s="126"/>
      <c r="CF238" s="126"/>
      <c r="CG238" s="126"/>
    </row>
    <row r="239" spans="1:85" s="197" customFormat="1" x14ac:dyDescent="0.3">
      <c r="A239" s="201" t="s">
        <v>223</v>
      </c>
      <c r="B239" s="191">
        <v>0</v>
      </c>
      <c r="C239" s="356" t="s">
        <v>424</v>
      </c>
      <c r="D239" s="352">
        <v>2.9</v>
      </c>
      <c r="E239" s="352">
        <v>4.42</v>
      </c>
      <c r="F239" s="351">
        <v>0.13</v>
      </c>
      <c r="G239" s="352">
        <f t="shared" si="183"/>
        <v>0</v>
      </c>
      <c r="H239" s="353">
        <f t="shared" ref="H239:H282" si="185">D239*E239*B239</f>
        <v>0</v>
      </c>
      <c r="I239" s="191">
        <f>GETPIVOTDATA($BN$20,A239)</f>
        <v>8</v>
      </c>
      <c r="J239" s="353">
        <f>GETPIVOTDATA($BQ$20,A239)*2</f>
        <v>0.2</v>
      </c>
      <c r="K239" s="191">
        <f>(ROUND(E239/J239,0)+1)*GETPIVOTDATA($CF$20,A239)</f>
        <v>23</v>
      </c>
      <c r="L239" s="354">
        <f>GETPIVOTDATA($BT$20,A239)</f>
        <v>5.4600000000000003E-2</v>
      </c>
      <c r="M239" s="355">
        <f>0.3*2</f>
        <v>0.6</v>
      </c>
      <c r="N239" s="354">
        <f t="shared" si="158"/>
        <v>-0.04</v>
      </c>
      <c r="O239" s="354">
        <f>1.112*0.3</f>
        <v>0.33360000000000001</v>
      </c>
      <c r="P239" s="353">
        <f t="shared" si="159"/>
        <v>3.8481999999999998</v>
      </c>
      <c r="Q239" s="191">
        <f>GETPIVOTDATA($BN$20,A239)</f>
        <v>8</v>
      </c>
      <c r="R239" s="353">
        <f>GETPIVOTDATA($BQ$20,A239)*2</f>
        <v>0.2</v>
      </c>
      <c r="S239" s="191">
        <f>(ROUND(E239/R239,0))*GETPIVOTDATA($CF$20,A239)</f>
        <v>22</v>
      </c>
      <c r="T239" s="354">
        <f>GETPIVOTDATA($BT$20,A239)</f>
        <v>5.4600000000000003E-2</v>
      </c>
      <c r="U239" s="355">
        <f>0.3*2</f>
        <v>0.6</v>
      </c>
      <c r="V239" s="354">
        <f t="shared" si="160"/>
        <v>-0.04</v>
      </c>
      <c r="W239" s="354">
        <f>2.58*0.3</f>
        <v>0.77400000000000002</v>
      </c>
      <c r="X239" s="353">
        <f t="shared" si="161"/>
        <v>4.2885999999999997</v>
      </c>
      <c r="Y239" s="191">
        <f>GETPIVOTDATA($BW$20,A239)</f>
        <v>8</v>
      </c>
      <c r="Z239" s="353">
        <f>GETPIVOTDATA($CC$20,A239)*2</f>
        <v>0.36</v>
      </c>
      <c r="AA239" s="191">
        <f>(ROUND(D239/Z239,0)+1)*GETPIVOTDATA($CF$20,A239)</f>
        <v>9</v>
      </c>
      <c r="AB239" s="354">
        <f>GETPIVOTDATA($BZ$20,A239)</f>
        <v>5.4600000000000003E-2</v>
      </c>
      <c r="AC239" s="355">
        <f>0.3*2</f>
        <v>0.6</v>
      </c>
      <c r="AD239" s="354">
        <f t="shared" si="162"/>
        <v>-0.04</v>
      </c>
      <c r="AE239" s="354">
        <f>2.83*0.3</f>
        <v>0.84899999999999998</v>
      </c>
      <c r="AF239" s="353">
        <f t="shared" si="163"/>
        <v>5.8835999999999995</v>
      </c>
      <c r="AG239" s="191">
        <f>GETPIVOTDATA($BW$20,A239)</f>
        <v>8</v>
      </c>
      <c r="AH239" s="201">
        <f>GETPIVOTDATA($CC$20,A239)*2</f>
        <v>0.36</v>
      </c>
      <c r="AI239" s="191">
        <f>(ROUND(D239/AH239,0))*GETPIVOTDATA($CF$20,A239)</f>
        <v>8</v>
      </c>
      <c r="AJ239" s="354">
        <f>GETPIVOTDATA($BZ$20,A239)</f>
        <v>5.4600000000000003E-2</v>
      </c>
      <c r="AK239" s="355">
        <f>0.3*2</f>
        <v>0.6</v>
      </c>
      <c r="AL239" s="354">
        <f t="shared" si="164"/>
        <v>-0.04</v>
      </c>
      <c r="AM239" s="354">
        <f>4.85*0.3</f>
        <v>1.4549999999999998</v>
      </c>
      <c r="AN239" s="353">
        <f t="shared" si="165"/>
        <v>6.4895999999999994</v>
      </c>
      <c r="AO239" s="191">
        <v>0</v>
      </c>
      <c r="AP239" s="201">
        <f t="shared" si="155"/>
        <v>10</v>
      </c>
      <c r="AQ239" s="201">
        <v>1.5</v>
      </c>
      <c r="AR239" s="352">
        <f t="shared" si="176"/>
        <v>0</v>
      </c>
      <c r="AS239" s="352">
        <f t="shared" si="177"/>
        <v>0</v>
      </c>
      <c r="AT239" s="352">
        <f t="shared" si="178"/>
        <v>0</v>
      </c>
      <c r="AU239" s="352">
        <f t="shared" si="179"/>
        <v>0</v>
      </c>
      <c r="AV239" s="352">
        <f t="shared" si="180"/>
        <v>0</v>
      </c>
      <c r="AW239" s="352">
        <f t="shared" si="169"/>
        <v>0</v>
      </c>
      <c r="AX239" s="352">
        <f t="shared" si="170"/>
        <v>0</v>
      </c>
      <c r="AY239" s="190"/>
      <c r="AZ239" s="240"/>
      <c r="BA239" s="232"/>
      <c r="BF239" s="206"/>
      <c r="BG239" s="206"/>
      <c r="BK239" s="126"/>
      <c r="BL239" s="126"/>
      <c r="BN239" s="126"/>
      <c r="BO239" s="126"/>
      <c r="BQ239" s="126"/>
      <c r="BR239" s="126"/>
      <c r="BT239" s="126"/>
      <c r="BU239" s="126"/>
      <c r="BW239" s="126"/>
      <c r="BX239" s="126"/>
      <c r="BZ239" s="126"/>
      <c r="CA239" s="126"/>
      <c r="CC239" s="126"/>
      <c r="CD239" s="126"/>
      <c r="CF239" s="126"/>
      <c r="CG239" s="126"/>
    </row>
    <row r="240" spans="1:85" s="197" customFormat="1" x14ac:dyDescent="0.3">
      <c r="A240" s="201" t="s">
        <v>223</v>
      </c>
      <c r="B240" s="191">
        <v>0</v>
      </c>
      <c r="C240" s="356" t="s">
        <v>425</v>
      </c>
      <c r="D240" s="352">
        <v>2.58</v>
      </c>
      <c r="E240" s="352">
        <v>4.42</v>
      </c>
      <c r="F240" s="351">
        <v>0.13</v>
      </c>
      <c r="G240" s="352">
        <f t="shared" si="183"/>
        <v>0</v>
      </c>
      <c r="H240" s="353">
        <f t="shared" si="185"/>
        <v>0</v>
      </c>
      <c r="I240" s="191">
        <f>GETPIVOTDATA($BN$20,A240)</f>
        <v>8</v>
      </c>
      <c r="J240" s="353">
        <f>GETPIVOTDATA($BQ$20,A240)*2</f>
        <v>0.2</v>
      </c>
      <c r="K240" s="191">
        <f>(ROUND(E240/J240,0)+1)*GETPIVOTDATA($CF$20,A240)</f>
        <v>23</v>
      </c>
      <c r="L240" s="354">
        <f>GETPIVOTDATA($BT$20,A240)</f>
        <v>5.4600000000000003E-2</v>
      </c>
      <c r="M240" s="355">
        <f>0.3*2</f>
        <v>0.6</v>
      </c>
      <c r="N240" s="354">
        <f t="shared" si="158"/>
        <v>-0.04</v>
      </c>
      <c r="O240" s="354">
        <f>2.9*0.3</f>
        <v>0.87</v>
      </c>
      <c r="P240" s="353">
        <f t="shared" si="159"/>
        <v>4.0646000000000004</v>
      </c>
      <c r="Q240" s="191">
        <f>GETPIVOTDATA($BN$20,A240)</f>
        <v>8</v>
      </c>
      <c r="R240" s="353">
        <f>GETPIVOTDATA($BQ$20,A240)*2</f>
        <v>0.2</v>
      </c>
      <c r="S240" s="191">
        <f>(ROUND(E240/R240,0))*GETPIVOTDATA($CF$20,A240)</f>
        <v>22</v>
      </c>
      <c r="T240" s="354">
        <f>GETPIVOTDATA($BT$20,A240)</f>
        <v>5.4600000000000003E-2</v>
      </c>
      <c r="U240" s="355">
        <f>0.3*2</f>
        <v>0.6</v>
      </c>
      <c r="V240" s="354">
        <f t="shared" si="160"/>
        <v>-0.04</v>
      </c>
      <c r="W240" s="354">
        <f>3.72*0.3</f>
        <v>1.1160000000000001</v>
      </c>
      <c r="X240" s="353">
        <f t="shared" si="161"/>
        <v>4.3106</v>
      </c>
      <c r="Y240" s="191">
        <f>GETPIVOTDATA($BW$20,A240)</f>
        <v>8</v>
      </c>
      <c r="Z240" s="353">
        <f>GETPIVOTDATA($CC$20,A240)*2</f>
        <v>0.36</v>
      </c>
      <c r="AA240" s="191">
        <f>(ROUND(D240/Z240,0)+1)*GETPIVOTDATA($CF$20,A240)</f>
        <v>8</v>
      </c>
      <c r="AB240" s="354">
        <f>GETPIVOTDATA($BZ$20,A240)</f>
        <v>5.4600000000000003E-2</v>
      </c>
      <c r="AC240" s="355">
        <f>0.3*2</f>
        <v>0.6</v>
      </c>
      <c r="AD240" s="354">
        <f t="shared" si="162"/>
        <v>-0.04</v>
      </c>
      <c r="AE240" s="354">
        <f>2.83*0.3</f>
        <v>0.84899999999999998</v>
      </c>
      <c r="AF240" s="353">
        <f t="shared" si="163"/>
        <v>5.8835999999999995</v>
      </c>
      <c r="AG240" s="191">
        <f>GETPIVOTDATA($BW$20,A240)</f>
        <v>8</v>
      </c>
      <c r="AH240" s="201">
        <f>GETPIVOTDATA($CC$20,A240)*2</f>
        <v>0.36</v>
      </c>
      <c r="AI240" s="191">
        <f>(ROUND(D240/AH240,0))*GETPIVOTDATA($CF$20,A240)</f>
        <v>7</v>
      </c>
      <c r="AJ240" s="354">
        <f>GETPIVOTDATA($BZ$20,A240)</f>
        <v>5.4600000000000003E-2</v>
      </c>
      <c r="AK240" s="355">
        <f>0.3*2</f>
        <v>0.6</v>
      </c>
      <c r="AL240" s="354">
        <f t="shared" si="164"/>
        <v>-0.04</v>
      </c>
      <c r="AM240" s="354">
        <f>4.85*0.3</f>
        <v>1.4549999999999998</v>
      </c>
      <c r="AN240" s="353">
        <f t="shared" si="165"/>
        <v>6.4895999999999994</v>
      </c>
      <c r="AO240" s="191">
        <v>0</v>
      </c>
      <c r="AP240" s="201">
        <f t="shared" si="155"/>
        <v>10</v>
      </c>
      <c r="AQ240" s="201">
        <v>1.5</v>
      </c>
      <c r="AR240" s="352">
        <f t="shared" si="176"/>
        <v>0</v>
      </c>
      <c r="AS240" s="352">
        <f t="shared" si="177"/>
        <v>0</v>
      </c>
      <c r="AT240" s="352">
        <f t="shared" si="178"/>
        <v>0</v>
      </c>
      <c r="AU240" s="352">
        <f t="shared" si="179"/>
        <v>0</v>
      </c>
      <c r="AV240" s="352">
        <f t="shared" si="180"/>
        <v>0</v>
      </c>
      <c r="AW240" s="352">
        <f t="shared" si="169"/>
        <v>0</v>
      </c>
      <c r="AX240" s="352">
        <f t="shared" si="170"/>
        <v>0</v>
      </c>
      <c r="AY240" s="190"/>
      <c r="AZ240" s="240"/>
      <c r="BA240" s="232"/>
      <c r="BF240" s="206"/>
      <c r="BG240" s="206"/>
      <c r="BK240" s="126"/>
      <c r="BL240" s="126"/>
      <c r="BN240" s="126"/>
      <c r="BO240" s="126"/>
      <c r="BQ240" s="126"/>
      <c r="BR240" s="126"/>
      <c r="BT240" s="126"/>
      <c r="BU240" s="126"/>
      <c r="BW240" s="126"/>
      <c r="BX240" s="126"/>
      <c r="BZ240" s="126"/>
      <c r="CA240" s="126"/>
      <c r="CC240" s="126"/>
      <c r="CD240" s="126"/>
      <c r="CF240" s="126"/>
      <c r="CG240" s="126"/>
    </row>
    <row r="241" spans="1:85" s="197" customFormat="1" x14ac:dyDescent="0.3">
      <c r="A241" s="201"/>
      <c r="B241" s="191"/>
      <c r="C241" s="349"/>
      <c r="D241" s="352"/>
      <c r="E241" s="352"/>
      <c r="F241" s="351"/>
      <c r="G241" s="352"/>
      <c r="H241" s="353"/>
      <c r="I241" s="191"/>
      <c r="J241" s="353"/>
      <c r="K241" s="191"/>
      <c r="L241" s="354"/>
      <c r="M241" s="355"/>
      <c r="N241" s="354"/>
      <c r="O241" s="354"/>
      <c r="P241" s="353"/>
      <c r="Q241" s="191"/>
      <c r="R241" s="353"/>
      <c r="S241" s="191"/>
      <c r="T241" s="354"/>
      <c r="U241" s="355"/>
      <c r="V241" s="354"/>
      <c r="W241" s="354"/>
      <c r="X241" s="353"/>
      <c r="Y241" s="191"/>
      <c r="Z241" s="353"/>
      <c r="AA241" s="191"/>
      <c r="AB241" s="354"/>
      <c r="AC241" s="355"/>
      <c r="AD241" s="354"/>
      <c r="AE241" s="354"/>
      <c r="AF241" s="353"/>
      <c r="AG241" s="191"/>
      <c r="AH241" s="201"/>
      <c r="AI241" s="191"/>
      <c r="AJ241" s="354"/>
      <c r="AK241" s="355"/>
      <c r="AL241" s="354"/>
      <c r="AM241" s="354"/>
      <c r="AN241" s="353"/>
      <c r="AO241" s="191"/>
      <c r="AP241" s="201"/>
      <c r="AQ241" s="201"/>
      <c r="AR241" s="352"/>
      <c r="AS241" s="352"/>
      <c r="AT241" s="352"/>
      <c r="AU241" s="352"/>
      <c r="AV241" s="352"/>
      <c r="AW241" s="352"/>
      <c r="AX241" s="352"/>
      <c r="AY241" s="190"/>
      <c r="AZ241" s="240"/>
      <c r="BA241" s="232"/>
      <c r="BF241" s="206"/>
      <c r="BG241" s="206"/>
      <c r="BK241" s="126"/>
      <c r="BL241" s="126"/>
      <c r="BN241" s="126"/>
      <c r="BO241" s="126"/>
      <c r="BQ241" s="126"/>
      <c r="BR241" s="126"/>
      <c r="BT241" s="126"/>
      <c r="BU241" s="126"/>
      <c r="BW241" s="126"/>
      <c r="BX241" s="126"/>
      <c r="BZ241" s="126"/>
      <c r="CA241" s="126"/>
      <c r="CC241" s="126"/>
      <c r="CD241" s="126"/>
      <c r="CF241" s="126"/>
      <c r="CG241" s="126"/>
    </row>
    <row r="242" spans="1:85" s="197" customFormat="1" x14ac:dyDescent="0.3">
      <c r="A242" s="201"/>
      <c r="B242" s="191"/>
      <c r="C242" s="349"/>
      <c r="D242" s="352"/>
      <c r="E242" s="352"/>
      <c r="F242" s="351"/>
      <c r="G242" s="352"/>
      <c r="H242" s="353"/>
      <c r="I242" s="191"/>
      <c r="J242" s="353"/>
      <c r="K242" s="191"/>
      <c r="L242" s="354"/>
      <c r="M242" s="355"/>
      <c r="N242" s="354"/>
      <c r="O242" s="354"/>
      <c r="P242" s="353"/>
      <c r="Q242" s="191"/>
      <c r="R242" s="353"/>
      <c r="S242" s="191"/>
      <c r="T242" s="354"/>
      <c r="U242" s="355"/>
      <c r="V242" s="354"/>
      <c r="W242" s="354"/>
      <c r="X242" s="353"/>
      <c r="Y242" s="191"/>
      <c r="Z242" s="353"/>
      <c r="AA242" s="191"/>
      <c r="AB242" s="354"/>
      <c r="AC242" s="355"/>
      <c r="AD242" s="354"/>
      <c r="AE242" s="354"/>
      <c r="AF242" s="353"/>
      <c r="AG242" s="191"/>
      <c r="AH242" s="201"/>
      <c r="AI242" s="191"/>
      <c r="AJ242" s="354"/>
      <c r="AK242" s="355"/>
      <c r="AL242" s="354"/>
      <c r="AM242" s="354"/>
      <c r="AN242" s="353"/>
      <c r="AO242" s="191"/>
      <c r="AP242" s="201"/>
      <c r="AQ242" s="201"/>
      <c r="AR242" s="352"/>
      <c r="AS242" s="352"/>
      <c r="AT242" s="352"/>
      <c r="AU242" s="352"/>
      <c r="AV242" s="352"/>
      <c r="AW242" s="352"/>
      <c r="AX242" s="352"/>
      <c r="AY242" s="190"/>
      <c r="AZ242" s="240"/>
      <c r="BA242" s="232"/>
      <c r="BF242" s="206"/>
      <c r="BG242" s="206"/>
      <c r="BK242" s="126"/>
      <c r="BL242" s="126"/>
      <c r="BN242" s="126"/>
      <c r="BO242" s="126"/>
      <c r="BQ242" s="126"/>
      <c r="BR242" s="126"/>
      <c r="BT242" s="126"/>
      <c r="BU242" s="126"/>
      <c r="BW242" s="126"/>
      <c r="BX242" s="126"/>
      <c r="BZ242" s="126"/>
      <c r="CA242" s="126"/>
      <c r="CC242" s="126"/>
      <c r="CD242" s="126"/>
      <c r="CF242" s="126"/>
      <c r="CG242" s="126"/>
    </row>
    <row r="243" spans="1:85" s="197" customFormat="1" x14ac:dyDescent="0.3">
      <c r="A243" s="201"/>
      <c r="B243" s="191"/>
      <c r="C243" s="349"/>
      <c r="D243" s="352"/>
      <c r="E243" s="352"/>
      <c r="F243" s="351"/>
      <c r="G243" s="352"/>
      <c r="H243" s="353"/>
      <c r="I243" s="191"/>
      <c r="J243" s="353"/>
      <c r="K243" s="191"/>
      <c r="L243" s="354"/>
      <c r="M243" s="355"/>
      <c r="N243" s="354"/>
      <c r="O243" s="354"/>
      <c r="P243" s="353"/>
      <c r="Q243" s="191"/>
      <c r="R243" s="353"/>
      <c r="S243" s="191"/>
      <c r="T243" s="354"/>
      <c r="U243" s="355"/>
      <c r="V243" s="354"/>
      <c r="W243" s="354"/>
      <c r="X243" s="353"/>
      <c r="Y243" s="191"/>
      <c r="Z243" s="353"/>
      <c r="AA243" s="191"/>
      <c r="AB243" s="354"/>
      <c r="AC243" s="355"/>
      <c r="AD243" s="354"/>
      <c r="AE243" s="354"/>
      <c r="AF243" s="353"/>
      <c r="AG243" s="191"/>
      <c r="AH243" s="201"/>
      <c r="AI243" s="191"/>
      <c r="AJ243" s="354"/>
      <c r="AK243" s="355"/>
      <c r="AL243" s="354"/>
      <c r="AM243" s="354"/>
      <c r="AN243" s="353"/>
      <c r="AO243" s="191"/>
      <c r="AP243" s="201"/>
      <c r="AQ243" s="201"/>
      <c r="AR243" s="352"/>
      <c r="AS243" s="352"/>
      <c r="AT243" s="352"/>
      <c r="AU243" s="352"/>
      <c r="AV243" s="352"/>
      <c r="AW243" s="352"/>
      <c r="AX243" s="352"/>
      <c r="AY243" s="190"/>
      <c r="AZ243" s="240"/>
      <c r="BA243" s="232"/>
      <c r="BF243" s="206"/>
      <c r="BG243" s="206"/>
      <c r="BK243" s="126"/>
      <c r="BL243" s="126"/>
      <c r="BN243" s="126"/>
      <c r="BO243" s="126"/>
      <c r="BQ243" s="126"/>
      <c r="BR243" s="126"/>
      <c r="BT243" s="126"/>
      <c r="BU243" s="126"/>
      <c r="BW243" s="126"/>
      <c r="BX243" s="126"/>
      <c r="BZ243" s="126"/>
      <c r="CA243" s="126"/>
      <c r="CC243" s="126"/>
      <c r="CD243" s="126"/>
      <c r="CF243" s="126"/>
      <c r="CG243" s="126"/>
    </row>
    <row r="244" spans="1:85" s="197" customFormat="1" x14ac:dyDescent="0.3">
      <c r="A244" s="201"/>
      <c r="B244" s="191"/>
      <c r="C244" s="349"/>
      <c r="D244" s="352"/>
      <c r="E244" s="352"/>
      <c r="F244" s="351"/>
      <c r="G244" s="352"/>
      <c r="H244" s="353"/>
      <c r="I244" s="191"/>
      <c r="J244" s="353"/>
      <c r="K244" s="191"/>
      <c r="L244" s="354"/>
      <c r="M244" s="354"/>
      <c r="N244" s="354"/>
      <c r="P244" s="353"/>
      <c r="Q244" s="191"/>
      <c r="R244" s="353"/>
      <c r="S244" s="191"/>
      <c r="T244" s="354"/>
      <c r="U244" s="354"/>
      <c r="V244" s="354"/>
      <c r="W244" s="354"/>
      <c r="X244" s="353"/>
      <c r="Y244" s="191"/>
      <c r="Z244" s="353"/>
      <c r="AA244" s="191"/>
      <c r="AB244" s="354"/>
      <c r="AC244" s="354"/>
      <c r="AD244" s="354"/>
      <c r="AE244" s="354"/>
      <c r="AF244" s="353"/>
      <c r="AG244" s="191"/>
      <c r="AH244" s="201"/>
      <c r="AI244" s="191"/>
      <c r="AJ244" s="354"/>
      <c r="AK244" s="354"/>
      <c r="AL244" s="354"/>
      <c r="AM244" s="354"/>
      <c r="AN244" s="353"/>
      <c r="AO244" s="191"/>
      <c r="AP244" s="201"/>
      <c r="AQ244" s="201"/>
      <c r="AR244" s="352"/>
      <c r="AS244" s="352"/>
      <c r="AT244" s="352"/>
      <c r="AU244" s="352"/>
      <c r="AV244" s="352"/>
      <c r="AW244" s="352"/>
      <c r="AX244" s="352"/>
      <c r="AY244" s="190"/>
      <c r="AZ244" s="240"/>
      <c r="BA244" s="232"/>
      <c r="BF244" s="206"/>
      <c r="BG244" s="206"/>
      <c r="BK244" s="126"/>
      <c r="BL244" s="126"/>
      <c r="BN244" s="126"/>
      <c r="BO244" s="126"/>
      <c r="BQ244" s="126"/>
      <c r="BR244" s="126"/>
      <c r="BT244" s="126"/>
      <c r="BU244" s="126"/>
      <c r="BW244" s="126"/>
      <c r="BX244" s="126"/>
      <c r="BZ244" s="126"/>
      <c r="CA244" s="126"/>
      <c r="CC244" s="126"/>
      <c r="CD244" s="126"/>
      <c r="CF244" s="126"/>
      <c r="CG244" s="126"/>
    </row>
    <row r="245" spans="1:85" s="197" customFormat="1" x14ac:dyDescent="0.3">
      <c r="A245" s="201"/>
      <c r="B245" s="191"/>
      <c r="C245" s="349"/>
      <c r="D245" s="352"/>
      <c r="E245" s="352"/>
      <c r="F245" s="351"/>
      <c r="G245" s="352"/>
      <c r="H245" s="353"/>
      <c r="I245" s="191"/>
      <c r="J245" s="353"/>
      <c r="K245" s="191"/>
      <c r="L245" s="354"/>
      <c r="M245" s="354"/>
      <c r="N245" s="354"/>
      <c r="O245" s="354"/>
      <c r="P245" s="353"/>
      <c r="Q245" s="191"/>
      <c r="R245" s="353"/>
      <c r="S245" s="191"/>
      <c r="T245" s="354"/>
      <c r="U245" s="354"/>
      <c r="V245" s="354"/>
      <c r="W245" s="354"/>
      <c r="X245" s="353"/>
      <c r="Y245" s="191"/>
      <c r="Z245" s="353"/>
      <c r="AA245" s="191"/>
      <c r="AB245" s="354"/>
      <c r="AC245" s="354"/>
      <c r="AD245" s="354"/>
      <c r="AE245" s="354"/>
      <c r="AF245" s="353"/>
      <c r="AG245" s="191"/>
      <c r="AH245" s="201"/>
      <c r="AI245" s="191"/>
      <c r="AJ245" s="354"/>
      <c r="AK245" s="354"/>
      <c r="AL245" s="354"/>
      <c r="AM245" s="354"/>
      <c r="AN245" s="353"/>
      <c r="AO245" s="191"/>
      <c r="AP245" s="201"/>
      <c r="AQ245" s="201"/>
      <c r="AR245" s="352"/>
      <c r="AS245" s="352"/>
      <c r="AT245" s="352"/>
      <c r="AU245" s="352"/>
      <c r="AV245" s="352"/>
      <c r="AW245" s="352"/>
      <c r="AX245" s="352"/>
      <c r="AY245" s="190"/>
      <c r="AZ245" s="240"/>
      <c r="BA245" s="232"/>
      <c r="BF245" s="206"/>
      <c r="BG245" s="206"/>
      <c r="BK245" s="126"/>
      <c r="BL245" s="126"/>
      <c r="BN245" s="126"/>
      <c r="BO245" s="126"/>
      <c r="BQ245" s="126"/>
      <c r="BR245" s="126"/>
      <c r="BT245" s="126"/>
      <c r="BU245" s="126"/>
      <c r="BW245" s="126"/>
      <c r="BX245" s="126"/>
      <c r="BZ245" s="126"/>
      <c r="CA245" s="126"/>
      <c r="CC245" s="126"/>
      <c r="CD245" s="126"/>
      <c r="CF245" s="126"/>
      <c r="CG245" s="126"/>
    </row>
    <row r="246" spans="1:85" s="197" customFormat="1" x14ac:dyDescent="0.3">
      <c r="A246" s="201"/>
      <c r="B246" s="191"/>
      <c r="C246" s="349"/>
      <c r="D246" s="352"/>
      <c r="E246" s="352"/>
      <c r="F246" s="351"/>
      <c r="G246" s="352"/>
      <c r="H246" s="353"/>
      <c r="I246" s="191"/>
      <c r="J246" s="353"/>
      <c r="K246" s="191"/>
      <c r="L246" s="354"/>
      <c r="M246" s="354"/>
      <c r="N246" s="354"/>
      <c r="O246" s="354"/>
      <c r="P246" s="353"/>
      <c r="Q246" s="191"/>
      <c r="R246" s="353"/>
      <c r="S246" s="191"/>
      <c r="T246" s="354"/>
      <c r="U246" s="354"/>
      <c r="V246" s="354"/>
      <c r="W246" s="354"/>
      <c r="X246" s="353"/>
      <c r="Y246" s="191"/>
      <c r="Z246" s="353"/>
      <c r="AA246" s="191"/>
      <c r="AB246" s="354"/>
      <c r="AC246" s="354"/>
      <c r="AD246" s="354"/>
      <c r="AE246" s="354"/>
      <c r="AF246" s="353"/>
      <c r="AG246" s="191"/>
      <c r="AH246" s="201"/>
      <c r="AI246" s="191"/>
      <c r="AJ246" s="354"/>
      <c r="AK246" s="354"/>
      <c r="AL246" s="354"/>
      <c r="AM246" s="354"/>
      <c r="AN246" s="353"/>
      <c r="AO246" s="191"/>
      <c r="AP246" s="201"/>
      <c r="AQ246" s="201"/>
      <c r="AR246" s="352"/>
      <c r="AS246" s="352"/>
      <c r="AT246" s="352"/>
      <c r="AU246" s="352"/>
      <c r="AV246" s="352"/>
      <c r="AW246" s="352"/>
      <c r="AX246" s="352"/>
      <c r="AY246" s="190"/>
      <c r="AZ246" s="240"/>
      <c r="BA246" s="232"/>
      <c r="BF246" s="206"/>
      <c r="BG246" s="206"/>
      <c r="BK246" s="126"/>
      <c r="BL246" s="126"/>
      <c r="BN246" s="126"/>
      <c r="BO246" s="126"/>
      <c r="BQ246" s="126"/>
      <c r="BR246" s="126"/>
      <c r="BT246" s="126"/>
      <c r="BU246" s="126"/>
      <c r="BW246" s="126"/>
      <c r="BX246" s="126"/>
      <c r="BZ246" s="126"/>
      <c r="CA246" s="126"/>
      <c r="CC246" s="126"/>
      <c r="CD246" s="126"/>
      <c r="CF246" s="126"/>
      <c r="CG246" s="126"/>
    </row>
    <row r="247" spans="1:85" s="197" customFormat="1" x14ac:dyDescent="0.3">
      <c r="A247" s="201"/>
      <c r="B247" s="191"/>
      <c r="C247" s="349"/>
      <c r="D247" s="352"/>
      <c r="E247" s="352"/>
      <c r="F247" s="351"/>
      <c r="G247" s="352"/>
      <c r="H247" s="353"/>
      <c r="I247" s="191"/>
      <c r="J247" s="353"/>
      <c r="K247" s="191"/>
      <c r="L247" s="354"/>
      <c r="M247" s="354"/>
      <c r="N247" s="354"/>
      <c r="O247" s="354"/>
      <c r="P247" s="353"/>
      <c r="Q247" s="191"/>
      <c r="R247" s="353"/>
      <c r="S247" s="191"/>
      <c r="T247" s="354"/>
      <c r="U247" s="354"/>
      <c r="V247" s="354"/>
      <c r="W247" s="354"/>
      <c r="X247" s="353"/>
      <c r="Y247" s="191"/>
      <c r="Z247" s="353"/>
      <c r="AA247" s="191"/>
      <c r="AB247" s="354"/>
      <c r="AC247" s="354"/>
      <c r="AD247" s="354"/>
      <c r="AE247" s="354"/>
      <c r="AF247" s="353"/>
      <c r="AG247" s="191"/>
      <c r="AH247" s="201"/>
      <c r="AI247" s="191"/>
      <c r="AJ247" s="354"/>
      <c r="AK247" s="354"/>
      <c r="AL247" s="354"/>
      <c r="AM247" s="354"/>
      <c r="AN247" s="353"/>
      <c r="AO247" s="191"/>
      <c r="AP247" s="201"/>
      <c r="AQ247" s="201"/>
      <c r="AR247" s="352"/>
      <c r="AS247" s="352"/>
      <c r="AT247" s="352"/>
      <c r="AU247" s="352"/>
      <c r="AV247" s="352"/>
      <c r="AW247" s="352"/>
      <c r="AX247" s="352"/>
      <c r="AY247" s="190"/>
      <c r="AZ247" s="240"/>
      <c r="BA247" s="232"/>
      <c r="BF247" s="206"/>
      <c r="BG247" s="206"/>
      <c r="BK247" s="126"/>
      <c r="BL247" s="126"/>
      <c r="BN247" s="126"/>
      <c r="BO247" s="126"/>
      <c r="BQ247" s="126"/>
      <c r="BR247" s="126"/>
      <c r="BT247" s="126"/>
      <c r="BU247" s="126"/>
      <c r="BW247" s="126"/>
      <c r="BX247" s="126"/>
      <c r="BZ247" s="126"/>
      <c r="CA247" s="126"/>
      <c r="CC247" s="126"/>
      <c r="CD247" s="126"/>
      <c r="CF247" s="126"/>
      <c r="CG247" s="126"/>
    </row>
    <row r="248" spans="1:85" s="197" customFormat="1" x14ac:dyDescent="0.3">
      <c r="A248" s="201"/>
      <c r="B248" s="191"/>
      <c r="C248" s="349"/>
      <c r="D248" s="352"/>
      <c r="E248" s="352"/>
      <c r="F248" s="351"/>
      <c r="G248" s="352"/>
      <c r="H248" s="353"/>
      <c r="I248" s="191"/>
      <c r="J248" s="353"/>
      <c r="K248" s="191"/>
      <c r="L248" s="354"/>
      <c r="M248" s="354"/>
      <c r="N248" s="354"/>
      <c r="O248" s="354"/>
      <c r="P248" s="353"/>
      <c r="Q248" s="191"/>
      <c r="R248" s="353"/>
      <c r="S248" s="191"/>
      <c r="T248" s="354"/>
      <c r="U248" s="354"/>
      <c r="V248" s="354"/>
      <c r="W248" s="354"/>
      <c r="X248" s="353"/>
      <c r="Y248" s="191"/>
      <c r="Z248" s="353"/>
      <c r="AA248" s="191"/>
      <c r="AB248" s="354"/>
      <c r="AC248" s="354"/>
      <c r="AD248" s="354"/>
      <c r="AE248" s="354"/>
      <c r="AF248" s="353"/>
      <c r="AG248" s="191"/>
      <c r="AH248" s="201"/>
      <c r="AI248" s="191"/>
      <c r="AJ248" s="354"/>
      <c r="AK248" s="354"/>
      <c r="AL248" s="354"/>
      <c r="AM248" s="354"/>
      <c r="AN248" s="353"/>
      <c r="AO248" s="191"/>
      <c r="AP248" s="201"/>
      <c r="AQ248" s="201"/>
      <c r="AR248" s="352"/>
      <c r="AS248" s="352"/>
      <c r="AT248" s="352"/>
      <c r="AU248" s="352"/>
      <c r="AV248" s="352"/>
      <c r="AW248" s="352"/>
      <c r="AX248" s="352"/>
      <c r="AY248" s="190"/>
      <c r="AZ248" s="240"/>
      <c r="BA248" s="232"/>
      <c r="BF248" s="206"/>
      <c r="BG248" s="206"/>
      <c r="BK248" s="126"/>
      <c r="BL248" s="126"/>
      <c r="BN248" s="126"/>
      <c r="BO248" s="126"/>
      <c r="BQ248" s="126"/>
      <c r="BR248" s="126"/>
      <c r="BT248" s="126"/>
      <c r="BU248" s="126"/>
      <c r="BW248" s="126"/>
      <c r="BX248" s="126"/>
      <c r="BZ248" s="126"/>
      <c r="CA248" s="126"/>
      <c r="CC248" s="126"/>
      <c r="CD248" s="126"/>
      <c r="CF248" s="126"/>
      <c r="CG248" s="126"/>
    </row>
    <row r="249" spans="1:85" s="197" customFormat="1" x14ac:dyDescent="0.3">
      <c r="A249" s="201"/>
      <c r="B249" s="191"/>
      <c r="C249" s="349"/>
      <c r="D249" s="352"/>
      <c r="E249" s="352"/>
      <c r="F249" s="351"/>
      <c r="G249" s="352"/>
      <c r="H249" s="353"/>
      <c r="I249" s="191"/>
      <c r="J249" s="353"/>
      <c r="K249" s="191"/>
      <c r="L249" s="354"/>
      <c r="M249" s="354"/>
      <c r="N249" s="354"/>
      <c r="O249" s="354"/>
      <c r="P249" s="353"/>
      <c r="Q249" s="191"/>
      <c r="R249" s="353"/>
      <c r="S249" s="191"/>
      <c r="T249" s="354"/>
      <c r="U249" s="354"/>
      <c r="V249" s="354"/>
      <c r="W249" s="354"/>
      <c r="X249" s="353"/>
      <c r="Y249" s="191"/>
      <c r="Z249" s="353"/>
      <c r="AA249" s="191"/>
      <c r="AB249" s="354"/>
      <c r="AC249" s="355"/>
      <c r="AD249" s="354"/>
      <c r="AE249" s="354"/>
      <c r="AF249" s="353"/>
      <c r="AG249" s="191"/>
      <c r="AH249" s="201"/>
      <c r="AI249" s="191"/>
      <c r="AJ249" s="354"/>
      <c r="AK249" s="355"/>
      <c r="AL249" s="354"/>
      <c r="AM249" s="354"/>
      <c r="AN249" s="353"/>
      <c r="AO249" s="191"/>
      <c r="AP249" s="201"/>
      <c r="AQ249" s="201"/>
      <c r="AR249" s="352"/>
      <c r="AS249" s="352"/>
      <c r="AT249" s="352"/>
      <c r="AU249" s="352"/>
      <c r="AV249" s="352"/>
      <c r="AW249" s="352"/>
      <c r="AX249" s="352"/>
      <c r="AY249" s="190"/>
      <c r="AZ249" s="240"/>
      <c r="BA249" s="232"/>
      <c r="BF249" s="206"/>
      <c r="BG249" s="206"/>
      <c r="BK249" s="126"/>
      <c r="BL249" s="126"/>
      <c r="BN249" s="126"/>
      <c r="BO249" s="126"/>
      <c r="BQ249" s="126"/>
      <c r="BR249" s="126"/>
      <c r="BT249" s="126"/>
      <c r="BU249" s="126"/>
      <c r="BW249" s="126"/>
      <c r="BX249" s="126"/>
      <c r="BZ249" s="126"/>
      <c r="CA249" s="126"/>
      <c r="CC249" s="126"/>
      <c r="CD249" s="126"/>
      <c r="CF249" s="126"/>
      <c r="CG249" s="126"/>
    </row>
    <row r="250" spans="1:85" s="197" customFormat="1" x14ac:dyDescent="0.3">
      <c r="A250" s="201"/>
      <c r="B250" s="191"/>
      <c r="C250" s="349"/>
      <c r="D250" s="352"/>
      <c r="E250" s="352"/>
      <c r="F250" s="351"/>
      <c r="G250" s="352"/>
      <c r="H250" s="353"/>
      <c r="I250" s="191"/>
      <c r="J250" s="353"/>
      <c r="K250" s="191"/>
      <c r="L250" s="354"/>
      <c r="M250" s="355"/>
      <c r="N250" s="354"/>
      <c r="O250" s="354"/>
      <c r="P250" s="353"/>
      <c r="Q250" s="191"/>
      <c r="R250" s="353"/>
      <c r="S250" s="191"/>
      <c r="T250" s="354"/>
      <c r="U250" s="355"/>
      <c r="V250" s="354"/>
      <c r="W250" s="354"/>
      <c r="X250" s="353"/>
      <c r="Y250" s="191"/>
      <c r="Z250" s="353"/>
      <c r="AA250" s="191"/>
      <c r="AB250" s="354"/>
      <c r="AC250" s="355"/>
      <c r="AD250" s="354"/>
      <c r="AE250" s="354"/>
      <c r="AF250" s="353"/>
      <c r="AG250" s="191"/>
      <c r="AH250" s="201"/>
      <c r="AI250" s="191"/>
      <c r="AJ250" s="354"/>
      <c r="AK250" s="355"/>
      <c r="AL250" s="354"/>
      <c r="AM250" s="354"/>
      <c r="AN250" s="353"/>
      <c r="AO250" s="191"/>
      <c r="AP250" s="201"/>
      <c r="AQ250" s="201"/>
      <c r="AR250" s="352"/>
      <c r="AS250" s="352"/>
      <c r="AT250" s="352"/>
      <c r="AU250" s="352"/>
      <c r="AV250" s="352"/>
      <c r="AW250" s="352"/>
      <c r="AX250" s="352"/>
      <c r="AY250" s="190"/>
      <c r="AZ250" s="240"/>
      <c r="BA250" s="232"/>
      <c r="BF250" s="206"/>
      <c r="BG250" s="206"/>
      <c r="BK250" s="126"/>
      <c r="BL250" s="126"/>
      <c r="BN250" s="126"/>
      <c r="BO250" s="126"/>
      <c r="BQ250" s="126"/>
      <c r="BR250" s="126"/>
      <c r="BT250" s="126"/>
      <c r="BU250" s="126"/>
      <c r="BW250" s="126"/>
      <c r="BX250" s="126"/>
      <c r="BZ250" s="126"/>
      <c r="CA250" s="126"/>
      <c r="CC250" s="126"/>
      <c r="CD250" s="126"/>
      <c r="CF250" s="126"/>
      <c r="CG250" s="126"/>
    </row>
    <row r="251" spans="1:85" s="197" customFormat="1" x14ac:dyDescent="0.3">
      <c r="A251" s="201"/>
      <c r="B251" s="191"/>
      <c r="C251" s="349"/>
      <c r="D251" s="352"/>
      <c r="E251" s="352"/>
      <c r="F251" s="351"/>
      <c r="G251" s="352"/>
      <c r="H251" s="353"/>
      <c r="I251" s="191"/>
      <c r="J251" s="353"/>
      <c r="K251" s="191"/>
      <c r="L251" s="354"/>
      <c r="M251" s="355"/>
      <c r="N251" s="354"/>
      <c r="O251" s="354"/>
      <c r="P251" s="353"/>
      <c r="Q251" s="191"/>
      <c r="R251" s="353"/>
      <c r="S251" s="191"/>
      <c r="T251" s="354"/>
      <c r="U251" s="355"/>
      <c r="V251" s="354"/>
      <c r="W251" s="354"/>
      <c r="X251" s="353"/>
      <c r="Y251" s="191"/>
      <c r="Z251" s="353"/>
      <c r="AA251" s="191"/>
      <c r="AB251" s="354"/>
      <c r="AC251" s="355"/>
      <c r="AD251" s="354"/>
      <c r="AE251" s="354"/>
      <c r="AF251" s="353"/>
      <c r="AG251" s="191"/>
      <c r="AH251" s="201"/>
      <c r="AI251" s="191"/>
      <c r="AJ251" s="354"/>
      <c r="AK251" s="355"/>
      <c r="AL251" s="354"/>
      <c r="AM251" s="354"/>
      <c r="AN251" s="353"/>
      <c r="AO251" s="191"/>
      <c r="AP251" s="201"/>
      <c r="AQ251" s="201"/>
      <c r="AR251" s="352"/>
      <c r="AS251" s="352"/>
      <c r="AT251" s="352"/>
      <c r="AU251" s="352"/>
      <c r="AV251" s="352"/>
      <c r="AW251" s="352"/>
      <c r="AX251" s="352"/>
      <c r="AY251" s="190"/>
      <c r="AZ251" s="240"/>
      <c r="BA251" s="232"/>
      <c r="BF251" s="206"/>
      <c r="BG251" s="206"/>
      <c r="BK251" s="126"/>
      <c r="BL251" s="126"/>
      <c r="BN251" s="126"/>
      <c r="BO251" s="126"/>
      <c r="BQ251" s="126"/>
      <c r="BR251" s="126"/>
      <c r="BT251" s="126"/>
      <c r="BU251" s="126"/>
      <c r="BW251" s="126"/>
      <c r="BX251" s="126"/>
      <c r="BZ251" s="126"/>
      <c r="CA251" s="126"/>
      <c r="CC251" s="126"/>
      <c r="CD251" s="126"/>
      <c r="CF251" s="126"/>
      <c r="CG251" s="126"/>
    </row>
    <row r="252" spans="1:85" s="197" customFormat="1" x14ac:dyDescent="0.3">
      <c r="A252" s="201"/>
      <c r="B252" s="191"/>
      <c r="C252" s="349"/>
      <c r="D252" s="352"/>
      <c r="E252" s="352"/>
      <c r="F252" s="351"/>
      <c r="G252" s="352"/>
      <c r="H252" s="353"/>
      <c r="I252" s="191"/>
      <c r="J252" s="353"/>
      <c r="K252" s="191"/>
      <c r="L252" s="354"/>
      <c r="M252" s="355"/>
      <c r="N252" s="354"/>
      <c r="O252" s="354"/>
      <c r="P252" s="353"/>
      <c r="Q252" s="191"/>
      <c r="R252" s="353"/>
      <c r="S252" s="191"/>
      <c r="T252" s="354"/>
      <c r="U252" s="355"/>
      <c r="V252" s="354"/>
      <c r="W252" s="354"/>
      <c r="X252" s="353"/>
      <c r="Y252" s="191"/>
      <c r="Z252" s="353"/>
      <c r="AA252" s="191"/>
      <c r="AB252" s="354"/>
      <c r="AC252" s="355"/>
      <c r="AD252" s="354"/>
      <c r="AE252" s="354"/>
      <c r="AF252" s="353"/>
      <c r="AG252" s="191"/>
      <c r="AH252" s="201"/>
      <c r="AI252" s="191"/>
      <c r="AJ252" s="354"/>
      <c r="AK252" s="355"/>
      <c r="AL252" s="354"/>
      <c r="AM252" s="354"/>
      <c r="AN252" s="353"/>
      <c r="AO252" s="191"/>
      <c r="AP252" s="201"/>
      <c r="AQ252" s="201"/>
      <c r="AR252" s="352"/>
      <c r="AS252" s="352"/>
      <c r="AT252" s="352"/>
      <c r="AU252" s="352"/>
      <c r="AV252" s="352"/>
      <c r="AW252" s="352"/>
      <c r="AX252" s="352"/>
      <c r="AY252" s="190"/>
      <c r="AZ252" s="240"/>
      <c r="BA252" s="232"/>
      <c r="BF252" s="206"/>
      <c r="BG252" s="206"/>
      <c r="BK252" s="126"/>
      <c r="BL252" s="126"/>
      <c r="BN252" s="126"/>
      <c r="BO252" s="126"/>
      <c r="BQ252" s="126"/>
      <c r="BR252" s="126"/>
      <c r="BT252" s="126"/>
      <c r="BU252" s="126"/>
      <c r="BW252" s="126"/>
      <c r="BX252" s="126"/>
      <c r="BZ252" s="126"/>
      <c r="CA252" s="126"/>
      <c r="CC252" s="126"/>
      <c r="CD252" s="126"/>
      <c r="CF252" s="126"/>
      <c r="CG252" s="126"/>
    </row>
    <row r="253" spans="1:85" s="197" customFormat="1" x14ac:dyDescent="0.3">
      <c r="A253" s="201"/>
      <c r="B253" s="191"/>
      <c r="C253" s="349"/>
      <c r="D253" s="352"/>
      <c r="E253" s="352"/>
      <c r="F253" s="351"/>
      <c r="G253" s="352"/>
      <c r="H253" s="353"/>
      <c r="I253" s="191"/>
      <c r="J253" s="353"/>
      <c r="K253" s="191"/>
      <c r="L253" s="354"/>
      <c r="M253" s="355"/>
      <c r="N253" s="354"/>
      <c r="O253" s="354"/>
      <c r="P253" s="353"/>
      <c r="Q253" s="191"/>
      <c r="R253" s="353"/>
      <c r="S253" s="191"/>
      <c r="T253" s="354"/>
      <c r="U253" s="355"/>
      <c r="V253" s="354"/>
      <c r="W253" s="354"/>
      <c r="X253" s="353"/>
      <c r="Y253" s="191"/>
      <c r="Z253" s="353"/>
      <c r="AA253" s="191"/>
      <c r="AB253" s="354"/>
      <c r="AC253" s="355"/>
      <c r="AD253" s="354"/>
      <c r="AE253" s="354"/>
      <c r="AF253" s="353"/>
      <c r="AG253" s="191"/>
      <c r="AH253" s="201"/>
      <c r="AI253" s="191"/>
      <c r="AJ253" s="354"/>
      <c r="AK253" s="355"/>
      <c r="AL253" s="354"/>
      <c r="AM253" s="354"/>
      <c r="AN253" s="353"/>
      <c r="AO253" s="191"/>
      <c r="AP253" s="201"/>
      <c r="AQ253" s="201"/>
      <c r="AR253" s="352"/>
      <c r="AS253" s="352"/>
      <c r="AT253" s="352"/>
      <c r="AU253" s="352"/>
      <c r="AV253" s="352"/>
      <c r="AW253" s="352"/>
      <c r="AX253" s="352"/>
      <c r="AY253" s="190"/>
      <c r="AZ253" s="240"/>
      <c r="BA253" s="232"/>
      <c r="BF253" s="206"/>
      <c r="BG253" s="206"/>
      <c r="BK253" s="126"/>
      <c r="BL253" s="126"/>
      <c r="BN253" s="126"/>
      <c r="BO253" s="126"/>
      <c r="BQ253" s="126"/>
      <c r="BR253" s="126"/>
      <c r="BT253" s="126"/>
      <c r="BU253" s="126"/>
      <c r="BW253" s="126"/>
      <c r="BX253" s="126"/>
      <c r="BZ253" s="126"/>
      <c r="CA253" s="126"/>
      <c r="CC253" s="126"/>
      <c r="CD253" s="126"/>
      <c r="CF253" s="126"/>
      <c r="CG253" s="126"/>
    </row>
    <row r="254" spans="1:85" s="197" customFormat="1" x14ac:dyDescent="0.3">
      <c r="A254" s="201"/>
      <c r="B254" s="191"/>
      <c r="C254" s="349"/>
      <c r="D254" s="352"/>
      <c r="E254" s="352"/>
      <c r="F254" s="351"/>
      <c r="G254" s="352"/>
      <c r="H254" s="353"/>
      <c r="I254" s="191"/>
      <c r="J254" s="353"/>
      <c r="K254" s="191"/>
      <c r="L254" s="354"/>
      <c r="M254" s="355"/>
      <c r="N254" s="354"/>
      <c r="O254" s="354"/>
      <c r="P254" s="353"/>
      <c r="Q254" s="191"/>
      <c r="R254" s="353"/>
      <c r="S254" s="191"/>
      <c r="T254" s="354"/>
      <c r="U254" s="355"/>
      <c r="V254" s="354"/>
      <c r="W254" s="354"/>
      <c r="X254" s="353"/>
      <c r="Y254" s="191"/>
      <c r="Z254" s="353"/>
      <c r="AA254" s="191"/>
      <c r="AB254" s="354"/>
      <c r="AC254" s="355"/>
      <c r="AD254" s="354"/>
      <c r="AE254" s="354"/>
      <c r="AF254" s="353"/>
      <c r="AG254" s="191"/>
      <c r="AH254" s="201"/>
      <c r="AI254" s="191"/>
      <c r="AJ254" s="354"/>
      <c r="AK254" s="355"/>
      <c r="AL254" s="354"/>
      <c r="AM254" s="354"/>
      <c r="AN254" s="353"/>
      <c r="AO254" s="191"/>
      <c r="AP254" s="201"/>
      <c r="AQ254" s="201"/>
      <c r="AR254" s="352"/>
      <c r="AS254" s="352"/>
      <c r="AT254" s="352"/>
      <c r="AU254" s="352"/>
      <c r="AV254" s="352"/>
      <c r="AW254" s="352"/>
      <c r="AX254" s="352"/>
      <c r="AY254" s="190"/>
      <c r="AZ254" s="240"/>
      <c r="BA254" s="232"/>
      <c r="BF254" s="206"/>
      <c r="BG254" s="206"/>
      <c r="BK254" s="126"/>
      <c r="BL254" s="126"/>
      <c r="BN254" s="126"/>
      <c r="BO254" s="126"/>
      <c r="BQ254" s="126"/>
      <c r="BR254" s="126"/>
      <c r="BT254" s="126"/>
      <c r="BU254" s="126"/>
      <c r="BW254" s="126"/>
      <c r="BX254" s="126"/>
      <c r="BZ254" s="126"/>
      <c r="CA254" s="126"/>
      <c r="CC254" s="126"/>
      <c r="CD254" s="126"/>
      <c r="CF254" s="126"/>
      <c r="CG254" s="126"/>
    </row>
    <row r="255" spans="1:85" s="197" customFormat="1" x14ac:dyDescent="0.3">
      <c r="A255" s="201" t="s">
        <v>223</v>
      </c>
      <c r="B255" s="191">
        <v>0</v>
      </c>
      <c r="C255" s="356" t="s">
        <v>426</v>
      </c>
      <c r="D255" s="352">
        <v>6.16</v>
      </c>
      <c r="E255" s="352">
        <v>2.83</v>
      </c>
      <c r="F255" s="351">
        <v>0.13</v>
      </c>
      <c r="G255" s="352">
        <f t="shared" si="183"/>
        <v>0</v>
      </c>
      <c r="H255" s="353">
        <f t="shared" si="185"/>
        <v>0</v>
      </c>
      <c r="I255" s="191">
        <f>GETPIVOTDATA($BN$20,A255)</f>
        <v>8</v>
      </c>
      <c r="J255" s="353">
        <f>GETPIVOTDATA($BQ$20,A255)*2</f>
        <v>0.2</v>
      </c>
      <c r="K255" s="191">
        <f>(ROUND(E255/J255,0)+1)*GETPIVOTDATA($CF$20,A255)</f>
        <v>15</v>
      </c>
      <c r="L255" s="354">
        <f>GETPIVOTDATA($BT$20,A255)</f>
        <v>5.4600000000000003E-2</v>
      </c>
      <c r="M255" s="355">
        <f>0.3*2</f>
        <v>0.6</v>
      </c>
      <c r="N255" s="354">
        <f t="shared" si="158"/>
        <v>-0.04</v>
      </c>
      <c r="O255" s="354">
        <f>1.11*0.3</f>
        <v>0.33300000000000002</v>
      </c>
      <c r="P255" s="353">
        <f t="shared" si="159"/>
        <v>7.1075999999999997</v>
      </c>
      <c r="Q255" s="191">
        <f>GETPIVOTDATA($BN$20,A255)</f>
        <v>8</v>
      </c>
      <c r="R255" s="353">
        <f>GETPIVOTDATA($BQ$20,A255)*2</f>
        <v>0.2</v>
      </c>
      <c r="S255" s="191">
        <f>(ROUND(E255/R255,0))*GETPIVOTDATA($CF$20,A255)</f>
        <v>14</v>
      </c>
      <c r="T255" s="354">
        <f>GETPIVOTDATA($BT$20,A255)</f>
        <v>5.4600000000000003E-2</v>
      </c>
      <c r="U255" s="355">
        <f>0.3*2</f>
        <v>0.6</v>
      </c>
      <c r="V255" s="354">
        <f t="shared" si="160"/>
        <v>-0.04</v>
      </c>
      <c r="W255" s="354">
        <f>2.31*0.3</f>
        <v>0.69299999999999995</v>
      </c>
      <c r="X255" s="353">
        <f t="shared" si="161"/>
        <v>7.4676</v>
      </c>
      <c r="Y255" s="191">
        <f>GETPIVOTDATA($BW$20,A255)</f>
        <v>8</v>
      </c>
      <c r="Z255" s="353">
        <f>GETPIVOTDATA($CC$20,A255)*2</f>
        <v>0.36</v>
      </c>
      <c r="AA255" s="191">
        <f>(ROUND(D255/Z255,0)+1)*GETPIVOTDATA($CF$20,A255)</f>
        <v>18</v>
      </c>
      <c r="AB255" s="354">
        <f>GETPIVOTDATA($BZ$20,A255)</f>
        <v>5.4600000000000003E-2</v>
      </c>
      <c r="AC255" s="355">
        <f>0.3*2</f>
        <v>0.6</v>
      </c>
      <c r="AD255" s="354">
        <f t="shared" si="162"/>
        <v>-0.04</v>
      </c>
      <c r="AE255" s="354">
        <f>2.83*0.3</f>
        <v>0.84899999999999998</v>
      </c>
      <c r="AF255" s="353">
        <f t="shared" si="163"/>
        <v>4.2935999999999996</v>
      </c>
      <c r="AG255" s="191">
        <f>GETPIVOTDATA($BW$20,A255)</f>
        <v>8</v>
      </c>
      <c r="AH255" s="201">
        <f>GETPIVOTDATA($CC$20,A255)*2</f>
        <v>0.36</v>
      </c>
      <c r="AI255" s="191">
        <f>(ROUND(D255/AH255,0))*GETPIVOTDATA($CF$20,A255)</f>
        <v>17</v>
      </c>
      <c r="AJ255" s="354">
        <f>GETPIVOTDATA($BZ$20,A255)</f>
        <v>5.4600000000000003E-2</v>
      </c>
      <c r="AK255" s="355">
        <f>0.3*2</f>
        <v>0.6</v>
      </c>
      <c r="AL255" s="354">
        <f t="shared" si="164"/>
        <v>-0.04</v>
      </c>
      <c r="AM255" s="354">
        <f>4.42*0.3</f>
        <v>1.3259999999999998</v>
      </c>
      <c r="AN255" s="353">
        <f t="shared" si="165"/>
        <v>4.7706</v>
      </c>
      <c r="AO255" s="191">
        <v>0</v>
      </c>
      <c r="AP255" s="201">
        <f t="shared" si="155"/>
        <v>12</v>
      </c>
      <c r="AQ255" s="201">
        <v>1.5</v>
      </c>
      <c r="AR255" s="352">
        <f t="shared" si="176"/>
        <v>0</v>
      </c>
      <c r="AS255" s="352">
        <f t="shared" si="177"/>
        <v>0</v>
      </c>
      <c r="AT255" s="352">
        <f t="shared" si="178"/>
        <v>0</v>
      </c>
      <c r="AU255" s="352">
        <f t="shared" si="179"/>
        <v>0</v>
      </c>
      <c r="AV255" s="352">
        <f t="shared" si="180"/>
        <v>0</v>
      </c>
      <c r="AW255" s="352">
        <f t="shared" si="169"/>
        <v>0</v>
      </c>
      <c r="AX255" s="352">
        <f t="shared" si="170"/>
        <v>0</v>
      </c>
      <c r="AY255" s="190"/>
      <c r="AZ255" s="240"/>
      <c r="BA255" s="232"/>
      <c r="BF255" s="206"/>
      <c r="BG255" s="206"/>
      <c r="BK255" s="126"/>
      <c r="BL255" s="126"/>
      <c r="BN255" s="126"/>
      <c r="BO255" s="126"/>
      <c r="BQ255" s="126"/>
      <c r="BR255" s="126"/>
      <c r="BT255" s="126"/>
      <c r="BU255" s="126"/>
      <c r="BW255" s="126"/>
      <c r="BX255" s="126"/>
      <c r="BZ255" s="126"/>
      <c r="CA255" s="126"/>
      <c r="CC255" s="126"/>
      <c r="CD255" s="126"/>
      <c r="CF255" s="126"/>
      <c r="CG255" s="126"/>
    </row>
    <row r="256" spans="1:85" s="197" customFormat="1" x14ac:dyDescent="0.3">
      <c r="A256" s="201"/>
      <c r="B256" s="191"/>
      <c r="C256" s="349"/>
      <c r="D256" s="352"/>
      <c r="E256" s="352"/>
      <c r="F256" s="351"/>
      <c r="G256" s="352"/>
      <c r="H256" s="353"/>
      <c r="I256" s="191"/>
      <c r="J256" s="353"/>
      <c r="K256" s="191"/>
      <c r="L256" s="354"/>
      <c r="M256" s="355"/>
      <c r="N256" s="354"/>
      <c r="O256" s="354"/>
      <c r="P256" s="353"/>
      <c r="Q256" s="191"/>
      <c r="R256" s="353"/>
      <c r="S256" s="191"/>
      <c r="T256" s="354"/>
      <c r="U256" s="355"/>
      <c r="V256" s="354"/>
      <c r="W256" s="354"/>
      <c r="X256" s="353"/>
      <c r="Y256" s="191"/>
      <c r="Z256" s="353"/>
      <c r="AA256" s="191"/>
      <c r="AB256" s="354"/>
      <c r="AC256" s="355"/>
      <c r="AD256" s="354"/>
      <c r="AE256" s="354"/>
      <c r="AF256" s="353"/>
      <c r="AG256" s="191"/>
      <c r="AH256" s="201"/>
      <c r="AI256" s="191"/>
      <c r="AJ256" s="354"/>
      <c r="AK256" s="355"/>
      <c r="AL256" s="354"/>
      <c r="AM256" s="354"/>
      <c r="AN256" s="353"/>
      <c r="AO256" s="191"/>
      <c r="AP256" s="201"/>
      <c r="AQ256" s="201"/>
      <c r="AR256" s="352"/>
      <c r="AS256" s="352"/>
      <c r="AT256" s="352"/>
      <c r="AU256" s="352"/>
      <c r="AV256" s="352"/>
      <c r="AW256" s="352"/>
      <c r="AX256" s="352"/>
      <c r="AY256" s="190"/>
      <c r="AZ256" s="240"/>
      <c r="BA256" s="232"/>
      <c r="BF256" s="206"/>
      <c r="BG256" s="206"/>
      <c r="BK256" s="126"/>
      <c r="BL256" s="126"/>
      <c r="BN256" s="126"/>
      <c r="BO256" s="126"/>
      <c r="BQ256" s="126"/>
      <c r="BR256" s="126"/>
      <c r="BT256" s="126"/>
      <c r="BU256" s="126"/>
      <c r="BW256" s="126"/>
      <c r="BX256" s="126"/>
      <c r="BZ256" s="126"/>
      <c r="CA256" s="126"/>
      <c r="CC256" s="126"/>
      <c r="CD256" s="126"/>
      <c r="CF256" s="126"/>
      <c r="CG256" s="126"/>
    </row>
    <row r="257" spans="1:85" s="197" customFormat="1" x14ac:dyDescent="0.3">
      <c r="A257" s="201"/>
      <c r="B257" s="191"/>
      <c r="C257" s="349"/>
      <c r="D257" s="352"/>
      <c r="E257" s="352"/>
      <c r="F257" s="351"/>
      <c r="G257" s="352"/>
      <c r="H257" s="353"/>
      <c r="I257" s="191"/>
      <c r="J257" s="353"/>
      <c r="K257" s="191"/>
      <c r="L257" s="354"/>
      <c r="M257" s="355"/>
      <c r="N257" s="354"/>
      <c r="O257" s="354"/>
      <c r="P257" s="353"/>
      <c r="Q257" s="191"/>
      <c r="R257" s="353"/>
      <c r="S257" s="191"/>
      <c r="T257" s="354"/>
      <c r="U257" s="355"/>
      <c r="V257" s="354"/>
      <c r="W257" s="354"/>
      <c r="X257" s="353"/>
      <c r="Y257" s="191"/>
      <c r="Z257" s="353"/>
      <c r="AA257" s="191"/>
      <c r="AB257" s="354"/>
      <c r="AC257" s="355"/>
      <c r="AD257" s="354"/>
      <c r="AE257" s="354"/>
      <c r="AF257" s="353"/>
      <c r="AG257" s="191"/>
      <c r="AH257" s="201"/>
      <c r="AI257" s="191"/>
      <c r="AJ257" s="354"/>
      <c r="AK257" s="355"/>
      <c r="AL257" s="354"/>
      <c r="AM257" s="354"/>
      <c r="AN257" s="353"/>
      <c r="AO257" s="191"/>
      <c r="AP257" s="201"/>
      <c r="AQ257" s="201"/>
      <c r="AR257" s="352"/>
      <c r="AS257" s="352"/>
      <c r="AT257" s="352"/>
      <c r="AU257" s="352"/>
      <c r="AV257" s="352"/>
      <c r="AW257" s="352"/>
      <c r="AX257" s="352"/>
      <c r="AY257" s="190"/>
      <c r="AZ257" s="240"/>
      <c r="BA257" s="232"/>
      <c r="BF257" s="206"/>
      <c r="BG257" s="206"/>
      <c r="BK257" s="126"/>
      <c r="BL257" s="126"/>
      <c r="BN257" s="126"/>
      <c r="BO257" s="126"/>
      <c r="BQ257" s="126"/>
      <c r="BR257" s="126"/>
      <c r="BT257" s="126"/>
      <c r="BU257" s="126"/>
      <c r="BW257" s="126"/>
      <c r="BX257" s="126"/>
      <c r="BZ257" s="126"/>
      <c r="CA257" s="126"/>
      <c r="CC257" s="126"/>
      <c r="CD257" s="126"/>
      <c r="CF257" s="126"/>
      <c r="CG257" s="126"/>
    </row>
    <row r="258" spans="1:85" s="197" customFormat="1" x14ac:dyDescent="0.3">
      <c r="A258" s="201"/>
      <c r="B258" s="191"/>
      <c r="C258" s="349"/>
      <c r="D258" s="352"/>
      <c r="E258" s="352"/>
      <c r="F258" s="351"/>
      <c r="G258" s="352"/>
      <c r="H258" s="353"/>
      <c r="I258" s="191"/>
      <c r="J258" s="353"/>
      <c r="K258" s="191"/>
      <c r="L258" s="354"/>
      <c r="M258" s="355"/>
      <c r="N258" s="354"/>
      <c r="O258" s="354"/>
      <c r="P258" s="353"/>
      <c r="Q258" s="191"/>
      <c r="R258" s="353"/>
      <c r="S258" s="191"/>
      <c r="T258" s="354"/>
      <c r="U258" s="355"/>
      <c r="V258" s="354"/>
      <c r="W258" s="354"/>
      <c r="X258" s="353"/>
      <c r="Y258" s="191"/>
      <c r="Z258" s="353"/>
      <c r="AA258" s="191"/>
      <c r="AB258" s="354"/>
      <c r="AC258" s="355"/>
      <c r="AD258" s="354"/>
      <c r="AE258" s="354"/>
      <c r="AF258" s="353"/>
      <c r="AG258" s="191"/>
      <c r="AH258" s="201"/>
      <c r="AI258" s="191"/>
      <c r="AJ258" s="354"/>
      <c r="AK258" s="355"/>
      <c r="AL258" s="354"/>
      <c r="AM258" s="354"/>
      <c r="AN258" s="353"/>
      <c r="AO258" s="191"/>
      <c r="AP258" s="201"/>
      <c r="AQ258" s="201"/>
      <c r="AR258" s="352"/>
      <c r="AS258" s="352"/>
      <c r="AT258" s="352"/>
      <c r="AU258" s="352"/>
      <c r="AV258" s="352"/>
      <c r="AW258" s="352"/>
      <c r="AX258" s="352"/>
      <c r="AY258" s="190"/>
      <c r="AZ258" s="240"/>
      <c r="BA258" s="232"/>
      <c r="BF258" s="206"/>
      <c r="BG258" s="206"/>
      <c r="BK258" s="126"/>
      <c r="BL258" s="126"/>
      <c r="BN258" s="126"/>
      <c r="BO258" s="126"/>
      <c r="BQ258" s="126"/>
      <c r="BR258" s="126"/>
      <c r="BT258" s="126"/>
      <c r="BU258" s="126"/>
      <c r="BW258" s="126"/>
      <c r="BX258" s="126"/>
      <c r="BZ258" s="126"/>
      <c r="CA258" s="126"/>
      <c r="CC258" s="126"/>
      <c r="CD258" s="126"/>
      <c r="CF258" s="126"/>
      <c r="CG258" s="126"/>
    </row>
    <row r="259" spans="1:85" s="197" customFormat="1" x14ac:dyDescent="0.3">
      <c r="A259" s="201"/>
      <c r="B259" s="191"/>
      <c r="C259" s="349"/>
      <c r="D259" s="352"/>
      <c r="E259" s="352"/>
      <c r="F259" s="351"/>
      <c r="G259" s="352"/>
      <c r="H259" s="353"/>
      <c r="I259" s="191"/>
      <c r="J259" s="353"/>
      <c r="K259" s="191"/>
      <c r="L259" s="354"/>
      <c r="M259" s="355"/>
      <c r="N259" s="354"/>
      <c r="O259" s="354"/>
      <c r="P259" s="353"/>
      <c r="Q259" s="191"/>
      <c r="R259" s="353"/>
      <c r="S259" s="191"/>
      <c r="T259" s="354"/>
      <c r="U259" s="355"/>
      <c r="V259" s="354"/>
      <c r="W259" s="354"/>
      <c r="X259" s="353"/>
      <c r="Y259" s="191"/>
      <c r="Z259" s="353"/>
      <c r="AA259" s="191"/>
      <c r="AB259" s="354"/>
      <c r="AC259" s="355"/>
      <c r="AD259" s="354"/>
      <c r="AE259" s="354"/>
      <c r="AF259" s="353"/>
      <c r="AG259" s="191"/>
      <c r="AH259" s="201"/>
      <c r="AI259" s="191"/>
      <c r="AJ259" s="354"/>
      <c r="AK259" s="355"/>
      <c r="AL259" s="354"/>
      <c r="AM259" s="354"/>
      <c r="AN259" s="353"/>
      <c r="AO259" s="191"/>
      <c r="AP259" s="201"/>
      <c r="AQ259" s="201"/>
      <c r="AR259" s="352"/>
      <c r="AS259" s="352"/>
      <c r="AT259" s="352"/>
      <c r="AU259" s="352"/>
      <c r="AV259" s="352"/>
      <c r="AW259" s="352"/>
      <c r="AX259" s="352"/>
      <c r="AY259" s="190"/>
      <c r="AZ259" s="240"/>
      <c r="BA259" s="232"/>
      <c r="BF259" s="206"/>
      <c r="BG259" s="206"/>
      <c r="BK259" s="126"/>
      <c r="BL259" s="126"/>
      <c r="BN259" s="126"/>
      <c r="BO259" s="126"/>
      <c r="BQ259" s="126"/>
      <c r="BR259" s="126"/>
      <c r="BT259" s="126"/>
      <c r="BU259" s="126"/>
      <c r="BW259" s="126"/>
      <c r="BX259" s="126"/>
      <c r="BZ259" s="126"/>
      <c r="CA259" s="126"/>
      <c r="CC259" s="126"/>
      <c r="CD259" s="126"/>
      <c r="CF259" s="126"/>
      <c r="CG259" s="126"/>
    </row>
    <row r="260" spans="1:85" s="197" customFormat="1" x14ac:dyDescent="0.3">
      <c r="A260" s="201"/>
      <c r="B260" s="191"/>
      <c r="C260" s="349"/>
      <c r="D260" s="352"/>
      <c r="E260" s="352"/>
      <c r="F260" s="351"/>
      <c r="G260" s="352"/>
      <c r="H260" s="353"/>
      <c r="I260" s="191"/>
      <c r="J260" s="353"/>
      <c r="K260" s="191"/>
      <c r="L260" s="354"/>
      <c r="M260" s="355"/>
      <c r="N260" s="354"/>
      <c r="O260" s="354"/>
      <c r="P260" s="353"/>
      <c r="Q260" s="191"/>
      <c r="R260" s="353"/>
      <c r="S260" s="191"/>
      <c r="T260" s="354"/>
      <c r="U260" s="355"/>
      <c r="V260" s="354"/>
      <c r="W260" s="354"/>
      <c r="X260" s="353"/>
      <c r="Y260" s="191"/>
      <c r="Z260" s="353"/>
      <c r="AA260" s="191"/>
      <c r="AB260" s="354"/>
      <c r="AC260" s="355"/>
      <c r="AD260" s="354"/>
      <c r="AE260" s="354"/>
      <c r="AF260" s="353"/>
      <c r="AG260" s="191"/>
      <c r="AH260" s="201"/>
      <c r="AI260" s="191"/>
      <c r="AJ260" s="354"/>
      <c r="AK260" s="355"/>
      <c r="AL260" s="354"/>
      <c r="AM260" s="354"/>
      <c r="AN260" s="353"/>
      <c r="AO260" s="191"/>
      <c r="AP260" s="201"/>
      <c r="AQ260" s="201"/>
      <c r="AR260" s="352"/>
      <c r="AS260" s="352"/>
      <c r="AT260" s="352"/>
      <c r="AU260" s="352"/>
      <c r="AV260" s="352"/>
      <c r="AW260" s="352"/>
      <c r="AX260" s="352"/>
      <c r="AY260" s="190"/>
      <c r="AZ260" s="240"/>
      <c r="BA260" s="232"/>
      <c r="BF260" s="206"/>
      <c r="BG260" s="206"/>
      <c r="BK260" s="126"/>
      <c r="BL260" s="126"/>
      <c r="BN260" s="126"/>
      <c r="BO260" s="126"/>
      <c r="BQ260" s="126"/>
      <c r="BR260" s="126"/>
      <c r="BT260" s="126"/>
      <c r="BU260" s="126"/>
      <c r="BW260" s="126"/>
      <c r="BX260" s="126"/>
      <c r="BZ260" s="126"/>
      <c r="CA260" s="126"/>
      <c r="CC260" s="126"/>
      <c r="CD260" s="126"/>
      <c r="CF260" s="126"/>
      <c r="CG260" s="126"/>
    </row>
    <row r="261" spans="1:85" s="197" customFormat="1" x14ac:dyDescent="0.3">
      <c r="A261" s="201"/>
      <c r="B261" s="191"/>
      <c r="C261" s="349"/>
      <c r="D261" s="352"/>
      <c r="E261" s="352"/>
      <c r="F261" s="351"/>
      <c r="G261" s="352"/>
      <c r="H261" s="353"/>
      <c r="I261" s="191"/>
      <c r="J261" s="353"/>
      <c r="K261" s="191"/>
      <c r="L261" s="354"/>
      <c r="M261" s="355"/>
      <c r="N261" s="354"/>
      <c r="O261" s="354"/>
      <c r="P261" s="353"/>
      <c r="Q261" s="191"/>
      <c r="R261" s="353"/>
      <c r="S261" s="191"/>
      <c r="T261" s="354"/>
      <c r="U261" s="355"/>
      <c r="V261" s="354"/>
      <c r="W261" s="354"/>
      <c r="X261" s="353"/>
      <c r="Y261" s="191"/>
      <c r="Z261" s="353"/>
      <c r="AA261" s="191"/>
      <c r="AB261" s="354"/>
      <c r="AC261" s="355"/>
      <c r="AD261" s="354"/>
      <c r="AE261" s="354"/>
      <c r="AF261" s="353"/>
      <c r="AG261" s="191"/>
      <c r="AH261" s="201"/>
      <c r="AI261" s="191"/>
      <c r="AJ261" s="354"/>
      <c r="AK261" s="355"/>
      <c r="AL261" s="354"/>
      <c r="AM261" s="354"/>
      <c r="AN261" s="353"/>
      <c r="AO261" s="191"/>
      <c r="AP261" s="201"/>
      <c r="AQ261" s="201"/>
      <c r="AR261" s="352"/>
      <c r="AS261" s="352"/>
      <c r="AT261" s="352"/>
      <c r="AU261" s="352"/>
      <c r="AV261" s="352"/>
      <c r="AW261" s="352"/>
      <c r="AX261" s="352"/>
      <c r="AY261" s="190"/>
      <c r="AZ261" s="240"/>
      <c r="BA261" s="232"/>
      <c r="BF261" s="206"/>
      <c r="BG261" s="206"/>
      <c r="BK261" s="126"/>
      <c r="BL261" s="126"/>
      <c r="BN261" s="126"/>
      <c r="BO261" s="126"/>
      <c r="BQ261" s="126"/>
      <c r="BR261" s="126"/>
      <c r="BT261" s="126"/>
      <c r="BU261" s="126"/>
      <c r="BW261" s="126"/>
      <c r="BX261" s="126"/>
      <c r="BZ261" s="126"/>
      <c r="CA261" s="126"/>
      <c r="CC261" s="126"/>
      <c r="CD261" s="126"/>
      <c r="CF261" s="126"/>
      <c r="CG261" s="126"/>
    </row>
    <row r="262" spans="1:85" s="197" customFormat="1" x14ac:dyDescent="0.3">
      <c r="A262" s="201" t="s">
        <v>223</v>
      </c>
      <c r="B262" s="191">
        <v>0</v>
      </c>
      <c r="C262" s="356" t="s">
        <v>427</v>
      </c>
      <c r="D262" s="352">
        <v>6.5</v>
      </c>
      <c r="E262" s="352">
        <v>2.83</v>
      </c>
      <c r="F262" s="351">
        <v>0.13</v>
      </c>
      <c r="G262" s="352">
        <f t="shared" si="183"/>
        <v>0</v>
      </c>
      <c r="H262" s="353">
        <f t="shared" si="185"/>
        <v>0</v>
      </c>
      <c r="I262" s="191">
        <f>GETPIVOTDATA($BN$20,A262)</f>
        <v>8</v>
      </c>
      <c r="J262" s="353">
        <f>GETPIVOTDATA($BQ$20,A262)*2</f>
        <v>0.2</v>
      </c>
      <c r="K262" s="191">
        <f>(ROUND(E262/J262,0)+1)*GETPIVOTDATA($CF$20,A262)</f>
        <v>15</v>
      </c>
      <c r="L262" s="354">
        <f>GETPIVOTDATA($BT$20,A262)</f>
        <v>5.4600000000000003E-2</v>
      </c>
      <c r="M262" s="355">
        <f>0.3*2</f>
        <v>0.6</v>
      </c>
      <c r="N262" s="354">
        <f t="shared" ref="N262:N314" si="186">-(0.02*2)</f>
        <v>-0.04</v>
      </c>
      <c r="O262" s="354">
        <f>1.11*0.3</f>
        <v>0.33300000000000002</v>
      </c>
      <c r="P262" s="353">
        <f t="shared" ref="P262:P314" si="187">+D262+SUM(L262:O262)</f>
        <v>7.4475999999999996</v>
      </c>
      <c r="Q262" s="191">
        <f>GETPIVOTDATA($BN$20,A262)</f>
        <v>8</v>
      </c>
      <c r="R262" s="353">
        <f>GETPIVOTDATA($BQ$20,A262)*2</f>
        <v>0.2</v>
      </c>
      <c r="S262" s="191">
        <f>(ROUND(E262/R262,0))*GETPIVOTDATA($CF$20,A262)</f>
        <v>14</v>
      </c>
      <c r="T262" s="354">
        <f>GETPIVOTDATA($BT$20,A262)</f>
        <v>5.4600000000000003E-2</v>
      </c>
      <c r="U262" s="355">
        <f>0.3*2</f>
        <v>0.6</v>
      </c>
      <c r="V262" s="354">
        <f t="shared" ref="V262:V314" si="188">-(0.02*2)</f>
        <v>-0.04</v>
      </c>
      <c r="W262" s="354">
        <f>2.31*0.3</f>
        <v>0.69299999999999995</v>
      </c>
      <c r="X262" s="353">
        <f t="shared" ref="X262:X314" si="189">+D262+SUM(T262:W262)</f>
        <v>7.8075999999999999</v>
      </c>
      <c r="Y262" s="191">
        <f>GETPIVOTDATA($BW$20,A262)</f>
        <v>8</v>
      </c>
      <c r="Z262" s="353">
        <f>GETPIVOTDATA($CC$20,A262)*2</f>
        <v>0.36</v>
      </c>
      <c r="AA262" s="191">
        <f>(ROUND(D262/Z262,0)+1)*GETPIVOTDATA($CF$20,A262)</f>
        <v>19</v>
      </c>
      <c r="AB262" s="354">
        <f>GETPIVOTDATA($BZ$20,A262)</f>
        <v>5.4600000000000003E-2</v>
      </c>
      <c r="AC262" s="355">
        <f>0.3*2</f>
        <v>0.6</v>
      </c>
      <c r="AD262" s="354">
        <f t="shared" ref="AD262:AD314" si="190">-(0.02*2)</f>
        <v>-0.04</v>
      </c>
      <c r="AE262" s="354">
        <f>4.42*0.3</f>
        <v>1.3259999999999998</v>
      </c>
      <c r="AF262" s="353">
        <f t="shared" ref="AF262:AF314" si="191">+E262+SUM(AB262:AE262)</f>
        <v>4.7706</v>
      </c>
      <c r="AG262" s="191">
        <f>GETPIVOTDATA($BW$20,A262)</f>
        <v>8</v>
      </c>
      <c r="AH262" s="201">
        <f>GETPIVOTDATA($CC$20,A262)*2</f>
        <v>0.36</v>
      </c>
      <c r="AI262" s="191">
        <f>(ROUND(D262/AH262,0))*GETPIVOTDATA($CF$20,A262)</f>
        <v>18</v>
      </c>
      <c r="AJ262" s="354">
        <f>GETPIVOTDATA($BZ$20,A262)</f>
        <v>5.4600000000000003E-2</v>
      </c>
      <c r="AK262" s="355">
        <f>0.3*2</f>
        <v>0.6</v>
      </c>
      <c r="AL262" s="354">
        <f t="shared" ref="AL262:AL314" si="192">-(0.02*2)</f>
        <v>-0.04</v>
      </c>
      <c r="AM262" s="354">
        <f>2.83*0.3</f>
        <v>0.84899999999999998</v>
      </c>
      <c r="AN262" s="353">
        <f t="shared" ref="AN262:AN314" si="193">+E262+SUM(AJ262:AM262)</f>
        <v>4.2935999999999996</v>
      </c>
      <c r="AO262" s="191">
        <v>0</v>
      </c>
      <c r="AP262" s="201">
        <f t="shared" ref="AP262:AP314" si="194">(ROUND(D262/1.5,0)+ROUND(E262/1.5,0))*2</f>
        <v>12</v>
      </c>
      <c r="AQ262" s="201">
        <v>1.5</v>
      </c>
      <c r="AR262" s="352">
        <f t="shared" si="176"/>
        <v>0</v>
      </c>
      <c r="AS262" s="352">
        <f t="shared" si="177"/>
        <v>0</v>
      </c>
      <c r="AT262" s="352">
        <f t="shared" si="178"/>
        <v>0</v>
      </c>
      <c r="AU262" s="352">
        <f t="shared" si="179"/>
        <v>0</v>
      </c>
      <c r="AV262" s="352">
        <f t="shared" si="180"/>
        <v>0</v>
      </c>
      <c r="AW262" s="352">
        <f t="shared" ref="AW262:AW314" si="195">IF(AG262=12,AI262*AN262*B262,0)+IF(Y262=12,B262*AA262*AF262,0)</f>
        <v>0</v>
      </c>
      <c r="AX262" s="352">
        <f t="shared" ref="AX262:AX314" si="196">AP262*AQ262*B262</f>
        <v>0</v>
      </c>
      <c r="AY262" s="190"/>
      <c r="AZ262" s="240"/>
      <c r="BA262" s="232"/>
      <c r="BF262" s="206"/>
      <c r="BG262" s="206"/>
      <c r="BK262" s="126"/>
      <c r="BL262" s="126"/>
      <c r="BN262" s="126"/>
      <c r="BO262" s="126"/>
      <c r="BQ262" s="126"/>
      <c r="BR262" s="126"/>
      <c r="BT262" s="126"/>
      <c r="BU262" s="126"/>
      <c r="BW262" s="126"/>
      <c r="BX262" s="126"/>
      <c r="BZ262" s="126"/>
      <c r="CA262" s="126"/>
      <c r="CC262" s="126"/>
      <c r="CD262" s="126"/>
      <c r="CF262" s="126"/>
      <c r="CG262" s="126"/>
    </row>
    <row r="263" spans="1:85" s="197" customFormat="1" x14ac:dyDescent="0.3">
      <c r="A263" s="201"/>
      <c r="B263" s="191"/>
      <c r="C263" s="349"/>
      <c r="D263" s="352"/>
      <c r="E263" s="352"/>
      <c r="F263" s="351"/>
      <c r="G263" s="352"/>
      <c r="H263" s="353"/>
      <c r="I263" s="191"/>
      <c r="J263" s="353"/>
      <c r="K263" s="191"/>
      <c r="L263" s="354"/>
      <c r="M263" s="355"/>
      <c r="N263" s="354"/>
      <c r="O263" s="354"/>
      <c r="P263" s="353"/>
      <c r="Q263" s="191"/>
      <c r="R263" s="353"/>
      <c r="S263" s="191"/>
      <c r="T263" s="354"/>
      <c r="U263" s="355"/>
      <c r="V263" s="354"/>
      <c r="W263" s="354"/>
      <c r="X263" s="353"/>
      <c r="Y263" s="191"/>
      <c r="Z263" s="353"/>
      <c r="AA263" s="191"/>
      <c r="AB263" s="354"/>
      <c r="AC263" s="355"/>
      <c r="AD263" s="354"/>
      <c r="AE263" s="354"/>
      <c r="AF263" s="353"/>
      <c r="AG263" s="191"/>
      <c r="AH263" s="201"/>
      <c r="AI263" s="191"/>
      <c r="AJ263" s="354"/>
      <c r="AK263" s="355"/>
      <c r="AL263" s="354"/>
      <c r="AM263" s="354"/>
      <c r="AN263" s="353"/>
      <c r="AO263" s="191"/>
      <c r="AP263" s="201"/>
      <c r="AQ263" s="201"/>
      <c r="AR263" s="352"/>
      <c r="AS263" s="352"/>
      <c r="AT263" s="352"/>
      <c r="AU263" s="352"/>
      <c r="AV263" s="352"/>
      <c r="AW263" s="352"/>
      <c r="AX263" s="352"/>
      <c r="AY263" s="190"/>
      <c r="AZ263" s="240"/>
      <c r="BA263" s="232"/>
      <c r="BF263" s="206"/>
      <c r="BG263" s="206"/>
      <c r="BK263" s="126"/>
      <c r="BL263" s="126"/>
      <c r="BN263" s="126"/>
      <c r="BO263" s="126"/>
      <c r="BQ263" s="126"/>
      <c r="BR263" s="126"/>
      <c r="BT263" s="126"/>
      <c r="BU263" s="126"/>
      <c r="BW263" s="126"/>
      <c r="BX263" s="126"/>
      <c r="BZ263" s="126"/>
      <c r="CA263" s="126"/>
      <c r="CC263" s="126"/>
      <c r="CD263" s="126"/>
      <c r="CF263" s="126"/>
      <c r="CG263" s="126"/>
    </row>
    <row r="264" spans="1:85" s="197" customFormat="1" x14ac:dyDescent="0.3">
      <c r="A264" s="201"/>
      <c r="B264" s="191"/>
      <c r="C264" s="349"/>
      <c r="D264" s="352"/>
      <c r="E264" s="352"/>
      <c r="F264" s="351"/>
      <c r="G264" s="352"/>
      <c r="H264" s="353"/>
      <c r="I264" s="191"/>
      <c r="J264" s="353"/>
      <c r="K264" s="191"/>
      <c r="L264" s="354"/>
      <c r="M264" s="355"/>
      <c r="N264" s="354"/>
      <c r="O264" s="354"/>
      <c r="P264" s="353"/>
      <c r="Q264" s="191"/>
      <c r="R264" s="353"/>
      <c r="S264" s="191"/>
      <c r="T264" s="354"/>
      <c r="U264" s="355"/>
      <c r="V264" s="354"/>
      <c r="W264" s="354"/>
      <c r="X264" s="353"/>
      <c r="Y264" s="191"/>
      <c r="Z264" s="353"/>
      <c r="AA264" s="191"/>
      <c r="AB264" s="354"/>
      <c r="AC264" s="355"/>
      <c r="AD264" s="354"/>
      <c r="AE264" s="354"/>
      <c r="AF264" s="353"/>
      <c r="AG264" s="191"/>
      <c r="AH264" s="201"/>
      <c r="AI264" s="191"/>
      <c r="AJ264" s="354"/>
      <c r="AK264" s="355"/>
      <c r="AL264" s="354"/>
      <c r="AM264" s="354"/>
      <c r="AN264" s="353"/>
      <c r="AO264" s="191"/>
      <c r="AP264" s="201"/>
      <c r="AQ264" s="201"/>
      <c r="AR264" s="352"/>
      <c r="AS264" s="352"/>
      <c r="AT264" s="352"/>
      <c r="AU264" s="352"/>
      <c r="AV264" s="352"/>
      <c r="AW264" s="352"/>
      <c r="AX264" s="352"/>
      <c r="AY264" s="190"/>
      <c r="AZ264" s="240"/>
      <c r="BA264" s="232"/>
      <c r="BF264" s="206"/>
      <c r="BG264" s="206"/>
      <c r="BK264" s="126"/>
      <c r="BL264" s="126"/>
      <c r="BN264" s="126"/>
      <c r="BO264" s="126"/>
      <c r="BQ264" s="126"/>
      <c r="BR264" s="126"/>
      <c r="BT264" s="126"/>
      <c r="BU264" s="126"/>
      <c r="BW264" s="126"/>
      <c r="BX264" s="126"/>
      <c r="BZ264" s="126"/>
      <c r="CA264" s="126"/>
      <c r="CC264" s="126"/>
      <c r="CD264" s="126"/>
      <c r="CF264" s="126"/>
      <c r="CG264" s="126"/>
    </row>
    <row r="265" spans="1:85" s="197" customFormat="1" x14ac:dyDescent="0.3">
      <c r="A265" s="201"/>
      <c r="B265" s="191"/>
      <c r="C265" s="349"/>
      <c r="D265" s="352"/>
      <c r="E265" s="352"/>
      <c r="F265" s="351"/>
      <c r="G265" s="352"/>
      <c r="H265" s="353"/>
      <c r="I265" s="191"/>
      <c r="J265" s="353"/>
      <c r="K265" s="191"/>
      <c r="L265" s="354"/>
      <c r="M265" s="355"/>
      <c r="N265" s="354"/>
      <c r="O265" s="354"/>
      <c r="P265" s="353"/>
      <c r="Q265" s="191"/>
      <c r="R265" s="353"/>
      <c r="S265" s="191"/>
      <c r="T265" s="354"/>
      <c r="U265" s="355"/>
      <c r="V265" s="354"/>
      <c r="W265" s="354"/>
      <c r="X265" s="353"/>
      <c r="Y265" s="191"/>
      <c r="Z265" s="353"/>
      <c r="AA265" s="191"/>
      <c r="AB265" s="354"/>
      <c r="AC265" s="355"/>
      <c r="AD265" s="354"/>
      <c r="AE265" s="354"/>
      <c r="AF265" s="353"/>
      <c r="AG265" s="191"/>
      <c r="AH265" s="201"/>
      <c r="AI265" s="191"/>
      <c r="AJ265" s="354"/>
      <c r="AK265" s="355"/>
      <c r="AL265" s="354"/>
      <c r="AM265" s="354"/>
      <c r="AN265" s="353"/>
      <c r="AO265" s="191"/>
      <c r="AP265" s="201"/>
      <c r="AQ265" s="201"/>
      <c r="AR265" s="352"/>
      <c r="AS265" s="352"/>
      <c r="AT265" s="352"/>
      <c r="AU265" s="352"/>
      <c r="AV265" s="352"/>
      <c r="AW265" s="352"/>
      <c r="AX265" s="352"/>
      <c r="AY265" s="190"/>
      <c r="AZ265" s="240"/>
      <c r="BA265" s="232"/>
      <c r="BF265" s="206"/>
      <c r="BG265" s="206"/>
      <c r="BK265" s="126"/>
      <c r="BL265" s="126"/>
      <c r="BN265" s="126"/>
      <c r="BO265" s="126"/>
      <c r="BQ265" s="126"/>
      <c r="BR265" s="126"/>
      <c r="BT265" s="126"/>
      <c r="BU265" s="126"/>
      <c r="BW265" s="126"/>
      <c r="BX265" s="126"/>
      <c r="BZ265" s="126"/>
      <c r="CA265" s="126"/>
      <c r="CC265" s="126"/>
      <c r="CD265" s="126"/>
      <c r="CF265" s="126"/>
      <c r="CG265" s="126"/>
    </row>
    <row r="266" spans="1:85" s="197" customFormat="1" x14ac:dyDescent="0.3">
      <c r="A266" s="201"/>
      <c r="B266" s="191"/>
      <c r="C266" s="349"/>
      <c r="D266" s="352"/>
      <c r="E266" s="352"/>
      <c r="F266" s="351"/>
      <c r="G266" s="352"/>
      <c r="H266" s="353"/>
      <c r="I266" s="191"/>
      <c r="J266" s="353"/>
      <c r="K266" s="191"/>
      <c r="L266" s="354"/>
      <c r="M266" s="355"/>
      <c r="N266" s="354"/>
      <c r="O266" s="354"/>
      <c r="P266" s="353"/>
      <c r="Q266" s="191"/>
      <c r="R266" s="353"/>
      <c r="S266" s="191"/>
      <c r="T266" s="354"/>
      <c r="U266" s="355"/>
      <c r="V266" s="354"/>
      <c r="W266" s="354"/>
      <c r="X266" s="353"/>
      <c r="Y266" s="191"/>
      <c r="Z266" s="353"/>
      <c r="AA266" s="191"/>
      <c r="AB266" s="354"/>
      <c r="AC266" s="355"/>
      <c r="AD266" s="354"/>
      <c r="AE266" s="354"/>
      <c r="AF266" s="353"/>
      <c r="AG266" s="191"/>
      <c r="AH266" s="201"/>
      <c r="AI266" s="191"/>
      <c r="AJ266" s="354"/>
      <c r="AK266" s="355"/>
      <c r="AL266" s="354"/>
      <c r="AM266" s="354"/>
      <c r="AN266" s="353"/>
      <c r="AO266" s="191"/>
      <c r="AP266" s="201"/>
      <c r="AQ266" s="201"/>
      <c r="AR266" s="352"/>
      <c r="AS266" s="352"/>
      <c r="AT266" s="352"/>
      <c r="AU266" s="352"/>
      <c r="AV266" s="352"/>
      <c r="AW266" s="352"/>
      <c r="AX266" s="352"/>
      <c r="AY266" s="190"/>
      <c r="AZ266" s="240"/>
      <c r="BA266" s="232"/>
      <c r="BF266" s="206"/>
      <c r="BG266" s="206"/>
      <c r="BK266" s="126"/>
      <c r="BL266" s="126"/>
      <c r="BN266" s="126"/>
      <c r="BO266" s="126"/>
      <c r="BQ266" s="126"/>
      <c r="BR266" s="126"/>
      <c r="BT266" s="126"/>
      <c r="BU266" s="126"/>
      <c r="BW266" s="126"/>
      <c r="BX266" s="126"/>
      <c r="BZ266" s="126"/>
      <c r="CA266" s="126"/>
      <c r="CC266" s="126"/>
      <c r="CD266" s="126"/>
      <c r="CF266" s="126"/>
      <c r="CG266" s="126"/>
    </row>
    <row r="267" spans="1:85" s="197" customFormat="1" x14ac:dyDescent="0.3">
      <c r="A267" s="201"/>
      <c r="B267" s="191"/>
      <c r="C267" s="349"/>
      <c r="D267" s="352"/>
      <c r="E267" s="352"/>
      <c r="F267" s="351"/>
      <c r="G267" s="352"/>
      <c r="H267" s="353"/>
      <c r="I267" s="191"/>
      <c r="J267" s="353"/>
      <c r="K267" s="191"/>
      <c r="L267" s="354"/>
      <c r="M267" s="355"/>
      <c r="N267" s="354"/>
      <c r="O267" s="354"/>
      <c r="P267" s="353"/>
      <c r="Q267" s="191"/>
      <c r="R267" s="353"/>
      <c r="S267" s="191"/>
      <c r="T267" s="354"/>
      <c r="U267" s="355"/>
      <c r="V267" s="354"/>
      <c r="W267" s="354"/>
      <c r="X267" s="353"/>
      <c r="Y267" s="191"/>
      <c r="Z267" s="353"/>
      <c r="AA267" s="191"/>
      <c r="AB267" s="354"/>
      <c r="AC267" s="355"/>
      <c r="AD267" s="354"/>
      <c r="AE267" s="354"/>
      <c r="AF267" s="353"/>
      <c r="AG267" s="191"/>
      <c r="AH267" s="201"/>
      <c r="AI267" s="191"/>
      <c r="AJ267" s="354"/>
      <c r="AK267" s="355"/>
      <c r="AL267" s="354"/>
      <c r="AM267" s="354"/>
      <c r="AN267" s="353"/>
      <c r="AO267" s="191"/>
      <c r="AP267" s="201"/>
      <c r="AQ267" s="201"/>
      <c r="AR267" s="352"/>
      <c r="AS267" s="352"/>
      <c r="AT267" s="352"/>
      <c r="AU267" s="352"/>
      <c r="AV267" s="352"/>
      <c r="AW267" s="352"/>
      <c r="AX267" s="352"/>
      <c r="AY267" s="190"/>
      <c r="AZ267" s="240"/>
      <c r="BA267" s="232"/>
      <c r="BF267" s="206"/>
      <c r="BG267" s="206"/>
      <c r="BK267" s="126"/>
      <c r="BL267" s="126"/>
      <c r="BN267" s="126"/>
      <c r="BO267" s="126"/>
      <c r="BQ267" s="126"/>
      <c r="BR267" s="126"/>
      <c r="BT267" s="126"/>
      <c r="BU267" s="126"/>
      <c r="BW267" s="126"/>
      <c r="BX267" s="126"/>
      <c r="BZ267" s="126"/>
      <c r="CA267" s="126"/>
      <c r="CC267" s="126"/>
      <c r="CD267" s="126"/>
      <c r="CF267" s="126"/>
      <c r="CG267" s="126"/>
    </row>
    <row r="268" spans="1:85" s="197" customFormat="1" x14ac:dyDescent="0.3">
      <c r="A268" s="201"/>
      <c r="B268" s="191"/>
      <c r="C268" s="349"/>
      <c r="D268" s="352"/>
      <c r="E268" s="352"/>
      <c r="F268" s="351"/>
      <c r="G268" s="352"/>
      <c r="H268" s="353"/>
      <c r="I268" s="191"/>
      <c r="J268" s="353"/>
      <c r="K268" s="191"/>
      <c r="L268" s="354"/>
      <c r="M268" s="355"/>
      <c r="N268" s="354"/>
      <c r="O268" s="354"/>
      <c r="P268" s="353"/>
      <c r="Q268" s="191"/>
      <c r="R268" s="353"/>
      <c r="S268" s="191"/>
      <c r="T268" s="354"/>
      <c r="U268" s="355"/>
      <c r="V268" s="354"/>
      <c r="W268" s="354"/>
      <c r="X268" s="353"/>
      <c r="Y268" s="191"/>
      <c r="Z268" s="353"/>
      <c r="AA268" s="191"/>
      <c r="AB268" s="354"/>
      <c r="AC268" s="355"/>
      <c r="AD268" s="354"/>
      <c r="AE268" s="354"/>
      <c r="AF268" s="353"/>
      <c r="AG268" s="191"/>
      <c r="AH268" s="201"/>
      <c r="AI268" s="191"/>
      <c r="AJ268" s="354"/>
      <c r="AK268" s="355"/>
      <c r="AL268" s="354"/>
      <c r="AM268" s="354"/>
      <c r="AN268" s="353"/>
      <c r="AO268" s="191"/>
      <c r="AP268" s="201"/>
      <c r="AQ268" s="201"/>
      <c r="AR268" s="352"/>
      <c r="AS268" s="352"/>
      <c r="AT268" s="352"/>
      <c r="AU268" s="352"/>
      <c r="AV268" s="352"/>
      <c r="AW268" s="352"/>
      <c r="AX268" s="352"/>
      <c r="AY268" s="190"/>
      <c r="AZ268" s="240"/>
      <c r="BA268" s="232"/>
      <c r="BF268" s="206"/>
      <c r="BG268" s="206"/>
      <c r="BK268" s="126"/>
      <c r="BL268" s="126"/>
      <c r="BN268" s="126"/>
      <c r="BO268" s="126"/>
      <c r="BQ268" s="126"/>
      <c r="BR268" s="126"/>
      <c r="BT268" s="126"/>
      <c r="BU268" s="126"/>
      <c r="BW268" s="126"/>
      <c r="BX268" s="126"/>
      <c r="BZ268" s="126"/>
      <c r="CA268" s="126"/>
      <c r="CC268" s="126"/>
      <c r="CD268" s="126"/>
      <c r="CF268" s="126"/>
      <c r="CG268" s="126"/>
    </row>
    <row r="269" spans="1:85" s="197" customFormat="1" x14ac:dyDescent="0.3">
      <c r="A269" s="201"/>
      <c r="B269" s="191"/>
      <c r="C269" s="349"/>
      <c r="D269" s="352"/>
      <c r="E269" s="352"/>
      <c r="F269" s="351"/>
      <c r="G269" s="352"/>
      <c r="H269" s="353"/>
      <c r="I269" s="191"/>
      <c r="J269" s="353"/>
      <c r="K269" s="191"/>
      <c r="L269" s="354"/>
      <c r="M269" s="355"/>
      <c r="N269" s="354"/>
      <c r="O269" s="354"/>
      <c r="P269" s="353"/>
      <c r="Q269" s="191"/>
      <c r="R269" s="353"/>
      <c r="S269" s="191"/>
      <c r="T269" s="354"/>
      <c r="U269" s="355"/>
      <c r="V269" s="354"/>
      <c r="W269" s="354"/>
      <c r="X269" s="353"/>
      <c r="Y269" s="191"/>
      <c r="Z269" s="353"/>
      <c r="AA269" s="191"/>
      <c r="AB269" s="354"/>
      <c r="AC269" s="355"/>
      <c r="AD269" s="354"/>
      <c r="AE269" s="354"/>
      <c r="AF269" s="353"/>
      <c r="AG269" s="191"/>
      <c r="AH269" s="201"/>
      <c r="AI269" s="191"/>
      <c r="AJ269" s="354"/>
      <c r="AK269" s="355"/>
      <c r="AL269" s="354"/>
      <c r="AM269" s="354"/>
      <c r="AN269" s="353"/>
      <c r="AO269" s="191"/>
      <c r="AP269" s="201"/>
      <c r="AQ269" s="201"/>
      <c r="AR269" s="352"/>
      <c r="AS269" s="352"/>
      <c r="AT269" s="352"/>
      <c r="AU269" s="352"/>
      <c r="AV269" s="352"/>
      <c r="AW269" s="352"/>
      <c r="AX269" s="352"/>
      <c r="AY269" s="190"/>
      <c r="AZ269" s="240"/>
      <c r="BA269" s="232"/>
      <c r="BF269" s="206"/>
      <c r="BG269" s="206"/>
      <c r="BK269" s="126"/>
      <c r="BL269" s="126"/>
      <c r="BN269" s="126"/>
      <c r="BO269" s="126"/>
      <c r="BQ269" s="126"/>
      <c r="BR269" s="126"/>
      <c r="BT269" s="126"/>
      <c r="BU269" s="126"/>
      <c r="BW269" s="126"/>
      <c r="BX269" s="126"/>
      <c r="BZ269" s="126"/>
      <c r="CA269" s="126"/>
      <c r="CC269" s="126"/>
      <c r="CD269" s="126"/>
      <c r="CF269" s="126"/>
      <c r="CG269" s="126"/>
    </row>
    <row r="270" spans="1:85" s="197" customFormat="1" x14ac:dyDescent="0.3">
      <c r="A270" s="201"/>
      <c r="B270" s="191"/>
      <c r="C270" s="349"/>
      <c r="D270" s="352"/>
      <c r="E270" s="352"/>
      <c r="F270" s="351"/>
      <c r="G270" s="352"/>
      <c r="H270" s="353"/>
      <c r="I270" s="191"/>
      <c r="J270" s="353"/>
      <c r="K270" s="191"/>
      <c r="L270" s="354"/>
      <c r="M270" s="355"/>
      <c r="N270" s="354"/>
      <c r="O270" s="354"/>
      <c r="P270" s="353"/>
      <c r="Q270" s="191"/>
      <c r="R270" s="353"/>
      <c r="S270" s="191"/>
      <c r="T270" s="354"/>
      <c r="U270" s="355"/>
      <c r="V270" s="354"/>
      <c r="W270" s="354"/>
      <c r="X270" s="353"/>
      <c r="Y270" s="191"/>
      <c r="Z270" s="353"/>
      <c r="AA270" s="191"/>
      <c r="AB270" s="354"/>
      <c r="AC270" s="355"/>
      <c r="AD270" s="354"/>
      <c r="AE270" s="354"/>
      <c r="AF270" s="353"/>
      <c r="AG270" s="191"/>
      <c r="AH270" s="201"/>
      <c r="AI270" s="191"/>
      <c r="AJ270" s="354"/>
      <c r="AK270" s="355"/>
      <c r="AL270" s="354"/>
      <c r="AM270" s="354"/>
      <c r="AN270" s="353"/>
      <c r="AO270" s="191"/>
      <c r="AP270" s="201"/>
      <c r="AQ270" s="201"/>
      <c r="AR270" s="352"/>
      <c r="AS270" s="352"/>
      <c r="AT270" s="352"/>
      <c r="AU270" s="352"/>
      <c r="AV270" s="352"/>
      <c r="AW270" s="352"/>
      <c r="AX270" s="352"/>
      <c r="AY270" s="190"/>
      <c r="AZ270" s="240"/>
      <c r="BA270" s="232"/>
      <c r="BF270" s="206"/>
      <c r="BG270" s="206"/>
      <c r="BK270" s="126"/>
      <c r="BL270" s="126"/>
      <c r="BN270" s="126"/>
      <c r="BO270" s="126"/>
      <c r="BQ270" s="126"/>
      <c r="BR270" s="126"/>
      <c r="BT270" s="126"/>
      <c r="BU270" s="126"/>
      <c r="BW270" s="126"/>
      <c r="BX270" s="126"/>
      <c r="BZ270" s="126"/>
      <c r="CA270" s="126"/>
      <c r="CC270" s="126"/>
      <c r="CD270" s="126"/>
      <c r="CF270" s="126"/>
      <c r="CG270" s="126"/>
    </row>
    <row r="271" spans="1:85" s="197" customFormat="1" x14ac:dyDescent="0.3">
      <c r="A271" s="201"/>
      <c r="B271" s="191"/>
      <c r="C271" s="349"/>
      <c r="D271" s="352"/>
      <c r="E271" s="352"/>
      <c r="F271" s="351"/>
      <c r="G271" s="352"/>
      <c r="H271" s="353"/>
      <c r="I271" s="191"/>
      <c r="J271" s="353"/>
      <c r="K271" s="191"/>
      <c r="L271" s="354"/>
      <c r="M271" s="355"/>
      <c r="N271" s="354"/>
      <c r="O271" s="354"/>
      <c r="P271" s="353"/>
      <c r="Q271" s="191"/>
      <c r="R271" s="353"/>
      <c r="S271" s="191"/>
      <c r="T271" s="354"/>
      <c r="U271" s="355"/>
      <c r="V271" s="354"/>
      <c r="W271" s="354"/>
      <c r="X271" s="353"/>
      <c r="Y271" s="191"/>
      <c r="Z271" s="353"/>
      <c r="AA271" s="191"/>
      <c r="AB271" s="354"/>
      <c r="AC271" s="355"/>
      <c r="AD271" s="354"/>
      <c r="AE271" s="354"/>
      <c r="AF271" s="353"/>
      <c r="AG271" s="191"/>
      <c r="AH271" s="201"/>
      <c r="AI271" s="191"/>
      <c r="AJ271" s="354"/>
      <c r="AK271" s="355"/>
      <c r="AL271" s="354"/>
      <c r="AM271" s="354"/>
      <c r="AN271" s="353"/>
      <c r="AO271" s="191"/>
      <c r="AP271" s="201"/>
      <c r="AQ271" s="201"/>
      <c r="AR271" s="352"/>
      <c r="AS271" s="352"/>
      <c r="AT271" s="352"/>
      <c r="AU271" s="352"/>
      <c r="AV271" s="352"/>
      <c r="AW271" s="352"/>
      <c r="AX271" s="352"/>
      <c r="AY271" s="190"/>
      <c r="AZ271" s="240"/>
      <c r="BA271" s="232"/>
      <c r="BF271" s="206"/>
      <c r="BG271" s="206"/>
      <c r="BK271" s="126"/>
      <c r="BL271" s="126"/>
      <c r="BN271" s="126"/>
      <c r="BO271" s="126"/>
      <c r="BQ271" s="126"/>
      <c r="BR271" s="126"/>
      <c r="BT271" s="126"/>
      <c r="BU271" s="126"/>
      <c r="BW271" s="126"/>
      <c r="BX271" s="126"/>
      <c r="BZ271" s="126"/>
      <c r="CA271" s="126"/>
      <c r="CC271" s="126"/>
      <c r="CD271" s="126"/>
      <c r="CF271" s="126"/>
      <c r="CG271" s="126"/>
    </row>
    <row r="272" spans="1:85" s="197" customFormat="1" x14ac:dyDescent="0.3">
      <c r="A272" s="201"/>
      <c r="B272" s="191"/>
      <c r="C272" s="349"/>
      <c r="D272" s="352"/>
      <c r="E272" s="352"/>
      <c r="F272" s="351"/>
      <c r="G272" s="352"/>
      <c r="H272" s="353"/>
      <c r="I272" s="191"/>
      <c r="J272" s="353"/>
      <c r="K272" s="191"/>
      <c r="L272" s="354"/>
      <c r="M272" s="355"/>
      <c r="N272" s="354"/>
      <c r="O272" s="354"/>
      <c r="P272" s="353"/>
      <c r="Q272" s="191"/>
      <c r="R272" s="353"/>
      <c r="S272" s="191"/>
      <c r="T272" s="354"/>
      <c r="U272" s="355"/>
      <c r="V272" s="354"/>
      <c r="W272" s="354"/>
      <c r="X272" s="353"/>
      <c r="Y272" s="191"/>
      <c r="Z272" s="353"/>
      <c r="AA272" s="191"/>
      <c r="AB272" s="354"/>
      <c r="AC272" s="355"/>
      <c r="AD272" s="354"/>
      <c r="AE272" s="354"/>
      <c r="AF272" s="353"/>
      <c r="AG272" s="191"/>
      <c r="AH272" s="201"/>
      <c r="AI272" s="191"/>
      <c r="AJ272" s="354"/>
      <c r="AK272" s="355"/>
      <c r="AL272" s="354"/>
      <c r="AM272" s="354"/>
      <c r="AN272" s="353"/>
      <c r="AO272" s="191"/>
      <c r="AP272" s="201"/>
      <c r="AQ272" s="201"/>
      <c r="AR272" s="352"/>
      <c r="AS272" s="352"/>
      <c r="AT272" s="352"/>
      <c r="AU272" s="352"/>
      <c r="AV272" s="352"/>
      <c r="AW272" s="352"/>
      <c r="AX272" s="352"/>
      <c r="AY272" s="190"/>
      <c r="AZ272" s="240"/>
      <c r="BA272" s="232"/>
      <c r="BF272" s="206"/>
      <c r="BG272" s="206"/>
      <c r="BK272" s="126"/>
      <c r="BL272" s="126"/>
      <c r="BN272" s="126"/>
      <c r="BO272" s="126"/>
      <c r="BQ272" s="126"/>
      <c r="BR272" s="126"/>
      <c r="BT272" s="126"/>
      <c r="BU272" s="126"/>
      <c r="BW272" s="126"/>
      <c r="BX272" s="126"/>
      <c r="BZ272" s="126"/>
      <c r="CA272" s="126"/>
      <c r="CC272" s="126"/>
      <c r="CD272" s="126"/>
      <c r="CF272" s="126"/>
      <c r="CG272" s="126"/>
    </row>
    <row r="273" spans="1:85" s="197" customFormat="1" x14ac:dyDescent="0.3">
      <c r="A273" s="201"/>
      <c r="B273" s="191"/>
      <c r="C273" s="349"/>
      <c r="D273" s="352"/>
      <c r="E273" s="352"/>
      <c r="F273" s="351"/>
      <c r="G273" s="352"/>
      <c r="H273" s="353"/>
      <c r="I273" s="191"/>
      <c r="J273" s="353"/>
      <c r="K273" s="191"/>
      <c r="L273" s="354"/>
      <c r="M273" s="355"/>
      <c r="N273" s="354"/>
      <c r="O273" s="354"/>
      <c r="P273" s="353"/>
      <c r="Q273" s="191"/>
      <c r="R273" s="353"/>
      <c r="S273" s="191"/>
      <c r="T273" s="354"/>
      <c r="U273" s="355"/>
      <c r="V273" s="354"/>
      <c r="W273" s="354"/>
      <c r="X273" s="353"/>
      <c r="Y273" s="191"/>
      <c r="Z273" s="353"/>
      <c r="AA273" s="191"/>
      <c r="AB273" s="354"/>
      <c r="AC273" s="355"/>
      <c r="AD273" s="354"/>
      <c r="AE273" s="354"/>
      <c r="AF273" s="353"/>
      <c r="AG273" s="191"/>
      <c r="AH273" s="201"/>
      <c r="AI273" s="191"/>
      <c r="AJ273" s="354"/>
      <c r="AK273" s="355"/>
      <c r="AL273" s="354"/>
      <c r="AM273" s="354"/>
      <c r="AN273" s="353"/>
      <c r="AO273" s="191"/>
      <c r="AP273" s="201"/>
      <c r="AQ273" s="201"/>
      <c r="AR273" s="352"/>
      <c r="AS273" s="352"/>
      <c r="AT273" s="352"/>
      <c r="AU273" s="352"/>
      <c r="AV273" s="352"/>
      <c r="AW273" s="352"/>
      <c r="AX273" s="352"/>
      <c r="AY273" s="190"/>
      <c r="AZ273" s="240"/>
      <c r="BA273" s="232"/>
      <c r="BF273" s="206"/>
      <c r="BG273" s="206"/>
      <c r="BK273" s="126"/>
      <c r="BL273" s="126"/>
      <c r="BN273" s="126"/>
      <c r="BO273" s="126"/>
      <c r="BQ273" s="126"/>
      <c r="BR273" s="126"/>
      <c r="BT273" s="126"/>
      <c r="BU273" s="126"/>
      <c r="BW273" s="126"/>
      <c r="BX273" s="126"/>
      <c r="BZ273" s="126"/>
      <c r="CA273" s="126"/>
      <c r="CC273" s="126"/>
      <c r="CD273" s="126"/>
      <c r="CF273" s="126"/>
      <c r="CG273" s="126"/>
    </row>
    <row r="274" spans="1:85" s="197" customFormat="1" x14ac:dyDescent="0.3">
      <c r="A274" s="201"/>
      <c r="B274" s="191"/>
      <c r="C274" s="349"/>
      <c r="D274" s="352"/>
      <c r="E274" s="352"/>
      <c r="F274" s="351"/>
      <c r="G274" s="352"/>
      <c r="H274" s="353"/>
      <c r="I274" s="191"/>
      <c r="J274" s="353"/>
      <c r="K274" s="191"/>
      <c r="L274" s="354"/>
      <c r="M274" s="355"/>
      <c r="N274" s="354"/>
      <c r="O274" s="354"/>
      <c r="P274" s="353"/>
      <c r="Q274" s="191"/>
      <c r="R274" s="353"/>
      <c r="S274" s="191"/>
      <c r="T274" s="354"/>
      <c r="U274" s="355"/>
      <c r="V274" s="354"/>
      <c r="W274" s="354"/>
      <c r="X274" s="353"/>
      <c r="Y274" s="191"/>
      <c r="Z274" s="353"/>
      <c r="AA274" s="191"/>
      <c r="AB274" s="354"/>
      <c r="AC274" s="355"/>
      <c r="AD274" s="354"/>
      <c r="AE274" s="354"/>
      <c r="AF274" s="353"/>
      <c r="AG274" s="191"/>
      <c r="AH274" s="201"/>
      <c r="AI274" s="191"/>
      <c r="AJ274" s="354"/>
      <c r="AK274" s="355"/>
      <c r="AL274" s="354"/>
      <c r="AM274" s="354"/>
      <c r="AN274" s="353"/>
      <c r="AO274" s="191"/>
      <c r="AP274" s="201"/>
      <c r="AQ274" s="201"/>
      <c r="AR274" s="352"/>
      <c r="AS274" s="352"/>
      <c r="AT274" s="352"/>
      <c r="AU274" s="352"/>
      <c r="AV274" s="352"/>
      <c r="AW274" s="352"/>
      <c r="AX274" s="352"/>
      <c r="AY274" s="190"/>
      <c r="AZ274" s="240"/>
      <c r="BA274" s="232"/>
      <c r="BF274" s="206"/>
      <c r="BG274" s="206"/>
      <c r="BK274" s="126"/>
      <c r="BL274" s="126"/>
      <c r="BN274" s="126"/>
      <c r="BO274" s="126"/>
      <c r="BQ274" s="126"/>
      <c r="BR274" s="126"/>
      <c r="BT274" s="126"/>
      <c r="BU274" s="126"/>
      <c r="BW274" s="126"/>
      <c r="BX274" s="126"/>
      <c r="BZ274" s="126"/>
      <c r="CA274" s="126"/>
      <c r="CC274" s="126"/>
      <c r="CD274" s="126"/>
      <c r="CF274" s="126"/>
      <c r="CG274" s="126"/>
    </row>
    <row r="275" spans="1:85" s="197" customFormat="1" x14ac:dyDescent="0.3">
      <c r="A275" s="201"/>
      <c r="B275" s="191"/>
      <c r="C275" s="349"/>
      <c r="D275" s="352"/>
      <c r="E275" s="352"/>
      <c r="F275" s="351"/>
      <c r="G275" s="352"/>
      <c r="H275" s="353"/>
      <c r="I275" s="191"/>
      <c r="J275" s="353"/>
      <c r="K275" s="191"/>
      <c r="L275" s="354"/>
      <c r="M275" s="355"/>
      <c r="N275" s="354"/>
      <c r="O275" s="354"/>
      <c r="P275" s="353"/>
      <c r="Q275" s="191"/>
      <c r="R275" s="353"/>
      <c r="S275" s="191"/>
      <c r="T275" s="354"/>
      <c r="U275" s="355"/>
      <c r="V275" s="354"/>
      <c r="W275" s="354"/>
      <c r="X275" s="353"/>
      <c r="Y275" s="191"/>
      <c r="Z275" s="353"/>
      <c r="AA275" s="191"/>
      <c r="AB275" s="354"/>
      <c r="AC275" s="355"/>
      <c r="AD275" s="354"/>
      <c r="AE275" s="354"/>
      <c r="AF275" s="353"/>
      <c r="AG275" s="191"/>
      <c r="AH275" s="201"/>
      <c r="AI275" s="191"/>
      <c r="AJ275" s="354"/>
      <c r="AK275" s="355"/>
      <c r="AL275" s="354"/>
      <c r="AM275" s="354"/>
      <c r="AN275" s="353"/>
      <c r="AO275" s="191"/>
      <c r="AP275" s="201"/>
      <c r="AQ275" s="201"/>
      <c r="AR275" s="352"/>
      <c r="AS275" s="352"/>
      <c r="AT275" s="352"/>
      <c r="AU275" s="352"/>
      <c r="AV275" s="352"/>
      <c r="AW275" s="352"/>
      <c r="AX275" s="352"/>
      <c r="AY275" s="190"/>
      <c r="AZ275" s="240"/>
      <c r="BA275" s="232"/>
      <c r="BF275" s="206"/>
      <c r="BG275" s="206"/>
      <c r="BK275" s="126"/>
      <c r="BL275" s="126"/>
      <c r="BN275" s="126"/>
      <c r="BO275" s="126"/>
      <c r="BQ275" s="126"/>
      <c r="BR275" s="126"/>
      <c r="BT275" s="126"/>
      <c r="BU275" s="126"/>
      <c r="BW275" s="126"/>
      <c r="BX275" s="126"/>
      <c r="BZ275" s="126"/>
      <c r="CA275" s="126"/>
      <c r="CC275" s="126"/>
      <c r="CD275" s="126"/>
      <c r="CF275" s="126"/>
      <c r="CG275" s="126"/>
    </row>
    <row r="276" spans="1:85" s="197" customFormat="1" x14ac:dyDescent="0.3">
      <c r="A276" s="201"/>
      <c r="B276" s="191"/>
      <c r="C276" s="349"/>
      <c r="D276" s="352"/>
      <c r="E276" s="352"/>
      <c r="F276" s="351"/>
      <c r="G276" s="352"/>
      <c r="H276" s="353"/>
      <c r="I276" s="191"/>
      <c r="J276" s="353"/>
      <c r="K276" s="191"/>
      <c r="L276" s="354"/>
      <c r="M276" s="355"/>
      <c r="N276" s="354"/>
      <c r="O276" s="354"/>
      <c r="P276" s="353"/>
      <c r="Q276" s="191"/>
      <c r="R276" s="353"/>
      <c r="S276" s="191"/>
      <c r="T276" s="354"/>
      <c r="U276" s="355"/>
      <c r="V276" s="354"/>
      <c r="W276" s="354"/>
      <c r="X276" s="353"/>
      <c r="Y276" s="191"/>
      <c r="Z276" s="353"/>
      <c r="AA276" s="191"/>
      <c r="AB276" s="354"/>
      <c r="AC276" s="354"/>
      <c r="AD276" s="354"/>
      <c r="AE276" s="354"/>
      <c r="AF276" s="353"/>
      <c r="AG276" s="191"/>
      <c r="AH276" s="201"/>
      <c r="AI276" s="191"/>
      <c r="AJ276" s="354"/>
      <c r="AK276" s="354"/>
      <c r="AL276" s="354"/>
      <c r="AM276" s="354"/>
      <c r="AN276" s="353"/>
      <c r="AO276" s="191"/>
      <c r="AP276" s="201"/>
      <c r="AQ276" s="201"/>
      <c r="AR276" s="352"/>
      <c r="AS276" s="352"/>
      <c r="AT276" s="352"/>
      <c r="AU276" s="352"/>
      <c r="AV276" s="352"/>
      <c r="AW276" s="352"/>
      <c r="AX276" s="352"/>
      <c r="AY276" s="190"/>
      <c r="AZ276" s="240"/>
      <c r="BA276" s="232"/>
      <c r="BF276" s="206"/>
      <c r="BG276" s="206"/>
      <c r="BK276" s="126"/>
      <c r="BL276" s="126"/>
      <c r="BN276" s="126"/>
      <c r="BO276" s="126"/>
      <c r="BQ276" s="126"/>
      <c r="BR276" s="126"/>
      <c r="BT276" s="126"/>
      <c r="BU276" s="126"/>
      <c r="BW276" s="126"/>
      <c r="BX276" s="126"/>
      <c r="BZ276" s="126"/>
      <c r="CA276" s="126"/>
      <c r="CC276" s="126"/>
      <c r="CD276" s="126"/>
      <c r="CF276" s="126"/>
      <c r="CG276" s="126"/>
    </row>
    <row r="277" spans="1:85" s="197" customFormat="1" x14ac:dyDescent="0.3">
      <c r="A277" s="201"/>
      <c r="B277" s="191"/>
      <c r="C277" s="349"/>
      <c r="D277" s="352"/>
      <c r="E277" s="352"/>
      <c r="F277" s="351"/>
      <c r="G277" s="352"/>
      <c r="H277" s="353"/>
      <c r="I277" s="191"/>
      <c r="J277" s="353"/>
      <c r="K277" s="191"/>
      <c r="L277" s="354"/>
      <c r="M277" s="355"/>
      <c r="N277" s="354"/>
      <c r="O277" s="354"/>
      <c r="P277" s="353"/>
      <c r="Q277" s="191"/>
      <c r="R277" s="353"/>
      <c r="S277" s="191"/>
      <c r="T277" s="354"/>
      <c r="U277" s="355"/>
      <c r="V277" s="354"/>
      <c r="W277" s="354"/>
      <c r="X277" s="353"/>
      <c r="Y277" s="191"/>
      <c r="Z277" s="353"/>
      <c r="AA277" s="191"/>
      <c r="AB277" s="354"/>
      <c r="AC277" s="355"/>
      <c r="AD277" s="354"/>
      <c r="AE277" s="354"/>
      <c r="AF277" s="353"/>
      <c r="AG277" s="191"/>
      <c r="AH277" s="201"/>
      <c r="AI277" s="191"/>
      <c r="AJ277" s="354"/>
      <c r="AK277" s="355"/>
      <c r="AL277" s="354"/>
      <c r="AM277" s="354"/>
      <c r="AN277" s="353"/>
      <c r="AO277" s="191"/>
      <c r="AP277" s="201"/>
      <c r="AQ277" s="201"/>
      <c r="AR277" s="352"/>
      <c r="AS277" s="352"/>
      <c r="AT277" s="352"/>
      <c r="AU277" s="352"/>
      <c r="AV277" s="352"/>
      <c r="AW277" s="352"/>
      <c r="AX277" s="352"/>
      <c r="AY277" s="190"/>
      <c r="AZ277" s="240"/>
      <c r="BA277" s="232"/>
      <c r="BF277" s="206"/>
      <c r="BG277" s="206"/>
      <c r="BK277" s="126"/>
      <c r="BL277" s="126"/>
      <c r="BN277" s="126"/>
      <c r="BO277" s="126"/>
      <c r="BQ277" s="126"/>
      <c r="BR277" s="126"/>
      <c r="BT277" s="126"/>
      <c r="BU277" s="126"/>
      <c r="BW277" s="126"/>
      <c r="BX277" s="126"/>
      <c r="BZ277" s="126"/>
      <c r="CA277" s="126"/>
      <c r="CC277" s="126"/>
      <c r="CD277" s="126"/>
      <c r="CF277" s="126"/>
      <c r="CG277" s="126"/>
    </row>
    <row r="278" spans="1:85" s="197" customFormat="1" x14ac:dyDescent="0.3">
      <c r="A278" s="201"/>
      <c r="B278" s="191"/>
      <c r="C278" s="349"/>
      <c r="D278" s="352"/>
      <c r="E278" s="352"/>
      <c r="F278" s="351"/>
      <c r="G278" s="352"/>
      <c r="H278" s="353"/>
      <c r="I278" s="191"/>
      <c r="J278" s="353"/>
      <c r="K278" s="191"/>
      <c r="L278" s="354"/>
      <c r="M278" s="355"/>
      <c r="N278" s="354"/>
      <c r="O278" s="354"/>
      <c r="P278" s="353"/>
      <c r="Q278" s="191"/>
      <c r="R278" s="353"/>
      <c r="S278" s="191"/>
      <c r="T278" s="354"/>
      <c r="U278" s="355"/>
      <c r="V278" s="354"/>
      <c r="W278" s="354"/>
      <c r="X278" s="353"/>
      <c r="Y278" s="191"/>
      <c r="Z278" s="353"/>
      <c r="AA278" s="191"/>
      <c r="AB278" s="354"/>
      <c r="AC278" s="355"/>
      <c r="AD278" s="354"/>
      <c r="AE278" s="354"/>
      <c r="AF278" s="353"/>
      <c r="AG278" s="191"/>
      <c r="AH278" s="201"/>
      <c r="AI278" s="191"/>
      <c r="AJ278" s="354"/>
      <c r="AK278" s="355"/>
      <c r="AL278" s="354"/>
      <c r="AM278" s="354"/>
      <c r="AN278" s="353"/>
      <c r="AO278" s="191"/>
      <c r="AP278" s="201"/>
      <c r="AQ278" s="201"/>
      <c r="AR278" s="352"/>
      <c r="AS278" s="352"/>
      <c r="AT278" s="352"/>
      <c r="AU278" s="352"/>
      <c r="AV278" s="352"/>
      <c r="AW278" s="352"/>
      <c r="AX278" s="352"/>
      <c r="AY278" s="190"/>
      <c r="AZ278" s="240"/>
      <c r="BA278" s="232"/>
      <c r="BF278" s="206"/>
      <c r="BG278" s="206"/>
      <c r="BK278" s="126"/>
      <c r="BL278" s="126"/>
      <c r="BN278" s="126"/>
      <c r="BO278" s="126"/>
      <c r="BQ278" s="126"/>
      <c r="BR278" s="126"/>
      <c r="BT278" s="126"/>
      <c r="BU278" s="126"/>
      <c r="BW278" s="126"/>
      <c r="BX278" s="126"/>
      <c r="BZ278" s="126"/>
      <c r="CA278" s="126"/>
      <c r="CC278" s="126"/>
      <c r="CD278" s="126"/>
      <c r="CF278" s="126"/>
      <c r="CG278" s="126"/>
    </row>
    <row r="279" spans="1:85" s="197" customFormat="1" x14ac:dyDescent="0.3">
      <c r="A279" s="201"/>
      <c r="B279" s="191"/>
      <c r="C279" s="349"/>
      <c r="D279" s="352"/>
      <c r="E279" s="352"/>
      <c r="F279" s="351"/>
      <c r="G279" s="352"/>
      <c r="H279" s="353"/>
      <c r="I279" s="191"/>
      <c r="J279" s="353"/>
      <c r="K279" s="191"/>
      <c r="L279" s="354"/>
      <c r="M279" s="355"/>
      <c r="N279" s="354"/>
      <c r="O279" s="354"/>
      <c r="P279" s="353"/>
      <c r="Q279" s="191"/>
      <c r="R279" s="353"/>
      <c r="S279" s="191"/>
      <c r="T279" s="354"/>
      <c r="U279" s="355"/>
      <c r="V279" s="354"/>
      <c r="W279" s="354"/>
      <c r="X279" s="353"/>
      <c r="Y279" s="191"/>
      <c r="Z279" s="353"/>
      <c r="AA279" s="191"/>
      <c r="AB279" s="354"/>
      <c r="AC279" s="355"/>
      <c r="AD279" s="354"/>
      <c r="AE279" s="354"/>
      <c r="AF279" s="353"/>
      <c r="AG279" s="191"/>
      <c r="AH279" s="201"/>
      <c r="AI279" s="191"/>
      <c r="AJ279" s="354"/>
      <c r="AK279" s="355"/>
      <c r="AL279" s="354"/>
      <c r="AM279" s="354"/>
      <c r="AN279" s="353"/>
      <c r="AO279" s="191"/>
      <c r="AP279" s="201"/>
      <c r="AQ279" s="201"/>
      <c r="AR279" s="352"/>
      <c r="AS279" s="352"/>
      <c r="AT279" s="352"/>
      <c r="AU279" s="352"/>
      <c r="AV279" s="352"/>
      <c r="AW279" s="352"/>
      <c r="AX279" s="352"/>
      <c r="AY279" s="190"/>
      <c r="AZ279" s="240"/>
      <c r="BA279" s="232"/>
      <c r="BF279" s="206"/>
      <c r="BG279" s="206"/>
      <c r="BK279" s="126"/>
      <c r="BL279" s="126"/>
      <c r="BN279" s="126"/>
      <c r="BO279" s="126"/>
      <c r="BQ279" s="126"/>
      <c r="BR279" s="126"/>
      <c r="BT279" s="126"/>
      <c r="BU279" s="126"/>
      <c r="BW279" s="126"/>
      <c r="BX279" s="126"/>
      <c r="BZ279" s="126"/>
      <c r="CA279" s="126"/>
      <c r="CC279" s="126"/>
      <c r="CD279" s="126"/>
      <c r="CF279" s="126"/>
      <c r="CG279" s="126"/>
    </row>
    <row r="280" spans="1:85" s="197" customFormat="1" x14ac:dyDescent="0.3">
      <c r="A280" s="201"/>
      <c r="B280" s="191"/>
      <c r="C280" s="349"/>
      <c r="D280" s="352"/>
      <c r="E280" s="352"/>
      <c r="F280" s="351"/>
      <c r="G280" s="352"/>
      <c r="H280" s="353">
        <f t="shared" si="185"/>
        <v>0</v>
      </c>
      <c r="I280" s="191">
        <f>GETPIVOTDATA($BN$20,A280)</f>
        <v>248</v>
      </c>
      <c r="J280" s="353">
        <f>GETPIVOTDATA($BQ$20,A280)*2</f>
        <v>6.2900000000000009</v>
      </c>
      <c r="K280" s="191">
        <f>(ROUND(E280/J280,0)+1)*GETPIVOTDATA($CF$20,A280)</f>
        <v>25</v>
      </c>
      <c r="L280" s="354">
        <f>GETPIVOTDATA($BT$20,A280)</f>
        <v>1.6421999999999997</v>
      </c>
      <c r="M280" s="355">
        <f>0.23+0.3</f>
        <v>0.53</v>
      </c>
      <c r="N280" s="354">
        <f t="shared" si="186"/>
        <v>-0.04</v>
      </c>
      <c r="O280" s="354">
        <f>F280-2*0.02</f>
        <v>-0.04</v>
      </c>
      <c r="P280" s="353">
        <f t="shared" si="187"/>
        <v>2.0921999999999996</v>
      </c>
      <c r="Q280" s="191">
        <f>GETPIVOTDATA($BN$20,A280)</f>
        <v>248</v>
      </c>
      <c r="R280" s="353">
        <f>GETPIVOTDATA($BQ$20,A280)*2</f>
        <v>6.2900000000000009</v>
      </c>
      <c r="S280" s="191">
        <f>(ROUND(E280/R280,0))*GETPIVOTDATA($CF$20,A280)</f>
        <v>0</v>
      </c>
      <c r="T280" s="354">
        <f>GETPIVOTDATA($BT$20,A280)</f>
        <v>1.6421999999999997</v>
      </c>
      <c r="U280" s="355">
        <f>0.23+0.3</f>
        <v>0.53</v>
      </c>
      <c r="V280" s="354">
        <f t="shared" si="188"/>
        <v>-0.04</v>
      </c>
      <c r="W280" s="354">
        <f>3.55*0.3</f>
        <v>1.0649999999999999</v>
      </c>
      <c r="X280" s="353">
        <f t="shared" si="189"/>
        <v>3.1971999999999996</v>
      </c>
      <c r="Y280" s="191">
        <f>GETPIVOTDATA($BW$20,A280)</f>
        <v>220</v>
      </c>
      <c r="Z280" s="353">
        <f>GETPIVOTDATA($CC$20,A280)*2</f>
        <v>6.4800000000000013</v>
      </c>
      <c r="AA280" s="191">
        <f>(ROUND(D280/Z280,0)+1)*GETPIVOTDATA($CF$20,A280)</f>
        <v>25</v>
      </c>
      <c r="AB280" s="354">
        <f>GETPIVOTDATA($BZ$20,A280)</f>
        <v>1.4804999999999997</v>
      </c>
      <c r="AC280" s="355">
        <f>0.3+0.3</f>
        <v>0.6</v>
      </c>
      <c r="AD280" s="354">
        <f t="shared" si="190"/>
        <v>-0.04</v>
      </c>
      <c r="AE280" s="354">
        <v>0</v>
      </c>
      <c r="AF280" s="353">
        <f t="shared" si="191"/>
        <v>2.0404999999999998</v>
      </c>
      <c r="AG280" s="191">
        <f>GETPIVOTDATA($BW$20,A280)</f>
        <v>220</v>
      </c>
      <c r="AH280" s="201">
        <f>GETPIVOTDATA($CC$20,A280)*2</f>
        <v>6.4800000000000013</v>
      </c>
      <c r="AI280" s="191">
        <f>(ROUND(D280/AH280,0))*GETPIVOTDATA($CF$20,A280)</f>
        <v>0</v>
      </c>
      <c r="AJ280" s="354">
        <f>GETPIVOTDATA($BZ$20,A280)</f>
        <v>1.4804999999999997</v>
      </c>
      <c r="AK280" s="355">
        <f>0.3+0.3</f>
        <v>0.6</v>
      </c>
      <c r="AL280" s="354">
        <f t="shared" si="192"/>
        <v>-0.04</v>
      </c>
      <c r="AM280" s="354">
        <v>0</v>
      </c>
      <c r="AN280" s="353">
        <f t="shared" si="193"/>
        <v>2.0404999999999998</v>
      </c>
      <c r="AO280" s="191">
        <v>0</v>
      </c>
      <c r="AP280" s="201">
        <f t="shared" si="194"/>
        <v>0</v>
      </c>
      <c r="AQ280" s="201">
        <v>1.5</v>
      </c>
      <c r="AR280" s="352">
        <f t="shared" ref="AR280:AR330" si="197">IF(I280=8,K280*P280*B280,0)+IF(Q280=8,S280*X280*B280,0)</f>
        <v>0</v>
      </c>
      <c r="AS280" s="352">
        <f t="shared" ref="AS280:AS330" si="198">IF(I280=10,K280*P280*B280,0)+IF(Q280=10,S280*X280*B280,0)</f>
        <v>0</v>
      </c>
      <c r="AT280" s="352">
        <f t="shared" ref="AT280:AT330" si="199">IF(I280=12,K280*P280*B280,0)+IF(Q280=12,S280*X280*B280,0)</f>
        <v>0</v>
      </c>
      <c r="AU280" s="352">
        <f t="shared" ref="AU280:AU330" si="200">IF(AG280=8,AI280*AN280*B280,0)+IF(Y280=8,B280*AA280*AF280,0)</f>
        <v>0</v>
      </c>
      <c r="AV280" s="352">
        <f t="shared" ref="AV280:AV330" si="201">IF(AG280=10,AI280*AN280*B280,0)+IF(Y280=10,B280*AA280*AF280,0)</f>
        <v>0</v>
      </c>
      <c r="AW280" s="352">
        <f t="shared" si="195"/>
        <v>0</v>
      </c>
      <c r="AX280" s="352">
        <f t="shared" si="196"/>
        <v>0</v>
      </c>
      <c r="AY280" s="190"/>
      <c r="AZ280" s="240"/>
      <c r="BA280" s="232"/>
      <c r="BF280" s="206"/>
      <c r="BG280" s="206"/>
      <c r="BK280" s="126"/>
      <c r="BL280" s="126"/>
      <c r="BN280" s="126"/>
      <c r="BO280" s="126"/>
      <c r="BQ280" s="126"/>
      <c r="BR280" s="126"/>
      <c r="BT280" s="126"/>
      <c r="BU280" s="126"/>
      <c r="BW280" s="126"/>
      <c r="BX280" s="126"/>
      <c r="BZ280" s="126"/>
      <c r="CA280" s="126"/>
      <c r="CC280" s="126"/>
      <c r="CD280" s="126"/>
      <c r="CF280" s="126"/>
      <c r="CG280" s="126"/>
    </row>
    <row r="281" spans="1:85" s="197" customFormat="1" x14ac:dyDescent="0.3">
      <c r="A281" s="201" t="s">
        <v>233</v>
      </c>
      <c r="B281" s="191">
        <v>0</v>
      </c>
      <c r="C281" s="356" t="s">
        <v>428</v>
      </c>
      <c r="D281" s="352">
        <v>3.55</v>
      </c>
      <c r="E281" s="352">
        <v>4.42</v>
      </c>
      <c r="F281" s="351">
        <v>0.15</v>
      </c>
      <c r="G281" s="352">
        <f t="shared" ref="G281:G282" si="202">D281*E281*F281*B281</f>
        <v>0</v>
      </c>
      <c r="H281" s="353">
        <f t="shared" si="185"/>
        <v>0</v>
      </c>
      <c r="I281" s="191">
        <f>GETPIVOTDATA($BN$20,A281)</f>
        <v>10</v>
      </c>
      <c r="J281" s="353">
        <f>GETPIVOTDATA($BQ$20,A281)*2</f>
        <v>0.17</v>
      </c>
      <c r="K281" s="191">
        <f>(ROUND(E281/J281,0)+1)*GETPIVOTDATA($CF$20,A281)</f>
        <v>27</v>
      </c>
      <c r="L281" s="354">
        <f>GETPIVOTDATA($BT$20,A281)</f>
        <v>6.3E-2</v>
      </c>
      <c r="M281" s="355">
        <f>0.3*2</f>
        <v>0.6</v>
      </c>
      <c r="N281" s="354">
        <f t="shared" si="186"/>
        <v>-0.04</v>
      </c>
      <c r="O281" s="354">
        <f>1.107*0.3</f>
        <v>0.33210000000000001</v>
      </c>
      <c r="P281" s="353">
        <f t="shared" si="187"/>
        <v>4.5050999999999997</v>
      </c>
      <c r="Q281" s="191">
        <f>GETPIVOTDATA($BN$20,A281)</f>
        <v>10</v>
      </c>
      <c r="R281" s="353">
        <f>GETPIVOTDATA($BQ$20,A281)*2</f>
        <v>0.17</v>
      </c>
      <c r="S281" s="191">
        <f>(ROUND(E281/R281,0))*GETPIVOTDATA($CF$20,A281)</f>
        <v>26</v>
      </c>
      <c r="T281" s="354">
        <f>GETPIVOTDATA($BT$20,A281)</f>
        <v>6.3E-2</v>
      </c>
      <c r="U281" s="355">
        <f>0.3*2</f>
        <v>0.6</v>
      </c>
      <c r="V281" s="354">
        <f t="shared" si="188"/>
        <v>-0.04</v>
      </c>
      <c r="W281" s="354">
        <f>3.15*0.3</f>
        <v>0.94499999999999995</v>
      </c>
      <c r="X281" s="353">
        <f t="shared" si="189"/>
        <v>5.1180000000000003</v>
      </c>
      <c r="Y281" s="191">
        <f>GETPIVOTDATA($BW$20,A281)</f>
        <v>10</v>
      </c>
      <c r="Z281" s="353">
        <f>GETPIVOTDATA($CC$20,A281)*2</f>
        <v>0.25</v>
      </c>
      <c r="AA281" s="191">
        <f>(ROUND(D281/Z281,0)+1)*GETPIVOTDATA($CF$20,A281)</f>
        <v>15</v>
      </c>
      <c r="AB281" s="354">
        <f>GETPIVOTDATA($BZ$20,A281)</f>
        <v>6.3E-2</v>
      </c>
      <c r="AC281" s="355">
        <f>0.3*2</f>
        <v>0.6</v>
      </c>
      <c r="AD281" s="354">
        <f t="shared" si="190"/>
        <v>-0.04</v>
      </c>
      <c r="AE281" s="354">
        <f>2.975*0.3</f>
        <v>0.89249999999999996</v>
      </c>
      <c r="AF281" s="353">
        <f t="shared" si="191"/>
        <v>5.9354999999999993</v>
      </c>
      <c r="AG281" s="191">
        <f>GETPIVOTDATA($BW$20,A281)</f>
        <v>10</v>
      </c>
      <c r="AH281" s="201">
        <f>GETPIVOTDATA($CC$20,A281)*2</f>
        <v>0.25</v>
      </c>
      <c r="AI281" s="191">
        <f>(ROUND(D281/AH281,0))*GETPIVOTDATA($CF$20,A281)</f>
        <v>14</v>
      </c>
      <c r="AJ281" s="354">
        <f>GETPIVOTDATA($BZ$20,A281)</f>
        <v>6.3E-2</v>
      </c>
      <c r="AK281" s="355">
        <f>0.3*2</f>
        <v>0.6</v>
      </c>
      <c r="AL281" s="354">
        <f t="shared" si="192"/>
        <v>-0.04</v>
      </c>
      <c r="AM281" s="354">
        <f>2.83*0.3</f>
        <v>0.84899999999999998</v>
      </c>
      <c r="AN281" s="353">
        <f t="shared" si="193"/>
        <v>5.8919999999999995</v>
      </c>
      <c r="AO281" s="191">
        <v>0</v>
      </c>
      <c r="AP281" s="201">
        <f t="shared" si="194"/>
        <v>10</v>
      </c>
      <c r="AQ281" s="201">
        <v>1.5</v>
      </c>
      <c r="AR281" s="352">
        <f t="shared" si="197"/>
        <v>0</v>
      </c>
      <c r="AS281" s="352">
        <f t="shared" si="198"/>
        <v>0</v>
      </c>
      <c r="AT281" s="352">
        <f t="shared" si="199"/>
        <v>0</v>
      </c>
      <c r="AU281" s="352">
        <f t="shared" si="200"/>
        <v>0</v>
      </c>
      <c r="AV281" s="352">
        <f t="shared" si="201"/>
        <v>0</v>
      </c>
      <c r="AW281" s="352">
        <f t="shared" si="195"/>
        <v>0</v>
      </c>
      <c r="AX281" s="352">
        <f t="shared" si="196"/>
        <v>0</v>
      </c>
      <c r="AY281" s="190"/>
      <c r="AZ281" s="240"/>
      <c r="BA281" s="232"/>
      <c r="BF281" s="206"/>
      <c r="BG281" s="206"/>
      <c r="BK281" s="126"/>
      <c r="BL281" s="126"/>
      <c r="BN281" s="126"/>
      <c r="BO281" s="126"/>
      <c r="BQ281" s="126"/>
      <c r="BR281" s="126"/>
      <c r="BT281" s="126"/>
      <c r="BU281" s="126"/>
      <c r="BW281" s="126"/>
      <c r="BX281" s="126"/>
      <c r="BZ281" s="126"/>
      <c r="CA281" s="126"/>
      <c r="CC281" s="126"/>
      <c r="CD281" s="126"/>
      <c r="CF281" s="126"/>
      <c r="CG281" s="126"/>
    </row>
    <row r="282" spans="1:85" s="197" customFormat="1" x14ac:dyDescent="0.3">
      <c r="A282" s="201" t="s">
        <v>233</v>
      </c>
      <c r="B282" s="191">
        <v>0</v>
      </c>
      <c r="C282" s="356" t="s">
        <v>429</v>
      </c>
      <c r="D282" s="352">
        <v>3.15</v>
      </c>
      <c r="E282" s="352">
        <v>4.42</v>
      </c>
      <c r="F282" s="351">
        <v>0.15</v>
      </c>
      <c r="G282" s="352">
        <f t="shared" si="202"/>
        <v>0</v>
      </c>
      <c r="H282" s="353">
        <f t="shared" si="185"/>
        <v>0</v>
      </c>
      <c r="I282" s="191">
        <f>GETPIVOTDATA($BN$20,A282)</f>
        <v>10</v>
      </c>
      <c r="J282" s="353">
        <f>GETPIVOTDATA($BQ$20,A282)*2</f>
        <v>0.17</v>
      </c>
      <c r="K282" s="191">
        <f>(ROUND(E282/J282,0)+1)*GETPIVOTDATA($CF$20,A282)</f>
        <v>27</v>
      </c>
      <c r="L282" s="354">
        <f>GETPIVOTDATA($BT$20,A282)</f>
        <v>6.3E-2</v>
      </c>
      <c r="M282" s="355">
        <f>0.3*2</f>
        <v>0.6</v>
      </c>
      <c r="N282" s="354">
        <f t="shared" si="186"/>
        <v>-0.04</v>
      </c>
      <c r="O282" s="354">
        <f>3.55*0.3</f>
        <v>1.0649999999999999</v>
      </c>
      <c r="P282" s="353">
        <f t="shared" si="187"/>
        <v>4.8380000000000001</v>
      </c>
      <c r="Q282" s="191">
        <f>GETPIVOTDATA($BN$20,A282)</f>
        <v>10</v>
      </c>
      <c r="R282" s="353">
        <f>GETPIVOTDATA($BQ$20,A282)*2</f>
        <v>0.17</v>
      </c>
      <c r="S282" s="191">
        <f>(ROUND(E282/R282,0))*GETPIVOTDATA($CF$20,A282)</f>
        <v>26</v>
      </c>
      <c r="T282" s="354">
        <f>GETPIVOTDATA($BT$20,A282)</f>
        <v>6.3E-2</v>
      </c>
      <c r="U282" s="355">
        <f>0.3*2</f>
        <v>0.6</v>
      </c>
      <c r="V282" s="354">
        <f t="shared" si="188"/>
        <v>-0.04</v>
      </c>
      <c r="W282" s="354">
        <f>3.68*0.3</f>
        <v>1.1040000000000001</v>
      </c>
      <c r="X282" s="353">
        <f t="shared" si="189"/>
        <v>4.8769999999999998</v>
      </c>
      <c r="Y282" s="191">
        <f>GETPIVOTDATA($BW$20,A282)</f>
        <v>10</v>
      </c>
      <c r="Z282" s="353">
        <f>GETPIVOTDATA($CC$20,A282)*2</f>
        <v>0.25</v>
      </c>
      <c r="AA282" s="191">
        <f>(ROUND(D282/Z282,0)+1)*GETPIVOTDATA($CF$20,A282)</f>
        <v>14</v>
      </c>
      <c r="AB282" s="354">
        <f>GETPIVOTDATA($BZ$20,A282)</f>
        <v>6.3E-2</v>
      </c>
      <c r="AC282" s="355">
        <f>0.3*2</f>
        <v>0.6</v>
      </c>
      <c r="AD282" s="354">
        <f t="shared" si="190"/>
        <v>-0.04</v>
      </c>
      <c r="AE282" s="354">
        <f>2.98*0.3</f>
        <v>0.89400000000000002</v>
      </c>
      <c r="AF282" s="353">
        <f t="shared" si="191"/>
        <v>5.9369999999999994</v>
      </c>
      <c r="AG282" s="191">
        <f>GETPIVOTDATA($BW$20,A282)</f>
        <v>10</v>
      </c>
      <c r="AH282" s="201">
        <f>GETPIVOTDATA($CC$20,A282)*2</f>
        <v>0.25</v>
      </c>
      <c r="AI282" s="191">
        <f>(ROUND(D282/AH282,0))*GETPIVOTDATA($CF$20,A282)</f>
        <v>13</v>
      </c>
      <c r="AJ282" s="354">
        <f>GETPIVOTDATA($BZ$20,A282)</f>
        <v>6.3E-2</v>
      </c>
      <c r="AK282" s="355">
        <f>0.3*2</f>
        <v>0.6</v>
      </c>
      <c r="AL282" s="354">
        <f t="shared" si="192"/>
        <v>-0.04</v>
      </c>
      <c r="AM282" s="354">
        <f>2.83*0.3</f>
        <v>0.84899999999999998</v>
      </c>
      <c r="AN282" s="353">
        <f t="shared" si="193"/>
        <v>5.8919999999999995</v>
      </c>
      <c r="AO282" s="191">
        <v>0</v>
      </c>
      <c r="AP282" s="201">
        <f t="shared" si="194"/>
        <v>10</v>
      </c>
      <c r="AQ282" s="201">
        <v>1.5</v>
      </c>
      <c r="AR282" s="352">
        <f t="shared" si="197"/>
        <v>0</v>
      </c>
      <c r="AS282" s="352">
        <f t="shared" si="198"/>
        <v>0</v>
      </c>
      <c r="AT282" s="352">
        <f t="shared" si="199"/>
        <v>0</v>
      </c>
      <c r="AU282" s="352">
        <f t="shared" si="200"/>
        <v>0</v>
      </c>
      <c r="AV282" s="352">
        <f t="shared" si="201"/>
        <v>0</v>
      </c>
      <c r="AW282" s="352">
        <f t="shared" si="195"/>
        <v>0</v>
      </c>
      <c r="AX282" s="352">
        <f t="shared" si="196"/>
        <v>0</v>
      </c>
      <c r="AY282" s="190"/>
      <c r="AZ282" s="240"/>
      <c r="BA282" s="232"/>
      <c r="BF282" s="206"/>
      <c r="BG282" s="206"/>
      <c r="BK282" s="126"/>
      <c r="BL282" s="126"/>
      <c r="BN282" s="126"/>
      <c r="BO282" s="126"/>
      <c r="BQ282" s="126"/>
      <c r="BR282" s="126"/>
      <c r="BT282" s="126"/>
      <c r="BU282" s="126"/>
      <c r="BW282" s="126"/>
      <c r="BX282" s="126"/>
      <c r="BZ282" s="126"/>
      <c r="CA282" s="126"/>
      <c r="CC282" s="126"/>
      <c r="CD282" s="126"/>
      <c r="CF282" s="126"/>
      <c r="CG282" s="126"/>
    </row>
    <row r="283" spans="1:85" s="197" customFormat="1" x14ac:dyDescent="0.3">
      <c r="A283" s="201"/>
      <c r="B283" s="191"/>
      <c r="C283" s="349"/>
      <c r="D283" s="352"/>
      <c r="E283" s="352"/>
      <c r="F283" s="351"/>
      <c r="G283" s="352"/>
      <c r="H283" s="353"/>
      <c r="I283" s="191"/>
      <c r="J283" s="353"/>
      <c r="K283" s="191"/>
      <c r="L283" s="354"/>
      <c r="M283" s="355"/>
      <c r="N283" s="354"/>
      <c r="O283" s="354"/>
      <c r="P283" s="353"/>
      <c r="Q283" s="191"/>
      <c r="R283" s="353"/>
      <c r="S283" s="191"/>
      <c r="T283" s="354"/>
      <c r="U283" s="355"/>
      <c r="V283" s="354"/>
      <c r="W283" s="354"/>
      <c r="X283" s="353"/>
      <c r="Y283" s="191"/>
      <c r="Z283" s="353"/>
      <c r="AA283" s="191"/>
      <c r="AB283" s="354"/>
      <c r="AC283" s="355"/>
      <c r="AD283" s="354"/>
      <c r="AE283" s="354"/>
      <c r="AF283" s="353"/>
      <c r="AG283" s="191"/>
      <c r="AH283" s="201"/>
      <c r="AI283" s="191"/>
      <c r="AJ283" s="354"/>
      <c r="AK283" s="355"/>
      <c r="AL283" s="354"/>
      <c r="AM283" s="354"/>
      <c r="AN283" s="353"/>
      <c r="AO283" s="191"/>
      <c r="AP283" s="201"/>
      <c r="AQ283" s="201"/>
      <c r="AR283" s="352"/>
      <c r="AS283" s="352"/>
      <c r="AT283" s="352"/>
      <c r="AU283" s="352"/>
      <c r="AV283" s="352"/>
      <c r="AW283" s="352"/>
      <c r="AX283" s="352"/>
      <c r="AY283" s="190"/>
      <c r="AZ283" s="240"/>
      <c r="BA283" s="232"/>
      <c r="BF283" s="206"/>
      <c r="BG283" s="206"/>
      <c r="BK283" s="126"/>
      <c r="BL283" s="126"/>
      <c r="BN283" s="126"/>
      <c r="BO283" s="126"/>
      <c r="BQ283" s="126"/>
      <c r="BR283" s="126"/>
      <c r="BT283" s="126"/>
      <c r="BU283" s="126"/>
      <c r="BW283" s="126"/>
      <c r="BX283" s="126"/>
      <c r="BZ283" s="126"/>
      <c r="CA283" s="126"/>
      <c r="CC283" s="126"/>
      <c r="CD283" s="126"/>
      <c r="CF283" s="126"/>
      <c r="CG283" s="126"/>
    </row>
    <row r="284" spans="1:85" s="197" customFormat="1" x14ac:dyDescent="0.3">
      <c r="A284" s="201"/>
      <c r="B284" s="191"/>
      <c r="C284" s="349"/>
      <c r="D284" s="352"/>
      <c r="E284" s="352"/>
      <c r="F284" s="351"/>
      <c r="G284" s="352"/>
      <c r="H284" s="353"/>
      <c r="I284" s="191"/>
      <c r="J284" s="353"/>
      <c r="K284" s="191"/>
      <c r="L284" s="354"/>
      <c r="M284" s="355"/>
      <c r="N284" s="354"/>
      <c r="O284" s="354"/>
      <c r="P284" s="353"/>
      <c r="Q284" s="191"/>
      <c r="R284" s="353"/>
      <c r="S284" s="191"/>
      <c r="T284" s="354"/>
      <c r="U284" s="355"/>
      <c r="V284" s="354"/>
      <c r="W284" s="354"/>
      <c r="X284" s="353"/>
      <c r="Y284" s="191"/>
      <c r="Z284" s="353"/>
      <c r="AA284" s="191"/>
      <c r="AB284" s="354"/>
      <c r="AC284" s="355"/>
      <c r="AD284" s="354"/>
      <c r="AE284" s="354"/>
      <c r="AF284" s="353"/>
      <c r="AG284" s="191"/>
      <c r="AH284" s="201"/>
      <c r="AI284" s="191"/>
      <c r="AJ284" s="354"/>
      <c r="AK284" s="355"/>
      <c r="AL284" s="354"/>
      <c r="AM284" s="354"/>
      <c r="AN284" s="353"/>
      <c r="AO284" s="191"/>
      <c r="AP284" s="201"/>
      <c r="AQ284" s="201"/>
      <c r="AR284" s="352"/>
      <c r="AS284" s="352"/>
      <c r="AT284" s="352"/>
      <c r="AU284" s="352"/>
      <c r="AV284" s="352"/>
      <c r="AW284" s="352"/>
      <c r="AX284" s="352"/>
      <c r="AY284" s="190"/>
      <c r="AZ284" s="240"/>
      <c r="BA284" s="232"/>
      <c r="BF284" s="206"/>
      <c r="BG284" s="206"/>
      <c r="BK284" s="126"/>
      <c r="BL284" s="126"/>
      <c r="BN284" s="126"/>
      <c r="BO284" s="126"/>
      <c r="BQ284" s="126"/>
      <c r="BR284" s="126"/>
      <c r="BT284" s="126"/>
      <c r="BU284" s="126"/>
      <c r="BW284" s="126"/>
      <c r="BX284" s="126"/>
      <c r="BZ284" s="126"/>
      <c r="CA284" s="126"/>
      <c r="CC284" s="126"/>
      <c r="CD284" s="126"/>
      <c r="CF284" s="126"/>
      <c r="CG284" s="126"/>
    </row>
    <row r="285" spans="1:85" s="197" customFormat="1" x14ac:dyDescent="0.3">
      <c r="A285" s="201"/>
      <c r="B285" s="191"/>
      <c r="C285" s="349"/>
      <c r="D285" s="352"/>
      <c r="E285" s="352"/>
      <c r="F285" s="351"/>
      <c r="G285" s="352"/>
      <c r="H285" s="353"/>
      <c r="I285" s="191"/>
      <c r="J285" s="353"/>
      <c r="K285" s="191"/>
      <c r="L285" s="354"/>
      <c r="M285" s="355"/>
      <c r="N285" s="354"/>
      <c r="O285" s="354"/>
      <c r="P285" s="353"/>
      <c r="Q285" s="191"/>
      <c r="R285" s="353"/>
      <c r="S285" s="191"/>
      <c r="T285" s="354"/>
      <c r="U285" s="355"/>
      <c r="V285" s="354"/>
      <c r="W285" s="354"/>
      <c r="X285" s="353"/>
      <c r="Y285" s="191"/>
      <c r="Z285" s="353"/>
      <c r="AA285" s="191"/>
      <c r="AB285" s="354"/>
      <c r="AC285" s="355"/>
      <c r="AD285" s="354"/>
      <c r="AE285" s="354"/>
      <c r="AF285" s="353"/>
      <c r="AG285" s="191"/>
      <c r="AH285" s="201"/>
      <c r="AI285" s="191"/>
      <c r="AJ285" s="354"/>
      <c r="AK285" s="355"/>
      <c r="AL285" s="354"/>
      <c r="AM285" s="354"/>
      <c r="AN285" s="353"/>
      <c r="AO285" s="191"/>
      <c r="AP285" s="201"/>
      <c r="AQ285" s="201"/>
      <c r="AR285" s="352"/>
      <c r="AS285" s="352"/>
      <c r="AT285" s="352"/>
      <c r="AU285" s="352"/>
      <c r="AV285" s="352"/>
      <c r="AW285" s="352"/>
      <c r="AX285" s="352"/>
      <c r="AY285" s="190"/>
      <c r="AZ285" s="240"/>
      <c r="BA285" s="232"/>
      <c r="BF285" s="206"/>
      <c r="BG285" s="206"/>
      <c r="BK285" s="126"/>
      <c r="BL285" s="126"/>
      <c r="BN285" s="126"/>
      <c r="BO285" s="126"/>
      <c r="BQ285" s="126"/>
      <c r="BR285" s="126"/>
      <c r="BT285" s="126"/>
      <c r="BU285" s="126"/>
      <c r="BW285" s="126"/>
      <c r="BX285" s="126"/>
      <c r="BZ285" s="126"/>
      <c r="CA285" s="126"/>
      <c r="CC285" s="126"/>
      <c r="CD285" s="126"/>
      <c r="CF285" s="126"/>
      <c r="CG285" s="126"/>
    </row>
    <row r="286" spans="1:85" s="197" customFormat="1" x14ac:dyDescent="0.3">
      <c r="A286" s="201"/>
      <c r="B286" s="191"/>
      <c r="C286" s="349"/>
      <c r="D286" s="352"/>
      <c r="E286" s="352"/>
      <c r="F286" s="351"/>
      <c r="G286" s="352"/>
      <c r="H286" s="353"/>
      <c r="I286" s="191"/>
      <c r="J286" s="353"/>
      <c r="K286" s="191"/>
      <c r="L286" s="354"/>
      <c r="M286" s="355"/>
      <c r="N286" s="354"/>
      <c r="O286" s="354"/>
      <c r="P286" s="353"/>
      <c r="Q286" s="191"/>
      <c r="R286" s="353"/>
      <c r="S286" s="191"/>
      <c r="T286" s="354"/>
      <c r="U286" s="355"/>
      <c r="V286" s="354"/>
      <c r="W286" s="354"/>
      <c r="X286" s="353"/>
      <c r="Y286" s="191"/>
      <c r="Z286" s="353"/>
      <c r="AA286" s="191"/>
      <c r="AB286" s="354"/>
      <c r="AC286" s="355"/>
      <c r="AD286" s="354"/>
      <c r="AE286" s="354"/>
      <c r="AF286" s="353"/>
      <c r="AG286" s="191"/>
      <c r="AH286" s="201"/>
      <c r="AI286" s="191"/>
      <c r="AJ286" s="354"/>
      <c r="AK286" s="355"/>
      <c r="AL286" s="354"/>
      <c r="AM286" s="354"/>
      <c r="AN286" s="353"/>
      <c r="AO286" s="191"/>
      <c r="AP286" s="201"/>
      <c r="AQ286" s="201"/>
      <c r="AR286" s="352"/>
      <c r="AS286" s="352"/>
      <c r="AT286" s="352"/>
      <c r="AU286" s="352"/>
      <c r="AV286" s="352"/>
      <c r="AW286" s="352"/>
      <c r="AX286" s="352"/>
      <c r="AY286" s="190"/>
      <c r="AZ286" s="240"/>
      <c r="BA286" s="232"/>
      <c r="BF286" s="206"/>
      <c r="BG286" s="206"/>
      <c r="BK286" s="126"/>
      <c r="BL286" s="126"/>
      <c r="BN286" s="126"/>
      <c r="BO286" s="126"/>
      <c r="BQ286" s="126"/>
      <c r="BR286" s="126"/>
      <c r="BT286" s="126"/>
      <c r="BU286" s="126"/>
      <c r="BW286" s="126"/>
      <c r="BX286" s="126"/>
      <c r="BZ286" s="126"/>
      <c r="CA286" s="126"/>
      <c r="CC286" s="126"/>
      <c r="CD286" s="126"/>
      <c r="CF286" s="126"/>
      <c r="CG286" s="126"/>
    </row>
    <row r="287" spans="1:85" s="197" customFormat="1" x14ac:dyDescent="0.3">
      <c r="A287" s="201"/>
      <c r="B287" s="191"/>
      <c r="C287" s="349"/>
      <c r="D287" s="352"/>
      <c r="E287" s="352"/>
      <c r="F287" s="351"/>
      <c r="G287" s="352"/>
      <c r="H287" s="353"/>
      <c r="I287" s="191"/>
      <c r="J287" s="353"/>
      <c r="K287" s="191"/>
      <c r="L287" s="354"/>
      <c r="M287" s="355"/>
      <c r="N287" s="354"/>
      <c r="O287" s="354"/>
      <c r="P287" s="353"/>
      <c r="Q287" s="191"/>
      <c r="R287" s="353"/>
      <c r="S287" s="191"/>
      <c r="T287" s="354"/>
      <c r="U287" s="355"/>
      <c r="V287" s="354"/>
      <c r="W287" s="354"/>
      <c r="X287" s="353"/>
      <c r="Y287" s="191"/>
      <c r="Z287" s="353"/>
      <c r="AA287" s="191"/>
      <c r="AB287" s="354"/>
      <c r="AC287" s="355"/>
      <c r="AD287" s="354"/>
      <c r="AE287" s="354"/>
      <c r="AF287" s="353"/>
      <c r="AG287" s="191"/>
      <c r="AH287" s="201"/>
      <c r="AI287" s="191"/>
      <c r="AJ287" s="354"/>
      <c r="AK287" s="355"/>
      <c r="AL287" s="354"/>
      <c r="AM287" s="354"/>
      <c r="AN287" s="353"/>
      <c r="AO287" s="191"/>
      <c r="AP287" s="201"/>
      <c r="AQ287" s="201"/>
      <c r="AR287" s="352"/>
      <c r="AS287" s="352"/>
      <c r="AT287" s="352"/>
      <c r="AU287" s="352"/>
      <c r="AV287" s="352"/>
      <c r="AW287" s="352"/>
      <c r="AX287" s="352"/>
      <c r="AY287" s="190"/>
      <c r="AZ287" s="240"/>
      <c r="BA287" s="232"/>
      <c r="BF287" s="206"/>
      <c r="BG287" s="206"/>
      <c r="BK287" s="126"/>
      <c r="BL287" s="126"/>
      <c r="BN287" s="126"/>
      <c r="BO287" s="126"/>
      <c r="BQ287" s="126"/>
      <c r="BR287" s="126"/>
      <c r="BT287" s="126"/>
      <c r="BU287" s="126"/>
      <c r="BW287" s="126"/>
      <c r="BX287" s="126"/>
      <c r="BZ287" s="126"/>
      <c r="CA287" s="126"/>
      <c r="CC287" s="126"/>
      <c r="CD287" s="126"/>
      <c r="CF287" s="126"/>
      <c r="CG287" s="126"/>
    </row>
    <row r="288" spans="1:85" s="197" customFormat="1" x14ac:dyDescent="0.3">
      <c r="A288" s="201"/>
      <c r="B288" s="191"/>
      <c r="C288" s="349"/>
      <c r="D288" s="352"/>
      <c r="E288" s="352"/>
      <c r="F288" s="351"/>
      <c r="G288" s="352"/>
      <c r="H288" s="353"/>
      <c r="I288" s="191"/>
      <c r="J288" s="353"/>
      <c r="K288" s="191"/>
      <c r="L288" s="354"/>
      <c r="M288" s="355"/>
      <c r="N288" s="354"/>
      <c r="O288" s="354"/>
      <c r="P288" s="353"/>
      <c r="Q288" s="191"/>
      <c r="R288" s="353"/>
      <c r="S288" s="191"/>
      <c r="T288" s="354"/>
      <c r="U288" s="355"/>
      <c r="V288" s="354"/>
      <c r="W288" s="354"/>
      <c r="X288" s="353"/>
      <c r="Y288" s="191"/>
      <c r="Z288" s="353"/>
      <c r="AA288" s="191"/>
      <c r="AB288" s="354"/>
      <c r="AC288" s="355"/>
      <c r="AD288" s="354"/>
      <c r="AE288" s="354"/>
      <c r="AF288" s="353"/>
      <c r="AG288" s="191"/>
      <c r="AH288" s="201"/>
      <c r="AI288" s="191"/>
      <c r="AJ288" s="354"/>
      <c r="AK288" s="355"/>
      <c r="AL288" s="354"/>
      <c r="AM288" s="354"/>
      <c r="AN288" s="353"/>
      <c r="AO288" s="191"/>
      <c r="AP288" s="201"/>
      <c r="AQ288" s="201"/>
      <c r="AR288" s="352"/>
      <c r="AS288" s="352"/>
      <c r="AT288" s="352"/>
      <c r="AU288" s="352"/>
      <c r="AV288" s="352"/>
      <c r="AW288" s="352"/>
      <c r="AX288" s="352"/>
      <c r="AY288" s="190"/>
      <c r="AZ288" s="240"/>
      <c r="BA288" s="232"/>
      <c r="BF288" s="206"/>
      <c r="BG288" s="206"/>
      <c r="BK288" s="126"/>
      <c r="BL288" s="126"/>
      <c r="BN288" s="126"/>
      <c r="BO288" s="126"/>
      <c r="BQ288" s="126"/>
      <c r="BR288" s="126"/>
      <c r="BT288" s="126"/>
      <c r="BU288" s="126"/>
      <c r="BW288" s="126"/>
      <c r="BX288" s="126"/>
      <c r="BZ288" s="126"/>
      <c r="CA288" s="126"/>
      <c r="CC288" s="126"/>
      <c r="CD288" s="126"/>
      <c r="CF288" s="126"/>
      <c r="CG288" s="126"/>
    </row>
    <row r="289" spans="1:85" s="197" customFormat="1" x14ac:dyDescent="0.3">
      <c r="A289" s="201"/>
      <c r="B289" s="191"/>
      <c r="C289" s="349"/>
      <c r="D289" s="352"/>
      <c r="E289" s="352"/>
      <c r="F289" s="351"/>
      <c r="G289" s="352"/>
      <c r="H289" s="353"/>
      <c r="I289" s="191"/>
      <c r="J289" s="353"/>
      <c r="K289" s="191"/>
      <c r="L289" s="354"/>
      <c r="M289" s="355"/>
      <c r="N289" s="354"/>
      <c r="O289" s="354"/>
      <c r="P289" s="353"/>
      <c r="Q289" s="191"/>
      <c r="R289" s="353"/>
      <c r="S289" s="191"/>
      <c r="T289" s="354"/>
      <c r="U289" s="355"/>
      <c r="V289" s="354"/>
      <c r="W289" s="354"/>
      <c r="X289" s="353"/>
      <c r="Y289" s="191"/>
      <c r="Z289" s="353"/>
      <c r="AA289" s="191"/>
      <c r="AB289" s="354"/>
      <c r="AC289" s="355"/>
      <c r="AD289" s="354"/>
      <c r="AE289" s="354"/>
      <c r="AF289" s="353"/>
      <c r="AG289" s="191"/>
      <c r="AH289" s="201"/>
      <c r="AI289" s="191"/>
      <c r="AJ289" s="354"/>
      <c r="AK289" s="355"/>
      <c r="AL289" s="354"/>
      <c r="AM289" s="354"/>
      <c r="AN289" s="353"/>
      <c r="AO289" s="191"/>
      <c r="AP289" s="201"/>
      <c r="AQ289" s="201"/>
      <c r="AR289" s="352"/>
      <c r="AS289" s="352"/>
      <c r="AT289" s="352"/>
      <c r="AU289" s="352"/>
      <c r="AV289" s="352"/>
      <c r="AW289" s="352"/>
      <c r="AX289" s="352"/>
      <c r="AY289" s="190"/>
      <c r="AZ289" s="240"/>
      <c r="BA289" s="232"/>
      <c r="BF289" s="206"/>
      <c r="BG289" s="206"/>
      <c r="BK289" s="126"/>
      <c r="BL289" s="126"/>
      <c r="BN289" s="126"/>
      <c r="BO289" s="126"/>
      <c r="BQ289" s="126"/>
      <c r="BR289" s="126"/>
      <c r="BT289" s="126"/>
      <c r="BU289" s="126"/>
      <c r="BW289" s="126"/>
      <c r="BX289" s="126"/>
      <c r="BZ289" s="126"/>
      <c r="CA289" s="126"/>
      <c r="CC289" s="126"/>
      <c r="CD289" s="126"/>
      <c r="CF289" s="126"/>
      <c r="CG289" s="126"/>
    </row>
    <row r="290" spans="1:85" s="197" customFormat="1" x14ac:dyDescent="0.3">
      <c r="A290" s="201"/>
      <c r="B290" s="191"/>
      <c r="C290" s="349"/>
      <c r="D290" s="352"/>
      <c r="E290" s="352"/>
      <c r="F290" s="351"/>
      <c r="G290" s="352"/>
      <c r="H290" s="353"/>
      <c r="I290" s="191"/>
      <c r="J290" s="353"/>
      <c r="K290" s="191"/>
      <c r="L290" s="354"/>
      <c r="M290" s="355"/>
      <c r="N290" s="354"/>
      <c r="O290" s="354"/>
      <c r="P290" s="353"/>
      <c r="Q290" s="191"/>
      <c r="R290" s="353"/>
      <c r="S290" s="191"/>
      <c r="T290" s="354"/>
      <c r="U290" s="355"/>
      <c r="V290" s="354"/>
      <c r="W290" s="354"/>
      <c r="X290" s="353"/>
      <c r="Y290" s="191"/>
      <c r="Z290" s="353"/>
      <c r="AA290" s="191"/>
      <c r="AB290" s="354"/>
      <c r="AC290" s="355"/>
      <c r="AD290" s="354"/>
      <c r="AE290" s="354"/>
      <c r="AF290" s="353"/>
      <c r="AG290" s="191"/>
      <c r="AH290" s="201"/>
      <c r="AI290" s="191"/>
      <c r="AJ290" s="354"/>
      <c r="AK290" s="355"/>
      <c r="AL290" s="354"/>
      <c r="AM290" s="354"/>
      <c r="AN290" s="353"/>
      <c r="AO290" s="191"/>
      <c r="AP290" s="201"/>
      <c r="AQ290" s="201"/>
      <c r="AR290" s="352"/>
      <c r="AS290" s="352"/>
      <c r="AT290" s="352"/>
      <c r="AU290" s="352"/>
      <c r="AV290" s="352"/>
      <c r="AW290" s="352"/>
      <c r="AX290" s="352"/>
      <c r="AY290" s="190"/>
      <c r="AZ290" s="240"/>
      <c r="BA290" s="232"/>
      <c r="BF290" s="206"/>
      <c r="BG290" s="206"/>
      <c r="BK290" s="126"/>
      <c r="BL290" s="126"/>
      <c r="BN290" s="126"/>
      <c r="BO290" s="126"/>
      <c r="BQ290" s="126"/>
      <c r="BR290" s="126"/>
      <c r="BT290" s="126"/>
      <c r="BU290" s="126"/>
      <c r="BW290" s="126"/>
      <c r="BX290" s="126"/>
      <c r="BZ290" s="126"/>
      <c r="CA290" s="126"/>
      <c r="CC290" s="126"/>
      <c r="CD290" s="126"/>
      <c r="CF290" s="126"/>
      <c r="CG290" s="126"/>
    </row>
    <row r="291" spans="1:85" s="197" customFormat="1" x14ac:dyDescent="0.3">
      <c r="A291" s="201"/>
      <c r="B291" s="191"/>
      <c r="C291" s="349"/>
      <c r="D291" s="352"/>
      <c r="E291" s="352"/>
      <c r="F291" s="351"/>
      <c r="G291" s="352"/>
      <c r="H291" s="353"/>
      <c r="I291" s="191"/>
      <c r="J291" s="353"/>
      <c r="K291" s="191"/>
      <c r="L291" s="354"/>
      <c r="M291" s="355"/>
      <c r="N291" s="354"/>
      <c r="O291" s="354"/>
      <c r="P291" s="353"/>
      <c r="Q291" s="191"/>
      <c r="R291" s="353"/>
      <c r="S291" s="191"/>
      <c r="T291" s="354"/>
      <c r="U291" s="355"/>
      <c r="V291" s="354"/>
      <c r="W291" s="354"/>
      <c r="X291" s="353"/>
      <c r="Y291" s="191"/>
      <c r="Z291" s="353"/>
      <c r="AA291" s="191"/>
      <c r="AB291" s="354"/>
      <c r="AC291" s="355"/>
      <c r="AD291" s="354"/>
      <c r="AE291" s="354"/>
      <c r="AF291" s="353"/>
      <c r="AG291" s="191"/>
      <c r="AH291" s="201"/>
      <c r="AI291" s="191"/>
      <c r="AJ291" s="354"/>
      <c r="AK291" s="355"/>
      <c r="AL291" s="354"/>
      <c r="AM291" s="354"/>
      <c r="AN291" s="353"/>
      <c r="AO291" s="191"/>
      <c r="AP291" s="201"/>
      <c r="AQ291" s="201"/>
      <c r="AR291" s="352"/>
      <c r="AS291" s="352"/>
      <c r="AT291" s="352"/>
      <c r="AU291" s="352"/>
      <c r="AV291" s="352"/>
      <c r="AW291" s="352"/>
      <c r="AX291" s="352"/>
      <c r="AY291" s="190"/>
      <c r="AZ291" s="240"/>
      <c r="BA291" s="232"/>
      <c r="BF291" s="206"/>
      <c r="BG291" s="206"/>
      <c r="BK291" s="126"/>
      <c r="BL291" s="126"/>
      <c r="BN291" s="126"/>
      <c r="BO291" s="126"/>
      <c r="BQ291" s="126"/>
      <c r="BR291" s="126"/>
      <c r="BT291" s="126"/>
      <c r="BU291" s="126"/>
      <c r="BW291" s="126"/>
      <c r="BX291" s="126"/>
      <c r="BZ291" s="126"/>
      <c r="CA291" s="126"/>
      <c r="CC291" s="126"/>
      <c r="CD291" s="126"/>
      <c r="CF291" s="126"/>
      <c r="CG291" s="126"/>
    </row>
    <row r="292" spans="1:85" s="197" customFormat="1" x14ac:dyDescent="0.3">
      <c r="A292" s="201"/>
      <c r="B292" s="191"/>
      <c r="C292" s="349"/>
      <c r="D292" s="352"/>
      <c r="E292" s="352"/>
      <c r="F292" s="351"/>
      <c r="G292" s="352"/>
      <c r="H292" s="353"/>
      <c r="I292" s="191"/>
      <c r="J292" s="353"/>
      <c r="K292" s="191"/>
      <c r="L292" s="354"/>
      <c r="M292" s="355"/>
      <c r="N292" s="354"/>
      <c r="O292" s="354"/>
      <c r="P292" s="353"/>
      <c r="Q292" s="191"/>
      <c r="R292" s="353"/>
      <c r="S292" s="191"/>
      <c r="T292" s="354"/>
      <c r="U292" s="355"/>
      <c r="V292" s="354"/>
      <c r="W292" s="354"/>
      <c r="X292" s="353"/>
      <c r="Y292" s="191"/>
      <c r="Z292" s="353"/>
      <c r="AA292" s="191"/>
      <c r="AB292" s="354"/>
      <c r="AC292" s="355"/>
      <c r="AD292" s="354"/>
      <c r="AE292" s="354"/>
      <c r="AF292" s="353"/>
      <c r="AG292" s="191"/>
      <c r="AH292" s="201"/>
      <c r="AI292" s="191"/>
      <c r="AJ292" s="354"/>
      <c r="AK292" s="355"/>
      <c r="AL292" s="354"/>
      <c r="AM292" s="354"/>
      <c r="AN292" s="353"/>
      <c r="AO292" s="191"/>
      <c r="AP292" s="201"/>
      <c r="AQ292" s="201"/>
      <c r="AR292" s="352"/>
      <c r="AS292" s="352"/>
      <c r="AT292" s="352"/>
      <c r="AU292" s="352"/>
      <c r="AV292" s="352"/>
      <c r="AW292" s="352"/>
      <c r="AX292" s="352"/>
      <c r="AY292" s="190"/>
      <c r="AZ292" s="240"/>
      <c r="BA292" s="232"/>
      <c r="BF292" s="206"/>
      <c r="BG292" s="206"/>
      <c r="BK292" s="126"/>
      <c r="BL292" s="126"/>
      <c r="BN292" s="126"/>
      <c r="BO292" s="126"/>
      <c r="BQ292" s="126"/>
      <c r="BR292" s="126"/>
      <c r="BT292" s="126"/>
      <c r="BU292" s="126"/>
      <c r="BW292" s="126"/>
      <c r="BX292" s="126"/>
      <c r="BZ292" s="126"/>
      <c r="CA292" s="126"/>
      <c r="CC292" s="126"/>
      <c r="CD292" s="126"/>
      <c r="CF292" s="126"/>
      <c r="CG292" s="126"/>
    </row>
    <row r="293" spans="1:85" s="197" customFormat="1" x14ac:dyDescent="0.3">
      <c r="A293" s="201"/>
      <c r="B293" s="191"/>
      <c r="C293" s="349"/>
      <c r="D293" s="352"/>
      <c r="E293" s="352"/>
      <c r="F293" s="351"/>
      <c r="G293" s="352"/>
      <c r="H293" s="353"/>
      <c r="I293" s="191"/>
      <c r="J293" s="353"/>
      <c r="K293" s="191"/>
      <c r="L293" s="354"/>
      <c r="M293" s="355"/>
      <c r="N293" s="354"/>
      <c r="O293" s="354"/>
      <c r="P293" s="353"/>
      <c r="Q293" s="191"/>
      <c r="R293" s="353"/>
      <c r="S293" s="191"/>
      <c r="T293" s="354"/>
      <c r="U293" s="355"/>
      <c r="V293" s="354"/>
      <c r="W293" s="354"/>
      <c r="X293" s="353"/>
      <c r="Y293" s="191"/>
      <c r="Z293" s="353"/>
      <c r="AA293" s="191"/>
      <c r="AB293" s="354"/>
      <c r="AC293" s="355"/>
      <c r="AD293" s="354"/>
      <c r="AE293" s="354"/>
      <c r="AF293" s="353"/>
      <c r="AG293" s="191"/>
      <c r="AH293" s="201"/>
      <c r="AI293" s="191"/>
      <c r="AJ293" s="354"/>
      <c r="AK293" s="355"/>
      <c r="AL293" s="354"/>
      <c r="AM293" s="354"/>
      <c r="AN293" s="353"/>
      <c r="AO293" s="191"/>
      <c r="AP293" s="201"/>
      <c r="AQ293" s="201"/>
      <c r="AR293" s="352"/>
      <c r="AS293" s="352"/>
      <c r="AT293" s="352"/>
      <c r="AU293" s="352"/>
      <c r="AV293" s="352"/>
      <c r="AW293" s="352"/>
      <c r="AX293" s="352"/>
      <c r="AY293" s="190"/>
      <c r="AZ293" s="240"/>
      <c r="BA293" s="232"/>
      <c r="BF293" s="206"/>
      <c r="BG293" s="206"/>
      <c r="BK293" s="126"/>
      <c r="BL293" s="126"/>
      <c r="BN293" s="126"/>
      <c r="BO293" s="126"/>
      <c r="BQ293" s="126"/>
      <c r="BR293" s="126"/>
      <c r="BT293" s="126"/>
      <c r="BU293" s="126"/>
      <c r="BW293" s="126"/>
      <c r="BX293" s="126"/>
      <c r="BZ293" s="126"/>
      <c r="CA293" s="126"/>
      <c r="CC293" s="126"/>
      <c r="CD293" s="126"/>
      <c r="CF293" s="126"/>
      <c r="CG293" s="126"/>
    </row>
    <row r="294" spans="1:85" s="197" customFormat="1" x14ac:dyDescent="0.3">
      <c r="A294" s="201"/>
      <c r="B294" s="191"/>
      <c r="C294" s="349"/>
      <c r="D294" s="352"/>
      <c r="E294" s="352"/>
      <c r="F294" s="351"/>
      <c r="G294" s="352"/>
      <c r="H294" s="353"/>
      <c r="I294" s="191"/>
      <c r="J294" s="353"/>
      <c r="K294" s="191"/>
      <c r="L294" s="354"/>
      <c r="M294" s="355"/>
      <c r="N294" s="354"/>
      <c r="O294" s="354"/>
      <c r="P294" s="353"/>
      <c r="Q294" s="191"/>
      <c r="R294" s="353"/>
      <c r="S294" s="191"/>
      <c r="T294" s="354"/>
      <c r="U294" s="355"/>
      <c r="V294" s="354"/>
      <c r="W294" s="354"/>
      <c r="X294" s="353"/>
      <c r="Y294" s="191"/>
      <c r="Z294" s="353"/>
      <c r="AA294" s="191"/>
      <c r="AB294" s="354"/>
      <c r="AC294" s="355"/>
      <c r="AD294" s="354"/>
      <c r="AE294" s="354"/>
      <c r="AF294" s="353"/>
      <c r="AG294" s="191"/>
      <c r="AH294" s="201"/>
      <c r="AI294" s="191"/>
      <c r="AJ294" s="354"/>
      <c r="AK294" s="355"/>
      <c r="AL294" s="354"/>
      <c r="AM294" s="354"/>
      <c r="AN294" s="353"/>
      <c r="AO294" s="191"/>
      <c r="AP294" s="201"/>
      <c r="AQ294" s="201"/>
      <c r="AR294" s="352"/>
      <c r="AS294" s="352"/>
      <c r="AT294" s="352"/>
      <c r="AU294" s="352"/>
      <c r="AV294" s="352"/>
      <c r="AW294" s="352"/>
      <c r="AX294" s="352"/>
      <c r="AY294" s="190"/>
      <c r="AZ294" s="240"/>
      <c r="BA294" s="232"/>
      <c r="BF294" s="206"/>
      <c r="BG294" s="206"/>
      <c r="BK294" s="126"/>
      <c r="BL294" s="126"/>
      <c r="BN294" s="126"/>
      <c r="BO294" s="126"/>
      <c r="BQ294" s="126"/>
      <c r="BR294" s="126"/>
      <c r="BT294" s="126"/>
      <c r="BU294" s="126"/>
      <c r="BW294" s="126"/>
      <c r="BX294" s="126"/>
      <c r="BZ294" s="126"/>
      <c r="CA294" s="126"/>
      <c r="CC294" s="126"/>
      <c r="CD294" s="126"/>
      <c r="CF294" s="126"/>
      <c r="CG294" s="126"/>
    </row>
    <row r="295" spans="1:85" s="197" customFormat="1" x14ac:dyDescent="0.3">
      <c r="A295" s="201"/>
      <c r="B295" s="191"/>
      <c r="C295" s="349"/>
      <c r="D295" s="352"/>
      <c r="E295" s="352"/>
      <c r="F295" s="351"/>
      <c r="G295" s="352"/>
      <c r="H295" s="353"/>
      <c r="I295" s="191"/>
      <c r="J295" s="353"/>
      <c r="K295" s="191"/>
      <c r="L295" s="354"/>
      <c r="M295" s="355"/>
      <c r="N295" s="354"/>
      <c r="O295" s="354"/>
      <c r="P295" s="353"/>
      <c r="Q295" s="191"/>
      <c r="R295" s="353"/>
      <c r="S295" s="191"/>
      <c r="T295" s="354"/>
      <c r="U295" s="355"/>
      <c r="V295" s="354"/>
      <c r="W295" s="354"/>
      <c r="X295" s="353"/>
      <c r="Y295" s="191"/>
      <c r="Z295" s="353"/>
      <c r="AA295" s="191"/>
      <c r="AB295" s="354"/>
      <c r="AC295" s="355"/>
      <c r="AD295" s="354"/>
      <c r="AE295" s="354"/>
      <c r="AF295" s="353"/>
      <c r="AG295" s="191"/>
      <c r="AH295" s="201"/>
      <c r="AI295" s="191"/>
      <c r="AJ295" s="354"/>
      <c r="AK295" s="355"/>
      <c r="AL295" s="354"/>
      <c r="AM295" s="354"/>
      <c r="AN295" s="353"/>
      <c r="AO295" s="191"/>
      <c r="AP295" s="201"/>
      <c r="AQ295" s="201"/>
      <c r="AR295" s="352"/>
      <c r="AS295" s="352"/>
      <c r="AT295" s="352"/>
      <c r="AU295" s="352"/>
      <c r="AV295" s="352"/>
      <c r="AW295" s="352"/>
      <c r="AX295" s="352"/>
      <c r="AY295" s="190"/>
      <c r="AZ295" s="240"/>
      <c r="BA295" s="232"/>
      <c r="BF295" s="206"/>
      <c r="BG295" s="206"/>
      <c r="BK295" s="126"/>
      <c r="BL295" s="126"/>
      <c r="BN295" s="126"/>
      <c r="BO295" s="126"/>
      <c r="BQ295" s="126"/>
      <c r="BR295" s="126"/>
      <c r="BT295" s="126"/>
      <c r="BU295" s="126"/>
      <c r="BW295" s="126"/>
      <c r="BX295" s="126"/>
      <c r="BZ295" s="126"/>
      <c r="CA295" s="126"/>
      <c r="CC295" s="126"/>
      <c r="CD295" s="126"/>
      <c r="CF295" s="126"/>
      <c r="CG295" s="126"/>
    </row>
    <row r="296" spans="1:85" s="197" customFormat="1" x14ac:dyDescent="0.3">
      <c r="A296" s="201"/>
      <c r="B296" s="191"/>
      <c r="C296" s="349"/>
      <c r="D296" s="352"/>
      <c r="E296" s="352"/>
      <c r="F296" s="351"/>
      <c r="G296" s="352"/>
      <c r="H296" s="353"/>
      <c r="I296" s="191"/>
      <c r="J296" s="353"/>
      <c r="K296" s="191"/>
      <c r="L296" s="354"/>
      <c r="M296" s="355"/>
      <c r="N296" s="354"/>
      <c r="O296" s="354"/>
      <c r="P296" s="353"/>
      <c r="Q296" s="191"/>
      <c r="R296" s="353"/>
      <c r="S296" s="191"/>
      <c r="T296" s="354"/>
      <c r="U296" s="355"/>
      <c r="V296" s="354"/>
      <c r="W296" s="354"/>
      <c r="X296" s="353"/>
      <c r="Y296" s="191"/>
      <c r="Z296" s="353"/>
      <c r="AA296" s="191"/>
      <c r="AB296" s="354"/>
      <c r="AC296" s="355"/>
      <c r="AD296" s="354"/>
      <c r="AE296" s="354"/>
      <c r="AF296" s="353"/>
      <c r="AG296" s="191"/>
      <c r="AH296" s="201"/>
      <c r="AI296" s="191"/>
      <c r="AJ296" s="354"/>
      <c r="AK296" s="355"/>
      <c r="AL296" s="354"/>
      <c r="AM296" s="354"/>
      <c r="AN296" s="353"/>
      <c r="AO296" s="191"/>
      <c r="AP296" s="201"/>
      <c r="AQ296" s="201"/>
      <c r="AR296" s="352"/>
      <c r="AS296" s="352"/>
      <c r="AT296" s="352"/>
      <c r="AU296" s="352"/>
      <c r="AV296" s="352"/>
      <c r="AW296" s="352"/>
      <c r="AX296" s="352"/>
      <c r="AY296" s="190"/>
      <c r="AZ296" s="240"/>
      <c r="BA296" s="232"/>
      <c r="BF296" s="206"/>
      <c r="BG296" s="206"/>
      <c r="BK296" s="126"/>
      <c r="BL296" s="126"/>
      <c r="BN296" s="126"/>
      <c r="BO296" s="126"/>
      <c r="BQ296" s="126"/>
      <c r="BR296" s="126"/>
      <c r="BT296" s="126"/>
      <c r="BU296" s="126"/>
      <c r="BW296" s="126"/>
      <c r="BX296" s="126"/>
      <c r="BZ296" s="126"/>
      <c r="CA296" s="126"/>
      <c r="CC296" s="126"/>
      <c r="CD296" s="126"/>
      <c r="CF296" s="126"/>
      <c r="CG296" s="126"/>
    </row>
    <row r="297" spans="1:85" s="197" customFormat="1" x14ac:dyDescent="0.3">
      <c r="A297" s="201" t="s">
        <v>223</v>
      </c>
      <c r="B297" s="191">
        <v>0</v>
      </c>
      <c r="C297" s="356" t="s">
        <v>430</v>
      </c>
      <c r="D297" s="352">
        <v>7.32</v>
      </c>
      <c r="E297" s="352">
        <v>2.98</v>
      </c>
      <c r="F297" s="351">
        <v>0.13</v>
      </c>
      <c r="G297" s="352">
        <f t="shared" ref="G297:G307" si="203">D297*E297*F297*B297</f>
        <v>0</v>
      </c>
      <c r="H297" s="353">
        <f t="shared" ref="H297:H307" si="204">D297*E297*B297</f>
        <v>0</v>
      </c>
      <c r="I297" s="191">
        <f>GETPIVOTDATA($BN$20,A297)</f>
        <v>8</v>
      </c>
      <c r="J297" s="353">
        <f>GETPIVOTDATA($BQ$20,A297)*2</f>
        <v>0.2</v>
      </c>
      <c r="K297" s="191">
        <f>(ROUND(E297/J297,0)+1)*GETPIVOTDATA($CF$20,A297)</f>
        <v>16</v>
      </c>
      <c r="L297" s="354">
        <f>GETPIVOTDATA($BT$20,A297)</f>
        <v>5.4600000000000003E-2</v>
      </c>
      <c r="M297" s="355">
        <f>0.3*2</f>
        <v>0.6</v>
      </c>
      <c r="N297" s="354">
        <f t="shared" si="186"/>
        <v>-0.04</v>
      </c>
      <c r="O297" s="354">
        <f>1.107*0.3</f>
        <v>0.33210000000000001</v>
      </c>
      <c r="P297" s="353">
        <f t="shared" si="187"/>
        <v>8.2667000000000002</v>
      </c>
      <c r="Q297" s="191">
        <f>GETPIVOTDATA($BN$20,A297)</f>
        <v>8</v>
      </c>
      <c r="R297" s="353">
        <f>GETPIVOTDATA($BQ$20,A297)*2</f>
        <v>0.2</v>
      </c>
      <c r="S297" s="191">
        <f>(ROUND(E297/R297,0))*GETPIVOTDATA($CF$20,A297)</f>
        <v>15</v>
      </c>
      <c r="T297" s="354">
        <f>GETPIVOTDATA($BT$20,A297)</f>
        <v>5.4600000000000003E-2</v>
      </c>
      <c r="U297" s="355">
        <f>0.3*2</f>
        <v>0.6</v>
      </c>
      <c r="V297" s="354">
        <f t="shared" si="188"/>
        <v>-0.04</v>
      </c>
      <c r="W297" s="354">
        <f>5.4*0.3</f>
        <v>1.62</v>
      </c>
      <c r="X297" s="353">
        <f t="shared" si="189"/>
        <v>9.5546000000000006</v>
      </c>
      <c r="Y297" s="191">
        <f>GETPIVOTDATA($BW$20,A297)</f>
        <v>8</v>
      </c>
      <c r="Z297" s="353">
        <f>GETPIVOTDATA($CC$20,A297)*2</f>
        <v>0.36</v>
      </c>
      <c r="AA297" s="191">
        <f>(ROUND(D297/Z297,0)+1)*GETPIVOTDATA($CF$20,A297)</f>
        <v>21</v>
      </c>
      <c r="AB297" s="354">
        <f>GETPIVOTDATA($BZ$20,A297)</f>
        <v>5.4600000000000003E-2</v>
      </c>
      <c r="AC297" s="355">
        <f>0.3*2</f>
        <v>0.6</v>
      </c>
      <c r="AD297" s="354">
        <f t="shared" si="190"/>
        <v>-0.04</v>
      </c>
      <c r="AE297" s="354">
        <f>2.925*0.3</f>
        <v>0.87749999999999995</v>
      </c>
      <c r="AF297" s="353">
        <f t="shared" si="191"/>
        <v>4.4720999999999993</v>
      </c>
      <c r="AG297" s="191">
        <f>GETPIVOTDATA($BW$20,A297)</f>
        <v>8</v>
      </c>
      <c r="AH297" s="201">
        <f>GETPIVOTDATA($CC$20,A297)*2</f>
        <v>0.36</v>
      </c>
      <c r="AI297" s="191">
        <f>(ROUND(D297/AH297,0))*GETPIVOTDATA($CF$20,A297)</f>
        <v>20</v>
      </c>
      <c r="AJ297" s="354">
        <f>GETPIVOTDATA($BZ$20,A297)</f>
        <v>5.4600000000000003E-2</v>
      </c>
      <c r="AK297" s="355">
        <f>0.3*2</f>
        <v>0.6</v>
      </c>
      <c r="AL297" s="354">
        <f t="shared" si="192"/>
        <v>-0.04</v>
      </c>
      <c r="AM297" s="354">
        <f>4.42*0.3</f>
        <v>1.3259999999999998</v>
      </c>
      <c r="AN297" s="353">
        <f t="shared" si="193"/>
        <v>4.9206000000000003</v>
      </c>
      <c r="AO297" s="191">
        <v>0</v>
      </c>
      <c r="AP297" s="201">
        <f t="shared" si="194"/>
        <v>14</v>
      </c>
      <c r="AQ297" s="201">
        <v>1.5</v>
      </c>
      <c r="AR297" s="352">
        <f t="shared" si="197"/>
        <v>0</v>
      </c>
      <c r="AS297" s="352">
        <f t="shared" si="198"/>
        <v>0</v>
      </c>
      <c r="AT297" s="352">
        <f t="shared" si="199"/>
        <v>0</v>
      </c>
      <c r="AU297" s="352">
        <f t="shared" si="200"/>
        <v>0</v>
      </c>
      <c r="AV297" s="352">
        <f t="shared" si="201"/>
        <v>0</v>
      </c>
      <c r="AW297" s="352">
        <f t="shared" si="195"/>
        <v>0</v>
      </c>
      <c r="AX297" s="352">
        <f t="shared" si="196"/>
        <v>0</v>
      </c>
      <c r="AY297" s="190"/>
      <c r="AZ297" s="240"/>
      <c r="BA297" s="232"/>
      <c r="BF297" s="206"/>
      <c r="BG297" s="206"/>
      <c r="BK297" s="126"/>
      <c r="BL297" s="126"/>
      <c r="BN297" s="126"/>
      <c r="BO297" s="126"/>
      <c r="BQ297" s="126"/>
      <c r="BR297" s="126"/>
      <c r="BT297" s="126"/>
      <c r="BU297" s="126"/>
      <c r="BW297" s="126"/>
      <c r="BX297" s="126"/>
      <c r="BZ297" s="126"/>
      <c r="CA297" s="126"/>
      <c r="CC297" s="126"/>
      <c r="CD297" s="126"/>
      <c r="CF297" s="126"/>
      <c r="CG297" s="126"/>
    </row>
    <row r="298" spans="1:85" s="197" customFormat="1" x14ac:dyDescent="0.3">
      <c r="A298" s="201" t="s">
        <v>223</v>
      </c>
      <c r="B298" s="191">
        <v>0</v>
      </c>
      <c r="C298" s="356" t="s">
        <v>431</v>
      </c>
      <c r="D298" s="352">
        <v>7.67</v>
      </c>
      <c r="E298" s="352">
        <v>2.93</v>
      </c>
      <c r="F298" s="351">
        <v>0.13</v>
      </c>
      <c r="G298" s="352">
        <f t="shared" si="203"/>
        <v>0</v>
      </c>
      <c r="H298" s="353">
        <f t="shared" si="204"/>
        <v>0</v>
      </c>
      <c r="I298" s="191">
        <f>GETPIVOTDATA($BN$20,A298)</f>
        <v>8</v>
      </c>
      <c r="J298" s="353">
        <f>GETPIVOTDATA($BQ$20,A298)*2</f>
        <v>0.2</v>
      </c>
      <c r="K298" s="191">
        <f>(ROUND(E298/J298,0)+1)*GETPIVOTDATA($CF$20,A298)</f>
        <v>16</v>
      </c>
      <c r="L298" s="354">
        <f>GETPIVOTDATA($BT$20,A298)</f>
        <v>5.4600000000000003E-2</v>
      </c>
      <c r="M298" s="355">
        <f>0.3*2</f>
        <v>0.6</v>
      </c>
      <c r="N298" s="354">
        <f t="shared" si="186"/>
        <v>-0.04</v>
      </c>
      <c r="O298" s="354">
        <f>1.107*0.3</f>
        <v>0.33210000000000001</v>
      </c>
      <c r="P298" s="353">
        <f t="shared" si="187"/>
        <v>8.6166999999999998</v>
      </c>
      <c r="Q298" s="191">
        <f>GETPIVOTDATA($BN$20,A298)</f>
        <v>8</v>
      </c>
      <c r="R298" s="353">
        <f>GETPIVOTDATA($BQ$20,A298)*2</f>
        <v>0.2</v>
      </c>
      <c r="S298" s="191">
        <f>(ROUND(E298/R298,0))*GETPIVOTDATA($CF$20,A298)</f>
        <v>15</v>
      </c>
      <c r="T298" s="354">
        <f>GETPIVOTDATA($BT$20,A298)</f>
        <v>5.4600000000000003E-2</v>
      </c>
      <c r="U298" s="355">
        <f>0.3*2</f>
        <v>0.6</v>
      </c>
      <c r="V298" s="354">
        <f t="shared" si="188"/>
        <v>-0.04</v>
      </c>
      <c r="W298" s="354">
        <f>5.4*0.3</f>
        <v>1.62</v>
      </c>
      <c r="X298" s="353">
        <f t="shared" si="189"/>
        <v>9.9046000000000003</v>
      </c>
      <c r="Y298" s="191">
        <f>GETPIVOTDATA($BW$20,A298)</f>
        <v>8</v>
      </c>
      <c r="Z298" s="353">
        <f>GETPIVOTDATA($CC$20,A298)*2</f>
        <v>0.36</v>
      </c>
      <c r="AA298" s="191">
        <f>(ROUND(D298/Z298,0)+1)*GETPIVOTDATA($CF$20,A298)</f>
        <v>22</v>
      </c>
      <c r="AB298" s="354">
        <f>GETPIVOTDATA($BZ$20,A298)</f>
        <v>5.4600000000000003E-2</v>
      </c>
      <c r="AC298" s="355">
        <f>0.3+0.38</f>
        <v>0.67999999999999994</v>
      </c>
      <c r="AD298" s="354">
        <f t="shared" si="190"/>
        <v>-0.04</v>
      </c>
      <c r="AE298" s="354">
        <f>5.24*0.3</f>
        <v>1.5720000000000001</v>
      </c>
      <c r="AF298" s="353">
        <f t="shared" si="191"/>
        <v>5.1966000000000001</v>
      </c>
      <c r="AG298" s="191">
        <f>GETPIVOTDATA($BW$20,A298)</f>
        <v>8</v>
      </c>
      <c r="AH298" s="201">
        <f>GETPIVOTDATA($CC$20,A298)*2</f>
        <v>0.36</v>
      </c>
      <c r="AI298" s="191">
        <f>(ROUND(D298/AH298,0))*GETPIVOTDATA($CF$20,A298)</f>
        <v>21</v>
      </c>
      <c r="AJ298" s="354">
        <f>GETPIVOTDATA($BZ$20,A298)</f>
        <v>5.4600000000000003E-2</v>
      </c>
      <c r="AK298" s="355">
        <f>0.3+0.38</f>
        <v>0.67999999999999994</v>
      </c>
      <c r="AL298" s="354">
        <f t="shared" si="192"/>
        <v>-0.04</v>
      </c>
      <c r="AM298" s="354">
        <f>2.98*0.3</f>
        <v>0.89400000000000002</v>
      </c>
      <c r="AN298" s="353">
        <f t="shared" si="193"/>
        <v>4.5186000000000002</v>
      </c>
      <c r="AO298" s="191">
        <v>0</v>
      </c>
      <c r="AP298" s="201">
        <f t="shared" si="194"/>
        <v>14</v>
      </c>
      <c r="AQ298" s="201">
        <v>1.5</v>
      </c>
      <c r="AR298" s="352">
        <f t="shared" si="197"/>
        <v>0</v>
      </c>
      <c r="AS298" s="352">
        <f t="shared" si="198"/>
        <v>0</v>
      </c>
      <c r="AT298" s="352">
        <f t="shared" si="199"/>
        <v>0</v>
      </c>
      <c r="AU298" s="352">
        <f t="shared" si="200"/>
        <v>0</v>
      </c>
      <c r="AV298" s="352">
        <f t="shared" si="201"/>
        <v>0</v>
      </c>
      <c r="AW298" s="352">
        <f t="shared" si="195"/>
        <v>0</v>
      </c>
      <c r="AX298" s="352">
        <f t="shared" si="196"/>
        <v>0</v>
      </c>
      <c r="AY298" s="190"/>
      <c r="AZ298" s="240"/>
      <c r="BA298" s="232"/>
      <c r="BF298" s="206"/>
      <c r="BG298" s="206"/>
      <c r="BK298" s="126"/>
      <c r="BL298" s="126"/>
      <c r="BN298" s="126"/>
      <c r="BO298" s="126"/>
      <c r="BQ298" s="126"/>
      <c r="BR298" s="126"/>
      <c r="BT298" s="126"/>
      <c r="BU298" s="126"/>
      <c r="BW298" s="126"/>
      <c r="BX298" s="126"/>
      <c r="BZ298" s="126"/>
      <c r="CA298" s="126"/>
      <c r="CC298" s="126"/>
      <c r="CD298" s="126"/>
      <c r="CF298" s="126"/>
      <c r="CG298" s="126"/>
    </row>
    <row r="299" spans="1:85" s="197" customFormat="1" x14ac:dyDescent="0.3">
      <c r="A299" s="201" t="s">
        <v>223</v>
      </c>
      <c r="B299" s="191">
        <v>0</v>
      </c>
      <c r="C299" s="356" t="s">
        <v>432</v>
      </c>
      <c r="D299" s="352">
        <v>5.4</v>
      </c>
      <c r="E299" s="352">
        <v>2.9750000000000001</v>
      </c>
      <c r="F299" s="351">
        <v>0.13</v>
      </c>
      <c r="G299" s="352">
        <f t="shared" si="203"/>
        <v>0</v>
      </c>
      <c r="H299" s="353">
        <f t="shared" si="204"/>
        <v>0</v>
      </c>
      <c r="I299" s="191">
        <f>GETPIVOTDATA($BN$20,A299)</f>
        <v>8</v>
      </c>
      <c r="J299" s="353">
        <f>GETPIVOTDATA($BQ$20,A299)*2</f>
        <v>0.2</v>
      </c>
      <c r="K299" s="191">
        <f>(ROUND(E299/J299,0)+1)*GETPIVOTDATA($CF$20,A299)</f>
        <v>16</v>
      </c>
      <c r="L299" s="354">
        <f>GETPIVOTDATA($BT$20,A299)</f>
        <v>5.4600000000000003E-2</v>
      </c>
      <c r="M299" s="355">
        <f>0.3*2</f>
        <v>0.6</v>
      </c>
      <c r="N299" s="354">
        <f t="shared" si="186"/>
        <v>-0.04</v>
      </c>
      <c r="O299" s="354">
        <f>7.32*0.3</f>
        <v>2.1960000000000002</v>
      </c>
      <c r="P299" s="353">
        <f t="shared" si="187"/>
        <v>8.2105999999999995</v>
      </c>
      <c r="Q299" s="191">
        <f>GETPIVOTDATA($BN$20,A299)</f>
        <v>8</v>
      </c>
      <c r="R299" s="353">
        <f>GETPIVOTDATA($BQ$20,A299)*2</f>
        <v>0.2</v>
      </c>
      <c r="S299" s="191">
        <f>(ROUND(E299/R299,0))*GETPIVOTDATA($CF$20,A299)</f>
        <v>15</v>
      </c>
      <c r="T299" s="354">
        <f>GETPIVOTDATA($BT$20,A299)</f>
        <v>5.4600000000000003E-2</v>
      </c>
      <c r="U299" s="355">
        <f>0.3*2</f>
        <v>0.6</v>
      </c>
      <c r="V299" s="354">
        <f t="shared" si="188"/>
        <v>-0.04</v>
      </c>
      <c r="W299" s="354">
        <f>3.62*0.3</f>
        <v>1.0860000000000001</v>
      </c>
      <c r="X299" s="353">
        <f t="shared" si="189"/>
        <v>7.1006</v>
      </c>
      <c r="Y299" s="191">
        <f>GETPIVOTDATA($BW$20,A299)</f>
        <v>8</v>
      </c>
      <c r="Z299" s="353">
        <f>GETPIVOTDATA($CC$20,A299)*2</f>
        <v>0.36</v>
      </c>
      <c r="AA299" s="191">
        <f>(ROUND(D299/Z299,0)+1)*GETPIVOTDATA($CF$20,A299)</f>
        <v>16</v>
      </c>
      <c r="AB299" s="354">
        <f>GETPIVOTDATA($BZ$20,A299)</f>
        <v>5.4600000000000003E-2</v>
      </c>
      <c r="AC299" s="355">
        <f>0.3*2</f>
        <v>0.6</v>
      </c>
      <c r="AD299" s="354">
        <f t="shared" si="190"/>
        <v>-0.04</v>
      </c>
      <c r="AE299" s="354">
        <f>2.93*0.3</f>
        <v>0.879</v>
      </c>
      <c r="AF299" s="353">
        <f t="shared" si="191"/>
        <v>4.4686000000000003</v>
      </c>
      <c r="AG299" s="191">
        <f>GETPIVOTDATA($BW$20,A299)</f>
        <v>8</v>
      </c>
      <c r="AH299" s="201">
        <f>GETPIVOTDATA($CC$20,A299)*2</f>
        <v>0.36</v>
      </c>
      <c r="AI299" s="191">
        <f>(ROUND(D299/AH299,0))*GETPIVOTDATA($CF$20,A299)</f>
        <v>15</v>
      </c>
      <c r="AJ299" s="354">
        <f>GETPIVOTDATA($BZ$20,A299)</f>
        <v>5.4600000000000003E-2</v>
      </c>
      <c r="AK299" s="355">
        <f>0.3*2</f>
        <v>0.6</v>
      </c>
      <c r="AL299" s="354">
        <f t="shared" si="192"/>
        <v>-0.04</v>
      </c>
      <c r="AM299" s="354">
        <f>4.42*0.3</f>
        <v>1.3259999999999998</v>
      </c>
      <c r="AN299" s="353">
        <f t="shared" si="193"/>
        <v>4.9155999999999995</v>
      </c>
      <c r="AO299" s="191">
        <v>0</v>
      </c>
      <c r="AP299" s="201">
        <f t="shared" si="194"/>
        <v>12</v>
      </c>
      <c r="AQ299" s="201">
        <v>1.5</v>
      </c>
      <c r="AR299" s="352">
        <f t="shared" si="197"/>
        <v>0</v>
      </c>
      <c r="AS299" s="352">
        <f t="shared" si="198"/>
        <v>0</v>
      </c>
      <c r="AT299" s="352">
        <f t="shared" si="199"/>
        <v>0</v>
      </c>
      <c r="AU299" s="352">
        <f t="shared" si="200"/>
        <v>0</v>
      </c>
      <c r="AV299" s="352">
        <f t="shared" si="201"/>
        <v>0</v>
      </c>
      <c r="AW299" s="352">
        <f t="shared" si="195"/>
        <v>0</v>
      </c>
      <c r="AX299" s="352">
        <f t="shared" si="196"/>
        <v>0</v>
      </c>
      <c r="AY299" s="190"/>
      <c r="AZ299" s="240"/>
      <c r="BA299" s="232"/>
      <c r="BF299" s="206"/>
      <c r="BG299" s="206"/>
      <c r="BK299" s="126"/>
      <c r="BL299" s="126"/>
      <c r="BN299" s="126"/>
      <c r="BO299" s="126"/>
      <c r="BQ299" s="126"/>
      <c r="BR299" s="126"/>
      <c r="BT299" s="126"/>
      <c r="BU299" s="126"/>
      <c r="BW299" s="126"/>
      <c r="BX299" s="126"/>
      <c r="BZ299" s="126"/>
      <c r="CA299" s="126"/>
      <c r="CC299" s="126"/>
      <c r="CD299" s="126"/>
      <c r="CF299" s="126"/>
      <c r="CG299" s="126"/>
    </row>
    <row r="300" spans="1:85" s="197" customFormat="1" x14ac:dyDescent="0.3">
      <c r="A300" s="201" t="s">
        <v>245</v>
      </c>
      <c r="B300" s="191">
        <v>0</v>
      </c>
      <c r="C300" s="356" t="s">
        <v>433</v>
      </c>
      <c r="D300" s="352">
        <v>3.62</v>
      </c>
      <c r="E300" s="352">
        <v>3.39</v>
      </c>
      <c r="F300" s="351">
        <v>0.14000000000000001</v>
      </c>
      <c r="G300" s="352">
        <f t="shared" si="203"/>
        <v>0</v>
      </c>
      <c r="H300" s="353">
        <f t="shared" si="204"/>
        <v>0</v>
      </c>
      <c r="I300" s="191">
        <f>GETPIVOTDATA($BN$20,A300)</f>
        <v>10</v>
      </c>
      <c r="J300" s="353">
        <f>GETPIVOTDATA($BQ$20,A300)*2</f>
        <v>0.2</v>
      </c>
      <c r="K300" s="191">
        <f>(ROUND(E300/J300,0)+1)*GETPIVOTDATA($CF$20,A300)</f>
        <v>18</v>
      </c>
      <c r="L300" s="354">
        <f>GETPIVOTDATA($BT$20,A300)</f>
        <v>5.8800000000000005E-2</v>
      </c>
      <c r="M300" s="355">
        <f>0.3*2</f>
        <v>0.6</v>
      </c>
      <c r="N300" s="354">
        <f t="shared" si="186"/>
        <v>-0.04</v>
      </c>
      <c r="O300" s="354">
        <f>5.4*0.3</f>
        <v>1.62</v>
      </c>
      <c r="P300" s="353">
        <f t="shared" si="187"/>
        <v>5.8588000000000005</v>
      </c>
      <c r="Q300" s="191">
        <f>GETPIVOTDATA($BN$20,A300)</f>
        <v>10</v>
      </c>
      <c r="R300" s="353">
        <f>GETPIVOTDATA($BQ$20,A300)*2</f>
        <v>0.2</v>
      </c>
      <c r="S300" s="191">
        <f>(ROUND(E300/R300,0))*GETPIVOTDATA($CF$20,A300)</f>
        <v>17</v>
      </c>
      <c r="T300" s="354">
        <f>GETPIVOTDATA($BT$20,A300)</f>
        <v>5.8800000000000005E-2</v>
      </c>
      <c r="U300" s="355">
        <f>0.3*2</f>
        <v>0.6</v>
      </c>
      <c r="V300" s="354">
        <f t="shared" si="188"/>
        <v>-0.04</v>
      </c>
      <c r="W300" s="354">
        <f>3.5*0.3</f>
        <v>1.05</v>
      </c>
      <c r="X300" s="353">
        <f t="shared" si="189"/>
        <v>5.2888000000000002</v>
      </c>
      <c r="Y300" s="191">
        <f>GETPIVOTDATA($BW$20,A300)</f>
        <v>10</v>
      </c>
      <c r="Z300" s="353">
        <f>GETPIVOTDATA($CC$20,A300)*2</f>
        <v>0.24</v>
      </c>
      <c r="AA300" s="191">
        <f>(ROUND(D300/Z300,0)+1)*GETPIVOTDATA($CF$20,A300)</f>
        <v>16</v>
      </c>
      <c r="AB300" s="354">
        <f>GETPIVOTDATA($BZ$20,A300)</f>
        <v>5.8800000000000005E-2</v>
      </c>
      <c r="AC300" s="355">
        <f>0.3*2</f>
        <v>0.6</v>
      </c>
      <c r="AD300" s="354">
        <f t="shared" si="190"/>
        <v>-0.04</v>
      </c>
      <c r="AE300" s="354">
        <f>2.6*0.3</f>
        <v>0.78</v>
      </c>
      <c r="AF300" s="353">
        <f t="shared" si="191"/>
        <v>4.7888000000000002</v>
      </c>
      <c r="AG300" s="191">
        <f>GETPIVOTDATA($BW$20,A300)</f>
        <v>10</v>
      </c>
      <c r="AH300" s="201">
        <f>GETPIVOTDATA($CC$20,A300)*2</f>
        <v>0.24</v>
      </c>
      <c r="AI300" s="191">
        <f>(ROUND(D300/AH300,0))*GETPIVOTDATA($CF$20,A300)</f>
        <v>15</v>
      </c>
      <c r="AJ300" s="354">
        <f>GETPIVOTDATA($BZ$20,A300)</f>
        <v>5.8800000000000005E-2</v>
      </c>
      <c r="AK300" s="355">
        <f>0.3*2</f>
        <v>0.6</v>
      </c>
      <c r="AL300" s="354">
        <f t="shared" si="192"/>
        <v>-0.04</v>
      </c>
      <c r="AM300" s="354">
        <f>3.59*0.3</f>
        <v>1.077</v>
      </c>
      <c r="AN300" s="353">
        <f t="shared" si="193"/>
        <v>5.0857999999999999</v>
      </c>
      <c r="AO300" s="191">
        <v>0</v>
      </c>
      <c r="AP300" s="201">
        <f t="shared" si="194"/>
        <v>8</v>
      </c>
      <c r="AQ300" s="201">
        <v>1.5</v>
      </c>
      <c r="AR300" s="352">
        <f t="shared" si="197"/>
        <v>0</v>
      </c>
      <c r="AS300" s="352">
        <f t="shared" si="198"/>
        <v>0</v>
      </c>
      <c r="AT300" s="352">
        <f t="shared" si="199"/>
        <v>0</v>
      </c>
      <c r="AU300" s="352">
        <f t="shared" si="200"/>
        <v>0</v>
      </c>
      <c r="AV300" s="352">
        <f t="shared" si="201"/>
        <v>0</v>
      </c>
      <c r="AW300" s="352">
        <f t="shared" si="195"/>
        <v>0</v>
      </c>
      <c r="AX300" s="352">
        <f t="shared" si="196"/>
        <v>0</v>
      </c>
      <c r="AY300" s="190"/>
      <c r="AZ300" s="240"/>
      <c r="BA300" s="232"/>
      <c r="BF300" s="206"/>
      <c r="BG300" s="206"/>
      <c r="BK300" s="126"/>
      <c r="BL300" s="126"/>
      <c r="BN300" s="126"/>
      <c r="BO300" s="126"/>
      <c r="BQ300" s="126"/>
      <c r="BR300" s="126"/>
      <c r="BT300" s="126"/>
      <c r="BU300" s="126"/>
      <c r="BW300" s="126"/>
      <c r="BX300" s="126"/>
      <c r="BZ300" s="126"/>
      <c r="CA300" s="126"/>
      <c r="CC300" s="126"/>
      <c r="CD300" s="126"/>
      <c r="CF300" s="126"/>
      <c r="CG300" s="126"/>
    </row>
    <row r="301" spans="1:85" s="197" customFormat="1" x14ac:dyDescent="0.3">
      <c r="A301" s="201"/>
      <c r="B301" s="191"/>
      <c r="C301" s="349"/>
      <c r="D301" s="352"/>
      <c r="E301" s="352"/>
      <c r="F301" s="351"/>
      <c r="G301" s="352"/>
      <c r="H301" s="353"/>
      <c r="I301" s="191"/>
      <c r="J301" s="353"/>
      <c r="K301" s="191"/>
      <c r="L301" s="354"/>
      <c r="M301" s="355"/>
      <c r="N301" s="354"/>
      <c r="O301" s="354"/>
      <c r="P301" s="353"/>
      <c r="Q301" s="191"/>
      <c r="R301" s="353"/>
      <c r="S301" s="191"/>
      <c r="T301" s="354"/>
      <c r="U301" s="355"/>
      <c r="V301" s="354"/>
      <c r="W301" s="354"/>
      <c r="X301" s="353"/>
      <c r="Y301" s="191"/>
      <c r="Z301" s="353"/>
      <c r="AA301" s="191"/>
      <c r="AB301" s="354"/>
      <c r="AC301" s="355"/>
      <c r="AD301" s="354"/>
      <c r="AE301" s="354"/>
      <c r="AF301" s="353"/>
      <c r="AG301" s="191"/>
      <c r="AH301" s="201"/>
      <c r="AI301" s="191"/>
      <c r="AJ301" s="354"/>
      <c r="AK301" s="355"/>
      <c r="AL301" s="354"/>
      <c r="AM301" s="354"/>
      <c r="AN301" s="353"/>
      <c r="AO301" s="191"/>
      <c r="AP301" s="201"/>
      <c r="AQ301" s="201"/>
      <c r="AR301" s="352"/>
      <c r="AS301" s="352"/>
      <c r="AT301" s="352"/>
      <c r="AU301" s="352"/>
      <c r="AV301" s="352"/>
      <c r="AW301" s="352"/>
      <c r="AX301" s="352"/>
      <c r="AY301" s="190"/>
      <c r="AZ301" s="240"/>
      <c r="BA301" s="232"/>
      <c r="BF301" s="206"/>
      <c r="BG301" s="206"/>
      <c r="BK301" s="126"/>
      <c r="BL301" s="126"/>
      <c r="BN301" s="126"/>
      <c r="BO301" s="126"/>
      <c r="BQ301" s="126"/>
      <c r="BR301" s="126"/>
      <c r="BT301" s="126"/>
      <c r="BU301" s="126"/>
      <c r="BW301" s="126"/>
      <c r="BX301" s="126"/>
      <c r="BZ301" s="126"/>
      <c r="CA301" s="126"/>
      <c r="CC301" s="126"/>
      <c r="CD301" s="126"/>
      <c r="CF301" s="126"/>
      <c r="CG301" s="126"/>
    </row>
    <row r="302" spans="1:85" s="197" customFormat="1" x14ac:dyDescent="0.3">
      <c r="A302" s="201"/>
      <c r="B302" s="191"/>
      <c r="C302" s="349"/>
      <c r="D302" s="352"/>
      <c r="E302" s="352"/>
      <c r="F302" s="351"/>
      <c r="G302" s="352"/>
      <c r="H302" s="353"/>
      <c r="I302" s="191"/>
      <c r="J302" s="353"/>
      <c r="K302" s="191"/>
      <c r="L302" s="354"/>
      <c r="M302" s="355"/>
      <c r="N302" s="354"/>
      <c r="O302" s="354"/>
      <c r="P302" s="353"/>
      <c r="Q302" s="191"/>
      <c r="R302" s="353"/>
      <c r="S302" s="191"/>
      <c r="T302" s="354"/>
      <c r="U302" s="355"/>
      <c r="V302" s="354"/>
      <c r="W302" s="354"/>
      <c r="X302" s="353"/>
      <c r="Y302" s="191"/>
      <c r="Z302" s="353"/>
      <c r="AA302" s="191"/>
      <c r="AB302" s="354"/>
      <c r="AC302" s="355"/>
      <c r="AD302" s="354"/>
      <c r="AE302" s="354"/>
      <c r="AF302" s="353"/>
      <c r="AG302" s="191"/>
      <c r="AH302" s="201"/>
      <c r="AI302" s="191"/>
      <c r="AJ302" s="354"/>
      <c r="AK302" s="355"/>
      <c r="AL302" s="354"/>
      <c r="AM302" s="354"/>
      <c r="AN302" s="353"/>
      <c r="AO302" s="191"/>
      <c r="AP302" s="201"/>
      <c r="AQ302" s="201"/>
      <c r="AR302" s="352"/>
      <c r="AS302" s="352"/>
      <c r="AT302" s="352"/>
      <c r="AU302" s="352"/>
      <c r="AV302" s="352"/>
      <c r="AW302" s="352"/>
      <c r="AX302" s="352"/>
      <c r="AY302" s="190"/>
      <c r="AZ302" s="240"/>
      <c r="BA302" s="232"/>
      <c r="BF302" s="206"/>
      <c r="BG302" s="206"/>
      <c r="BK302" s="126"/>
      <c r="BL302" s="126"/>
      <c r="BN302" s="126"/>
      <c r="BO302" s="126"/>
      <c r="BQ302" s="126"/>
      <c r="BR302" s="126"/>
      <c r="BT302" s="126"/>
      <c r="BU302" s="126"/>
      <c r="BW302" s="126"/>
      <c r="BX302" s="126"/>
      <c r="BZ302" s="126"/>
      <c r="CA302" s="126"/>
      <c r="CC302" s="126"/>
      <c r="CD302" s="126"/>
      <c r="CF302" s="126"/>
      <c r="CG302" s="126"/>
    </row>
    <row r="303" spans="1:85" s="197" customFormat="1" x14ac:dyDescent="0.3">
      <c r="A303" s="201"/>
      <c r="B303" s="191"/>
      <c r="C303" s="349"/>
      <c r="D303" s="352"/>
      <c r="E303" s="352"/>
      <c r="F303" s="351"/>
      <c r="G303" s="352"/>
      <c r="H303" s="353"/>
      <c r="I303" s="191"/>
      <c r="J303" s="353"/>
      <c r="K303" s="191"/>
      <c r="L303" s="354"/>
      <c r="M303" s="355"/>
      <c r="N303" s="354"/>
      <c r="O303" s="354"/>
      <c r="P303" s="353"/>
      <c r="Q303" s="191"/>
      <c r="R303" s="353"/>
      <c r="S303" s="191"/>
      <c r="T303" s="354"/>
      <c r="U303" s="355"/>
      <c r="V303" s="354"/>
      <c r="W303" s="354"/>
      <c r="X303" s="353"/>
      <c r="Y303" s="191"/>
      <c r="Z303" s="353"/>
      <c r="AA303" s="191"/>
      <c r="AB303" s="354"/>
      <c r="AC303" s="355"/>
      <c r="AD303" s="354"/>
      <c r="AE303" s="354"/>
      <c r="AF303" s="353"/>
      <c r="AG303" s="191"/>
      <c r="AH303" s="201"/>
      <c r="AI303" s="191"/>
      <c r="AJ303" s="354"/>
      <c r="AK303" s="355"/>
      <c r="AL303" s="354"/>
      <c r="AM303" s="354"/>
      <c r="AN303" s="353"/>
      <c r="AO303" s="191"/>
      <c r="AP303" s="201"/>
      <c r="AQ303" s="201"/>
      <c r="AR303" s="352"/>
      <c r="AS303" s="352"/>
      <c r="AT303" s="352"/>
      <c r="AU303" s="352"/>
      <c r="AV303" s="352"/>
      <c r="AW303" s="352"/>
      <c r="AX303" s="352"/>
      <c r="AY303" s="190"/>
      <c r="AZ303" s="240"/>
      <c r="BA303" s="232"/>
      <c r="BF303" s="206"/>
      <c r="BG303" s="206"/>
      <c r="BK303" s="126"/>
      <c r="BL303" s="126"/>
      <c r="BN303" s="126"/>
      <c r="BO303" s="126"/>
      <c r="BQ303" s="126"/>
      <c r="BR303" s="126"/>
      <c r="BT303" s="126"/>
      <c r="BU303" s="126"/>
      <c r="BW303" s="126"/>
      <c r="BX303" s="126"/>
      <c r="BZ303" s="126"/>
      <c r="CA303" s="126"/>
      <c r="CC303" s="126"/>
      <c r="CD303" s="126"/>
      <c r="CF303" s="126"/>
      <c r="CG303" s="126"/>
    </row>
    <row r="304" spans="1:85" s="197" customFormat="1" x14ac:dyDescent="0.3">
      <c r="A304" s="201"/>
      <c r="B304" s="191"/>
      <c r="C304" s="349"/>
      <c r="D304" s="352"/>
      <c r="E304" s="352"/>
      <c r="F304" s="351"/>
      <c r="G304" s="352"/>
      <c r="H304" s="353"/>
      <c r="I304" s="191"/>
      <c r="J304" s="353"/>
      <c r="K304" s="191"/>
      <c r="L304" s="354"/>
      <c r="M304" s="355"/>
      <c r="N304" s="354"/>
      <c r="O304" s="354"/>
      <c r="P304" s="353"/>
      <c r="Q304" s="191"/>
      <c r="R304" s="353"/>
      <c r="S304" s="191"/>
      <c r="T304" s="354"/>
      <c r="U304" s="355"/>
      <c r="V304" s="354"/>
      <c r="W304" s="354"/>
      <c r="X304" s="353"/>
      <c r="Y304" s="191"/>
      <c r="Z304" s="353"/>
      <c r="AA304" s="191"/>
      <c r="AB304" s="354"/>
      <c r="AC304" s="355"/>
      <c r="AD304" s="354"/>
      <c r="AE304" s="354"/>
      <c r="AF304" s="353"/>
      <c r="AG304" s="191"/>
      <c r="AH304" s="201"/>
      <c r="AI304" s="191"/>
      <c r="AJ304" s="354"/>
      <c r="AK304" s="355"/>
      <c r="AL304" s="354"/>
      <c r="AM304" s="354"/>
      <c r="AN304" s="353"/>
      <c r="AO304" s="191"/>
      <c r="AP304" s="201"/>
      <c r="AQ304" s="201"/>
      <c r="AR304" s="352"/>
      <c r="AS304" s="352"/>
      <c r="AT304" s="352"/>
      <c r="AU304" s="352"/>
      <c r="AV304" s="352"/>
      <c r="AW304" s="352"/>
      <c r="AX304" s="352"/>
      <c r="AY304" s="190"/>
      <c r="AZ304" s="240"/>
      <c r="BA304" s="232"/>
      <c r="BF304" s="206"/>
      <c r="BG304" s="206"/>
      <c r="BK304" s="126"/>
      <c r="BL304" s="126"/>
      <c r="BN304" s="126"/>
      <c r="BO304" s="126"/>
      <c r="BQ304" s="126"/>
      <c r="BR304" s="126"/>
      <c r="BT304" s="126"/>
      <c r="BU304" s="126"/>
      <c r="BW304" s="126"/>
      <c r="BX304" s="126"/>
      <c r="BZ304" s="126"/>
      <c r="CA304" s="126"/>
      <c r="CC304" s="126"/>
      <c r="CD304" s="126"/>
      <c r="CF304" s="126"/>
      <c r="CG304" s="126"/>
    </row>
    <row r="305" spans="1:85" s="197" customFormat="1" x14ac:dyDescent="0.3">
      <c r="A305" s="201" t="s">
        <v>254</v>
      </c>
      <c r="B305" s="191">
        <v>0.75</v>
      </c>
      <c r="C305" s="633" t="s">
        <v>434</v>
      </c>
      <c r="D305" s="352">
        <v>5.76</v>
      </c>
      <c r="E305" s="352">
        <v>3.63</v>
      </c>
      <c r="F305" s="351">
        <v>0.15</v>
      </c>
      <c r="G305" s="352">
        <f t="shared" si="203"/>
        <v>2.3522400000000001</v>
      </c>
      <c r="H305" s="353">
        <f t="shared" si="204"/>
        <v>15.6816</v>
      </c>
      <c r="I305" s="191">
        <f>GETPIVOTDATA($BN$20,A305)</f>
        <v>10</v>
      </c>
      <c r="J305" s="353">
        <f>GETPIVOTDATA($BQ$20,A305)*2</f>
        <v>0.18</v>
      </c>
      <c r="K305" s="191">
        <f>(ROUND(E305/J305,0)+1)*GETPIVOTDATA($CF$20,A305)</f>
        <v>21</v>
      </c>
      <c r="L305" s="354">
        <f>GETPIVOTDATA($BT$20,A305)</f>
        <v>6.3E-2</v>
      </c>
      <c r="M305" s="355">
        <f>0.4+0.3</f>
        <v>0.7</v>
      </c>
      <c r="N305" s="354">
        <f t="shared" si="186"/>
        <v>-0.04</v>
      </c>
      <c r="O305" s="354">
        <f>1.78*0.3</f>
        <v>0.53400000000000003</v>
      </c>
      <c r="P305" s="353">
        <f t="shared" si="187"/>
        <v>7.0169999999999995</v>
      </c>
      <c r="Q305" s="191">
        <f>GETPIVOTDATA($BN$20,A305)</f>
        <v>10</v>
      </c>
      <c r="R305" s="353">
        <f>GETPIVOTDATA($BQ$20,A305)*2</f>
        <v>0.18</v>
      </c>
      <c r="S305" s="191">
        <f>(ROUND(E305/R305,0))*GETPIVOTDATA($CF$20,A305)</f>
        <v>20</v>
      </c>
      <c r="T305" s="354">
        <f>GETPIVOTDATA($BT$20,A305)</f>
        <v>6.3E-2</v>
      </c>
      <c r="U305" s="355">
        <f>0.4+0.3</f>
        <v>0.7</v>
      </c>
      <c r="V305" s="354">
        <f t="shared" si="188"/>
        <v>-0.04</v>
      </c>
      <c r="W305" s="354">
        <f>2.72*0.3</f>
        <v>0.81600000000000006</v>
      </c>
      <c r="X305" s="353">
        <f t="shared" si="189"/>
        <v>7.2989999999999995</v>
      </c>
      <c r="Y305" s="191">
        <f>GETPIVOTDATA($BW$20,A305)</f>
        <v>8</v>
      </c>
      <c r="Z305" s="353">
        <f>GETPIVOTDATA($CC$20,A305)*2</f>
        <v>0.2</v>
      </c>
      <c r="AA305" s="191">
        <f>(ROUND(D305/Z305,0)+1)*GETPIVOTDATA($CF$20,A305)</f>
        <v>30</v>
      </c>
      <c r="AB305" s="354">
        <f>GETPIVOTDATA($BZ$20,A305)</f>
        <v>6.3E-2</v>
      </c>
      <c r="AC305" s="355">
        <f>0.6+0.3</f>
        <v>0.89999999999999991</v>
      </c>
      <c r="AD305" s="354">
        <f t="shared" si="190"/>
        <v>-0.04</v>
      </c>
      <c r="AE305" s="354">
        <f>2.44*0.3</f>
        <v>0.73199999999999998</v>
      </c>
      <c r="AF305" s="353">
        <f t="shared" si="191"/>
        <v>5.2850000000000001</v>
      </c>
      <c r="AG305" s="191">
        <f>GETPIVOTDATA($BW$20,A305)</f>
        <v>8</v>
      </c>
      <c r="AH305" s="201">
        <f>GETPIVOTDATA($CC$20,A305)*2</f>
        <v>0.2</v>
      </c>
      <c r="AI305" s="191">
        <f>(ROUND(D305/AH305,0))*GETPIVOTDATA($CF$20,A305)</f>
        <v>29</v>
      </c>
      <c r="AJ305" s="354">
        <f>GETPIVOTDATA($BZ$20,A305)</f>
        <v>6.3E-2</v>
      </c>
      <c r="AK305" s="355">
        <f>0.6+0.3</f>
        <v>0.89999999999999991</v>
      </c>
      <c r="AL305" s="354">
        <f t="shared" si="192"/>
        <v>-0.04</v>
      </c>
      <c r="AM305" s="354">
        <f>2.94*0.3</f>
        <v>0.88200000000000001</v>
      </c>
      <c r="AN305" s="353">
        <f t="shared" si="193"/>
        <v>5.4349999999999996</v>
      </c>
      <c r="AO305" s="191">
        <v>0</v>
      </c>
      <c r="AP305" s="201">
        <f t="shared" si="194"/>
        <v>12</v>
      </c>
      <c r="AQ305" s="201">
        <v>1.5</v>
      </c>
      <c r="AR305" s="352">
        <f t="shared" si="197"/>
        <v>0</v>
      </c>
      <c r="AS305" s="352">
        <f t="shared" si="198"/>
        <v>220.00274999999999</v>
      </c>
      <c r="AT305" s="352">
        <f t="shared" si="199"/>
        <v>0</v>
      </c>
      <c r="AU305" s="352">
        <f t="shared" si="200"/>
        <v>237.12374999999997</v>
      </c>
      <c r="AV305" s="352">
        <f t="shared" si="201"/>
        <v>0</v>
      </c>
      <c r="AW305" s="352">
        <f t="shared" si="195"/>
        <v>0</v>
      </c>
      <c r="AX305" s="352">
        <f t="shared" si="196"/>
        <v>13.5</v>
      </c>
      <c r="AY305" s="190"/>
      <c r="AZ305" s="240"/>
      <c r="BA305" s="232"/>
      <c r="BF305" s="206"/>
      <c r="BG305" s="206"/>
      <c r="BK305" s="126"/>
      <c r="BL305" s="126"/>
      <c r="BN305" s="126"/>
      <c r="BO305" s="126"/>
      <c r="BQ305" s="126"/>
      <c r="BR305" s="126"/>
      <c r="BT305" s="126"/>
      <c r="BU305" s="126"/>
      <c r="BW305" s="126"/>
      <c r="BX305" s="126"/>
      <c r="BZ305" s="126"/>
      <c r="CA305" s="126"/>
      <c r="CC305" s="126"/>
      <c r="CD305" s="126"/>
      <c r="CF305" s="126"/>
      <c r="CG305" s="126"/>
    </row>
    <row r="306" spans="1:85" s="197" customFormat="1" x14ac:dyDescent="0.3">
      <c r="A306" s="201" t="s">
        <v>242</v>
      </c>
      <c r="B306" s="191">
        <v>0.75</v>
      </c>
      <c r="C306" s="633" t="s">
        <v>435</v>
      </c>
      <c r="D306" s="352">
        <v>2.72</v>
      </c>
      <c r="E306" s="352">
        <v>6.53</v>
      </c>
      <c r="F306" s="351">
        <v>0.14000000000000001</v>
      </c>
      <c r="G306" s="352">
        <f t="shared" si="203"/>
        <v>1.8649680000000002</v>
      </c>
      <c r="H306" s="353">
        <f t="shared" si="204"/>
        <v>13.321200000000001</v>
      </c>
      <c r="I306" s="191">
        <f>GETPIVOTDATA($BN$20,A306)</f>
        <v>10</v>
      </c>
      <c r="J306" s="353">
        <f>GETPIVOTDATA($BQ$20,A306)*2</f>
        <v>0.2</v>
      </c>
      <c r="K306" s="191">
        <f>(ROUND(E306/J306,0)+1)*GETPIVOTDATA($CF$20,A306)</f>
        <v>34</v>
      </c>
      <c r="L306" s="354">
        <f>GETPIVOTDATA($BT$20,A306)</f>
        <v>5.8800000000000005E-2</v>
      </c>
      <c r="M306" s="355">
        <f>0.4+0.4</f>
        <v>0.8</v>
      </c>
      <c r="N306" s="354">
        <f t="shared" si="186"/>
        <v>-0.04</v>
      </c>
      <c r="O306" s="354">
        <f>5.76*0.3</f>
        <v>1.728</v>
      </c>
      <c r="P306" s="353">
        <f t="shared" si="187"/>
        <v>5.2667999999999999</v>
      </c>
      <c r="Q306" s="191">
        <f>GETPIVOTDATA($BN$20,A306)</f>
        <v>10</v>
      </c>
      <c r="R306" s="353">
        <f>GETPIVOTDATA($BQ$20,A306)*2</f>
        <v>0.2</v>
      </c>
      <c r="S306" s="191">
        <f>(ROUND(E306/R306,0))*GETPIVOTDATA($CF$20,A306)</f>
        <v>33</v>
      </c>
      <c r="T306" s="354">
        <f>GETPIVOTDATA($BT$20,A306)</f>
        <v>5.8800000000000005E-2</v>
      </c>
      <c r="U306" s="355">
        <f>0.4+0.4</f>
        <v>0.8</v>
      </c>
      <c r="V306" s="354">
        <f t="shared" si="188"/>
        <v>-0.04</v>
      </c>
      <c r="W306" s="354">
        <f>2.9*0.3</f>
        <v>0.87</v>
      </c>
      <c r="X306" s="353">
        <f t="shared" si="189"/>
        <v>4.4088000000000003</v>
      </c>
      <c r="Y306" s="191">
        <f>GETPIVOTDATA($BW$20,A306)</f>
        <v>8</v>
      </c>
      <c r="Z306" s="353">
        <f>GETPIVOTDATA($CC$20,A306)*2</f>
        <v>0.3</v>
      </c>
      <c r="AA306" s="191">
        <f>(ROUND(D306/Z306,0)+1)*GETPIVOTDATA($CF$20,A306)</f>
        <v>10</v>
      </c>
      <c r="AB306" s="354">
        <f>GETPIVOTDATA($BZ$20,A306)</f>
        <v>5.8800000000000005E-2</v>
      </c>
      <c r="AC306" s="355">
        <f>0.2+0.3</f>
        <v>0.5</v>
      </c>
      <c r="AD306" s="354">
        <f t="shared" si="190"/>
        <v>-0.04</v>
      </c>
      <c r="AE306" s="354">
        <f>5.4*0.3</f>
        <v>1.62</v>
      </c>
      <c r="AF306" s="353">
        <f t="shared" si="191"/>
        <v>8.6688000000000009</v>
      </c>
      <c r="AG306" s="191">
        <f>GETPIVOTDATA($BW$20,A306)</f>
        <v>8</v>
      </c>
      <c r="AH306" s="201">
        <f>GETPIVOTDATA($CC$20,A306)*2</f>
        <v>0.3</v>
      </c>
      <c r="AI306" s="191">
        <f>(ROUND(D306/AH306,0))*GETPIVOTDATA($CF$20,A306)</f>
        <v>9</v>
      </c>
      <c r="AJ306" s="354">
        <f>GETPIVOTDATA($BZ$20,A306)</f>
        <v>5.8800000000000005E-2</v>
      </c>
      <c r="AK306" s="355">
        <f>0.2+0.3</f>
        <v>0.5</v>
      </c>
      <c r="AL306" s="354">
        <f t="shared" si="192"/>
        <v>-0.04</v>
      </c>
      <c r="AM306" s="354">
        <f>2.95*0.3</f>
        <v>0.88500000000000001</v>
      </c>
      <c r="AN306" s="353">
        <f t="shared" si="193"/>
        <v>7.9337999999999997</v>
      </c>
      <c r="AO306" s="191">
        <v>0</v>
      </c>
      <c r="AP306" s="201">
        <f t="shared" si="194"/>
        <v>12</v>
      </c>
      <c r="AQ306" s="201">
        <v>1.5</v>
      </c>
      <c r="AR306" s="352">
        <f t="shared" si="197"/>
        <v>0</v>
      </c>
      <c r="AS306" s="352">
        <f t="shared" si="198"/>
        <v>243.42120000000003</v>
      </c>
      <c r="AT306" s="352">
        <f t="shared" si="199"/>
        <v>0</v>
      </c>
      <c r="AU306" s="352">
        <f t="shared" si="200"/>
        <v>118.56915000000001</v>
      </c>
      <c r="AV306" s="352">
        <f t="shared" si="201"/>
        <v>0</v>
      </c>
      <c r="AW306" s="352">
        <f t="shared" si="195"/>
        <v>0</v>
      </c>
      <c r="AX306" s="352">
        <f t="shared" si="196"/>
        <v>13.5</v>
      </c>
      <c r="AY306" s="190"/>
      <c r="AZ306" s="240"/>
      <c r="BA306" s="232"/>
      <c r="BF306" s="206"/>
      <c r="BG306" s="206"/>
      <c r="BK306" s="126"/>
      <c r="BL306" s="126"/>
      <c r="BN306" s="126"/>
      <c r="BO306" s="126"/>
      <c r="BQ306" s="126"/>
      <c r="BR306" s="126"/>
      <c r="BT306" s="126"/>
      <c r="BU306" s="126"/>
      <c r="BW306" s="126"/>
      <c r="BX306" s="126"/>
      <c r="BZ306" s="126"/>
      <c r="CA306" s="126"/>
      <c r="CC306" s="126"/>
      <c r="CD306" s="126"/>
      <c r="CF306" s="126"/>
      <c r="CG306" s="126"/>
    </row>
    <row r="307" spans="1:85" s="197" customFormat="1" x14ac:dyDescent="0.3">
      <c r="A307" s="201" t="s">
        <v>242</v>
      </c>
      <c r="B307" s="191">
        <v>0.75</v>
      </c>
      <c r="C307" s="633" t="s">
        <v>436</v>
      </c>
      <c r="D307" s="352">
        <v>2.9</v>
      </c>
      <c r="E307" s="352">
        <v>7.48</v>
      </c>
      <c r="F307" s="351">
        <v>0.14000000000000001</v>
      </c>
      <c r="G307" s="352">
        <f t="shared" si="203"/>
        <v>2.2776600000000005</v>
      </c>
      <c r="H307" s="353">
        <f t="shared" si="204"/>
        <v>16.268999999999998</v>
      </c>
      <c r="I307" s="191">
        <f>GETPIVOTDATA($BN$20,A307)</f>
        <v>10</v>
      </c>
      <c r="J307" s="353">
        <f>GETPIVOTDATA($BQ$20,A307)*2</f>
        <v>0.2</v>
      </c>
      <c r="K307" s="191">
        <f>(ROUND(E307/J307,0)+1)*GETPIVOTDATA($CF$20,A307)</f>
        <v>38</v>
      </c>
      <c r="L307" s="354">
        <f>GETPIVOTDATA($BT$20,A307)</f>
        <v>5.8800000000000005E-2</v>
      </c>
      <c r="M307" s="355">
        <f>0.4+0.3</f>
        <v>0.7</v>
      </c>
      <c r="N307" s="354">
        <f t="shared" si="186"/>
        <v>-0.04</v>
      </c>
      <c r="O307" s="354">
        <f>2.72*0.3</f>
        <v>0.81600000000000006</v>
      </c>
      <c r="P307" s="353">
        <f t="shared" si="187"/>
        <v>4.4348000000000001</v>
      </c>
      <c r="Q307" s="191">
        <f>GETPIVOTDATA($BN$20,A307)</f>
        <v>10</v>
      </c>
      <c r="R307" s="353">
        <f>GETPIVOTDATA($BQ$20,A307)*2</f>
        <v>0.2</v>
      </c>
      <c r="S307" s="191">
        <f>(ROUND(E307/R307,0))*GETPIVOTDATA($CF$20,A307)</f>
        <v>37</v>
      </c>
      <c r="T307" s="354">
        <f>GETPIVOTDATA($BT$20,A307)</f>
        <v>5.8800000000000005E-2</v>
      </c>
      <c r="U307" s="355">
        <f>0.4+0.3</f>
        <v>0.7</v>
      </c>
      <c r="V307" s="354">
        <f t="shared" si="188"/>
        <v>-0.04</v>
      </c>
      <c r="W307" s="354">
        <f>F307-2*0.02</f>
        <v>0.1</v>
      </c>
      <c r="X307" s="353">
        <f t="shared" si="189"/>
        <v>3.7187999999999999</v>
      </c>
      <c r="Y307" s="191">
        <f>GETPIVOTDATA($BW$20,A307)</f>
        <v>8</v>
      </c>
      <c r="Z307" s="353">
        <f>GETPIVOTDATA($CC$20,A307)*2</f>
        <v>0.3</v>
      </c>
      <c r="AA307" s="191">
        <f>(ROUND(D307/Z307,0)+1)*GETPIVOTDATA($CF$20,A307)</f>
        <v>11</v>
      </c>
      <c r="AB307" s="354">
        <f>GETPIVOTDATA($BZ$20,A307)</f>
        <v>5.8800000000000005E-2</v>
      </c>
      <c r="AC307" s="355">
        <f>0.3*2</f>
        <v>0.6</v>
      </c>
      <c r="AD307" s="354">
        <f t="shared" si="190"/>
        <v>-0.04</v>
      </c>
      <c r="AE307" s="354">
        <f>5.4*0.3</f>
        <v>1.62</v>
      </c>
      <c r="AF307" s="353">
        <f t="shared" si="191"/>
        <v>9.7187999999999999</v>
      </c>
      <c r="AG307" s="191">
        <f>GETPIVOTDATA($BW$20,A307)</f>
        <v>8</v>
      </c>
      <c r="AH307" s="201">
        <f>GETPIVOTDATA($CC$20,A307)*2</f>
        <v>0.3</v>
      </c>
      <c r="AI307" s="191">
        <f>(ROUND(D307/AH307,0))*GETPIVOTDATA($CF$20,A307)</f>
        <v>10</v>
      </c>
      <c r="AJ307" s="354">
        <f>GETPIVOTDATA($BZ$20,A307)</f>
        <v>5.8800000000000005E-2</v>
      </c>
      <c r="AK307" s="355">
        <f>0.3*2</f>
        <v>0.6</v>
      </c>
      <c r="AL307" s="354">
        <f t="shared" si="192"/>
        <v>-0.04</v>
      </c>
      <c r="AM307" s="354">
        <f>1.65*0.3</f>
        <v>0.49499999999999994</v>
      </c>
      <c r="AN307" s="353">
        <f t="shared" si="193"/>
        <v>8.5937999999999999</v>
      </c>
      <c r="AO307" s="191">
        <v>0</v>
      </c>
      <c r="AP307" s="201">
        <f t="shared" si="194"/>
        <v>14</v>
      </c>
      <c r="AQ307" s="201">
        <v>1.5</v>
      </c>
      <c r="AR307" s="352">
        <f t="shared" si="197"/>
        <v>0</v>
      </c>
      <c r="AS307" s="352">
        <f t="shared" si="198"/>
        <v>229.58850000000001</v>
      </c>
      <c r="AT307" s="352">
        <f t="shared" si="199"/>
        <v>0</v>
      </c>
      <c r="AU307" s="352">
        <f t="shared" si="200"/>
        <v>144.6336</v>
      </c>
      <c r="AV307" s="352">
        <f t="shared" si="201"/>
        <v>0</v>
      </c>
      <c r="AW307" s="352">
        <f t="shared" si="195"/>
        <v>0</v>
      </c>
      <c r="AX307" s="352">
        <f t="shared" si="196"/>
        <v>15.75</v>
      </c>
      <c r="AY307" s="190"/>
      <c r="AZ307" s="240"/>
      <c r="BA307" s="232"/>
      <c r="BF307" s="206"/>
      <c r="BG307" s="206"/>
      <c r="BK307" s="126"/>
      <c r="BL307" s="126"/>
      <c r="BN307" s="126"/>
      <c r="BO307" s="126"/>
      <c r="BQ307" s="126"/>
      <c r="BR307" s="126"/>
      <c r="BT307" s="126"/>
      <c r="BU307" s="126"/>
      <c r="BW307" s="126"/>
      <c r="BX307" s="126"/>
      <c r="BZ307" s="126"/>
      <c r="CA307" s="126"/>
      <c r="CC307" s="126"/>
      <c r="CD307" s="126"/>
      <c r="CF307" s="126"/>
      <c r="CG307" s="126"/>
    </row>
    <row r="308" spans="1:85" s="197" customFormat="1" x14ac:dyDescent="0.3">
      <c r="A308" s="201"/>
      <c r="B308" s="191"/>
      <c r="C308" s="349"/>
      <c r="D308" s="352"/>
      <c r="E308" s="352"/>
      <c r="F308" s="351"/>
      <c r="G308" s="352"/>
      <c r="H308" s="353"/>
      <c r="I308" s="191"/>
      <c r="J308" s="353"/>
      <c r="K308" s="191"/>
      <c r="L308" s="354"/>
      <c r="M308" s="355"/>
      <c r="N308" s="354"/>
      <c r="O308" s="354"/>
      <c r="P308" s="353"/>
      <c r="Q308" s="191"/>
      <c r="R308" s="353"/>
      <c r="S308" s="191"/>
      <c r="T308" s="354"/>
      <c r="U308" s="355"/>
      <c r="V308" s="354"/>
      <c r="W308" s="354"/>
      <c r="X308" s="353"/>
      <c r="Y308" s="191"/>
      <c r="Z308" s="353"/>
      <c r="AA308" s="191"/>
      <c r="AB308" s="354"/>
      <c r="AC308" s="355"/>
      <c r="AD308" s="354"/>
      <c r="AE308" s="354"/>
      <c r="AF308" s="353"/>
      <c r="AG308" s="191"/>
      <c r="AH308" s="201"/>
      <c r="AI308" s="191"/>
      <c r="AJ308" s="354"/>
      <c r="AK308" s="355"/>
      <c r="AL308" s="354"/>
      <c r="AM308" s="354"/>
      <c r="AN308" s="353"/>
      <c r="AO308" s="191"/>
      <c r="AP308" s="201"/>
      <c r="AQ308" s="201"/>
      <c r="AR308" s="352"/>
      <c r="AS308" s="352"/>
      <c r="AT308" s="352"/>
      <c r="AU308" s="352"/>
      <c r="AV308" s="352"/>
      <c r="AW308" s="352"/>
      <c r="AX308" s="352"/>
      <c r="AY308" s="190"/>
      <c r="AZ308" s="240"/>
      <c r="BA308" s="232"/>
      <c r="BF308" s="206"/>
      <c r="BG308" s="206"/>
      <c r="BK308" s="126"/>
      <c r="BL308" s="126"/>
      <c r="BN308" s="126"/>
      <c r="BO308" s="126"/>
      <c r="BQ308" s="126"/>
      <c r="BR308" s="126"/>
      <c r="BT308" s="126"/>
      <c r="BU308" s="126"/>
      <c r="BW308" s="126"/>
      <c r="BX308" s="126"/>
      <c r="BZ308" s="126"/>
      <c r="CA308" s="126"/>
      <c r="CC308" s="126"/>
      <c r="CD308" s="126"/>
      <c r="CF308" s="126"/>
      <c r="CG308" s="126"/>
    </row>
    <row r="309" spans="1:85" s="197" customFormat="1" x14ac:dyDescent="0.3">
      <c r="A309" s="353"/>
      <c r="B309" s="191"/>
      <c r="C309" s="354"/>
      <c r="D309" s="355"/>
      <c r="E309" s="354"/>
      <c r="F309" s="354"/>
      <c r="G309" s="353"/>
      <c r="H309" s="191"/>
      <c r="I309" s="353"/>
      <c r="J309" s="191"/>
      <c r="K309" s="354"/>
      <c r="L309" s="355"/>
      <c r="M309" s="354"/>
      <c r="N309" s="354"/>
      <c r="O309" s="353"/>
      <c r="Y309" s="191"/>
      <c r="Z309" s="353"/>
      <c r="AA309" s="191"/>
      <c r="AB309" s="354"/>
      <c r="AC309" s="355"/>
      <c r="AD309" s="354"/>
      <c r="AE309" s="354"/>
      <c r="AF309" s="353"/>
      <c r="AG309" s="191"/>
      <c r="AH309" s="201"/>
      <c r="AI309" s="191"/>
      <c r="AJ309" s="354"/>
      <c r="AK309" s="355"/>
      <c r="AL309" s="354"/>
      <c r="AM309" s="354"/>
      <c r="AN309" s="353"/>
      <c r="AO309" s="191"/>
      <c r="AP309" s="201"/>
      <c r="AQ309" s="201"/>
      <c r="AR309" s="352"/>
      <c r="AS309" s="352"/>
      <c r="AT309" s="352"/>
      <c r="AU309" s="352"/>
      <c r="AV309" s="352"/>
      <c r="AW309" s="352"/>
      <c r="AX309" s="352"/>
      <c r="AY309" s="190"/>
      <c r="AZ309" s="240"/>
      <c r="BA309" s="232"/>
      <c r="BF309" s="206"/>
      <c r="BG309" s="206"/>
      <c r="BK309" s="126"/>
      <c r="BL309" s="126"/>
      <c r="BN309" s="126"/>
      <c r="BO309" s="126"/>
      <c r="BQ309" s="126"/>
      <c r="BR309" s="126"/>
      <c r="BT309" s="126"/>
      <c r="BU309" s="126"/>
      <c r="BW309" s="126"/>
      <c r="BX309" s="126"/>
      <c r="BZ309" s="126"/>
      <c r="CA309" s="126"/>
      <c r="CC309" s="126"/>
      <c r="CD309" s="126"/>
      <c r="CF309" s="126"/>
      <c r="CG309" s="126"/>
    </row>
    <row r="310" spans="1:85" s="197" customFormat="1" x14ac:dyDescent="0.3">
      <c r="A310" s="201"/>
      <c r="B310" s="191"/>
      <c r="C310" s="349"/>
      <c r="D310" s="352"/>
      <c r="E310" s="352"/>
      <c r="F310" s="351"/>
      <c r="G310" s="352"/>
      <c r="H310" s="353"/>
      <c r="I310" s="191"/>
      <c r="J310" s="353"/>
      <c r="K310" s="191"/>
      <c r="L310" s="354"/>
      <c r="M310" s="355"/>
      <c r="N310" s="354"/>
      <c r="O310" s="354"/>
      <c r="P310" s="353"/>
      <c r="Q310" s="191"/>
      <c r="R310" s="353"/>
      <c r="S310" s="191"/>
      <c r="T310" s="354"/>
      <c r="U310" s="355"/>
      <c r="V310" s="354"/>
      <c r="W310" s="354"/>
      <c r="X310" s="353"/>
      <c r="Y310" s="191"/>
      <c r="Z310" s="353"/>
      <c r="AA310" s="191"/>
      <c r="AB310" s="354"/>
      <c r="AC310" s="355"/>
      <c r="AD310" s="354"/>
      <c r="AE310" s="354"/>
      <c r="AF310" s="353"/>
      <c r="AG310" s="191"/>
      <c r="AH310" s="201"/>
      <c r="AI310" s="191"/>
      <c r="AJ310" s="354"/>
      <c r="AK310" s="355"/>
      <c r="AL310" s="354"/>
      <c r="AM310" s="354"/>
      <c r="AN310" s="353"/>
      <c r="AO310" s="191"/>
      <c r="AP310" s="201"/>
      <c r="AQ310" s="201"/>
      <c r="AR310" s="352"/>
      <c r="AS310" s="352"/>
      <c r="AT310" s="352"/>
      <c r="AU310" s="352"/>
      <c r="AV310" s="352"/>
      <c r="AW310" s="352"/>
      <c r="AX310" s="352"/>
      <c r="AY310" s="190"/>
      <c r="AZ310" s="240"/>
      <c r="BA310" s="232"/>
      <c r="BF310" s="206"/>
      <c r="BG310" s="206"/>
      <c r="BK310" s="126"/>
      <c r="BL310" s="126"/>
      <c r="BN310" s="126"/>
      <c r="BO310" s="126"/>
      <c r="BQ310" s="126"/>
      <c r="BR310" s="126"/>
      <c r="BT310" s="126"/>
      <c r="BU310" s="126"/>
      <c r="BW310" s="126"/>
      <c r="BX310" s="126"/>
      <c r="BZ310" s="126"/>
      <c r="CA310" s="126"/>
      <c r="CC310" s="126"/>
      <c r="CD310" s="126"/>
      <c r="CF310" s="126"/>
      <c r="CG310" s="126"/>
    </row>
    <row r="311" spans="1:85" s="197" customFormat="1" x14ac:dyDescent="0.3">
      <c r="A311" s="201"/>
      <c r="B311" s="191"/>
      <c r="C311" s="349"/>
      <c r="D311" s="352"/>
      <c r="E311" s="352"/>
      <c r="F311" s="351"/>
      <c r="G311" s="352"/>
      <c r="H311" s="353"/>
      <c r="I311" s="191"/>
      <c r="J311" s="353"/>
      <c r="K311" s="191"/>
      <c r="L311" s="354"/>
      <c r="M311" s="355"/>
      <c r="N311" s="354"/>
      <c r="O311" s="354"/>
      <c r="P311" s="353"/>
      <c r="Q311" s="191"/>
      <c r="R311" s="353"/>
      <c r="S311" s="191"/>
      <c r="T311" s="354"/>
      <c r="U311" s="355"/>
      <c r="V311" s="354"/>
      <c r="W311" s="354"/>
      <c r="X311" s="353"/>
      <c r="Y311" s="191"/>
      <c r="Z311" s="353"/>
      <c r="AA311" s="191"/>
      <c r="AB311" s="354"/>
      <c r="AC311" s="355"/>
      <c r="AD311" s="354"/>
      <c r="AE311" s="354"/>
      <c r="AF311" s="353"/>
      <c r="AG311" s="191"/>
      <c r="AH311" s="201"/>
      <c r="AI311" s="191"/>
      <c r="AJ311" s="354"/>
      <c r="AK311" s="355"/>
      <c r="AL311" s="354"/>
      <c r="AM311" s="354"/>
      <c r="AN311" s="353"/>
      <c r="AO311" s="191"/>
      <c r="AP311" s="201"/>
      <c r="AQ311" s="201"/>
      <c r="AR311" s="352"/>
      <c r="AS311" s="352"/>
      <c r="AT311" s="352"/>
      <c r="AU311" s="352"/>
      <c r="AV311" s="352"/>
      <c r="AW311" s="352"/>
      <c r="AX311" s="352"/>
      <c r="AY311" s="190"/>
      <c r="AZ311" s="240"/>
      <c r="BA311" s="232"/>
      <c r="BF311" s="206"/>
      <c r="BG311" s="206"/>
      <c r="BK311" s="126"/>
      <c r="BL311" s="126"/>
      <c r="BN311" s="126"/>
      <c r="BO311" s="126"/>
      <c r="BQ311" s="126"/>
      <c r="BR311" s="126"/>
      <c r="BT311" s="126"/>
      <c r="BU311" s="126"/>
      <c r="BW311" s="126"/>
      <c r="BX311" s="126"/>
      <c r="BZ311" s="126"/>
      <c r="CA311" s="126"/>
      <c r="CC311" s="126"/>
      <c r="CD311" s="126"/>
      <c r="CF311" s="126"/>
      <c r="CG311" s="126"/>
    </row>
    <row r="312" spans="1:85" s="197" customFormat="1" x14ac:dyDescent="0.3">
      <c r="A312" s="201"/>
      <c r="B312" s="191"/>
      <c r="C312" s="349"/>
      <c r="D312" s="352"/>
      <c r="E312" s="352"/>
      <c r="F312" s="351"/>
      <c r="G312" s="352"/>
      <c r="H312" s="353"/>
      <c r="I312" s="191"/>
      <c r="J312" s="353"/>
      <c r="K312" s="191"/>
      <c r="L312" s="354"/>
      <c r="M312" s="355"/>
      <c r="N312" s="354"/>
      <c r="O312" s="354"/>
      <c r="P312" s="353"/>
      <c r="Q312" s="191"/>
      <c r="R312" s="353"/>
      <c r="S312" s="191"/>
      <c r="T312" s="354"/>
      <c r="U312" s="355"/>
      <c r="V312" s="354"/>
      <c r="W312" s="354"/>
      <c r="X312" s="353"/>
      <c r="Y312" s="191"/>
      <c r="Z312" s="353"/>
      <c r="AA312" s="191"/>
      <c r="AB312" s="354"/>
      <c r="AC312" s="355"/>
      <c r="AD312" s="354"/>
      <c r="AE312" s="354"/>
      <c r="AF312" s="353"/>
      <c r="AG312" s="191"/>
      <c r="AH312" s="201"/>
      <c r="AI312" s="191"/>
      <c r="AJ312" s="354"/>
      <c r="AK312" s="355"/>
      <c r="AL312" s="354"/>
      <c r="AM312" s="354"/>
      <c r="AN312" s="353"/>
      <c r="AO312" s="191"/>
      <c r="AP312" s="201"/>
      <c r="AQ312" s="201"/>
      <c r="AR312" s="352"/>
      <c r="AS312" s="352"/>
      <c r="AT312" s="352"/>
      <c r="AU312" s="352"/>
      <c r="AV312" s="352"/>
      <c r="AW312" s="352"/>
      <c r="AX312" s="352"/>
      <c r="AY312" s="190"/>
      <c r="AZ312" s="240"/>
      <c r="BA312" s="232"/>
      <c r="BF312" s="206"/>
      <c r="BG312" s="206"/>
      <c r="BK312" s="126"/>
      <c r="BL312" s="126"/>
      <c r="BN312" s="126"/>
      <c r="BO312" s="126"/>
      <c r="BQ312" s="126"/>
      <c r="BR312" s="126"/>
      <c r="BT312" s="126"/>
      <c r="BU312" s="126"/>
      <c r="BW312" s="126"/>
      <c r="BX312" s="126"/>
      <c r="BZ312" s="126"/>
      <c r="CA312" s="126"/>
      <c r="CC312" s="126"/>
      <c r="CD312" s="126"/>
      <c r="CF312" s="126"/>
      <c r="CG312" s="126"/>
    </row>
    <row r="313" spans="1:85" s="197" customFormat="1" x14ac:dyDescent="0.3">
      <c r="A313" s="201" t="s">
        <v>239</v>
      </c>
      <c r="B313" s="191">
        <v>1</v>
      </c>
      <c r="C313" s="633" t="s">
        <v>439</v>
      </c>
      <c r="D313" s="352">
        <v>2.98</v>
      </c>
      <c r="E313" s="352">
        <v>2.44</v>
      </c>
      <c r="F313" s="351">
        <v>0.125</v>
      </c>
      <c r="G313" s="352">
        <f t="shared" ref="G313:G330" si="205">D313*E313*F313*B313</f>
        <v>0.90889999999999993</v>
      </c>
      <c r="H313" s="353">
        <f t="shared" ref="H313:H330" si="206">D313*E313*B313</f>
        <v>7.2711999999999994</v>
      </c>
      <c r="I313" s="191">
        <f>GETPIVOTDATA($BN$20,A313)</f>
        <v>8</v>
      </c>
      <c r="J313" s="353">
        <f>GETPIVOTDATA($BQ$20,A313)*2</f>
        <v>0.23</v>
      </c>
      <c r="K313" s="191">
        <f>(ROUND(E313/J313,0)+1)*GETPIVOTDATA($CF$20,A313)</f>
        <v>12</v>
      </c>
      <c r="L313" s="354">
        <f>GETPIVOTDATA($BT$20,A313)</f>
        <v>5.2499999999999998E-2</v>
      </c>
      <c r="M313" s="355">
        <f>0.2+0.3</f>
        <v>0.5</v>
      </c>
      <c r="N313" s="354">
        <f t="shared" si="186"/>
        <v>-0.04</v>
      </c>
      <c r="O313" s="354">
        <f>2.35*0.3</f>
        <v>0.70499999999999996</v>
      </c>
      <c r="P313" s="353">
        <f t="shared" si="187"/>
        <v>4.1974999999999998</v>
      </c>
      <c r="Q313" s="191">
        <f>GETPIVOTDATA($BN$20,A313)</f>
        <v>8</v>
      </c>
      <c r="R313" s="353">
        <f>GETPIVOTDATA($BQ$20,A313)*2</f>
        <v>0.23</v>
      </c>
      <c r="S313" s="191">
        <f>(ROUND(E313/R313,0))*GETPIVOTDATA($CF$20,A313)</f>
        <v>11</v>
      </c>
      <c r="T313" s="354">
        <f>GETPIVOTDATA($BT$20,A313)</f>
        <v>5.2499999999999998E-2</v>
      </c>
      <c r="U313" s="355">
        <f>0.2+0.3</f>
        <v>0.5</v>
      </c>
      <c r="V313" s="354">
        <f t="shared" si="188"/>
        <v>-0.04</v>
      </c>
      <c r="W313" s="354">
        <f>2.86*0.3</f>
        <v>0.85799999999999998</v>
      </c>
      <c r="X313" s="353">
        <f t="shared" si="189"/>
        <v>4.3505000000000003</v>
      </c>
      <c r="Y313" s="191">
        <f>GETPIVOTDATA($BW$20,A313)</f>
        <v>8</v>
      </c>
      <c r="Z313" s="353">
        <f>GETPIVOTDATA($CC$20,A313)*2</f>
        <v>0.3</v>
      </c>
      <c r="AA313" s="191">
        <f>(ROUND(D313/Z313,0)+1)*GETPIVOTDATA($CF$20,A313)</f>
        <v>11</v>
      </c>
      <c r="AB313" s="354">
        <f>GETPIVOTDATA($BZ$20,A313)</f>
        <v>5.2499999999999998E-2</v>
      </c>
      <c r="AC313" s="355">
        <f>0.6+0.3</f>
        <v>0.89999999999999991</v>
      </c>
      <c r="AD313" s="354">
        <f t="shared" si="190"/>
        <v>-0.04</v>
      </c>
      <c r="AE313" s="354">
        <f>5.31*0.3</f>
        <v>1.5929999999999997</v>
      </c>
      <c r="AF313" s="353">
        <f t="shared" si="191"/>
        <v>4.9454999999999991</v>
      </c>
      <c r="AG313" s="191">
        <f>GETPIVOTDATA($BW$20,A313)</f>
        <v>8</v>
      </c>
      <c r="AH313" s="201">
        <f>GETPIVOTDATA($CC$20,A313)*2</f>
        <v>0.3</v>
      </c>
      <c r="AI313" s="191">
        <f>(ROUND(D313/AH313,0))*GETPIVOTDATA($CF$20,A313)</f>
        <v>10</v>
      </c>
      <c r="AJ313" s="354">
        <f>GETPIVOTDATA($BZ$20,A313)</f>
        <v>5.2499999999999998E-2</v>
      </c>
      <c r="AK313" s="355">
        <f>0.6+0.3</f>
        <v>0.89999999999999991</v>
      </c>
      <c r="AL313" s="354">
        <f t="shared" si="192"/>
        <v>-0.04</v>
      </c>
      <c r="AM313" s="354">
        <f>3.63*0.3</f>
        <v>1.089</v>
      </c>
      <c r="AN313" s="353">
        <f t="shared" si="193"/>
        <v>4.4414999999999996</v>
      </c>
      <c r="AO313" s="191">
        <v>0</v>
      </c>
      <c r="AP313" s="201">
        <f t="shared" si="194"/>
        <v>8</v>
      </c>
      <c r="AQ313" s="201">
        <v>1.5</v>
      </c>
      <c r="AR313" s="352">
        <f t="shared" si="197"/>
        <v>98.225500000000011</v>
      </c>
      <c r="AS313" s="352">
        <f t="shared" si="198"/>
        <v>0</v>
      </c>
      <c r="AT313" s="352">
        <f t="shared" si="199"/>
        <v>0</v>
      </c>
      <c r="AU313" s="352">
        <f t="shared" si="200"/>
        <v>98.815499999999986</v>
      </c>
      <c r="AV313" s="352">
        <f t="shared" si="201"/>
        <v>0</v>
      </c>
      <c r="AW313" s="352">
        <f t="shared" si="195"/>
        <v>0</v>
      </c>
      <c r="AX313" s="352">
        <f t="shared" si="196"/>
        <v>12</v>
      </c>
      <c r="AY313" s="190"/>
      <c r="AZ313" s="240"/>
      <c r="BA313" s="232"/>
      <c r="BF313" s="206"/>
      <c r="BG313" s="206"/>
      <c r="BK313" s="126"/>
      <c r="BL313" s="126"/>
      <c r="BN313" s="126"/>
      <c r="BO313" s="126"/>
      <c r="BQ313" s="126"/>
      <c r="BR313" s="126"/>
      <c r="BT313" s="126"/>
      <c r="BU313" s="126"/>
      <c r="BW313" s="126"/>
      <c r="BX313" s="126"/>
      <c r="BZ313" s="126"/>
      <c r="CA313" s="126"/>
      <c r="CC313" s="126"/>
      <c r="CD313" s="126"/>
      <c r="CF313" s="126"/>
      <c r="CG313" s="126"/>
    </row>
    <row r="314" spans="1:85" s="197" customFormat="1" x14ac:dyDescent="0.3">
      <c r="A314" s="201" t="s">
        <v>239</v>
      </c>
      <c r="B314" s="191">
        <v>1</v>
      </c>
      <c r="C314" s="633" t="s">
        <v>440</v>
      </c>
      <c r="D314" s="352">
        <v>2.86</v>
      </c>
      <c r="E314" s="352">
        <v>2.35</v>
      </c>
      <c r="F314" s="351">
        <v>0.125</v>
      </c>
      <c r="G314" s="352">
        <f t="shared" si="205"/>
        <v>0.84012500000000001</v>
      </c>
      <c r="H314" s="353">
        <f t="shared" si="206"/>
        <v>6.7210000000000001</v>
      </c>
      <c r="I314" s="191">
        <f>GETPIVOTDATA($BN$20,A314)</f>
        <v>8</v>
      </c>
      <c r="J314" s="353">
        <f>GETPIVOTDATA($BQ$20,A314)*2</f>
        <v>0.23</v>
      </c>
      <c r="K314" s="191">
        <f>(ROUND(E314/J314,0)+1)*GETPIVOTDATA($CF$20,A314)</f>
        <v>11</v>
      </c>
      <c r="L314" s="354">
        <f>GETPIVOTDATA($BT$20,A314)</f>
        <v>5.2499999999999998E-2</v>
      </c>
      <c r="M314" s="355">
        <f>0.3+0.4</f>
        <v>0.7</v>
      </c>
      <c r="N314" s="354">
        <f t="shared" si="186"/>
        <v>-0.04</v>
      </c>
      <c r="O314" s="354">
        <f>2.98*0.3</f>
        <v>0.89400000000000002</v>
      </c>
      <c r="P314" s="353">
        <f t="shared" si="187"/>
        <v>4.4664999999999999</v>
      </c>
      <c r="Q314" s="191">
        <f>GETPIVOTDATA($BN$20,A314)</f>
        <v>8</v>
      </c>
      <c r="R314" s="353">
        <f>GETPIVOTDATA($BQ$20,A314)*2</f>
        <v>0.23</v>
      </c>
      <c r="S314" s="191">
        <f>(ROUND(E314/R314,0))*GETPIVOTDATA($CF$20,A314)</f>
        <v>10</v>
      </c>
      <c r="T314" s="354">
        <f>GETPIVOTDATA($BT$20,A314)</f>
        <v>5.2499999999999998E-2</v>
      </c>
      <c r="U314" s="355">
        <f>0.3+0.4</f>
        <v>0.7</v>
      </c>
      <c r="V314" s="354">
        <f t="shared" si="188"/>
        <v>-0.04</v>
      </c>
      <c r="W314" s="354">
        <f>2.72*0.3</f>
        <v>0.81600000000000006</v>
      </c>
      <c r="X314" s="353">
        <f t="shared" si="189"/>
        <v>4.3884999999999996</v>
      </c>
      <c r="Y314" s="191">
        <f>GETPIVOTDATA($BW$20,A314)</f>
        <v>8</v>
      </c>
      <c r="Z314" s="353">
        <f>GETPIVOTDATA($CC$20,A314)*2</f>
        <v>0.3</v>
      </c>
      <c r="AA314" s="191">
        <f>(ROUND(D314/Z314,0)+1)*GETPIVOTDATA($CF$20,A314)</f>
        <v>11</v>
      </c>
      <c r="AB314" s="354">
        <f>GETPIVOTDATA($BZ$20,A314)</f>
        <v>5.2499999999999998E-2</v>
      </c>
      <c r="AC314" s="355">
        <f>0.6+0.3</f>
        <v>0.89999999999999991</v>
      </c>
      <c r="AD314" s="354">
        <f t="shared" si="190"/>
        <v>-0.04</v>
      </c>
      <c r="AE314" s="354">
        <f>5.4*0.3</f>
        <v>1.62</v>
      </c>
      <c r="AF314" s="353">
        <f t="shared" si="191"/>
        <v>4.8825000000000003</v>
      </c>
      <c r="AG314" s="191">
        <f>GETPIVOTDATA($BW$20,A314)</f>
        <v>8</v>
      </c>
      <c r="AH314" s="201">
        <f>GETPIVOTDATA($CC$20,A314)*2</f>
        <v>0.3</v>
      </c>
      <c r="AI314" s="191">
        <f>(ROUND(D314/AH314,0))*GETPIVOTDATA($CF$20,A314)</f>
        <v>10</v>
      </c>
      <c r="AJ314" s="354">
        <f>GETPIVOTDATA($BZ$20,A314)</f>
        <v>5.2499999999999998E-2</v>
      </c>
      <c r="AK314" s="355">
        <f>0.6+0.3</f>
        <v>0.89999999999999991</v>
      </c>
      <c r="AL314" s="354">
        <f t="shared" si="192"/>
        <v>-0.04</v>
      </c>
      <c r="AM314" s="354">
        <f>3.63*0.3</f>
        <v>1.089</v>
      </c>
      <c r="AN314" s="353">
        <f t="shared" si="193"/>
        <v>4.3514999999999997</v>
      </c>
      <c r="AO314" s="191">
        <v>8</v>
      </c>
      <c r="AP314" s="201">
        <f t="shared" si="194"/>
        <v>8</v>
      </c>
      <c r="AQ314" s="201">
        <v>1.5</v>
      </c>
      <c r="AR314" s="352">
        <f t="shared" si="197"/>
        <v>93.016500000000008</v>
      </c>
      <c r="AS314" s="352">
        <f t="shared" si="198"/>
        <v>0</v>
      </c>
      <c r="AT314" s="352">
        <f t="shared" si="199"/>
        <v>0</v>
      </c>
      <c r="AU314" s="352">
        <f t="shared" si="200"/>
        <v>97.222499999999997</v>
      </c>
      <c r="AV314" s="352">
        <f t="shared" si="201"/>
        <v>0</v>
      </c>
      <c r="AW314" s="352">
        <f t="shared" si="195"/>
        <v>0</v>
      </c>
      <c r="AX314" s="352">
        <f t="shared" si="196"/>
        <v>12</v>
      </c>
      <c r="AY314" s="190"/>
      <c r="AZ314" s="240"/>
      <c r="BA314" s="232"/>
      <c r="BF314" s="206"/>
      <c r="BG314" s="206"/>
      <c r="BK314" s="126"/>
      <c r="BL314" s="126"/>
      <c r="BN314" s="126"/>
      <c r="BO314" s="126"/>
      <c r="BQ314" s="126"/>
      <c r="BR314" s="126"/>
      <c r="BT314" s="126"/>
      <c r="BU314" s="126"/>
      <c r="BW314" s="126"/>
      <c r="BX314" s="126"/>
      <c r="BZ314" s="126"/>
      <c r="CA314" s="126"/>
      <c r="CC314" s="126"/>
      <c r="CD314" s="126"/>
      <c r="CF314" s="126"/>
      <c r="CG314" s="126"/>
    </row>
    <row r="315" spans="1:85" s="197" customFormat="1" x14ac:dyDescent="0.3">
      <c r="A315" s="201"/>
      <c r="B315" s="191"/>
      <c r="C315" s="349"/>
      <c r="D315" s="352"/>
      <c r="E315" s="352"/>
      <c r="F315" s="351"/>
      <c r="G315" s="352"/>
      <c r="H315" s="353"/>
      <c r="I315" s="191"/>
      <c r="J315" s="353"/>
      <c r="K315" s="191"/>
      <c r="L315" s="354"/>
      <c r="M315" s="355"/>
      <c r="N315" s="354"/>
      <c r="O315" s="354"/>
      <c r="P315" s="353"/>
      <c r="Q315" s="191"/>
      <c r="R315" s="353"/>
      <c r="S315" s="191"/>
      <c r="T315" s="354"/>
      <c r="U315" s="355"/>
      <c r="V315" s="354"/>
      <c r="W315" s="354"/>
      <c r="X315" s="353"/>
      <c r="Y315" s="191"/>
      <c r="Z315" s="353"/>
      <c r="AA315" s="191"/>
      <c r="AB315" s="354"/>
      <c r="AC315" s="355"/>
      <c r="AD315" s="354"/>
      <c r="AE315" s="354"/>
      <c r="AF315" s="353"/>
      <c r="AG315" s="191"/>
      <c r="AH315" s="201"/>
      <c r="AI315" s="191"/>
      <c r="AJ315" s="354"/>
      <c r="AK315" s="355"/>
      <c r="AL315" s="354"/>
      <c r="AM315" s="354"/>
      <c r="AN315" s="353"/>
      <c r="AO315" s="191"/>
      <c r="AP315" s="201"/>
      <c r="AQ315" s="201"/>
      <c r="AR315" s="352"/>
      <c r="AS315" s="352"/>
      <c r="AT315" s="352"/>
      <c r="AU315" s="352"/>
      <c r="AV315" s="352"/>
      <c r="AW315" s="352"/>
      <c r="AX315" s="352"/>
      <c r="AY315" s="190"/>
      <c r="AZ315" s="240"/>
      <c r="BA315" s="232"/>
      <c r="BF315" s="206"/>
      <c r="BG315" s="206"/>
      <c r="BK315" s="126"/>
      <c r="BL315" s="126"/>
      <c r="BN315" s="126"/>
      <c r="BO315" s="126"/>
      <c r="BQ315" s="126"/>
      <c r="BR315" s="126"/>
      <c r="BT315" s="126"/>
      <c r="BU315" s="126"/>
      <c r="BW315" s="126"/>
      <c r="BX315" s="126"/>
      <c r="BZ315" s="126"/>
      <c r="CA315" s="126"/>
      <c r="CC315" s="126"/>
      <c r="CD315" s="126"/>
      <c r="CF315" s="126"/>
      <c r="CG315" s="126"/>
    </row>
    <row r="316" spans="1:85" s="197" customFormat="1" x14ac:dyDescent="0.3">
      <c r="A316" s="201" t="s">
        <v>223</v>
      </c>
      <c r="B316" s="191">
        <v>1</v>
      </c>
      <c r="C316" s="633" t="s">
        <v>445</v>
      </c>
      <c r="D316" s="352">
        <v>2.98</v>
      </c>
      <c r="E316" s="352">
        <v>5.31</v>
      </c>
      <c r="F316" s="351">
        <v>0.13</v>
      </c>
      <c r="G316" s="352">
        <f t="shared" si="205"/>
        <v>2.0570939999999998</v>
      </c>
      <c r="H316" s="353">
        <f t="shared" si="206"/>
        <v>15.823799999999999</v>
      </c>
      <c r="I316" s="191">
        <f>GETPIVOTDATA($BN$20,A316)</f>
        <v>8</v>
      </c>
      <c r="J316" s="353">
        <f>GETPIVOTDATA($BQ$20,A316)*2</f>
        <v>0.2</v>
      </c>
      <c r="K316" s="191">
        <f>(ROUND(E316/J316,0)+1)*GETPIVOTDATA($CF$20,A316)</f>
        <v>28</v>
      </c>
      <c r="L316" s="354">
        <f>GETPIVOTDATA($BT$20,A316)</f>
        <v>5.4600000000000003E-2</v>
      </c>
      <c r="M316" s="355">
        <f>0.3*2</f>
        <v>0.6</v>
      </c>
      <c r="N316" s="354">
        <f t="shared" ref="N316:N330" si="207">-(0.02*2)</f>
        <v>-0.04</v>
      </c>
      <c r="O316" s="354">
        <f>4.42*0.3</f>
        <v>1.3259999999999998</v>
      </c>
      <c r="P316" s="353">
        <f t="shared" ref="P316:P330" si="208">+D316+SUM(L316:O316)</f>
        <v>4.9206000000000003</v>
      </c>
      <c r="Q316" s="191">
        <f>GETPIVOTDATA($BN$20,A316)</f>
        <v>8</v>
      </c>
      <c r="R316" s="353">
        <f>GETPIVOTDATA($BQ$20,A316)*2</f>
        <v>0.2</v>
      </c>
      <c r="S316" s="191">
        <f>(ROUND(E316/R316,0))*GETPIVOTDATA($CF$20,A316)</f>
        <v>27</v>
      </c>
      <c r="T316" s="354">
        <f>GETPIVOTDATA($BT$20,A316)</f>
        <v>5.4600000000000003E-2</v>
      </c>
      <c r="U316" s="355">
        <f>0.3*2</f>
        <v>0.6</v>
      </c>
      <c r="V316" s="354">
        <f t="shared" ref="V316:V330" si="209">-(0.02*2)</f>
        <v>-0.04</v>
      </c>
      <c r="W316" s="354">
        <f>2.9*0.3</f>
        <v>0.87</v>
      </c>
      <c r="X316" s="353">
        <f t="shared" ref="X316:X330" si="210">+D316+SUM(T316:W316)</f>
        <v>4.4645999999999999</v>
      </c>
      <c r="Y316" s="191">
        <f>GETPIVOTDATA($BW$20,A316)</f>
        <v>8</v>
      </c>
      <c r="Z316" s="353">
        <f>GETPIVOTDATA($CC$20,A316)*2</f>
        <v>0.36</v>
      </c>
      <c r="AA316" s="191">
        <f>(ROUND(D316/Z316,0)+1)*GETPIVOTDATA($CF$20,A316)</f>
        <v>9</v>
      </c>
      <c r="AB316" s="354">
        <f>GETPIVOTDATA($BZ$20,A316)</f>
        <v>5.4600000000000003E-2</v>
      </c>
      <c r="AC316" s="355">
        <f>0.3*2</f>
        <v>0.6</v>
      </c>
      <c r="AD316" s="354">
        <f t="shared" ref="AD316:AD330" si="211">-(0.02*2)</f>
        <v>-0.04</v>
      </c>
      <c r="AE316" s="354">
        <f>5.85*0.3</f>
        <v>1.7549999999999999</v>
      </c>
      <c r="AF316" s="353">
        <f t="shared" ref="AF316:AF330" si="212">+E316+SUM(AB316:AE316)</f>
        <v>7.6795999999999989</v>
      </c>
      <c r="AG316" s="191">
        <f>GETPIVOTDATA($BW$20,A316)</f>
        <v>8</v>
      </c>
      <c r="AH316" s="201">
        <f>GETPIVOTDATA($CC$20,A316)*2</f>
        <v>0.36</v>
      </c>
      <c r="AI316" s="191">
        <f>(ROUND(D316/AH316,0))*GETPIVOTDATA($CF$20,A316)</f>
        <v>8</v>
      </c>
      <c r="AJ316" s="354">
        <f>GETPIVOTDATA($BZ$20,A316)</f>
        <v>5.4600000000000003E-2</v>
      </c>
      <c r="AK316" s="355">
        <f>0.3*2</f>
        <v>0.6</v>
      </c>
      <c r="AL316" s="354">
        <f t="shared" ref="AL316:AL330" si="213">-(0.02*2)</f>
        <v>-0.04</v>
      </c>
      <c r="AM316" s="354">
        <f>2.44*0.3</f>
        <v>0.73199999999999998</v>
      </c>
      <c r="AN316" s="353">
        <f t="shared" ref="AN316:AN330" si="214">+E316+SUM(AJ316:AM316)</f>
        <v>6.6565999999999992</v>
      </c>
      <c r="AO316" s="191">
        <v>8</v>
      </c>
      <c r="AP316" s="201">
        <f t="shared" ref="AP316:AP330" si="215">(ROUND(D316/1.5,0)+ROUND(E316/1.5,0))*2</f>
        <v>12</v>
      </c>
      <c r="AQ316" s="201">
        <v>1.5</v>
      </c>
      <c r="AR316" s="352">
        <f t="shared" si="197"/>
        <v>258.32100000000003</v>
      </c>
      <c r="AS316" s="352">
        <f t="shared" si="198"/>
        <v>0</v>
      </c>
      <c r="AT316" s="352">
        <f t="shared" si="199"/>
        <v>0</v>
      </c>
      <c r="AU316" s="352">
        <f t="shared" si="200"/>
        <v>122.36919999999998</v>
      </c>
      <c r="AV316" s="352">
        <f t="shared" si="201"/>
        <v>0</v>
      </c>
      <c r="AW316" s="352">
        <f t="shared" ref="AW316:AW330" si="216">IF(AG316=12,AI316*AN316*B316,0)+IF(Y316=12,B316*AA316*AF316,0)</f>
        <v>0</v>
      </c>
      <c r="AX316" s="352">
        <f t="shared" ref="AX316:AX330" si="217">AP316*AQ316*B316</f>
        <v>18</v>
      </c>
      <c r="AY316" s="190"/>
      <c r="AZ316" s="240"/>
      <c r="BA316" s="232"/>
      <c r="BF316" s="206"/>
      <c r="BG316" s="206"/>
      <c r="BK316" s="126"/>
      <c r="BL316" s="126"/>
      <c r="BN316" s="126"/>
      <c r="BO316" s="126"/>
      <c r="BQ316" s="126"/>
      <c r="BR316" s="126"/>
      <c r="BT316" s="126"/>
      <c r="BU316" s="126"/>
      <c r="BW316" s="126"/>
      <c r="BX316" s="126"/>
      <c r="BZ316" s="126"/>
      <c r="CA316" s="126"/>
      <c r="CC316" s="126"/>
      <c r="CD316" s="126"/>
      <c r="CF316" s="126"/>
      <c r="CG316" s="126"/>
    </row>
    <row r="317" spans="1:85" s="197" customFormat="1" ht="27.6" x14ac:dyDescent="0.3">
      <c r="A317" s="201" t="s">
        <v>223</v>
      </c>
      <c r="B317" s="191">
        <v>2</v>
      </c>
      <c r="C317" s="633" t="s">
        <v>446</v>
      </c>
      <c r="D317" s="352">
        <v>2.9</v>
      </c>
      <c r="E317" s="352">
        <v>5.4</v>
      </c>
      <c r="F317" s="351">
        <v>0.13</v>
      </c>
      <c r="G317" s="352">
        <f t="shared" si="205"/>
        <v>4.0716000000000001</v>
      </c>
      <c r="H317" s="353">
        <f t="shared" si="206"/>
        <v>31.32</v>
      </c>
      <c r="I317" s="191">
        <f>GETPIVOTDATA($BN$20,A317)</f>
        <v>8</v>
      </c>
      <c r="J317" s="353">
        <f>GETPIVOTDATA($BQ$20,A317)*2</f>
        <v>0.2</v>
      </c>
      <c r="K317" s="191">
        <f>(ROUND(E317/J317,0)+1)*GETPIVOTDATA($CF$20,A317)</f>
        <v>28</v>
      </c>
      <c r="L317" s="354">
        <f>GETPIVOTDATA($BT$20,A317)</f>
        <v>5.4600000000000003E-2</v>
      </c>
      <c r="M317" s="355">
        <f>0.3*2</f>
        <v>0.6</v>
      </c>
      <c r="N317" s="354">
        <f t="shared" si="207"/>
        <v>-0.04</v>
      </c>
      <c r="O317" s="354">
        <f>2.98*0.3</f>
        <v>0.89400000000000002</v>
      </c>
      <c r="P317" s="353">
        <f t="shared" si="208"/>
        <v>4.4085999999999999</v>
      </c>
      <c r="Q317" s="191">
        <f>GETPIVOTDATA($BN$20,A317)</f>
        <v>8</v>
      </c>
      <c r="R317" s="353">
        <f>GETPIVOTDATA($BQ$20,A317)*2</f>
        <v>0.2</v>
      </c>
      <c r="S317" s="191">
        <f>(ROUND(E317/R317,0))*GETPIVOTDATA($CF$20,A317)</f>
        <v>27</v>
      </c>
      <c r="T317" s="354">
        <f>GETPIVOTDATA($BT$20,A317)</f>
        <v>5.4600000000000003E-2</v>
      </c>
      <c r="U317" s="355">
        <f>0.3*2</f>
        <v>0.6</v>
      </c>
      <c r="V317" s="354">
        <f t="shared" si="209"/>
        <v>-0.04</v>
      </c>
      <c r="W317" s="354">
        <f>2.9*0.3</f>
        <v>0.87</v>
      </c>
      <c r="X317" s="353">
        <f t="shared" si="210"/>
        <v>4.3845999999999998</v>
      </c>
      <c r="Y317" s="191">
        <f>GETPIVOTDATA($BW$20,A317)</f>
        <v>8</v>
      </c>
      <c r="Z317" s="353">
        <f>GETPIVOTDATA($CC$20,A317)*2</f>
        <v>0.36</v>
      </c>
      <c r="AA317" s="191">
        <f>(ROUND(D317/Z317,0)+1)*GETPIVOTDATA($CF$20,A317)</f>
        <v>9</v>
      </c>
      <c r="AB317" s="354">
        <f>GETPIVOTDATA($BZ$20,A317)</f>
        <v>5.4600000000000003E-2</v>
      </c>
      <c r="AC317" s="355">
        <f>0.3*2</f>
        <v>0.6</v>
      </c>
      <c r="AD317" s="354">
        <f t="shared" si="211"/>
        <v>-0.04</v>
      </c>
      <c r="AE317" s="354">
        <f>5.85*0.3</f>
        <v>1.7549999999999999</v>
      </c>
      <c r="AF317" s="353">
        <f t="shared" si="212"/>
        <v>7.7696000000000005</v>
      </c>
      <c r="AG317" s="191">
        <f>GETPIVOTDATA($BW$20,A317)</f>
        <v>8</v>
      </c>
      <c r="AH317" s="201">
        <f>GETPIVOTDATA($CC$20,A317)*2</f>
        <v>0.36</v>
      </c>
      <c r="AI317" s="191">
        <f>(ROUND(D317/AH317,0))*GETPIVOTDATA($CF$20,A317)</f>
        <v>8</v>
      </c>
      <c r="AJ317" s="354">
        <f>GETPIVOTDATA($BZ$20,A317)</f>
        <v>5.4600000000000003E-2</v>
      </c>
      <c r="AK317" s="355">
        <f>0.3*2</f>
        <v>0.6</v>
      </c>
      <c r="AL317" s="354">
        <f t="shared" si="213"/>
        <v>-0.04</v>
      </c>
      <c r="AM317" s="354">
        <f>2.35*0.3</f>
        <v>0.70499999999999996</v>
      </c>
      <c r="AN317" s="353">
        <f t="shared" si="214"/>
        <v>6.7195999999999998</v>
      </c>
      <c r="AO317" s="191">
        <v>8</v>
      </c>
      <c r="AP317" s="201">
        <f t="shared" si="215"/>
        <v>12</v>
      </c>
      <c r="AQ317" s="201">
        <v>1.5</v>
      </c>
      <c r="AR317" s="352">
        <f t="shared" si="197"/>
        <v>483.65</v>
      </c>
      <c r="AS317" s="352">
        <f t="shared" si="198"/>
        <v>0</v>
      </c>
      <c r="AT317" s="352">
        <f t="shared" si="199"/>
        <v>0</v>
      </c>
      <c r="AU317" s="352">
        <f t="shared" si="200"/>
        <v>247.3664</v>
      </c>
      <c r="AV317" s="352">
        <f t="shared" si="201"/>
        <v>0</v>
      </c>
      <c r="AW317" s="352">
        <f t="shared" si="216"/>
        <v>0</v>
      </c>
      <c r="AX317" s="352">
        <f t="shared" si="217"/>
        <v>36</v>
      </c>
      <c r="AY317" s="190"/>
      <c r="AZ317" s="240"/>
      <c r="BA317" s="232"/>
      <c r="BF317" s="206"/>
      <c r="BG317" s="206"/>
      <c r="BK317" s="126"/>
      <c r="BL317" s="126"/>
      <c r="BN317" s="126"/>
      <c r="BO317" s="126"/>
      <c r="BQ317" s="126"/>
      <c r="BR317" s="126"/>
      <c r="BT317" s="126"/>
      <c r="BU317" s="126"/>
      <c r="BW317" s="126"/>
      <c r="BX317" s="126"/>
      <c r="BZ317" s="126"/>
      <c r="CA317" s="126"/>
      <c r="CC317" s="126"/>
      <c r="CD317" s="126"/>
      <c r="CF317" s="126"/>
      <c r="CG317" s="126"/>
    </row>
    <row r="318" spans="1:85" s="197" customFormat="1" x14ac:dyDescent="0.3">
      <c r="A318" s="201" t="s">
        <v>223</v>
      </c>
      <c r="B318" s="191">
        <v>1</v>
      </c>
      <c r="C318" s="633" t="s">
        <v>447</v>
      </c>
      <c r="D318" s="352">
        <v>2.4900000000000002</v>
      </c>
      <c r="E318" s="352">
        <v>5.4</v>
      </c>
      <c r="F318" s="351">
        <v>0.13</v>
      </c>
      <c r="G318" s="352">
        <f t="shared" si="205"/>
        <v>1.7479800000000003</v>
      </c>
      <c r="H318" s="353">
        <f t="shared" si="206"/>
        <v>13.446000000000002</v>
      </c>
      <c r="I318" s="191">
        <f>GETPIVOTDATA($BN$20,A318)</f>
        <v>8</v>
      </c>
      <c r="J318" s="353">
        <f>GETPIVOTDATA($BQ$20,A318)*2</f>
        <v>0.2</v>
      </c>
      <c r="K318" s="191">
        <f>(ROUND(E318/J318,0)+1)*GETPIVOTDATA($CF$20,A318)</f>
        <v>28</v>
      </c>
      <c r="L318" s="354">
        <f>GETPIVOTDATA($BT$20,A318)</f>
        <v>5.4600000000000003E-2</v>
      </c>
      <c r="M318" s="355">
        <f>0.3*2</f>
        <v>0.6</v>
      </c>
      <c r="N318" s="354">
        <f t="shared" si="207"/>
        <v>-0.04</v>
      </c>
      <c r="O318" s="354">
        <f>2.9*0.3</f>
        <v>0.87</v>
      </c>
      <c r="P318" s="353">
        <f t="shared" si="208"/>
        <v>3.9746000000000001</v>
      </c>
      <c r="Q318" s="191">
        <f>GETPIVOTDATA($BN$20,A318)</f>
        <v>8</v>
      </c>
      <c r="R318" s="353">
        <f>GETPIVOTDATA($BQ$20,A318)*2</f>
        <v>0.2</v>
      </c>
      <c r="S318" s="191">
        <f>(ROUND(E318/R318,0))*GETPIVOTDATA($CF$20,A318)</f>
        <v>27</v>
      </c>
      <c r="T318" s="354">
        <f>GETPIVOTDATA($BT$20,A318)</f>
        <v>5.4600000000000003E-2</v>
      </c>
      <c r="U318" s="355">
        <f>0.3*2</f>
        <v>0.6</v>
      </c>
      <c r="V318" s="354">
        <f t="shared" si="209"/>
        <v>-0.04</v>
      </c>
      <c r="W318" s="354">
        <f>F318-2*0.02</f>
        <v>0.09</v>
      </c>
      <c r="X318" s="353">
        <f t="shared" si="210"/>
        <v>3.1946000000000003</v>
      </c>
      <c r="Y318" s="191">
        <f>GETPIVOTDATA($BW$20,A318)</f>
        <v>8</v>
      </c>
      <c r="Z318" s="353">
        <f>GETPIVOTDATA($CC$20,A318)*2</f>
        <v>0.36</v>
      </c>
      <c r="AA318" s="191">
        <f>(ROUND(D318/Z318,0)+1)*GETPIVOTDATA($CF$20,A318)</f>
        <v>8</v>
      </c>
      <c r="AB318" s="354">
        <f>GETPIVOTDATA($BZ$20,A318)</f>
        <v>5.4600000000000003E-2</v>
      </c>
      <c r="AC318" s="355">
        <f>0.3*2</f>
        <v>0.6</v>
      </c>
      <c r="AD318" s="354">
        <f t="shared" si="211"/>
        <v>-0.04</v>
      </c>
      <c r="AE318" s="354">
        <f>5.85*0.3</f>
        <v>1.7549999999999999</v>
      </c>
      <c r="AF318" s="353">
        <f t="shared" si="212"/>
        <v>7.7696000000000005</v>
      </c>
      <c r="AG318" s="191">
        <f>GETPIVOTDATA($BW$20,A318)</f>
        <v>8</v>
      </c>
      <c r="AH318" s="201">
        <f>GETPIVOTDATA($CC$20,A318)*2</f>
        <v>0.36</v>
      </c>
      <c r="AI318" s="191">
        <f>(ROUND(D318/AH318,0))*GETPIVOTDATA($CF$20,A318)</f>
        <v>7</v>
      </c>
      <c r="AJ318" s="354">
        <f>GETPIVOTDATA($BZ$20,A318)</f>
        <v>5.4600000000000003E-2</v>
      </c>
      <c r="AK318" s="355">
        <f>0.3*2</f>
        <v>0.6</v>
      </c>
      <c r="AL318" s="354">
        <f t="shared" si="213"/>
        <v>-0.04</v>
      </c>
      <c r="AM318" s="354">
        <f>7.48*0.3</f>
        <v>2.2440000000000002</v>
      </c>
      <c r="AN318" s="353">
        <f t="shared" si="214"/>
        <v>8.2586000000000013</v>
      </c>
      <c r="AO318" s="191">
        <v>8</v>
      </c>
      <c r="AP318" s="201">
        <f t="shared" si="215"/>
        <v>12</v>
      </c>
      <c r="AQ318" s="201">
        <v>1.5</v>
      </c>
      <c r="AR318" s="352">
        <f t="shared" si="197"/>
        <v>197.54300000000001</v>
      </c>
      <c r="AS318" s="352">
        <f t="shared" si="198"/>
        <v>0</v>
      </c>
      <c r="AT318" s="352">
        <f t="shared" si="199"/>
        <v>0</v>
      </c>
      <c r="AU318" s="352">
        <f t="shared" si="200"/>
        <v>119.96700000000001</v>
      </c>
      <c r="AV318" s="352">
        <f t="shared" si="201"/>
        <v>0</v>
      </c>
      <c r="AW318" s="352">
        <f t="shared" si="216"/>
        <v>0</v>
      </c>
      <c r="AX318" s="352">
        <f t="shared" si="217"/>
        <v>18</v>
      </c>
      <c r="AY318" s="190"/>
      <c r="AZ318" s="240"/>
      <c r="BA318" s="232"/>
      <c r="BF318" s="206"/>
      <c r="BG318" s="206"/>
      <c r="BK318" s="126"/>
      <c r="BL318" s="126"/>
      <c r="BN318" s="126"/>
      <c r="BO318" s="126"/>
      <c r="BQ318" s="126"/>
      <c r="BR318" s="126"/>
      <c r="BT318" s="126"/>
      <c r="BU318" s="126"/>
      <c r="BW318" s="126"/>
      <c r="BX318" s="126"/>
      <c r="BZ318" s="126"/>
      <c r="CA318" s="126"/>
      <c r="CC318" s="126"/>
      <c r="CD318" s="126"/>
      <c r="CF318" s="126"/>
      <c r="CG318" s="126"/>
    </row>
    <row r="319" spans="1:85" s="197" customFormat="1" x14ac:dyDescent="0.3">
      <c r="A319" s="201"/>
      <c r="B319" s="191"/>
      <c r="C319" s="349"/>
      <c r="D319" s="352"/>
      <c r="E319" s="352"/>
      <c r="F319" s="351"/>
      <c r="G319" s="352"/>
      <c r="H319" s="353"/>
      <c r="I319" s="191"/>
      <c r="J319" s="353"/>
      <c r="K319" s="191"/>
      <c r="L319" s="354"/>
      <c r="M319" s="355"/>
      <c r="N319" s="354"/>
      <c r="O319" s="354"/>
      <c r="P319" s="353"/>
      <c r="Q319" s="191"/>
      <c r="R319" s="353"/>
      <c r="S319" s="191"/>
      <c r="T319" s="354"/>
      <c r="U319" s="355"/>
      <c r="V319" s="354"/>
      <c r="W319" s="354"/>
      <c r="X319" s="353"/>
      <c r="Y319" s="191"/>
      <c r="Z319" s="353"/>
      <c r="AA319" s="191"/>
      <c r="AB319" s="354"/>
      <c r="AC319" s="355"/>
      <c r="AD319" s="354"/>
      <c r="AE319" s="354"/>
      <c r="AF319" s="353"/>
      <c r="AG319" s="191"/>
      <c r="AH319" s="201"/>
      <c r="AI319" s="191"/>
      <c r="AJ319" s="354"/>
      <c r="AK319" s="355"/>
      <c r="AL319" s="354"/>
      <c r="AM319" s="354"/>
      <c r="AN319" s="353"/>
      <c r="AO319" s="191"/>
      <c r="AP319" s="201"/>
      <c r="AQ319" s="201"/>
      <c r="AR319" s="352"/>
      <c r="AS319" s="352"/>
      <c r="AT319" s="352"/>
      <c r="AU319" s="352"/>
      <c r="AV319" s="352"/>
      <c r="AW319" s="352"/>
      <c r="AX319" s="352"/>
      <c r="AY319" s="190"/>
      <c r="AZ319" s="240"/>
      <c r="BA319" s="232"/>
      <c r="BF319" s="206"/>
      <c r="BG319" s="206"/>
      <c r="BK319" s="126"/>
      <c r="BL319" s="126"/>
      <c r="BN319" s="126"/>
      <c r="BO319" s="126"/>
      <c r="BQ319" s="126"/>
      <c r="BR319" s="126"/>
      <c r="BT319" s="126"/>
      <c r="BU319" s="126"/>
      <c r="BW319" s="126"/>
      <c r="BX319" s="126"/>
      <c r="BZ319" s="126"/>
      <c r="CA319" s="126"/>
      <c r="CC319" s="126"/>
      <c r="CD319" s="126"/>
      <c r="CF319" s="126"/>
      <c r="CG319" s="126"/>
    </row>
    <row r="320" spans="1:85" s="197" customFormat="1" x14ac:dyDescent="0.3">
      <c r="A320" s="201" t="s">
        <v>233</v>
      </c>
      <c r="B320" s="191">
        <v>1</v>
      </c>
      <c r="C320" s="633" t="s">
        <v>448</v>
      </c>
      <c r="D320" s="352">
        <f>((7.87+5.12+1.97)/3)</f>
        <v>4.9866666666666672</v>
      </c>
      <c r="E320" s="352">
        <f>((1.53+4.43+0.69)/3)</f>
        <v>2.2166666666666668</v>
      </c>
      <c r="F320" s="351">
        <v>0.15</v>
      </c>
      <c r="G320" s="352">
        <f t="shared" si="205"/>
        <v>1.658066666666667</v>
      </c>
      <c r="H320" s="353">
        <f t="shared" si="206"/>
        <v>11.05377777777778</v>
      </c>
      <c r="I320" s="191">
        <f>GETPIVOTDATA($BN$20,A320)</f>
        <v>10</v>
      </c>
      <c r="J320" s="353">
        <f>GETPIVOTDATA($BQ$20,A320)*2</f>
        <v>0.17</v>
      </c>
      <c r="K320" s="191">
        <f>(ROUND(E320/J320,0)+1)*GETPIVOTDATA($CF$20,A320)</f>
        <v>14</v>
      </c>
      <c r="L320" s="354">
        <f>GETPIVOTDATA($BT$20,A320)</f>
        <v>6.3E-2</v>
      </c>
      <c r="M320" s="355">
        <f>0.3*2</f>
        <v>0.6</v>
      </c>
      <c r="N320" s="354">
        <f t="shared" si="207"/>
        <v>-0.04</v>
      </c>
      <c r="O320" s="354">
        <f>1.26*0.3</f>
        <v>0.378</v>
      </c>
      <c r="P320" s="353">
        <f t="shared" si="208"/>
        <v>5.9876666666666676</v>
      </c>
      <c r="Q320" s="191">
        <f>GETPIVOTDATA($BN$20,A320)</f>
        <v>10</v>
      </c>
      <c r="R320" s="353">
        <f>GETPIVOTDATA($BQ$20,A320)*2</f>
        <v>0.17</v>
      </c>
      <c r="S320" s="191">
        <f>(ROUND(E320/R320,0))*GETPIVOTDATA($CF$20,A320)</f>
        <v>13</v>
      </c>
      <c r="T320" s="354">
        <f>GETPIVOTDATA($BT$20,A320)</f>
        <v>6.3E-2</v>
      </c>
      <c r="U320" s="355">
        <f>0.3*2</f>
        <v>0.6</v>
      </c>
      <c r="V320" s="354">
        <f t="shared" si="209"/>
        <v>-0.04</v>
      </c>
      <c r="W320" s="354">
        <f>3.6*0.3</f>
        <v>1.08</v>
      </c>
      <c r="X320" s="353">
        <f t="shared" si="210"/>
        <v>6.6896666666666675</v>
      </c>
      <c r="Y320" s="191">
        <f>GETPIVOTDATA($BW$20,A320)</f>
        <v>10</v>
      </c>
      <c r="Z320" s="353">
        <f>GETPIVOTDATA($CC$20,A320)*2</f>
        <v>0.25</v>
      </c>
      <c r="AA320" s="191">
        <f>(ROUND(D320/Z320,0)+1)*GETPIVOTDATA($CF$20,A320)</f>
        <v>21</v>
      </c>
      <c r="AB320" s="354">
        <f>GETPIVOTDATA($BZ$20,A320)</f>
        <v>6.3E-2</v>
      </c>
      <c r="AC320" s="355">
        <f>0.38+0.3</f>
        <v>0.67999999999999994</v>
      </c>
      <c r="AD320" s="354">
        <f t="shared" si="211"/>
        <v>-0.04</v>
      </c>
      <c r="AE320" s="354">
        <f>1.22*0.3</f>
        <v>0.36599999999999999</v>
      </c>
      <c r="AF320" s="353">
        <f t="shared" si="212"/>
        <v>3.2856666666666667</v>
      </c>
      <c r="AG320" s="191">
        <f>GETPIVOTDATA($BW$20,A320)</f>
        <v>10</v>
      </c>
      <c r="AH320" s="201">
        <f>GETPIVOTDATA($CC$20,A320)*2</f>
        <v>0.25</v>
      </c>
      <c r="AI320" s="191">
        <f>(ROUND(D320/AH320,0))*GETPIVOTDATA($CF$20,A320)</f>
        <v>20</v>
      </c>
      <c r="AJ320" s="354">
        <f>GETPIVOTDATA($BZ$20,A320)</f>
        <v>6.3E-2</v>
      </c>
      <c r="AK320" s="355">
        <f>0.38+0.3</f>
        <v>0.67999999999999994</v>
      </c>
      <c r="AL320" s="354">
        <f t="shared" si="213"/>
        <v>-0.04</v>
      </c>
      <c r="AM320" s="354">
        <f>5.24*0.3</f>
        <v>1.5720000000000001</v>
      </c>
      <c r="AN320" s="353">
        <f t="shared" si="214"/>
        <v>4.4916666666666671</v>
      </c>
      <c r="AO320" s="191">
        <v>8</v>
      </c>
      <c r="AP320" s="201">
        <f t="shared" si="215"/>
        <v>8</v>
      </c>
      <c r="AQ320" s="201">
        <v>1.5</v>
      </c>
      <c r="AR320" s="352">
        <f t="shared" si="197"/>
        <v>0</v>
      </c>
      <c r="AS320" s="352">
        <f t="shared" si="198"/>
        <v>170.79300000000001</v>
      </c>
      <c r="AT320" s="352">
        <f t="shared" si="199"/>
        <v>0</v>
      </c>
      <c r="AU320" s="352">
        <f t="shared" si="200"/>
        <v>0</v>
      </c>
      <c r="AV320" s="352">
        <f t="shared" si="201"/>
        <v>158.83233333333334</v>
      </c>
      <c r="AW320" s="352">
        <f t="shared" si="216"/>
        <v>0</v>
      </c>
      <c r="AX320" s="352">
        <f t="shared" si="217"/>
        <v>12</v>
      </c>
      <c r="AY320" s="190"/>
      <c r="AZ320" s="240"/>
      <c r="BA320" s="232"/>
      <c r="BF320" s="206"/>
      <c r="BG320" s="206"/>
      <c r="BK320" s="126"/>
      <c r="BL320" s="126"/>
      <c r="BN320" s="126"/>
      <c r="BO320" s="126"/>
      <c r="BQ320" s="126"/>
      <c r="BR320" s="126"/>
      <c r="BT320" s="126"/>
      <c r="BU320" s="126"/>
      <c r="BW320" s="126"/>
      <c r="BX320" s="126"/>
      <c r="BZ320" s="126"/>
      <c r="CA320" s="126"/>
      <c r="CC320" s="126"/>
      <c r="CD320" s="126"/>
      <c r="CF320" s="126"/>
      <c r="CG320" s="126"/>
    </row>
    <row r="321" spans="1:85" s="197" customFormat="1" x14ac:dyDescent="0.3">
      <c r="A321" s="201"/>
      <c r="B321" s="191"/>
      <c r="C321" s="349"/>
      <c r="D321" s="352"/>
      <c r="E321" s="352"/>
      <c r="F321" s="351"/>
      <c r="G321" s="352"/>
      <c r="H321" s="353"/>
      <c r="I321" s="191"/>
      <c r="J321" s="353"/>
      <c r="K321" s="191"/>
      <c r="L321" s="354"/>
      <c r="M321" s="355"/>
      <c r="N321" s="354"/>
      <c r="O321" s="354"/>
      <c r="P321" s="353"/>
      <c r="Q321" s="191"/>
      <c r="R321" s="353"/>
      <c r="S321" s="191"/>
      <c r="T321" s="354"/>
      <c r="U321" s="355"/>
      <c r="V321" s="354"/>
      <c r="W321" s="354"/>
      <c r="X321" s="353"/>
      <c r="Y321" s="191"/>
      <c r="Z321" s="353"/>
      <c r="AA321" s="191"/>
      <c r="AB321" s="354"/>
      <c r="AC321" s="355"/>
      <c r="AD321" s="354"/>
      <c r="AE321" s="354"/>
      <c r="AF321" s="353"/>
      <c r="AG321" s="191"/>
      <c r="AH321" s="201"/>
      <c r="AI321" s="191"/>
      <c r="AJ321" s="354"/>
      <c r="AK321" s="355"/>
      <c r="AL321" s="354"/>
      <c r="AM321" s="354"/>
      <c r="AN321" s="353"/>
      <c r="AO321" s="191"/>
      <c r="AP321" s="201"/>
      <c r="AQ321" s="201"/>
      <c r="AR321" s="352"/>
      <c r="AS321" s="352"/>
      <c r="AT321" s="352"/>
      <c r="AU321" s="352"/>
      <c r="AV321" s="352"/>
      <c r="AW321" s="352"/>
      <c r="AX321" s="352"/>
      <c r="AY321" s="190"/>
      <c r="AZ321" s="240"/>
      <c r="BA321" s="232"/>
      <c r="BF321" s="206"/>
      <c r="BG321" s="206"/>
      <c r="BK321" s="126"/>
      <c r="BL321" s="126"/>
      <c r="BN321" s="126"/>
      <c r="BO321" s="126"/>
      <c r="BQ321" s="126"/>
      <c r="BR321" s="126"/>
      <c r="BT321" s="126"/>
      <c r="BU321" s="126"/>
      <c r="BW321" s="126"/>
      <c r="BX321" s="126"/>
      <c r="BZ321" s="126"/>
      <c r="CA321" s="126"/>
      <c r="CC321" s="126"/>
      <c r="CD321" s="126"/>
      <c r="CF321" s="126"/>
      <c r="CG321" s="126"/>
    </row>
    <row r="322" spans="1:85" s="197" customFormat="1" x14ac:dyDescent="0.3">
      <c r="A322" s="201" t="s">
        <v>233</v>
      </c>
      <c r="B322" s="191">
        <v>1</v>
      </c>
      <c r="C322" s="633" t="s">
        <v>449</v>
      </c>
      <c r="D322" s="352">
        <f>(3.6+5.24+0)/3</f>
        <v>2.9466666666666668</v>
      </c>
      <c r="E322" s="352">
        <f>(5.82+3.86+0)/3</f>
        <v>3.2266666666666666</v>
      </c>
      <c r="F322" s="351">
        <v>0.15</v>
      </c>
      <c r="G322" s="352">
        <f t="shared" si="205"/>
        <v>1.4261866666666667</v>
      </c>
      <c r="H322" s="353">
        <f t="shared" si="206"/>
        <v>9.5079111111111114</v>
      </c>
      <c r="I322" s="191">
        <f t="shared" ref="I322:I330" si="218">GETPIVOTDATA($BN$20,A322)</f>
        <v>10</v>
      </c>
      <c r="J322" s="353">
        <f t="shared" ref="J322:J330" si="219">GETPIVOTDATA($BQ$20,A322)*2</f>
        <v>0.17</v>
      </c>
      <c r="K322" s="191">
        <f t="shared" ref="K322:K330" si="220">(ROUND(E322/J322,0)+1)*GETPIVOTDATA($CF$20,A322)</f>
        <v>20</v>
      </c>
      <c r="L322" s="354">
        <f t="shared" ref="L322:L330" si="221">GETPIVOTDATA($BT$20,A322)</f>
        <v>6.3E-2</v>
      </c>
      <c r="M322" s="355">
        <f>0.3*2</f>
        <v>0.6</v>
      </c>
      <c r="N322" s="354">
        <f t="shared" si="207"/>
        <v>-0.04</v>
      </c>
      <c r="O322" s="354">
        <f>5.12*0.3</f>
        <v>1.536</v>
      </c>
      <c r="P322" s="353">
        <f t="shared" si="208"/>
        <v>5.1056666666666661</v>
      </c>
      <c r="Q322" s="191">
        <f t="shared" ref="Q322:Q330" si="222">GETPIVOTDATA($BN$20,A322)</f>
        <v>10</v>
      </c>
      <c r="R322" s="353">
        <f t="shared" ref="R322:R330" si="223">GETPIVOTDATA($BQ$20,A322)*2</f>
        <v>0.17</v>
      </c>
      <c r="S322" s="191">
        <f t="shared" ref="S322:S330" si="224">(ROUND(E322/R322,0))*GETPIVOTDATA($CF$20,A322)</f>
        <v>19</v>
      </c>
      <c r="T322" s="354">
        <f t="shared" ref="T322:T330" si="225">GETPIVOTDATA($BT$20,A322)</f>
        <v>6.3E-2</v>
      </c>
      <c r="U322" s="355">
        <f>0.3*2</f>
        <v>0.6</v>
      </c>
      <c r="V322" s="354">
        <f t="shared" si="209"/>
        <v>-0.04</v>
      </c>
      <c r="W322" s="354">
        <f>5.13*0.3</f>
        <v>1.5389999999999999</v>
      </c>
      <c r="X322" s="353">
        <f t="shared" si="210"/>
        <v>5.1086666666666662</v>
      </c>
      <c r="Y322" s="191">
        <f t="shared" ref="Y322:Y330" si="226">GETPIVOTDATA($BW$20,A322)</f>
        <v>10</v>
      </c>
      <c r="Z322" s="353">
        <f t="shared" ref="Z322:Z330" si="227">GETPIVOTDATA($CC$20,A322)*2</f>
        <v>0.25</v>
      </c>
      <c r="AA322" s="191">
        <f t="shared" ref="AA322:AA330" si="228">(ROUND(D322/Z322,0)+1)*GETPIVOTDATA($CF$20,A322)</f>
        <v>13</v>
      </c>
      <c r="AB322" s="354">
        <f t="shared" ref="AB322:AB330" si="229">GETPIVOTDATA($BZ$20,A322)</f>
        <v>6.3E-2</v>
      </c>
      <c r="AC322" s="355">
        <f>0.3*2</f>
        <v>0.6</v>
      </c>
      <c r="AD322" s="354">
        <f t="shared" si="211"/>
        <v>-0.04</v>
      </c>
      <c r="AE322" s="354">
        <f>F322-2*0.02</f>
        <v>0.10999999999999999</v>
      </c>
      <c r="AF322" s="353">
        <f t="shared" si="212"/>
        <v>3.9596666666666667</v>
      </c>
      <c r="AG322" s="191">
        <f t="shared" ref="AG322:AG330" si="230">GETPIVOTDATA($BW$20,A322)</f>
        <v>10</v>
      </c>
      <c r="AH322" s="201">
        <f t="shared" ref="AH322:AH330" si="231">GETPIVOTDATA($CC$20,A322)*2</f>
        <v>0.25</v>
      </c>
      <c r="AI322" s="191">
        <f t="shared" ref="AI322:AI330" si="232">(ROUND(D322/AH322,0))*GETPIVOTDATA($CF$20,A322)</f>
        <v>12</v>
      </c>
      <c r="AJ322" s="354">
        <f t="shared" ref="AJ322:AJ330" si="233">GETPIVOTDATA($BZ$20,A322)</f>
        <v>6.3E-2</v>
      </c>
      <c r="AK322" s="355">
        <f>0.3*2</f>
        <v>0.6</v>
      </c>
      <c r="AL322" s="354">
        <f t="shared" si="213"/>
        <v>-0.04</v>
      </c>
      <c r="AM322" s="354">
        <f>5.24*0.3</f>
        <v>1.5720000000000001</v>
      </c>
      <c r="AN322" s="353">
        <f t="shared" si="214"/>
        <v>5.4216666666666669</v>
      </c>
      <c r="AO322" s="191">
        <v>8</v>
      </c>
      <c r="AP322" s="201">
        <f t="shared" si="215"/>
        <v>8</v>
      </c>
      <c r="AQ322" s="201">
        <v>1.5</v>
      </c>
      <c r="AR322" s="352">
        <f t="shared" si="197"/>
        <v>0</v>
      </c>
      <c r="AS322" s="352">
        <f t="shared" si="198"/>
        <v>199.17799999999997</v>
      </c>
      <c r="AT322" s="352">
        <f t="shared" si="199"/>
        <v>0</v>
      </c>
      <c r="AU322" s="352">
        <f t="shared" si="200"/>
        <v>0</v>
      </c>
      <c r="AV322" s="352">
        <f t="shared" si="201"/>
        <v>116.53566666666667</v>
      </c>
      <c r="AW322" s="352">
        <f t="shared" si="216"/>
        <v>0</v>
      </c>
      <c r="AX322" s="352">
        <f t="shared" si="217"/>
        <v>12</v>
      </c>
      <c r="AY322" s="190"/>
      <c r="AZ322" s="240"/>
      <c r="BA322" s="232"/>
      <c r="BF322" s="206"/>
      <c r="BG322" s="206"/>
      <c r="BK322" s="126"/>
      <c r="BL322" s="126"/>
      <c r="BN322" s="126"/>
      <c r="BO322" s="126"/>
      <c r="BQ322" s="126"/>
      <c r="BR322" s="126"/>
      <c r="BT322" s="126"/>
      <c r="BU322" s="126"/>
      <c r="BW322" s="126"/>
      <c r="BX322" s="126"/>
      <c r="BZ322" s="126"/>
      <c r="CA322" s="126"/>
      <c r="CC322" s="126"/>
      <c r="CD322" s="126"/>
      <c r="CF322" s="126"/>
      <c r="CG322" s="126"/>
    </row>
    <row r="323" spans="1:85" s="197" customFormat="1" x14ac:dyDescent="0.3">
      <c r="A323" s="201" t="s">
        <v>259</v>
      </c>
      <c r="B323" s="191">
        <v>1</v>
      </c>
      <c r="C323" s="633" t="s">
        <v>450</v>
      </c>
      <c r="D323" s="352">
        <v>5.13</v>
      </c>
      <c r="E323" s="352">
        <v>5.85</v>
      </c>
      <c r="F323" s="351">
        <v>0.17499999999999999</v>
      </c>
      <c r="G323" s="352">
        <f t="shared" si="205"/>
        <v>5.2518374999999988</v>
      </c>
      <c r="H323" s="353">
        <f t="shared" si="206"/>
        <v>30.010499999999997</v>
      </c>
      <c r="I323" s="191">
        <f t="shared" si="218"/>
        <v>10</v>
      </c>
      <c r="J323" s="353">
        <f t="shared" si="219"/>
        <v>1.5</v>
      </c>
      <c r="K323" s="191">
        <f t="shared" si="220"/>
        <v>5</v>
      </c>
      <c r="L323" s="354">
        <f t="shared" si="221"/>
        <v>7.3499999999999996E-2</v>
      </c>
      <c r="M323" s="355">
        <f>0.38+0.3</f>
        <v>0.67999999999999994</v>
      </c>
      <c r="N323" s="354">
        <f t="shared" si="207"/>
        <v>-0.04</v>
      </c>
      <c r="O323" s="354">
        <f>3.596*0.3</f>
        <v>1.0788</v>
      </c>
      <c r="P323" s="353">
        <f t="shared" si="208"/>
        <v>6.9222999999999999</v>
      </c>
      <c r="Q323" s="191">
        <f t="shared" si="222"/>
        <v>10</v>
      </c>
      <c r="R323" s="353">
        <f t="shared" si="223"/>
        <v>1.5</v>
      </c>
      <c r="S323" s="191">
        <f t="shared" si="224"/>
        <v>4</v>
      </c>
      <c r="T323" s="354">
        <f t="shared" si="225"/>
        <v>7.3499999999999996E-2</v>
      </c>
      <c r="U323" s="355">
        <f>0.38+0.3</f>
        <v>0.67999999999999994</v>
      </c>
      <c r="V323" s="354">
        <f t="shared" si="209"/>
        <v>-0.04</v>
      </c>
      <c r="W323" s="354">
        <f>2.75*0.3</f>
        <v>0.82499999999999996</v>
      </c>
      <c r="X323" s="353">
        <f t="shared" si="210"/>
        <v>6.6684999999999999</v>
      </c>
      <c r="Y323" s="191">
        <f t="shared" si="226"/>
        <v>10</v>
      </c>
      <c r="Z323" s="353">
        <f t="shared" si="227"/>
        <v>0.17</v>
      </c>
      <c r="AA323" s="191">
        <f t="shared" si="228"/>
        <v>31</v>
      </c>
      <c r="AB323" s="354">
        <f t="shared" si="229"/>
        <v>7.3499999999999996E-2</v>
      </c>
      <c r="AC323" s="355">
        <f>0.38+0.3</f>
        <v>0.67999999999999994</v>
      </c>
      <c r="AD323" s="354">
        <f t="shared" si="211"/>
        <v>-0.04</v>
      </c>
      <c r="AE323" s="354">
        <f t="shared" ref="AE323:AE330" si="234">1.12*0.3</f>
        <v>0.33600000000000002</v>
      </c>
      <c r="AF323" s="353">
        <f t="shared" si="212"/>
        <v>6.8994999999999997</v>
      </c>
      <c r="AG323" s="191">
        <f t="shared" si="230"/>
        <v>10</v>
      </c>
      <c r="AH323" s="201">
        <f t="shared" si="231"/>
        <v>0.17</v>
      </c>
      <c r="AI323" s="191">
        <f t="shared" si="232"/>
        <v>30</v>
      </c>
      <c r="AJ323" s="354">
        <f t="shared" si="233"/>
        <v>7.3499999999999996E-2</v>
      </c>
      <c r="AK323" s="355">
        <f>0.38+0.3</f>
        <v>0.67999999999999994</v>
      </c>
      <c r="AL323" s="354">
        <f t="shared" si="213"/>
        <v>-0.04</v>
      </c>
      <c r="AM323" s="354">
        <f>5.24*0.3</f>
        <v>1.5720000000000001</v>
      </c>
      <c r="AN323" s="353">
        <f t="shared" si="214"/>
        <v>8.1355000000000004</v>
      </c>
      <c r="AO323" s="191">
        <v>8</v>
      </c>
      <c r="AP323" s="201">
        <f t="shared" si="215"/>
        <v>14</v>
      </c>
      <c r="AQ323" s="201">
        <v>1.5</v>
      </c>
      <c r="AR323" s="352">
        <f t="shared" si="197"/>
        <v>0</v>
      </c>
      <c r="AS323" s="352">
        <f t="shared" si="198"/>
        <v>61.285499999999999</v>
      </c>
      <c r="AT323" s="352">
        <f t="shared" si="199"/>
        <v>0</v>
      </c>
      <c r="AU323" s="352">
        <f t="shared" si="200"/>
        <v>0</v>
      </c>
      <c r="AV323" s="352">
        <f t="shared" si="201"/>
        <v>457.9495</v>
      </c>
      <c r="AW323" s="352">
        <f t="shared" si="216"/>
        <v>0</v>
      </c>
      <c r="AX323" s="352">
        <f t="shared" si="217"/>
        <v>21</v>
      </c>
      <c r="AY323" s="190"/>
      <c r="AZ323" s="240"/>
      <c r="BA323" s="232"/>
      <c r="BF323" s="206"/>
      <c r="BG323" s="206"/>
      <c r="BK323" s="126"/>
      <c r="BL323" s="126"/>
      <c r="BN323" s="126"/>
      <c r="BO323" s="126"/>
      <c r="BQ323" s="126"/>
      <c r="BR323" s="126"/>
      <c r="BT323" s="126"/>
      <c r="BU323" s="126"/>
      <c r="BW323" s="126"/>
      <c r="BX323" s="126"/>
      <c r="BZ323" s="126"/>
      <c r="CA323" s="126"/>
      <c r="CC323" s="126"/>
      <c r="CD323" s="126"/>
      <c r="CF323" s="126"/>
      <c r="CG323" s="126"/>
    </row>
    <row r="324" spans="1:85" s="197" customFormat="1" x14ac:dyDescent="0.3">
      <c r="A324" s="201" t="s">
        <v>227</v>
      </c>
      <c r="B324" s="191">
        <v>1</v>
      </c>
      <c r="C324" s="633" t="s">
        <v>451</v>
      </c>
      <c r="D324" s="352">
        <v>2.75</v>
      </c>
      <c r="E324" s="352">
        <v>5.85</v>
      </c>
      <c r="F324" s="351">
        <v>0.125</v>
      </c>
      <c r="G324" s="352">
        <f t="shared" si="205"/>
        <v>2.0109374999999998</v>
      </c>
      <c r="H324" s="353">
        <f t="shared" si="206"/>
        <v>16.087499999999999</v>
      </c>
      <c r="I324" s="191">
        <f t="shared" si="218"/>
        <v>8</v>
      </c>
      <c r="J324" s="353">
        <f t="shared" si="219"/>
        <v>0.2</v>
      </c>
      <c r="K324" s="191">
        <f t="shared" si="220"/>
        <v>30</v>
      </c>
      <c r="L324" s="354">
        <f t="shared" si="221"/>
        <v>5.2499999999999998E-2</v>
      </c>
      <c r="M324" s="355">
        <f t="shared" ref="M324:M330" si="235">0.3*2</f>
        <v>0.6</v>
      </c>
      <c r="N324" s="354">
        <f t="shared" si="207"/>
        <v>-0.04</v>
      </c>
      <c r="O324" s="354">
        <f>5.13*0.3</f>
        <v>1.5389999999999999</v>
      </c>
      <c r="P324" s="353">
        <f t="shared" si="208"/>
        <v>4.9015000000000004</v>
      </c>
      <c r="Q324" s="191">
        <f t="shared" si="222"/>
        <v>8</v>
      </c>
      <c r="R324" s="353">
        <f t="shared" si="223"/>
        <v>0.2</v>
      </c>
      <c r="S324" s="191">
        <f t="shared" si="224"/>
        <v>29</v>
      </c>
      <c r="T324" s="354">
        <f t="shared" si="225"/>
        <v>5.2499999999999998E-2</v>
      </c>
      <c r="U324" s="355">
        <f t="shared" ref="U324:U330" si="236">0.3*2</f>
        <v>0.6</v>
      </c>
      <c r="V324" s="354">
        <f t="shared" si="209"/>
        <v>-0.04</v>
      </c>
      <c r="W324" s="354">
        <f>4.41*0.3</f>
        <v>1.323</v>
      </c>
      <c r="X324" s="353">
        <f t="shared" si="210"/>
        <v>4.6854999999999993</v>
      </c>
      <c r="Y324" s="191">
        <f t="shared" si="226"/>
        <v>8</v>
      </c>
      <c r="Z324" s="353">
        <f t="shared" si="227"/>
        <v>0.2</v>
      </c>
      <c r="AA324" s="191">
        <f t="shared" si="228"/>
        <v>15</v>
      </c>
      <c r="AB324" s="354">
        <f t="shared" si="229"/>
        <v>5.2499999999999998E-2</v>
      </c>
      <c r="AC324" s="355">
        <f>0.3+0.38</f>
        <v>0.67999999999999994</v>
      </c>
      <c r="AD324" s="354">
        <f t="shared" si="211"/>
        <v>-0.04</v>
      </c>
      <c r="AE324" s="354">
        <f t="shared" si="234"/>
        <v>0.33600000000000002</v>
      </c>
      <c r="AF324" s="353">
        <f t="shared" si="212"/>
        <v>6.8784999999999998</v>
      </c>
      <c r="AG324" s="191">
        <f t="shared" si="230"/>
        <v>8</v>
      </c>
      <c r="AH324" s="201">
        <f t="shared" si="231"/>
        <v>0.2</v>
      </c>
      <c r="AI324" s="191">
        <f t="shared" si="232"/>
        <v>14</v>
      </c>
      <c r="AJ324" s="354">
        <f t="shared" si="233"/>
        <v>5.2499999999999998E-2</v>
      </c>
      <c r="AK324" s="355">
        <f>0.3+0.38</f>
        <v>0.67999999999999994</v>
      </c>
      <c r="AL324" s="354">
        <f t="shared" si="213"/>
        <v>-0.04</v>
      </c>
      <c r="AM324" s="354">
        <f>5.23*0.3</f>
        <v>1.5690000000000002</v>
      </c>
      <c r="AN324" s="353">
        <f t="shared" si="214"/>
        <v>8.1114999999999995</v>
      </c>
      <c r="AO324" s="191">
        <v>8</v>
      </c>
      <c r="AP324" s="201">
        <f t="shared" si="215"/>
        <v>12</v>
      </c>
      <c r="AQ324" s="201">
        <v>1.5</v>
      </c>
      <c r="AR324" s="352">
        <f t="shared" si="197"/>
        <v>282.92449999999997</v>
      </c>
      <c r="AS324" s="352">
        <f t="shared" si="198"/>
        <v>0</v>
      </c>
      <c r="AT324" s="352">
        <f t="shared" si="199"/>
        <v>0</v>
      </c>
      <c r="AU324" s="352">
        <f t="shared" si="200"/>
        <v>216.73849999999999</v>
      </c>
      <c r="AV324" s="352">
        <f t="shared" si="201"/>
        <v>0</v>
      </c>
      <c r="AW324" s="352">
        <f t="shared" si="216"/>
        <v>0</v>
      </c>
      <c r="AX324" s="352">
        <f t="shared" si="217"/>
        <v>18</v>
      </c>
      <c r="AY324" s="190"/>
      <c r="AZ324" s="240"/>
      <c r="BA324" s="232"/>
      <c r="BF324" s="206"/>
      <c r="BG324" s="206"/>
      <c r="BK324" s="126"/>
      <c r="BL324" s="126"/>
      <c r="BN324" s="126"/>
      <c r="BO324" s="126"/>
      <c r="BQ324" s="126"/>
      <c r="BR324" s="126"/>
      <c r="BT324" s="126"/>
      <c r="BU324" s="126"/>
      <c r="BW324" s="126"/>
      <c r="BX324" s="126"/>
      <c r="BZ324" s="126"/>
      <c r="CA324" s="126"/>
      <c r="CC324" s="126"/>
      <c r="CD324" s="126"/>
      <c r="CF324" s="126"/>
      <c r="CG324" s="126"/>
    </row>
    <row r="325" spans="1:85" s="197" customFormat="1" x14ac:dyDescent="0.3">
      <c r="A325" s="201" t="s">
        <v>225</v>
      </c>
      <c r="B325" s="191">
        <v>1</v>
      </c>
      <c r="C325" s="633" t="s">
        <v>452</v>
      </c>
      <c r="D325" s="352">
        <v>4.41</v>
      </c>
      <c r="E325" s="352">
        <v>5.85</v>
      </c>
      <c r="F325" s="351">
        <v>0.17499999999999999</v>
      </c>
      <c r="G325" s="352">
        <f t="shared" si="205"/>
        <v>4.5147374999999998</v>
      </c>
      <c r="H325" s="353">
        <f t="shared" si="206"/>
        <v>25.798500000000001</v>
      </c>
      <c r="I325" s="191">
        <f t="shared" si="218"/>
        <v>10</v>
      </c>
      <c r="J325" s="353">
        <f t="shared" si="219"/>
        <v>0.18</v>
      </c>
      <c r="K325" s="191">
        <f t="shared" si="220"/>
        <v>34</v>
      </c>
      <c r="L325" s="354">
        <f t="shared" si="221"/>
        <v>7.3499999999999996E-2</v>
      </c>
      <c r="M325" s="355">
        <f t="shared" si="235"/>
        <v>0.6</v>
      </c>
      <c r="N325" s="354">
        <f t="shared" si="207"/>
        <v>-0.04</v>
      </c>
      <c r="O325" s="354">
        <f>2.75*0.3</f>
        <v>0.82499999999999996</v>
      </c>
      <c r="P325" s="353">
        <f t="shared" si="208"/>
        <v>5.8685</v>
      </c>
      <c r="Q325" s="191">
        <f t="shared" si="222"/>
        <v>10</v>
      </c>
      <c r="R325" s="353">
        <f t="shared" si="223"/>
        <v>0.18</v>
      </c>
      <c r="S325" s="191">
        <f t="shared" si="224"/>
        <v>33</v>
      </c>
      <c r="T325" s="354">
        <f t="shared" si="225"/>
        <v>7.3499999999999996E-2</v>
      </c>
      <c r="U325" s="355">
        <f t="shared" si="236"/>
        <v>0.6</v>
      </c>
      <c r="V325" s="354">
        <f t="shared" si="209"/>
        <v>-0.04</v>
      </c>
      <c r="W325" s="354">
        <f>3.81*0.3</f>
        <v>1.143</v>
      </c>
      <c r="X325" s="353">
        <f t="shared" si="210"/>
        <v>6.1865000000000006</v>
      </c>
      <c r="Y325" s="191">
        <f t="shared" si="226"/>
        <v>10</v>
      </c>
      <c r="Z325" s="353">
        <f t="shared" si="227"/>
        <v>0.2</v>
      </c>
      <c r="AA325" s="191">
        <f t="shared" si="228"/>
        <v>23</v>
      </c>
      <c r="AB325" s="354">
        <f t="shared" si="229"/>
        <v>7.3499999999999996E-2</v>
      </c>
      <c r="AC325" s="355">
        <f t="shared" ref="AC325:AC330" si="237">0.3*2</f>
        <v>0.6</v>
      </c>
      <c r="AD325" s="354">
        <f t="shared" si="211"/>
        <v>-0.04</v>
      </c>
      <c r="AE325" s="354">
        <f t="shared" si="234"/>
        <v>0.33600000000000002</v>
      </c>
      <c r="AF325" s="353">
        <f t="shared" si="212"/>
        <v>6.8194999999999997</v>
      </c>
      <c r="AG325" s="191">
        <f t="shared" si="230"/>
        <v>10</v>
      </c>
      <c r="AH325" s="201">
        <f t="shared" si="231"/>
        <v>0.2</v>
      </c>
      <c r="AI325" s="191">
        <f t="shared" si="232"/>
        <v>22</v>
      </c>
      <c r="AJ325" s="354">
        <f t="shared" si="233"/>
        <v>7.3499999999999996E-2</v>
      </c>
      <c r="AK325" s="355">
        <f t="shared" ref="AK325:AK330" si="238">0.3*2</f>
        <v>0.6</v>
      </c>
      <c r="AL325" s="354">
        <f t="shared" si="213"/>
        <v>-0.04</v>
      </c>
      <c r="AM325" s="354">
        <f>5.38*0.3</f>
        <v>1.6139999999999999</v>
      </c>
      <c r="AN325" s="353">
        <f t="shared" si="214"/>
        <v>8.0975000000000001</v>
      </c>
      <c r="AO325" s="191">
        <v>8</v>
      </c>
      <c r="AP325" s="201">
        <f t="shared" si="215"/>
        <v>14</v>
      </c>
      <c r="AQ325" s="201">
        <v>1.5</v>
      </c>
      <c r="AR325" s="352">
        <f t="shared" si="197"/>
        <v>0</v>
      </c>
      <c r="AS325" s="352">
        <f t="shared" si="198"/>
        <v>403.68349999999998</v>
      </c>
      <c r="AT325" s="352">
        <f t="shared" si="199"/>
        <v>0</v>
      </c>
      <c r="AU325" s="352">
        <f t="shared" si="200"/>
        <v>0</v>
      </c>
      <c r="AV325" s="352">
        <f t="shared" si="201"/>
        <v>334.99350000000004</v>
      </c>
      <c r="AW325" s="352">
        <f t="shared" si="216"/>
        <v>0</v>
      </c>
      <c r="AX325" s="352">
        <f t="shared" si="217"/>
        <v>21</v>
      </c>
      <c r="AY325" s="190"/>
      <c r="AZ325" s="240"/>
      <c r="BA325" s="232"/>
      <c r="BF325" s="206"/>
      <c r="BG325" s="206"/>
      <c r="BK325" s="126"/>
      <c r="BL325" s="126"/>
      <c r="BN325" s="126"/>
      <c r="BO325" s="126"/>
      <c r="BQ325" s="126"/>
      <c r="BR325" s="126"/>
      <c r="BT325" s="126"/>
      <c r="BU325" s="126"/>
      <c r="BW325" s="126"/>
      <c r="BX325" s="126"/>
      <c r="BZ325" s="126"/>
      <c r="CA325" s="126"/>
      <c r="CC325" s="126"/>
      <c r="CD325" s="126"/>
      <c r="CF325" s="126"/>
      <c r="CG325" s="126"/>
    </row>
    <row r="326" spans="1:85" s="197" customFormat="1" x14ac:dyDescent="0.3">
      <c r="A326" s="201" t="s">
        <v>236</v>
      </c>
      <c r="B326" s="191">
        <v>1</v>
      </c>
      <c r="C326" s="633" t="s">
        <v>453</v>
      </c>
      <c r="D326" s="352">
        <v>3.81</v>
      </c>
      <c r="E326" s="352">
        <v>5.85</v>
      </c>
      <c r="F326" s="351">
        <v>0.16500000000000001</v>
      </c>
      <c r="G326" s="352">
        <f t="shared" si="205"/>
        <v>3.6776024999999999</v>
      </c>
      <c r="H326" s="353">
        <f t="shared" si="206"/>
        <v>22.288499999999999</v>
      </c>
      <c r="I326" s="191">
        <f t="shared" si="218"/>
        <v>10</v>
      </c>
      <c r="J326" s="353">
        <f t="shared" si="219"/>
        <v>0.19</v>
      </c>
      <c r="K326" s="191">
        <f t="shared" si="220"/>
        <v>32</v>
      </c>
      <c r="L326" s="354">
        <f t="shared" si="221"/>
        <v>6.93E-2</v>
      </c>
      <c r="M326" s="355">
        <f t="shared" si="235"/>
        <v>0.6</v>
      </c>
      <c r="N326" s="354">
        <f t="shared" si="207"/>
        <v>-0.04</v>
      </c>
      <c r="O326" s="354">
        <f>4.41*0.3</f>
        <v>1.323</v>
      </c>
      <c r="P326" s="353">
        <f t="shared" si="208"/>
        <v>5.7622999999999998</v>
      </c>
      <c r="Q326" s="191">
        <f t="shared" si="222"/>
        <v>10</v>
      </c>
      <c r="R326" s="353">
        <f t="shared" si="223"/>
        <v>0.19</v>
      </c>
      <c r="S326" s="191">
        <f t="shared" si="224"/>
        <v>31</v>
      </c>
      <c r="T326" s="354">
        <f t="shared" si="225"/>
        <v>6.93E-2</v>
      </c>
      <c r="U326" s="355">
        <f t="shared" si="236"/>
        <v>0.6</v>
      </c>
      <c r="V326" s="354">
        <f t="shared" si="209"/>
        <v>-0.04</v>
      </c>
      <c r="W326" s="354">
        <f>4.41*0.3</f>
        <v>1.323</v>
      </c>
      <c r="X326" s="353">
        <f t="shared" si="210"/>
        <v>5.7622999999999998</v>
      </c>
      <c r="Y326" s="191">
        <f t="shared" si="226"/>
        <v>8</v>
      </c>
      <c r="Z326" s="353">
        <f t="shared" si="227"/>
        <v>0.2</v>
      </c>
      <c r="AA326" s="191">
        <f t="shared" si="228"/>
        <v>20</v>
      </c>
      <c r="AB326" s="354">
        <f t="shared" si="229"/>
        <v>6.93E-2</v>
      </c>
      <c r="AC326" s="355">
        <f t="shared" si="237"/>
        <v>0.6</v>
      </c>
      <c r="AD326" s="354">
        <f t="shared" si="211"/>
        <v>-0.04</v>
      </c>
      <c r="AE326" s="354">
        <f t="shared" si="234"/>
        <v>0.33600000000000002</v>
      </c>
      <c r="AF326" s="353">
        <f t="shared" si="212"/>
        <v>6.8152999999999997</v>
      </c>
      <c r="AG326" s="191">
        <f t="shared" si="230"/>
        <v>8</v>
      </c>
      <c r="AH326" s="201">
        <f t="shared" si="231"/>
        <v>0.2</v>
      </c>
      <c r="AI326" s="191">
        <f t="shared" si="232"/>
        <v>19</v>
      </c>
      <c r="AJ326" s="354">
        <f t="shared" si="233"/>
        <v>6.93E-2</v>
      </c>
      <c r="AK326" s="355">
        <f t="shared" si="238"/>
        <v>0.6</v>
      </c>
      <c r="AL326" s="354">
        <f t="shared" si="213"/>
        <v>-0.04</v>
      </c>
      <c r="AM326" s="354">
        <f>3.34*0.3</f>
        <v>1.002</v>
      </c>
      <c r="AN326" s="353">
        <f t="shared" si="214"/>
        <v>7.4812999999999992</v>
      </c>
      <c r="AO326" s="191">
        <v>8</v>
      </c>
      <c r="AP326" s="201">
        <f t="shared" si="215"/>
        <v>14</v>
      </c>
      <c r="AQ326" s="201">
        <v>1.5</v>
      </c>
      <c r="AR326" s="352">
        <f t="shared" si="197"/>
        <v>0</v>
      </c>
      <c r="AS326" s="352">
        <f t="shared" si="198"/>
        <v>363.0249</v>
      </c>
      <c r="AT326" s="352">
        <f t="shared" si="199"/>
        <v>0</v>
      </c>
      <c r="AU326" s="352">
        <f t="shared" si="200"/>
        <v>278.45069999999998</v>
      </c>
      <c r="AV326" s="352">
        <f t="shared" si="201"/>
        <v>0</v>
      </c>
      <c r="AW326" s="352">
        <f t="shared" si="216"/>
        <v>0</v>
      </c>
      <c r="AX326" s="352">
        <f t="shared" si="217"/>
        <v>21</v>
      </c>
      <c r="AY326" s="190"/>
      <c r="AZ326" s="240"/>
      <c r="BA326" s="232"/>
      <c r="BF326" s="206"/>
      <c r="BG326" s="206"/>
      <c r="BK326" s="126"/>
      <c r="BL326" s="126"/>
      <c r="BN326" s="126"/>
      <c r="BO326" s="126"/>
      <c r="BQ326" s="126"/>
      <c r="BR326" s="126"/>
      <c r="BT326" s="126"/>
      <c r="BU326" s="126"/>
      <c r="BW326" s="126"/>
      <c r="BX326" s="126"/>
      <c r="BZ326" s="126"/>
      <c r="CA326" s="126"/>
      <c r="CC326" s="126"/>
      <c r="CD326" s="126"/>
      <c r="CF326" s="126"/>
      <c r="CG326" s="126"/>
    </row>
    <row r="327" spans="1:85" s="197" customFormat="1" outlineLevel="1" x14ac:dyDescent="0.3">
      <c r="A327" s="201" t="s">
        <v>225</v>
      </c>
      <c r="B327" s="191">
        <v>1</v>
      </c>
      <c r="C327" s="633" t="s">
        <v>454</v>
      </c>
      <c r="D327" s="352">
        <v>4.41</v>
      </c>
      <c r="E327" s="352">
        <v>5.85</v>
      </c>
      <c r="F327" s="351">
        <v>0.17499999999999999</v>
      </c>
      <c r="G327" s="352">
        <f t="shared" si="205"/>
        <v>4.5147374999999998</v>
      </c>
      <c r="H327" s="353">
        <f t="shared" si="206"/>
        <v>25.798500000000001</v>
      </c>
      <c r="I327" s="191">
        <f t="shared" si="218"/>
        <v>10</v>
      </c>
      <c r="J327" s="353">
        <f t="shared" si="219"/>
        <v>0.18</v>
      </c>
      <c r="K327" s="191">
        <f t="shared" si="220"/>
        <v>34</v>
      </c>
      <c r="L327" s="354">
        <f t="shared" si="221"/>
        <v>7.3499999999999996E-2</v>
      </c>
      <c r="M327" s="355">
        <f t="shared" si="235"/>
        <v>0.6</v>
      </c>
      <c r="N327" s="354">
        <f t="shared" si="207"/>
        <v>-0.04</v>
      </c>
      <c r="O327" s="354">
        <f>3.81*0.3</f>
        <v>1.143</v>
      </c>
      <c r="P327" s="353">
        <f t="shared" si="208"/>
        <v>6.1865000000000006</v>
      </c>
      <c r="Q327" s="191">
        <f t="shared" si="222"/>
        <v>10</v>
      </c>
      <c r="R327" s="353">
        <f t="shared" si="223"/>
        <v>0.18</v>
      </c>
      <c r="S327" s="191">
        <f t="shared" si="224"/>
        <v>33</v>
      </c>
      <c r="T327" s="354">
        <f t="shared" si="225"/>
        <v>7.3499999999999996E-2</v>
      </c>
      <c r="U327" s="355">
        <f t="shared" si="236"/>
        <v>0.6</v>
      </c>
      <c r="V327" s="354">
        <f t="shared" si="209"/>
        <v>-0.04</v>
      </c>
      <c r="W327" s="354">
        <f>2.985*0.3</f>
        <v>0.89549999999999996</v>
      </c>
      <c r="X327" s="353">
        <f t="shared" si="210"/>
        <v>5.9390000000000001</v>
      </c>
      <c r="Y327" s="191">
        <f t="shared" si="226"/>
        <v>10</v>
      </c>
      <c r="Z327" s="353">
        <f t="shared" si="227"/>
        <v>0.2</v>
      </c>
      <c r="AA327" s="191">
        <f t="shared" si="228"/>
        <v>23</v>
      </c>
      <c r="AB327" s="354">
        <f t="shared" si="229"/>
        <v>7.3499999999999996E-2</v>
      </c>
      <c r="AC327" s="355">
        <f t="shared" si="237"/>
        <v>0.6</v>
      </c>
      <c r="AD327" s="354">
        <f t="shared" si="211"/>
        <v>-0.04</v>
      </c>
      <c r="AE327" s="354">
        <f t="shared" si="234"/>
        <v>0.33600000000000002</v>
      </c>
      <c r="AF327" s="353">
        <f t="shared" si="212"/>
        <v>6.8194999999999997</v>
      </c>
      <c r="AG327" s="191">
        <f t="shared" si="230"/>
        <v>10</v>
      </c>
      <c r="AH327" s="201">
        <f t="shared" si="231"/>
        <v>0.2</v>
      </c>
      <c r="AI327" s="191">
        <f t="shared" si="232"/>
        <v>22</v>
      </c>
      <c r="AJ327" s="354">
        <f t="shared" si="233"/>
        <v>7.3499999999999996E-2</v>
      </c>
      <c r="AK327" s="355">
        <f t="shared" si="238"/>
        <v>0.6</v>
      </c>
      <c r="AL327" s="354">
        <f t="shared" si="213"/>
        <v>-0.04</v>
      </c>
      <c r="AM327" s="354">
        <f>5.38*0.3</f>
        <v>1.6139999999999999</v>
      </c>
      <c r="AN327" s="353">
        <f t="shared" si="214"/>
        <v>8.0975000000000001</v>
      </c>
      <c r="AO327" s="191">
        <v>8</v>
      </c>
      <c r="AP327" s="201">
        <f t="shared" si="215"/>
        <v>14</v>
      </c>
      <c r="AQ327" s="201">
        <v>1.5</v>
      </c>
      <c r="AR327" s="352">
        <f t="shared" si="197"/>
        <v>0</v>
      </c>
      <c r="AS327" s="352">
        <f t="shared" si="198"/>
        <v>406.32799999999997</v>
      </c>
      <c r="AT327" s="352">
        <f t="shared" si="199"/>
        <v>0</v>
      </c>
      <c r="AU327" s="352">
        <f t="shared" si="200"/>
        <v>0</v>
      </c>
      <c r="AV327" s="352">
        <f t="shared" si="201"/>
        <v>334.99350000000004</v>
      </c>
      <c r="AW327" s="352">
        <f t="shared" si="216"/>
        <v>0</v>
      </c>
      <c r="AX327" s="352">
        <f t="shared" si="217"/>
        <v>21</v>
      </c>
      <c r="AY327" s="190"/>
      <c r="AZ327" s="240"/>
      <c r="BA327" s="232"/>
      <c r="BF327" s="206"/>
      <c r="BG327" s="206"/>
      <c r="BK327" s="126"/>
      <c r="BL327" s="126"/>
      <c r="BN327" s="126"/>
      <c r="BO327" s="126"/>
      <c r="BQ327" s="126"/>
      <c r="BR327" s="126"/>
      <c r="BT327" s="126"/>
      <c r="BU327" s="126"/>
      <c r="BW327" s="126"/>
      <c r="BX327" s="126"/>
      <c r="BZ327" s="126"/>
      <c r="CA327" s="126"/>
      <c r="CC327" s="126"/>
      <c r="CD327" s="126"/>
      <c r="CF327" s="126"/>
      <c r="CG327" s="126"/>
    </row>
    <row r="328" spans="1:85" s="197" customFormat="1" outlineLevel="1" x14ac:dyDescent="0.3">
      <c r="A328" s="201" t="s">
        <v>223</v>
      </c>
      <c r="B328" s="191">
        <v>1</v>
      </c>
      <c r="C328" s="633" t="s">
        <v>455</v>
      </c>
      <c r="D328" s="352">
        <v>2.9849999999999999</v>
      </c>
      <c r="E328" s="352">
        <v>5.85</v>
      </c>
      <c r="F328" s="351">
        <v>0.13</v>
      </c>
      <c r="G328" s="352">
        <f t="shared" si="205"/>
        <v>2.2700924999999996</v>
      </c>
      <c r="H328" s="353">
        <f t="shared" si="206"/>
        <v>17.462249999999997</v>
      </c>
      <c r="I328" s="191">
        <f t="shared" si="218"/>
        <v>8</v>
      </c>
      <c r="J328" s="353">
        <f t="shared" si="219"/>
        <v>0.2</v>
      </c>
      <c r="K328" s="191">
        <f t="shared" si="220"/>
        <v>30</v>
      </c>
      <c r="L328" s="354">
        <f t="shared" si="221"/>
        <v>5.4600000000000003E-2</v>
      </c>
      <c r="M328" s="355">
        <f t="shared" si="235"/>
        <v>0.6</v>
      </c>
      <c r="N328" s="354">
        <f t="shared" si="207"/>
        <v>-0.04</v>
      </c>
      <c r="O328" s="354">
        <f>4.41*0.3</f>
        <v>1.323</v>
      </c>
      <c r="P328" s="353">
        <f t="shared" si="208"/>
        <v>4.9225999999999992</v>
      </c>
      <c r="Q328" s="191">
        <f t="shared" si="222"/>
        <v>8</v>
      </c>
      <c r="R328" s="353">
        <f t="shared" si="223"/>
        <v>0.2</v>
      </c>
      <c r="S328" s="191">
        <f t="shared" si="224"/>
        <v>29</v>
      </c>
      <c r="T328" s="354">
        <f t="shared" si="225"/>
        <v>5.4600000000000003E-2</v>
      </c>
      <c r="U328" s="355">
        <f t="shared" si="236"/>
        <v>0.6</v>
      </c>
      <c r="V328" s="354">
        <f t="shared" si="209"/>
        <v>-0.04</v>
      </c>
      <c r="W328" s="354">
        <f>2.9*0.3</f>
        <v>0.87</v>
      </c>
      <c r="X328" s="353">
        <f t="shared" si="210"/>
        <v>4.4695999999999998</v>
      </c>
      <c r="Y328" s="191">
        <f t="shared" si="226"/>
        <v>8</v>
      </c>
      <c r="Z328" s="353">
        <f t="shared" si="227"/>
        <v>0.36</v>
      </c>
      <c r="AA328" s="191">
        <f t="shared" si="228"/>
        <v>9</v>
      </c>
      <c r="AB328" s="354">
        <f t="shared" si="229"/>
        <v>5.4600000000000003E-2</v>
      </c>
      <c r="AC328" s="355">
        <f t="shared" si="237"/>
        <v>0.6</v>
      </c>
      <c r="AD328" s="354">
        <f t="shared" si="211"/>
        <v>-0.04</v>
      </c>
      <c r="AE328" s="354">
        <f t="shared" si="234"/>
        <v>0.33600000000000002</v>
      </c>
      <c r="AF328" s="353">
        <f t="shared" si="212"/>
        <v>6.8005999999999993</v>
      </c>
      <c r="AG328" s="191">
        <f t="shared" si="230"/>
        <v>8</v>
      </c>
      <c r="AH328" s="201">
        <f t="shared" si="231"/>
        <v>0.36</v>
      </c>
      <c r="AI328" s="191">
        <f t="shared" si="232"/>
        <v>8</v>
      </c>
      <c r="AJ328" s="354">
        <f t="shared" si="233"/>
        <v>5.4600000000000003E-2</v>
      </c>
      <c r="AK328" s="355">
        <f t="shared" si="238"/>
        <v>0.6</v>
      </c>
      <c r="AL328" s="354">
        <f t="shared" si="213"/>
        <v>-0.04</v>
      </c>
      <c r="AM328" s="354">
        <f>5.31*0.3</f>
        <v>1.5929999999999997</v>
      </c>
      <c r="AN328" s="353">
        <f t="shared" si="214"/>
        <v>8.057599999999999</v>
      </c>
      <c r="AO328" s="191">
        <v>8</v>
      </c>
      <c r="AP328" s="201">
        <f t="shared" si="215"/>
        <v>12</v>
      </c>
      <c r="AQ328" s="201">
        <v>1.5</v>
      </c>
      <c r="AR328" s="352">
        <f t="shared" si="197"/>
        <v>277.29639999999995</v>
      </c>
      <c r="AS328" s="352">
        <f t="shared" si="198"/>
        <v>0</v>
      </c>
      <c r="AT328" s="352">
        <f t="shared" si="199"/>
        <v>0</v>
      </c>
      <c r="AU328" s="352">
        <f t="shared" si="200"/>
        <v>125.66619999999999</v>
      </c>
      <c r="AV328" s="352">
        <f t="shared" si="201"/>
        <v>0</v>
      </c>
      <c r="AW328" s="352">
        <f t="shared" si="216"/>
        <v>0</v>
      </c>
      <c r="AX328" s="352">
        <f t="shared" si="217"/>
        <v>18</v>
      </c>
      <c r="AY328" s="190"/>
      <c r="AZ328" s="240"/>
      <c r="BA328" s="232"/>
      <c r="BF328" s="206"/>
      <c r="BG328" s="206"/>
      <c r="BK328" s="126"/>
      <c r="BL328" s="126"/>
      <c r="BN328" s="126"/>
      <c r="BO328" s="126"/>
      <c r="BQ328" s="126"/>
      <c r="BR328" s="126"/>
      <c r="BT328" s="126"/>
      <c r="BU328" s="126"/>
      <c r="BW328" s="126"/>
      <c r="BX328" s="126"/>
      <c r="BZ328" s="126"/>
      <c r="CA328" s="126"/>
      <c r="CC328" s="126"/>
      <c r="CD328" s="126"/>
      <c r="CF328" s="126"/>
      <c r="CG328" s="126"/>
    </row>
    <row r="329" spans="1:85" s="197" customFormat="1" outlineLevel="1" x14ac:dyDescent="0.3">
      <c r="A329" s="201" t="s">
        <v>223</v>
      </c>
      <c r="B329" s="191">
        <v>2</v>
      </c>
      <c r="C329" s="633" t="s">
        <v>456</v>
      </c>
      <c r="D329" s="352">
        <v>2.9</v>
      </c>
      <c r="E329" s="352">
        <v>5.85</v>
      </c>
      <c r="F329" s="351">
        <v>0.13</v>
      </c>
      <c r="G329" s="352">
        <f t="shared" si="205"/>
        <v>4.4108999999999998</v>
      </c>
      <c r="H329" s="353">
        <f t="shared" si="206"/>
        <v>33.93</v>
      </c>
      <c r="I329" s="191">
        <f t="shared" si="218"/>
        <v>8</v>
      </c>
      <c r="J329" s="353">
        <f t="shared" si="219"/>
        <v>0.2</v>
      </c>
      <c r="K329" s="191">
        <f t="shared" si="220"/>
        <v>30</v>
      </c>
      <c r="L329" s="354">
        <f t="shared" si="221"/>
        <v>5.4600000000000003E-2</v>
      </c>
      <c r="M329" s="355">
        <f t="shared" si="235"/>
        <v>0.6</v>
      </c>
      <c r="N329" s="354">
        <f t="shared" si="207"/>
        <v>-0.04</v>
      </c>
      <c r="O329" s="354">
        <f>2.985*0.3</f>
        <v>0.89549999999999996</v>
      </c>
      <c r="P329" s="353">
        <f t="shared" si="208"/>
        <v>4.4100999999999999</v>
      </c>
      <c r="Q329" s="191">
        <f t="shared" si="222"/>
        <v>8</v>
      </c>
      <c r="R329" s="353">
        <f t="shared" si="223"/>
        <v>0.2</v>
      </c>
      <c r="S329" s="191">
        <f t="shared" si="224"/>
        <v>29</v>
      </c>
      <c r="T329" s="354">
        <f t="shared" si="225"/>
        <v>5.4600000000000003E-2</v>
      </c>
      <c r="U329" s="355">
        <f t="shared" si="236"/>
        <v>0.6</v>
      </c>
      <c r="V329" s="354">
        <f t="shared" si="209"/>
        <v>-0.04</v>
      </c>
      <c r="W329" s="354">
        <f>2.9*0.3</f>
        <v>0.87</v>
      </c>
      <c r="X329" s="353">
        <f t="shared" si="210"/>
        <v>4.3845999999999998</v>
      </c>
      <c r="Y329" s="191">
        <f t="shared" si="226"/>
        <v>8</v>
      </c>
      <c r="Z329" s="353">
        <f t="shared" si="227"/>
        <v>0.36</v>
      </c>
      <c r="AA329" s="191">
        <f t="shared" si="228"/>
        <v>9</v>
      </c>
      <c r="AB329" s="354">
        <f t="shared" si="229"/>
        <v>5.4600000000000003E-2</v>
      </c>
      <c r="AC329" s="355">
        <f t="shared" si="237"/>
        <v>0.6</v>
      </c>
      <c r="AD329" s="354">
        <f t="shared" si="211"/>
        <v>-0.04</v>
      </c>
      <c r="AE329" s="354">
        <f t="shared" si="234"/>
        <v>0.33600000000000002</v>
      </c>
      <c r="AF329" s="353">
        <f t="shared" si="212"/>
        <v>6.8005999999999993</v>
      </c>
      <c r="AG329" s="191">
        <f t="shared" si="230"/>
        <v>8</v>
      </c>
      <c r="AH329" s="201">
        <f t="shared" si="231"/>
        <v>0.36</v>
      </c>
      <c r="AI329" s="191">
        <f t="shared" si="232"/>
        <v>8</v>
      </c>
      <c r="AJ329" s="354">
        <f t="shared" si="233"/>
        <v>5.4600000000000003E-2</v>
      </c>
      <c r="AK329" s="355">
        <f t="shared" si="238"/>
        <v>0.6</v>
      </c>
      <c r="AL329" s="354">
        <f t="shared" si="213"/>
        <v>-0.04</v>
      </c>
      <c r="AM329" s="354">
        <f>5.4*0.3</f>
        <v>1.62</v>
      </c>
      <c r="AN329" s="353">
        <f t="shared" si="214"/>
        <v>8.0846</v>
      </c>
      <c r="AO329" s="191">
        <v>8</v>
      </c>
      <c r="AP329" s="201">
        <f t="shared" si="215"/>
        <v>12</v>
      </c>
      <c r="AQ329" s="201">
        <v>1.5</v>
      </c>
      <c r="AR329" s="352">
        <f t="shared" si="197"/>
        <v>518.91279999999995</v>
      </c>
      <c r="AS329" s="352">
        <f t="shared" si="198"/>
        <v>0</v>
      </c>
      <c r="AT329" s="352">
        <f t="shared" si="199"/>
        <v>0</v>
      </c>
      <c r="AU329" s="352">
        <f t="shared" si="200"/>
        <v>251.76439999999999</v>
      </c>
      <c r="AV329" s="352">
        <f t="shared" si="201"/>
        <v>0</v>
      </c>
      <c r="AW329" s="352">
        <f t="shared" si="216"/>
        <v>0</v>
      </c>
      <c r="AX329" s="352">
        <f t="shared" si="217"/>
        <v>36</v>
      </c>
      <c r="AY329" s="190"/>
      <c r="AZ329" s="240"/>
      <c r="BA329" s="232"/>
      <c r="BF329" s="206"/>
      <c r="BG329" s="206"/>
      <c r="BK329" s="126"/>
      <c r="BL329" s="126"/>
      <c r="BN329" s="126"/>
      <c r="BO329" s="126"/>
      <c r="BQ329" s="126"/>
      <c r="BR329" s="126"/>
      <c r="BT329" s="126"/>
      <c r="BU329" s="126"/>
      <c r="BW329" s="126"/>
      <c r="BX329" s="126"/>
      <c r="BZ329" s="126"/>
      <c r="CA329" s="126"/>
      <c r="CC329" s="126"/>
      <c r="CD329" s="126"/>
      <c r="CF329" s="126"/>
      <c r="CG329" s="126"/>
    </row>
    <row r="330" spans="1:85" s="197" customFormat="1" outlineLevel="1" x14ac:dyDescent="0.3">
      <c r="A330" s="201" t="s">
        <v>223</v>
      </c>
      <c r="B330" s="191">
        <v>1</v>
      </c>
      <c r="C330" s="633" t="s">
        <v>457</v>
      </c>
      <c r="D330" s="352">
        <v>2.5</v>
      </c>
      <c r="E330" s="352">
        <v>5.85</v>
      </c>
      <c r="F330" s="351">
        <v>0.13</v>
      </c>
      <c r="G330" s="352">
        <f t="shared" si="205"/>
        <v>1.9012500000000001</v>
      </c>
      <c r="H330" s="353">
        <f t="shared" si="206"/>
        <v>14.625</v>
      </c>
      <c r="I330" s="191">
        <f t="shared" si="218"/>
        <v>8</v>
      </c>
      <c r="J330" s="353">
        <f t="shared" si="219"/>
        <v>0.2</v>
      </c>
      <c r="K330" s="191">
        <f t="shared" si="220"/>
        <v>30</v>
      </c>
      <c r="L330" s="354">
        <f t="shared" si="221"/>
        <v>5.4600000000000003E-2</v>
      </c>
      <c r="M330" s="355">
        <f t="shared" si="235"/>
        <v>0.6</v>
      </c>
      <c r="N330" s="354">
        <f t="shared" si="207"/>
        <v>-0.04</v>
      </c>
      <c r="O330" s="354">
        <f>2.9*0.3</f>
        <v>0.87</v>
      </c>
      <c r="P330" s="353">
        <f t="shared" si="208"/>
        <v>3.9845999999999999</v>
      </c>
      <c r="Q330" s="191">
        <f t="shared" si="222"/>
        <v>8</v>
      </c>
      <c r="R330" s="353">
        <f t="shared" si="223"/>
        <v>0.2</v>
      </c>
      <c r="S330" s="191">
        <f t="shared" si="224"/>
        <v>29</v>
      </c>
      <c r="T330" s="354">
        <f t="shared" si="225"/>
        <v>5.4600000000000003E-2</v>
      </c>
      <c r="U330" s="355">
        <f t="shared" si="236"/>
        <v>0.6</v>
      </c>
      <c r="V330" s="354">
        <f t="shared" si="209"/>
        <v>-0.04</v>
      </c>
      <c r="W330" s="354">
        <f>F330-2*0.02</f>
        <v>0.09</v>
      </c>
      <c r="X330" s="353">
        <f t="shared" si="210"/>
        <v>3.2046000000000001</v>
      </c>
      <c r="Y330" s="191">
        <f t="shared" si="226"/>
        <v>8</v>
      </c>
      <c r="Z330" s="353">
        <f t="shared" si="227"/>
        <v>0.36</v>
      </c>
      <c r="AA330" s="191">
        <f t="shared" si="228"/>
        <v>8</v>
      </c>
      <c r="AB330" s="354">
        <f t="shared" si="229"/>
        <v>5.4600000000000003E-2</v>
      </c>
      <c r="AC330" s="355">
        <f t="shared" si="237"/>
        <v>0.6</v>
      </c>
      <c r="AD330" s="354">
        <f t="shared" si="211"/>
        <v>-0.04</v>
      </c>
      <c r="AE330" s="354">
        <f t="shared" si="234"/>
        <v>0.33600000000000002</v>
      </c>
      <c r="AF330" s="353">
        <f t="shared" si="212"/>
        <v>6.8005999999999993</v>
      </c>
      <c r="AG330" s="191">
        <f t="shared" si="230"/>
        <v>8</v>
      </c>
      <c r="AH330" s="201">
        <f t="shared" si="231"/>
        <v>0.36</v>
      </c>
      <c r="AI330" s="191">
        <f t="shared" si="232"/>
        <v>7</v>
      </c>
      <c r="AJ330" s="354">
        <f t="shared" si="233"/>
        <v>5.4600000000000003E-2</v>
      </c>
      <c r="AK330" s="355">
        <f t="shared" si="238"/>
        <v>0.6</v>
      </c>
      <c r="AL330" s="354">
        <f t="shared" si="213"/>
        <v>-0.04</v>
      </c>
      <c r="AM330" s="354">
        <f>5.4*0.3</f>
        <v>1.62</v>
      </c>
      <c r="AN330" s="353">
        <f t="shared" si="214"/>
        <v>8.0846</v>
      </c>
      <c r="AO330" s="191">
        <v>8</v>
      </c>
      <c r="AP330" s="201">
        <f t="shared" si="215"/>
        <v>12</v>
      </c>
      <c r="AQ330" s="201">
        <v>1.5</v>
      </c>
      <c r="AR330" s="352">
        <f t="shared" si="197"/>
        <v>212.47140000000002</v>
      </c>
      <c r="AS330" s="352">
        <f t="shared" si="198"/>
        <v>0</v>
      </c>
      <c r="AT330" s="352">
        <f t="shared" si="199"/>
        <v>0</v>
      </c>
      <c r="AU330" s="352">
        <f t="shared" si="200"/>
        <v>110.99699999999999</v>
      </c>
      <c r="AV330" s="352">
        <f t="shared" si="201"/>
        <v>0</v>
      </c>
      <c r="AW330" s="352">
        <f t="shared" si="216"/>
        <v>0</v>
      </c>
      <c r="AX330" s="352">
        <f t="shared" si="217"/>
        <v>18</v>
      </c>
      <c r="AY330" s="190"/>
      <c r="AZ330" s="240"/>
      <c r="BA330" s="232"/>
      <c r="BF330" s="206"/>
      <c r="BG330" s="206"/>
      <c r="BK330" s="126"/>
      <c r="BL330" s="126"/>
      <c r="BN330" s="126"/>
      <c r="BO330" s="126"/>
      <c r="BQ330" s="126"/>
      <c r="BR330" s="126"/>
      <c r="BT330" s="126"/>
      <c r="BU330" s="126"/>
      <c r="BW330" s="126"/>
      <c r="BX330" s="126"/>
      <c r="BZ330" s="126"/>
      <c r="CA330" s="126"/>
      <c r="CC330" s="126"/>
      <c r="CD330" s="126"/>
      <c r="CF330" s="126"/>
      <c r="CG330" s="126"/>
    </row>
    <row r="331" spans="1:85" s="197" customFormat="1" outlineLevel="1" x14ac:dyDescent="0.3">
      <c r="A331" s="201"/>
      <c r="B331" s="191"/>
      <c r="C331" s="349"/>
      <c r="D331" s="352"/>
      <c r="E331" s="352"/>
      <c r="F331" s="351"/>
      <c r="G331" s="352"/>
      <c r="H331" s="353"/>
      <c r="I331" s="191"/>
      <c r="J331" s="353"/>
      <c r="K331" s="191"/>
      <c r="L331" s="354"/>
      <c r="M331" s="355"/>
      <c r="N331" s="354"/>
      <c r="O331" s="354"/>
      <c r="P331" s="353"/>
      <c r="Q331" s="191"/>
      <c r="R331" s="353"/>
      <c r="S331" s="191"/>
      <c r="T331" s="354"/>
      <c r="U331" s="355"/>
      <c r="V331" s="354"/>
      <c r="W331" s="354"/>
      <c r="X331" s="353"/>
      <c r="Y331" s="191"/>
      <c r="Z331" s="353"/>
      <c r="AA331" s="191"/>
      <c r="AB331" s="354"/>
      <c r="AC331" s="355"/>
      <c r="AD331" s="354"/>
      <c r="AE331" s="354"/>
      <c r="AF331" s="353"/>
      <c r="AG331" s="191"/>
      <c r="AH331" s="201"/>
      <c r="AI331" s="191"/>
      <c r="AJ331" s="354"/>
      <c r="AK331" s="355"/>
      <c r="AL331" s="354"/>
      <c r="AM331" s="354"/>
      <c r="AN331" s="353"/>
      <c r="AO331" s="191"/>
      <c r="AP331" s="201"/>
      <c r="AQ331" s="201"/>
      <c r="AR331" s="352"/>
      <c r="AS331" s="352"/>
      <c r="AT331" s="352"/>
      <c r="AU331" s="352"/>
      <c r="AV331" s="352"/>
      <c r="AW331" s="352"/>
      <c r="AX331" s="352"/>
      <c r="AY331" s="190"/>
      <c r="AZ331" s="240"/>
      <c r="BA331" s="232"/>
      <c r="BF331" s="206"/>
      <c r="BG331" s="206"/>
      <c r="BK331" s="126"/>
      <c r="BL331" s="126"/>
      <c r="BN331" s="126"/>
      <c r="BO331" s="126"/>
      <c r="BQ331" s="126"/>
      <c r="BR331" s="126"/>
      <c r="BT331" s="126"/>
      <c r="BU331" s="126"/>
      <c r="BW331" s="126"/>
      <c r="BX331" s="126"/>
      <c r="BZ331" s="126"/>
      <c r="CA331" s="126"/>
      <c r="CC331" s="126"/>
      <c r="CD331" s="126"/>
      <c r="CF331" s="126"/>
      <c r="CG331" s="126"/>
    </row>
    <row r="332" spans="1:85" s="197" customFormat="1" outlineLevel="1" x14ac:dyDescent="0.3">
      <c r="A332" s="201"/>
      <c r="B332" s="191"/>
      <c r="C332" s="349"/>
      <c r="D332" s="352"/>
      <c r="E332" s="352"/>
      <c r="F332" s="351"/>
      <c r="G332" s="352"/>
      <c r="H332" s="353"/>
      <c r="I332" s="191"/>
      <c r="J332" s="353"/>
      <c r="K332" s="191"/>
      <c r="L332" s="354"/>
      <c r="M332" s="355"/>
      <c r="N332" s="354"/>
      <c r="O332" s="354"/>
      <c r="P332" s="353"/>
      <c r="Q332" s="191"/>
      <c r="R332" s="353"/>
      <c r="S332" s="191"/>
      <c r="T332" s="354"/>
      <c r="U332" s="201"/>
      <c r="V332" s="201"/>
      <c r="W332" s="352"/>
      <c r="X332" s="352"/>
      <c r="Y332" s="352"/>
      <c r="Z332" s="352"/>
      <c r="AA332" s="352"/>
      <c r="AB332" s="352"/>
      <c r="AC332" s="352"/>
      <c r="AD332" s="190"/>
      <c r="AE332" s="354"/>
      <c r="AF332" s="353"/>
      <c r="AG332" s="191"/>
      <c r="AH332" s="201"/>
      <c r="AI332" s="191"/>
      <c r="AJ332" s="354"/>
      <c r="AK332" s="355"/>
      <c r="AL332" s="354"/>
      <c r="AM332" s="354"/>
      <c r="AN332" s="353"/>
      <c r="AO332" s="191"/>
      <c r="AZ332" s="240"/>
      <c r="BA332" s="232"/>
      <c r="BF332" s="206"/>
      <c r="BG332" s="206"/>
      <c r="BK332" s="126"/>
      <c r="BL332" s="126"/>
      <c r="BN332" s="126"/>
      <c r="BO332" s="126"/>
      <c r="BQ332" s="126"/>
      <c r="BR332" s="126"/>
      <c r="BT332" s="126"/>
      <c r="BU332" s="126"/>
      <c r="BW332" s="126"/>
      <c r="BX332" s="126"/>
      <c r="BZ332" s="126"/>
      <c r="CA332" s="126"/>
      <c r="CC332" s="126"/>
      <c r="CD332" s="126"/>
      <c r="CF332" s="126"/>
      <c r="CG332" s="126"/>
    </row>
    <row r="333" spans="1:85" s="197" customFormat="1" outlineLevel="1" x14ac:dyDescent="0.3">
      <c r="A333" s="201"/>
      <c r="B333" s="191"/>
      <c r="C333" s="349"/>
      <c r="D333" s="352"/>
      <c r="E333" s="352"/>
      <c r="F333" s="351"/>
      <c r="G333" s="352"/>
      <c r="H333" s="353"/>
      <c r="I333" s="191"/>
      <c r="J333" s="353"/>
      <c r="K333" s="191"/>
      <c r="L333" s="354"/>
      <c r="M333" s="355"/>
      <c r="N333" s="354"/>
      <c r="O333" s="354"/>
      <c r="P333" s="353"/>
      <c r="Q333" s="191"/>
      <c r="R333" s="353"/>
      <c r="S333" s="191"/>
      <c r="T333" s="354"/>
      <c r="U333" s="201"/>
      <c r="V333" s="201"/>
      <c r="W333" s="352"/>
      <c r="X333" s="352"/>
      <c r="Y333" s="352"/>
      <c r="Z333" s="352"/>
      <c r="AA333" s="352"/>
      <c r="AB333" s="352"/>
      <c r="AC333" s="352"/>
      <c r="AD333" s="190"/>
      <c r="AE333" s="354"/>
      <c r="AF333" s="353"/>
      <c r="AG333" s="191"/>
      <c r="AH333" s="201"/>
      <c r="AI333" s="191"/>
      <c r="AJ333" s="354"/>
      <c r="AK333" s="355"/>
      <c r="AL333" s="354"/>
      <c r="AM333" s="354"/>
      <c r="AN333" s="353"/>
      <c r="AO333" s="191"/>
      <c r="AZ333" s="240"/>
      <c r="BA333" s="232"/>
      <c r="BF333" s="206"/>
      <c r="BG333" s="206"/>
      <c r="BK333" s="126"/>
      <c r="BL333" s="126"/>
      <c r="BN333" s="126"/>
      <c r="BO333" s="126"/>
      <c r="BQ333" s="126"/>
      <c r="BR333" s="126"/>
      <c r="BT333" s="126"/>
      <c r="BU333" s="126"/>
      <c r="BW333" s="126"/>
      <c r="BX333" s="126"/>
      <c r="BZ333" s="126"/>
      <c r="CA333" s="126"/>
      <c r="CC333" s="126"/>
      <c r="CD333" s="126"/>
      <c r="CF333" s="126"/>
      <c r="CG333" s="126"/>
    </row>
    <row r="334" spans="1:85" s="197" customFormat="1" outlineLevel="1" x14ac:dyDescent="0.3">
      <c r="A334" s="201"/>
      <c r="B334" s="191"/>
      <c r="C334" s="349"/>
      <c r="D334" s="352"/>
      <c r="E334" s="352"/>
      <c r="F334" s="351"/>
      <c r="G334" s="352"/>
      <c r="H334" s="353"/>
      <c r="I334" s="191"/>
      <c r="J334" s="353"/>
      <c r="K334" s="191"/>
      <c r="L334" s="354"/>
      <c r="M334" s="355"/>
      <c r="N334" s="354"/>
      <c r="O334" s="354"/>
      <c r="P334" s="353"/>
      <c r="Q334" s="191"/>
      <c r="R334" s="353"/>
      <c r="S334" s="191"/>
      <c r="T334" s="354"/>
      <c r="U334" s="355"/>
      <c r="V334" s="354"/>
      <c r="W334" s="354"/>
      <c r="X334" s="353"/>
      <c r="Y334" s="191"/>
      <c r="Z334" s="353"/>
      <c r="AA334" s="191"/>
      <c r="AB334" s="354"/>
      <c r="AC334" s="355"/>
      <c r="AD334" s="354"/>
      <c r="AE334" s="354"/>
      <c r="AF334" s="353"/>
      <c r="AG334" s="191"/>
      <c r="AH334" s="201"/>
      <c r="AI334" s="191"/>
      <c r="AJ334" s="354"/>
      <c r="AK334" s="355"/>
      <c r="AL334" s="354"/>
      <c r="AM334" s="354"/>
      <c r="AN334" s="353"/>
      <c r="AO334" s="191"/>
      <c r="AP334" s="201"/>
      <c r="AQ334" s="201"/>
      <c r="AR334" s="352"/>
      <c r="AS334" s="352"/>
      <c r="AT334" s="352"/>
      <c r="AU334" s="352"/>
      <c r="AV334" s="352"/>
      <c r="AW334" s="352"/>
      <c r="AX334" s="352"/>
      <c r="AY334" s="190"/>
      <c r="AZ334" s="240"/>
      <c r="BA334" s="232"/>
      <c r="BF334" s="206"/>
      <c r="BG334" s="206"/>
      <c r="BK334" s="126"/>
      <c r="BL334" s="126"/>
      <c r="BN334" s="126"/>
      <c r="BO334" s="126"/>
      <c r="BQ334" s="126"/>
      <c r="BR334" s="126"/>
      <c r="BT334" s="126"/>
      <c r="BU334" s="126"/>
      <c r="BW334" s="126"/>
      <c r="BX334" s="126"/>
      <c r="BZ334" s="126"/>
      <c r="CA334" s="126"/>
      <c r="CC334" s="126"/>
      <c r="CD334" s="126"/>
      <c r="CF334" s="126"/>
      <c r="CG334" s="126"/>
    </row>
    <row r="335" spans="1:85" s="197" customFormat="1" outlineLevel="1" x14ac:dyDescent="0.3">
      <c r="A335" s="201"/>
      <c r="B335" s="191"/>
      <c r="C335" s="349"/>
      <c r="D335" s="352"/>
      <c r="E335" s="352"/>
      <c r="F335" s="351"/>
      <c r="G335" s="352"/>
      <c r="H335" s="353"/>
      <c r="I335" s="191"/>
      <c r="J335" s="353"/>
      <c r="K335" s="191"/>
      <c r="L335" s="354"/>
      <c r="M335" s="355"/>
      <c r="N335" s="354"/>
      <c r="O335" s="354"/>
      <c r="P335" s="353"/>
      <c r="Q335" s="191"/>
      <c r="R335" s="353"/>
      <c r="S335" s="191"/>
      <c r="T335" s="354"/>
      <c r="U335" s="355"/>
      <c r="V335" s="354"/>
      <c r="W335" s="354"/>
      <c r="X335" s="353"/>
      <c r="Y335" s="191"/>
      <c r="Z335" s="353"/>
      <c r="AA335" s="191"/>
      <c r="AB335" s="354"/>
      <c r="AC335" s="355"/>
      <c r="AD335" s="354"/>
      <c r="AE335" s="354"/>
      <c r="AF335" s="353"/>
      <c r="AG335" s="191"/>
      <c r="AH335" s="201"/>
      <c r="AI335" s="191"/>
      <c r="AJ335" s="354"/>
      <c r="AK335" s="355"/>
      <c r="AL335" s="354"/>
      <c r="AM335" s="354"/>
      <c r="AN335" s="353"/>
      <c r="AO335" s="191"/>
      <c r="AP335" s="201"/>
      <c r="AQ335" s="201"/>
      <c r="AR335" s="352"/>
      <c r="AS335" s="352"/>
      <c r="AT335" s="352"/>
      <c r="AU335" s="352"/>
      <c r="AV335" s="352"/>
      <c r="AW335" s="352"/>
      <c r="AX335" s="352"/>
      <c r="AY335" s="190"/>
      <c r="AZ335" s="240"/>
      <c r="BA335" s="232"/>
      <c r="BF335" s="206"/>
      <c r="BG335" s="206"/>
      <c r="BK335" s="126"/>
      <c r="BL335" s="126"/>
      <c r="BN335" s="126"/>
      <c r="BO335" s="126"/>
      <c r="BQ335" s="126"/>
      <c r="BR335" s="126"/>
      <c r="BT335" s="126"/>
      <c r="BU335" s="126"/>
      <c r="BW335" s="126"/>
      <c r="BX335" s="126"/>
      <c r="BZ335" s="126"/>
      <c r="CA335" s="126"/>
      <c r="CC335" s="126"/>
      <c r="CD335" s="126"/>
      <c r="CF335" s="126"/>
      <c r="CG335" s="126"/>
    </row>
    <row r="336" spans="1:85" s="197" customFormat="1" outlineLevel="1" x14ac:dyDescent="0.3">
      <c r="A336" s="201"/>
      <c r="B336" s="191"/>
      <c r="C336" s="349"/>
      <c r="D336" s="352"/>
      <c r="E336" s="352"/>
      <c r="F336" s="351"/>
      <c r="G336" s="352"/>
      <c r="H336" s="353"/>
      <c r="I336" s="191"/>
      <c r="J336" s="353"/>
      <c r="K336" s="191"/>
      <c r="L336" s="354"/>
      <c r="M336" s="355"/>
      <c r="N336" s="354"/>
      <c r="O336" s="354"/>
      <c r="P336" s="353"/>
      <c r="Q336" s="191"/>
      <c r="R336" s="353"/>
      <c r="S336" s="191"/>
      <c r="T336" s="354"/>
      <c r="U336" s="355"/>
      <c r="V336" s="354"/>
      <c r="W336" s="354"/>
      <c r="X336" s="353"/>
      <c r="Y336" s="191"/>
      <c r="Z336" s="353"/>
      <c r="AA336" s="191"/>
      <c r="AB336" s="354"/>
      <c r="AC336" s="355"/>
      <c r="AD336" s="354"/>
      <c r="AE336" s="354"/>
      <c r="AF336" s="353"/>
      <c r="AG336" s="191"/>
      <c r="AH336" s="201"/>
      <c r="AI336" s="191"/>
      <c r="AJ336" s="354"/>
      <c r="AK336" s="355"/>
      <c r="AL336" s="354"/>
      <c r="AM336" s="354"/>
      <c r="AN336" s="353"/>
      <c r="AO336" s="191"/>
      <c r="AP336" s="201"/>
      <c r="AQ336" s="201"/>
      <c r="AR336" s="352"/>
      <c r="AS336" s="352"/>
      <c r="AT336" s="352"/>
      <c r="AU336" s="352"/>
      <c r="AV336" s="352"/>
      <c r="AW336" s="352"/>
      <c r="AX336" s="352"/>
      <c r="AY336" s="190"/>
      <c r="AZ336" s="240"/>
      <c r="BA336" s="232"/>
      <c r="BF336" s="206"/>
      <c r="BG336" s="206"/>
      <c r="BK336" s="126"/>
      <c r="BL336" s="126"/>
      <c r="BN336" s="126"/>
      <c r="BO336" s="126"/>
      <c r="BQ336" s="126"/>
      <c r="BR336" s="126"/>
      <c r="BT336" s="126"/>
      <c r="BU336" s="126"/>
      <c r="BW336" s="126"/>
      <c r="BX336" s="126"/>
      <c r="BZ336" s="126"/>
      <c r="CA336" s="126"/>
      <c r="CC336" s="126"/>
      <c r="CD336" s="126"/>
      <c r="CF336" s="126"/>
      <c r="CG336" s="126"/>
    </row>
    <row r="337" spans="1:105" s="196" customFormat="1" x14ac:dyDescent="0.3">
      <c r="A337" s="197"/>
      <c r="B337" s="240"/>
      <c r="C337" s="370"/>
      <c r="D337" s="371"/>
      <c r="E337" s="1033" t="s">
        <v>403</v>
      </c>
      <c r="F337" s="1033"/>
      <c r="G337" s="372">
        <f>SUM(G208:G336)</f>
        <v>47.756915333333325</v>
      </c>
      <c r="H337" s="372">
        <f>SUM(H195:H272)</f>
        <v>186.44319999999999</v>
      </c>
      <c r="I337" s="373"/>
      <c r="J337" s="292"/>
      <c r="K337" s="374"/>
      <c r="L337" s="375"/>
      <c r="M337" s="376"/>
      <c r="N337" s="375"/>
      <c r="O337" s="375"/>
      <c r="P337" s="374"/>
      <c r="Q337" s="218"/>
      <c r="R337" s="303"/>
      <c r="S337" s="240"/>
      <c r="T337" s="377"/>
      <c r="U337" s="306"/>
      <c r="V337" s="377"/>
      <c r="W337" s="377"/>
      <c r="X337" s="197"/>
      <c r="Y337" s="240"/>
      <c r="Z337" s="303"/>
      <c r="AA337" s="240"/>
      <c r="AB337" s="240"/>
      <c r="AC337" s="378"/>
      <c r="AD337" s="240"/>
      <c r="AE337" s="240"/>
      <c r="AF337" s="197"/>
      <c r="AG337" s="240"/>
      <c r="AH337" s="303"/>
      <c r="AI337" s="240"/>
      <c r="AJ337" s="240"/>
      <c r="AK337" s="378"/>
      <c r="AL337" s="240"/>
      <c r="AM337" s="240"/>
      <c r="AN337" s="197"/>
      <c r="AO337" s="1044" t="s">
        <v>404</v>
      </c>
      <c r="AP337" s="1044"/>
      <c r="AQ337" s="1044"/>
      <c r="AR337" s="372">
        <f>SUM(AR209:AR336)</f>
        <v>2422.3610999999996</v>
      </c>
      <c r="AS337" s="372">
        <f t="shared" ref="AS337:AX337" si="239">SUM(AS209:AS336)</f>
        <v>2297.3053499999996</v>
      </c>
      <c r="AT337" s="372">
        <f t="shared" si="239"/>
        <v>0</v>
      </c>
      <c r="AU337" s="372">
        <f t="shared" si="239"/>
        <v>2169.6838999999995</v>
      </c>
      <c r="AV337" s="372">
        <f t="shared" si="239"/>
        <v>1403.3045000000002</v>
      </c>
      <c r="AW337" s="372">
        <f t="shared" si="239"/>
        <v>0</v>
      </c>
      <c r="AX337" s="372">
        <f t="shared" si="239"/>
        <v>336.75</v>
      </c>
      <c r="AY337" s="258"/>
      <c r="AZ337" s="259"/>
      <c r="BA337" s="260"/>
      <c r="BC337" s="198"/>
      <c r="BK337" s="131"/>
      <c r="BL337" s="131"/>
      <c r="BM337" s="197"/>
      <c r="BN337" s="131"/>
      <c r="BO337" s="131"/>
      <c r="BP337" s="197"/>
      <c r="BQ337" s="131"/>
      <c r="BR337" s="131"/>
      <c r="BS337" s="197"/>
      <c r="BT337" s="131"/>
      <c r="BU337" s="131"/>
      <c r="BV337" s="197"/>
      <c r="BW337" s="131"/>
      <c r="BX337" s="131"/>
      <c r="BY337" s="197"/>
      <c r="BZ337" s="131"/>
      <c r="CA337" s="131"/>
      <c r="CB337" s="197"/>
      <c r="CC337" s="131"/>
      <c r="CD337" s="131"/>
      <c r="CE337" s="197"/>
      <c r="CF337" s="131"/>
      <c r="CG337" s="131"/>
      <c r="CH337" s="197"/>
      <c r="CI337" s="197"/>
      <c r="CJ337" s="197"/>
      <c r="CK337" s="197"/>
      <c r="CL337" s="197"/>
      <c r="CM337" s="197"/>
      <c r="CN337" s="197"/>
      <c r="CO337" s="197"/>
      <c r="CP337" s="197"/>
      <c r="CQ337" s="197"/>
      <c r="CR337" s="197"/>
      <c r="CS337" s="197"/>
      <c r="CT337" s="197"/>
      <c r="CU337" s="197"/>
      <c r="CV337" s="197"/>
      <c r="CW337" s="197"/>
      <c r="CX337" s="197"/>
      <c r="CY337" s="197"/>
      <c r="CZ337" s="197"/>
      <c r="DA337" s="197"/>
    </row>
    <row r="338" spans="1:105" s="196" customFormat="1" ht="13.8" x14ac:dyDescent="0.3">
      <c r="A338" s="197"/>
      <c r="B338" s="240"/>
      <c r="C338" s="370"/>
      <c r="D338" s="371"/>
      <c r="E338" s="1033" t="s">
        <v>405</v>
      </c>
      <c r="F338" s="1033"/>
      <c r="G338" s="379"/>
      <c r="H338" s="380"/>
      <c r="I338" s="201"/>
      <c r="J338" s="292"/>
      <c r="K338" s="259"/>
      <c r="L338" s="293"/>
      <c r="M338" s="294"/>
      <c r="N338" s="293"/>
      <c r="O338" s="293"/>
      <c r="U338" s="381"/>
      <c r="AC338" s="381"/>
      <c r="AK338" s="381"/>
      <c r="AO338" s="1034" t="s">
        <v>406</v>
      </c>
      <c r="AP338" s="1034"/>
      <c r="AQ338" s="1034"/>
      <c r="AR338" s="352">
        <f>+(8^2)/162</f>
        <v>0.39506172839506171</v>
      </c>
      <c r="AS338" s="352">
        <f>+(10^2)/162</f>
        <v>0.61728395061728392</v>
      </c>
      <c r="AT338" s="352">
        <f>+(12^2)/162</f>
        <v>0.88888888888888884</v>
      </c>
      <c r="AU338" s="352">
        <f>+(8^2)/162</f>
        <v>0.39506172839506171</v>
      </c>
      <c r="AV338" s="352">
        <f>+(10^2)/162</f>
        <v>0.61728395061728392</v>
      </c>
      <c r="AW338" s="352">
        <f>+(12^2)/162</f>
        <v>0.88888888888888884</v>
      </c>
      <c r="AX338" s="352">
        <f>+(8^2)/162</f>
        <v>0.39506172839506171</v>
      </c>
      <c r="AY338" s="190"/>
      <c r="AZ338" s="259"/>
      <c r="BA338" s="260"/>
      <c r="BF338" s="198"/>
      <c r="BK338" s="197"/>
      <c r="BL338" s="197"/>
      <c r="BM338" s="197"/>
      <c r="BN338" s="197"/>
      <c r="BO338" s="197"/>
      <c r="BP338" s="197"/>
      <c r="BQ338" s="197"/>
      <c r="BR338" s="197"/>
      <c r="BS338" s="197"/>
      <c r="BT338" s="197"/>
      <c r="BU338" s="197"/>
      <c r="BV338" s="197"/>
      <c r="BW338" s="197"/>
      <c r="BX338" s="197"/>
      <c r="BY338" s="197"/>
      <c r="BZ338" s="197"/>
      <c r="CA338" s="197"/>
      <c r="CB338" s="197"/>
      <c r="CC338" s="197"/>
      <c r="CD338" s="197"/>
      <c r="CE338" s="197"/>
      <c r="CF338" s="197"/>
      <c r="CG338" s="197"/>
      <c r="CH338" s="197"/>
      <c r="CI338" s="197"/>
      <c r="CJ338" s="197"/>
      <c r="CK338" s="197"/>
      <c r="CL338" s="197"/>
      <c r="CM338" s="197"/>
      <c r="CN338" s="197"/>
      <c r="CO338" s="197"/>
      <c r="CP338" s="197"/>
      <c r="CQ338" s="197"/>
      <c r="CR338" s="197"/>
      <c r="CS338" s="197"/>
      <c r="CT338" s="197"/>
      <c r="CU338" s="197"/>
      <c r="CV338" s="197"/>
      <c r="CW338" s="197"/>
      <c r="CX338" s="197"/>
      <c r="CY338" s="197"/>
      <c r="CZ338" s="197"/>
      <c r="DA338" s="197"/>
    </row>
    <row r="339" spans="1:105" s="196" customFormat="1" ht="13.8" x14ac:dyDescent="0.3">
      <c r="A339" s="197"/>
      <c r="B339" s="240"/>
      <c r="C339" s="370"/>
      <c r="D339" s="371"/>
      <c r="E339" s="289"/>
      <c r="F339" s="290"/>
      <c r="G339" s="296"/>
      <c r="M339" s="381"/>
      <c r="U339" s="381"/>
      <c r="AC339" s="381"/>
      <c r="AK339" s="381"/>
      <c r="AO339" s="1035" t="s">
        <v>407</v>
      </c>
      <c r="AP339" s="1035"/>
      <c r="AQ339" s="1035"/>
      <c r="AR339" s="382">
        <f>+AR337*AR338</f>
        <v>956.98216296296278</v>
      </c>
      <c r="AS339" s="382">
        <f t="shared" ref="AS339:AW339" si="240">+AS337*AS338</f>
        <v>1418.089722222222</v>
      </c>
      <c r="AT339" s="382">
        <f t="shared" si="240"/>
        <v>0</v>
      </c>
      <c r="AU339" s="382">
        <f t="shared" si="240"/>
        <v>857.15907160493805</v>
      </c>
      <c r="AV339" s="382">
        <f t="shared" si="240"/>
        <v>866.23734567901238</v>
      </c>
      <c r="AW339" s="382">
        <f t="shared" si="240"/>
        <v>0</v>
      </c>
      <c r="AX339" s="382"/>
      <c r="AY339" s="258"/>
      <c r="AZ339" s="259"/>
      <c r="BA339" s="260"/>
      <c r="BF339" s="198"/>
    </row>
    <row r="340" spans="1:105" s="143" customFormat="1" ht="13.8" x14ac:dyDescent="0.25">
      <c r="A340" s="383"/>
      <c r="B340" s="383" t="s">
        <v>408</v>
      </c>
      <c r="C340" s="288"/>
      <c r="D340" s="289"/>
      <c r="E340" s="289"/>
      <c r="F340" s="290"/>
      <c r="G340" s="296"/>
      <c r="H340" s="196"/>
      <c r="I340" s="196"/>
      <c r="J340" s="196"/>
      <c r="K340" s="196"/>
      <c r="L340" s="196"/>
      <c r="M340" s="381"/>
      <c r="N340" s="196"/>
      <c r="O340" s="196"/>
      <c r="P340" s="196"/>
      <c r="Q340" s="196"/>
      <c r="R340" s="196"/>
      <c r="S340" s="196"/>
      <c r="T340" s="196"/>
      <c r="U340" s="381"/>
      <c r="V340" s="196"/>
      <c r="W340" s="196"/>
      <c r="X340" s="196"/>
      <c r="Y340" s="196"/>
      <c r="Z340" s="196"/>
      <c r="AA340" s="196"/>
      <c r="AB340" s="196"/>
      <c r="AC340" s="381"/>
      <c r="AD340" s="196"/>
      <c r="AE340" s="196"/>
      <c r="AF340" s="196"/>
      <c r="AG340" s="196"/>
      <c r="AH340" s="196"/>
      <c r="AI340" s="196"/>
      <c r="AJ340" s="196"/>
      <c r="AK340" s="381"/>
      <c r="AL340" s="196"/>
      <c r="AM340" s="196"/>
      <c r="AN340" s="196"/>
      <c r="AO340" s="1035" t="s">
        <v>409</v>
      </c>
      <c r="AP340" s="1035"/>
      <c r="AQ340" s="1035"/>
      <c r="AR340" s="1036">
        <f>SUM(AR339:AW339)</f>
        <v>4098.4683024691349</v>
      </c>
      <c r="AS340" s="1037"/>
      <c r="AT340" s="1037"/>
      <c r="AU340" s="1037"/>
      <c r="AV340" s="1037"/>
      <c r="AW340" s="1038"/>
      <c r="AX340" s="384"/>
      <c r="AZ340" s="144"/>
      <c r="BA340" s="145"/>
    </row>
    <row r="341" spans="1:105" s="143" customFormat="1" ht="13.8" x14ac:dyDescent="0.25">
      <c r="A341" s="383" t="s">
        <v>410</v>
      </c>
      <c r="B341" s="385">
        <f>+AR340/G337</f>
        <v>85.819368228929349</v>
      </c>
      <c r="C341" s="386"/>
      <c r="D341" s="289"/>
      <c r="E341" s="145"/>
      <c r="F341" s="301"/>
      <c r="M341" s="304"/>
      <c r="U341" s="304"/>
      <c r="AC341" s="304"/>
      <c r="AK341" s="304"/>
      <c r="AO341" s="259"/>
      <c r="AP341" s="196"/>
      <c r="AQ341" s="196"/>
      <c r="AR341" s="292">
        <f>(AR339+AU339)/1000</f>
        <v>1.8141412345679009</v>
      </c>
      <c r="AS341" s="292">
        <f>(AS339+AV339)/1000</f>
        <v>2.2843270679012342</v>
      </c>
      <c r="AT341" s="292">
        <f>(AT339+AW339)/1000</f>
        <v>0</v>
      </c>
      <c r="AU341" s="292"/>
      <c r="AV341" s="292"/>
      <c r="AW341" s="292"/>
      <c r="AX341" s="276">
        <f>SUM(AR341:AW341)</f>
        <v>4.0984683024691346</v>
      </c>
      <c r="AY341" s="276"/>
      <c r="AZ341" s="144"/>
      <c r="BA341" s="145"/>
    </row>
    <row r="342" spans="1:105" s="196" customFormat="1" ht="13.8" x14ac:dyDescent="0.25">
      <c r="B342" s="259"/>
      <c r="C342" s="288"/>
      <c r="D342" s="289"/>
      <c r="E342" s="145"/>
      <c r="F342" s="301"/>
      <c r="G342" s="143"/>
      <c r="H342" s="143"/>
      <c r="I342" s="143"/>
      <c r="J342" s="143"/>
      <c r="K342" s="143"/>
      <c r="L342" s="143"/>
      <c r="M342" s="304"/>
      <c r="N342" s="143"/>
      <c r="O342" s="143"/>
      <c r="P342" s="143"/>
      <c r="Q342" s="143"/>
      <c r="R342" s="143"/>
      <c r="S342" s="143"/>
      <c r="T342" s="143"/>
      <c r="U342" s="304"/>
      <c r="V342" s="143"/>
      <c r="W342" s="143"/>
      <c r="X342" s="143"/>
      <c r="Y342" s="143"/>
      <c r="Z342" s="143"/>
      <c r="AA342" s="143"/>
      <c r="AB342" s="143"/>
      <c r="AC342" s="304"/>
      <c r="AD342" s="143"/>
      <c r="AE342" s="143"/>
      <c r="AF342" s="143"/>
      <c r="AG342" s="143"/>
      <c r="AH342" s="143"/>
      <c r="AI342" s="143"/>
      <c r="AJ342" s="143"/>
      <c r="AK342" s="304"/>
      <c r="AL342" s="143"/>
      <c r="AM342" s="143"/>
      <c r="AN342" s="143"/>
      <c r="AO342" s="259"/>
      <c r="AY342" s="197"/>
      <c r="AZ342" s="198"/>
      <c r="BE342" s="259"/>
      <c r="BH342" s="277"/>
      <c r="BI342" s="277"/>
      <c r="BK342" s="277"/>
      <c r="BL342" s="277"/>
      <c r="BN342" s="277"/>
      <c r="BO342" s="277"/>
      <c r="BQ342" s="277"/>
      <c r="BR342" s="277"/>
      <c r="BT342" s="277"/>
      <c r="BU342" s="277"/>
      <c r="BW342" s="277"/>
      <c r="BX342" s="277"/>
      <c r="BZ342" s="277"/>
      <c r="CA342" s="277"/>
      <c r="CC342" s="277"/>
      <c r="CD342" s="277"/>
    </row>
    <row r="343" spans="1:105" s="284" customFormat="1" ht="13.8" x14ac:dyDescent="0.25">
      <c r="A343" s="278"/>
      <c r="B343" s="279"/>
      <c r="C343" s="280"/>
      <c r="D343" s="281"/>
      <c r="E343" s="282"/>
      <c r="F343" s="283"/>
      <c r="M343" s="285"/>
      <c r="U343" s="285"/>
      <c r="AC343" s="285"/>
      <c r="AK343" s="285"/>
      <c r="AO343" s="279"/>
      <c r="AP343" s="278"/>
      <c r="AQ343" s="278"/>
      <c r="AR343" s="278"/>
      <c r="AS343" s="278"/>
      <c r="AT343" s="278"/>
      <c r="AU343" s="278"/>
      <c r="AV343" s="278"/>
      <c r="AW343" s="278"/>
      <c r="AX343" s="286"/>
      <c r="AY343" s="286"/>
      <c r="AZ343" s="287"/>
      <c r="BA343" s="282"/>
    </row>
    <row r="344" spans="1:105" s="259" customFormat="1" ht="13.8" x14ac:dyDescent="0.3">
      <c r="A344" s="196"/>
      <c r="C344" s="288"/>
      <c r="D344" s="289"/>
      <c r="E344" s="289"/>
      <c r="F344" s="290"/>
      <c r="G344" s="291"/>
      <c r="H344" s="292"/>
      <c r="I344" s="196"/>
      <c r="J344" s="292"/>
      <c r="L344" s="293"/>
      <c r="M344" s="294"/>
      <c r="N344" s="293"/>
      <c r="O344" s="293"/>
      <c r="P344" s="196"/>
      <c r="Q344" s="196"/>
      <c r="R344" s="292"/>
      <c r="T344" s="293"/>
      <c r="U344" s="294"/>
      <c r="V344" s="293"/>
      <c r="W344" s="293"/>
      <c r="X344" s="196"/>
      <c r="Z344" s="292"/>
      <c r="AC344" s="295"/>
      <c r="AF344" s="196"/>
      <c r="AH344" s="292"/>
      <c r="AK344" s="295"/>
      <c r="AN344" s="196"/>
      <c r="AP344" s="196"/>
      <c r="AQ344" s="196"/>
      <c r="AR344" s="296"/>
      <c r="AS344" s="296"/>
      <c r="AT344" s="296"/>
      <c r="AU344" s="291"/>
      <c r="AV344" s="291"/>
      <c r="AW344" s="291"/>
      <c r="AY344" s="240"/>
      <c r="AZ344" s="297"/>
      <c r="BA344" s="297"/>
      <c r="BB344" s="297"/>
      <c r="BC344" s="297"/>
      <c r="BD344" s="297"/>
      <c r="BE344" s="297"/>
      <c r="BF344" s="298"/>
      <c r="BG344" s="240"/>
      <c r="BH344" s="240"/>
    </row>
    <row r="345" spans="1:105" s="143" customFormat="1" x14ac:dyDescent="0.3">
      <c r="A345" s="133" t="s">
        <v>168</v>
      </c>
      <c r="B345" s="134"/>
      <c r="C345" s="135" t="s">
        <v>29</v>
      </c>
      <c r="D345" s="136"/>
      <c r="E345" s="136"/>
      <c r="F345" s="137"/>
      <c r="G345" s="134"/>
      <c r="H345" s="138"/>
      <c r="I345" s="139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387"/>
      <c r="X345" s="134"/>
      <c r="Y345" s="134"/>
      <c r="Z345" s="134"/>
      <c r="AA345" s="134"/>
      <c r="AB345" s="141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42"/>
      <c r="AP345" s="134"/>
      <c r="AQ345" s="134"/>
      <c r="AR345" s="134"/>
      <c r="AS345" s="134"/>
      <c r="AT345" s="134"/>
      <c r="AU345" s="134"/>
      <c r="AV345" s="134"/>
      <c r="AW345" s="134"/>
      <c r="AX345" s="134"/>
      <c r="AZ345" s="144"/>
      <c r="BA345" s="145"/>
    </row>
    <row r="346" spans="1:105" s="152" customFormat="1" ht="13.8" x14ac:dyDescent="0.3">
      <c r="A346" s="146" t="s">
        <v>458</v>
      </c>
      <c r="B346" s="147"/>
      <c r="C346" s="148"/>
      <c r="D346" s="149"/>
      <c r="E346" s="149"/>
      <c r="F346" s="150"/>
      <c r="G346" s="147"/>
      <c r="H346" s="146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  <c r="AA346" s="147"/>
      <c r="AB346" s="147"/>
      <c r="AC346" s="147"/>
      <c r="AD346" s="147"/>
      <c r="AE346" s="147"/>
      <c r="AF346" s="147"/>
      <c r="AG346" s="147"/>
      <c r="AH346" s="147"/>
      <c r="AI346" s="147"/>
      <c r="AJ346" s="147"/>
      <c r="AK346" s="147"/>
      <c r="AL346" s="147"/>
      <c r="AM346" s="147"/>
      <c r="AN346" s="147"/>
      <c r="AO346" s="151"/>
      <c r="AP346" s="147"/>
      <c r="AQ346" s="147"/>
      <c r="AR346" s="147"/>
      <c r="AS346" s="147"/>
      <c r="AT346" s="147"/>
      <c r="AU346" s="147"/>
      <c r="AV346" s="147"/>
      <c r="AW346" s="147"/>
      <c r="AX346" s="147"/>
      <c r="AZ346" s="153"/>
      <c r="BA346" s="154"/>
    </row>
    <row r="347" spans="1:105" s="153" customFormat="1" ht="27.6" x14ac:dyDescent="0.3">
      <c r="A347" s="1091" t="s">
        <v>170</v>
      </c>
      <c r="B347" s="1091" t="s">
        <v>171</v>
      </c>
      <c r="C347" s="1091" t="s">
        <v>51</v>
      </c>
      <c r="D347" s="155" t="s">
        <v>44</v>
      </c>
      <c r="E347" s="155" t="s">
        <v>45</v>
      </c>
      <c r="F347" s="156" t="s">
        <v>46</v>
      </c>
      <c r="G347" s="157" t="s">
        <v>95</v>
      </c>
      <c r="H347" s="157" t="s">
        <v>172</v>
      </c>
      <c r="I347" s="1088" t="s">
        <v>173</v>
      </c>
      <c r="J347" s="1088"/>
      <c r="K347" s="1088"/>
      <c r="L347" s="1088"/>
      <c r="M347" s="1088"/>
      <c r="N347" s="1088"/>
      <c r="O347" s="1088"/>
      <c r="P347" s="1088"/>
      <c r="Q347" s="1088" t="s">
        <v>174</v>
      </c>
      <c r="R347" s="1088"/>
      <c r="S347" s="1088"/>
      <c r="T347" s="1088"/>
      <c r="U347" s="1088"/>
      <c r="V347" s="1088"/>
      <c r="W347" s="1088"/>
      <c r="X347" s="1088"/>
      <c r="Y347" s="1088" t="s">
        <v>175</v>
      </c>
      <c r="Z347" s="1088"/>
      <c r="AA347" s="1088"/>
      <c r="AB347" s="1088"/>
      <c r="AC347" s="1088"/>
      <c r="AD347" s="1088"/>
      <c r="AE347" s="1088"/>
      <c r="AF347" s="1088"/>
      <c r="AG347" s="1088" t="s">
        <v>176</v>
      </c>
      <c r="AH347" s="1088"/>
      <c r="AI347" s="1088"/>
      <c r="AJ347" s="1088"/>
      <c r="AK347" s="1088"/>
      <c r="AL347" s="1088"/>
      <c r="AM347" s="1088"/>
      <c r="AN347" s="1088"/>
      <c r="AO347" s="1068" t="s">
        <v>177</v>
      </c>
      <c r="AP347" s="1089"/>
      <c r="AQ347" s="1090"/>
      <c r="AR347" s="1046"/>
      <c r="AS347" s="1046"/>
      <c r="AT347" s="1047"/>
      <c r="AU347" s="1046"/>
      <c r="AV347" s="1046"/>
      <c r="AW347" s="1047"/>
      <c r="AX347" s="158" t="s">
        <v>177</v>
      </c>
      <c r="AY347" s="159"/>
      <c r="BA347" s="160"/>
    </row>
    <row r="348" spans="1:105" s="169" customFormat="1" ht="27.6" x14ac:dyDescent="0.3">
      <c r="A348" s="1092"/>
      <c r="B348" s="1092"/>
      <c r="C348" s="1091"/>
      <c r="D348" s="161" t="s">
        <v>178</v>
      </c>
      <c r="E348" s="161" t="s">
        <v>178</v>
      </c>
      <c r="F348" s="162" t="s">
        <v>178</v>
      </c>
      <c r="G348" s="158" t="s">
        <v>179</v>
      </c>
      <c r="H348" s="158" t="s">
        <v>180</v>
      </c>
      <c r="I348" s="163" t="s">
        <v>48</v>
      </c>
      <c r="J348" s="164" t="s">
        <v>53</v>
      </c>
      <c r="K348" s="164" t="s">
        <v>181</v>
      </c>
      <c r="L348" s="164" t="s">
        <v>182</v>
      </c>
      <c r="M348" s="164" t="s">
        <v>183</v>
      </c>
      <c r="N348" s="164" t="s">
        <v>184</v>
      </c>
      <c r="O348" s="164" t="s">
        <v>185</v>
      </c>
      <c r="P348" s="164" t="s">
        <v>186</v>
      </c>
      <c r="Q348" s="164" t="s">
        <v>48</v>
      </c>
      <c r="R348" s="164" t="s">
        <v>53</v>
      </c>
      <c r="S348" s="164" t="s">
        <v>181</v>
      </c>
      <c r="T348" s="164" t="s">
        <v>182</v>
      </c>
      <c r="U348" s="164" t="s">
        <v>183</v>
      </c>
      <c r="V348" s="164" t="s">
        <v>184</v>
      </c>
      <c r="W348" s="164" t="s">
        <v>185</v>
      </c>
      <c r="X348" s="164" t="s">
        <v>186</v>
      </c>
      <c r="Y348" s="164" t="s">
        <v>48</v>
      </c>
      <c r="Z348" s="164" t="s">
        <v>187</v>
      </c>
      <c r="AA348" s="164" t="s">
        <v>181</v>
      </c>
      <c r="AB348" s="164" t="s">
        <v>182</v>
      </c>
      <c r="AC348" s="164" t="s">
        <v>183</v>
      </c>
      <c r="AD348" s="164" t="s">
        <v>184</v>
      </c>
      <c r="AE348" s="164" t="s">
        <v>185</v>
      </c>
      <c r="AF348" s="164" t="s">
        <v>186</v>
      </c>
      <c r="AG348" s="164" t="s">
        <v>48</v>
      </c>
      <c r="AH348" s="164" t="s">
        <v>187</v>
      </c>
      <c r="AI348" s="164" t="s">
        <v>181</v>
      </c>
      <c r="AJ348" s="164" t="s">
        <v>182</v>
      </c>
      <c r="AK348" s="164" t="s">
        <v>183</v>
      </c>
      <c r="AL348" s="164" t="s">
        <v>184</v>
      </c>
      <c r="AM348" s="164" t="s">
        <v>185</v>
      </c>
      <c r="AN348" s="164" t="s">
        <v>186</v>
      </c>
      <c r="AO348" s="164" t="s">
        <v>48</v>
      </c>
      <c r="AP348" s="164" t="s">
        <v>181</v>
      </c>
      <c r="AQ348" s="164" t="s">
        <v>50</v>
      </c>
      <c r="AR348" s="164" t="s">
        <v>55</v>
      </c>
      <c r="AS348" s="164" t="s">
        <v>56</v>
      </c>
      <c r="AT348" s="164" t="s">
        <v>57</v>
      </c>
      <c r="AU348" s="164" t="s">
        <v>55</v>
      </c>
      <c r="AV348" s="164" t="s">
        <v>56</v>
      </c>
      <c r="AW348" s="164" t="s">
        <v>57</v>
      </c>
      <c r="AX348" s="164" t="s">
        <v>55</v>
      </c>
      <c r="AY348" s="165"/>
      <c r="AZ348" s="1086" t="s">
        <v>188</v>
      </c>
      <c r="BA348" s="1087"/>
      <c r="BB348" s="1087"/>
      <c r="BC348" s="1087"/>
      <c r="BD348" s="1087"/>
      <c r="BE348" s="1087"/>
      <c r="BF348" s="320"/>
      <c r="BG348" s="321"/>
      <c r="BH348" s="322"/>
    </row>
    <row r="349" spans="1:105" s="169" customFormat="1" ht="13.8" x14ac:dyDescent="0.3">
      <c r="A349" s="170" t="s">
        <v>189</v>
      </c>
      <c r="B349" s="171"/>
      <c r="C349" s="172"/>
      <c r="D349" s="173"/>
      <c r="E349" s="173"/>
      <c r="F349" s="174"/>
      <c r="G349" s="175"/>
      <c r="H349" s="158"/>
      <c r="I349" s="163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64"/>
      <c r="AG349" s="164"/>
      <c r="AH349" s="164"/>
      <c r="AI349" s="164"/>
      <c r="AJ349" s="164"/>
      <c r="AK349" s="164"/>
      <c r="AL349" s="164"/>
      <c r="AM349" s="164"/>
      <c r="AN349" s="164"/>
      <c r="AO349" s="164"/>
      <c r="AP349" s="164"/>
      <c r="AQ349" s="164"/>
      <c r="AR349" s="164"/>
      <c r="AS349" s="164"/>
      <c r="AT349" s="164"/>
      <c r="AU349" s="164"/>
      <c r="AV349" s="164"/>
      <c r="AW349" s="164"/>
      <c r="AX349" s="164"/>
      <c r="AY349" s="165"/>
      <c r="AZ349" s="176"/>
      <c r="BA349" s="323"/>
      <c r="BB349" s="324"/>
      <c r="BC349" s="324"/>
      <c r="BD349" s="324"/>
      <c r="BE349" s="324"/>
      <c r="BF349" s="325"/>
      <c r="BG349" s="326"/>
      <c r="BH349" s="327"/>
    </row>
    <row r="350" spans="1:105" s="394" customFormat="1" ht="13.8" x14ac:dyDescent="0.3">
      <c r="A350" s="182" t="s">
        <v>217</v>
      </c>
      <c r="B350" s="183">
        <v>1</v>
      </c>
      <c r="C350" s="184" t="s">
        <v>459</v>
      </c>
      <c r="D350" s="185">
        <v>3.58</v>
      </c>
      <c r="E350" s="185">
        <v>5.77</v>
      </c>
      <c r="F350" s="186">
        <v>0.2</v>
      </c>
      <c r="G350" s="187">
        <f t="shared" ref="G350:G359" si="241">D350*E350*F350*B350</f>
        <v>4.1313199999999997</v>
      </c>
      <c r="H350" s="188">
        <f t="shared" ref="H350:H359" si="242">D350*E350*B350</f>
        <v>20.656599999999997</v>
      </c>
      <c r="I350" s="183">
        <f t="shared" ref="I350:I359" si="243">GETPIVOTDATA($BN$20,A350)</f>
        <v>12</v>
      </c>
      <c r="J350" s="188">
        <f t="shared" ref="J350:J359" si="244">GETPIVOTDATA($BQ$20,A350)*2</f>
        <v>0.2</v>
      </c>
      <c r="K350" s="183">
        <f t="shared" ref="K350:K359" si="245">(ROUND(E350/J350,0)+1)*GETPIVOTDATA($CF$20,A350)</f>
        <v>30</v>
      </c>
      <c r="L350" s="189">
        <f t="shared" ref="L350:L359" si="246">GETPIVOTDATA($BT$20,A350)</f>
        <v>8.4000000000000005E-2</v>
      </c>
      <c r="M350" s="189">
        <f>0.5+0.53</f>
        <v>1.03</v>
      </c>
      <c r="N350" s="189">
        <f>-(0.02*2)</f>
        <v>-0.04</v>
      </c>
      <c r="O350" s="189">
        <f>F350-2*0.02</f>
        <v>0.16</v>
      </c>
      <c r="P350" s="188">
        <f>+D350+SUM(L350:O350)</f>
        <v>4.8140000000000001</v>
      </c>
      <c r="Q350" s="183">
        <f t="shared" ref="Q350:Q359" si="247">GETPIVOTDATA($BN$20,A350)</f>
        <v>12</v>
      </c>
      <c r="R350" s="188">
        <f t="shared" ref="R350:R359" si="248">GETPIVOTDATA($BQ$20,A350)*2</f>
        <v>0.2</v>
      </c>
      <c r="S350" s="183">
        <f t="shared" ref="S350:S359" si="249">(ROUND(E350/R350,0))*GETPIVOTDATA($CF$20,A350)</f>
        <v>29</v>
      </c>
      <c r="T350" s="189">
        <f t="shared" ref="T350:T359" si="250">GETPIVOTDATA($BT$20,A350)</f>
        <v>8.4000000000000005E-2</v>
      </c>
      <c r="U350" s="189">
        <f>0.5+0.53</f>
        <v>1.03</v>
      </c>
      <c r="V350" s="189">
        <f>-(0.02*2)</f>
        <v>-0.04</v>
      </c>
      <c r="W350" s="189">
        <f>3.42*0.3</f>
        <v>1.026</v>
      </c>
      <c r="X350" s="188">
        <f>+D350+SUM(T350:W350)</f>
        <v>5.68</v>
      </c>
      <c r="Y350" s="183">
        <f t="shared" ref="Y350:Y359" si="251">GETPIVOTDATA($BW$20,A350)</f>
        <v>10</v>
      </c>
      <c r="Z350" s="182">
        <f t="shared" ref="Z350:Z359" si="252">GETPIVOTDATA($CC$20,A350)*2</f>
        <v>0.4</v>
      </c>
      <c r="AA350" s="183">
        <f t="shared" ref="AA350:AA359" si="253">(ROUND(D350/Z350,0)+1)*GETPIVOTDATA($CF$20,A350)</f>
        <v>10</v>
      </c>
      <c r="AB350" s="189">
        <f t="shared" ref="AB350:AB359" si="254">GETPIVOTDATA($BZ$20,A350)</f>
        <v>8.4000000000000005E-2</v>
      </c>
      <c r="AC350" s="189">
        <f>0.38+0.5</f>
        <v>0.88</v>
      </c>
      <c r="AD350" s="189">
        <f>-(0.02*2)</f>
        <v>-0.04</v>
      </c>
      <c r="AE350" s="189">
        <f>5.54*0.3</f>
        <v>1.6619999999999999</v>
      </c>
      <c r="AF350" s="188">
        <f>+E350+SUM(AB350:AE350)</f>
        <v>8.3559999999999999</v>
      </c>
      <c r="AG350" s="183">
        <f t="shared" ref="AG350:AG359" si="255">GETPIVOTDATA($BW$20,A350)</f>
        <v>10</v>
      </c>
      <c r="AH350" s="182">
        <f t="shared" ref="AH350:AH359" si="256">GETPIVOTDATA($CC$20,A350)*2</f>
        <v>0.4</v>
      </c>
      <c r="AI350" s="183">
        <f t="shared" ref="AI350:AI359" si="257">(ROUND(D350/AH350,0))*GETPIVOTDATA($CF$20,A350)</f>
        <v>9</v>
      </c>
      <c r="AJ350" s="189">
        <f t="shared" ref="AJ350:AJ359" si="258">GETPIVOTDATA($BZ$20,A350)</f>
        <v>8.4000000000000005E-2</v>
      </c>
      <c r="AK350" s="189">
        <f>0.38+0.5</f>
        <v>0.88</v>
      </c>
      <c r="AL350" s="189">
        <f>-(0.02*2)</f>
        <v>-0.04</v>
      </c>
      <c r="AM350" s="189">
        <f t="shared" ref="AM350:AM359" si="259">F350-2*0.02</f>
        <v>0.16</v>
      </c>
      <c r="AN350" s="188">
        <f>+E350+SUM(AJ350:AM350)</f>
        <v>6.8539999999999992</v>
      </c>
      <c r="AO350" s="183">
        <v>0</v>
      </c>
      <c r="AP350" s="182">
        <f t="shared" ref="AP350:AP359" si="260">(ROUND(D350/1.5,0)+ROUND(E350/1.5,0))*2</f>
        <v>12</v>
      </c>
      <c r="AQ350" s="182">
        <v>1.5</v>
      </c>
      <c r="AR350" s="187">
        <f>IF(I350=8,K350*P350*B350,0)+IF(Q350=8,S350*X350*B350,0)</f>
        <v>0</v>
      </c>
      <c r="AS350" s="187">
        <f>IF(I350=10,K350*P350*B350,0)+IF(Q350=10,S350*X350*B350,0)</f>
        <v>0</v>
      </c>
      <c r="AT350" s="187">
        <f>IF(I350=12,K350*P350*B350,0)+IF(Q350=12,S350*X350*B350,0)</f>
        <v>309.14</v>
      </c>
      <c r="AU350" s="187">
        <f t="shared" ref="AU350:AU359" si="261">IF(AG350=8,AI350*AN350*B350,0)+IF(Y350=8,B350*AA350*AF350,0)</f>
        <v>0</v>
      </c>
      <c r="AV350" s="187">
        <f t="shared" ref="AV350:AV359" si="262">IF(AG350=10,AI350*AN350*B350,0)+IF(Y350=10,B350*AA350*AF350,0)</f>
        <v>145.24599999999998</v>
      </c>
      <c r="AW350" s="187">
        <f>IF(AG350=12,AI350*AN350*B350,0)+IF(Y350=12,B350*AA350*AF350,0)</f>
        <v>0</v>
      </c>
      <c r="AX350" s="187">
        <f>AP350*AQ350*B350</f>
        <v>18</v>
      </c>
      <c r="AY350" s="388"/>
      <c r="AZ350" s="389" t="s">
        <v>192</v>
      </c>
      <c r="BA350" s="390" t="s">
        <v>193</v>
      </c>
      <c r="BB350" s="1080" t="s">
        <v>194</v>
      </c>
      <c r="BC350" s="1080"/>
      <c r="BD350" s="1081" t="s">
        <v>195</v>
      </c>
      <c r="BE350" s="1082"/>
      <c r="BF350" s="391"/>
      <c r="BG350" s="392"/>
      <c r="BH350" s="393"/>
      <c r="BK350" s="395"/>
      <c r="BL350" s="395"/>
      <c r="BM350" s="395"/>
      <c r="BN350" s="395"/>
      <c r="BO350" s="395"/>
      <c r="BP350" s="395"/>
      <c r="BQ350" s="396"/>
      <c r="BS350" s="395"/>
      <c r="BT350" s="395"/>
      <c r="BU350" s="395"/>
      <c r="BV350" s="395"/>
      <c r="BW350" s="395"/>
      <c r="BX350" s="395"/>
      <c r="BY350" s="395"/>
    </row>
    <row r="351" spans="1:105" s="394" customFormat="1" ht="13.8" x14ac:dyDescent="0.3">
      <c r="A351" s="182" t="s">
        <v>217</v>
      </c>
      <c r="B351" s="183">
        <v>1</v>
      </c>
      <c r="C351" s="184" t="s">
        <v>460</v>
      </c>
      <c r="D351" s="185">
        <v>3.42</v>
      </c>
      <c r="E351" s="185">
        <v>5.77</v>
      </c>
      <c r="F351" s="186">
        <v>0.2</v>
      </c>
      <c r="G351" s="187">
        <f t="shared" si="241"/>
        <v>3.9466800000000002</v>
      </c>
      <c r="H351" s="188">
        <f t="shared" si="242"/>
        <v>19.7334</v>
      </c>
      <c r="I351" s="183">
        <f t="shared" si="243"/>
        <v>12</v>
      </c>
      <c r="J351" s="188">
        <f t="shared" si="244"/>
        <v>0.2</v>
      </c>
      <c r="K351" s="183">
        <f t="shared" si="245"/>
        <v>30</v>
      </c>
      <c r="L351" s="189">
        <f t="shared" si="246"/>
        <v>8.4000000000000005E-2</v>
      </c>
      <c r="M351" s="189">
        <f>0.5+0.7</f>
        <v>1.2</v>
      </c>
      <c r="N351" s="189">
        <f t="shared" ref="N351:N415" si="263">-(0.02*2)</f>
        <v>-0.04</v>
      </c>
      <c r="O351" s="189">
        <f>3.58*0.3</f>
        <v>1.0740000000000001</v>
      </c>
      <c r="P351" s="188">
        <f t="shared" ref="P351:P359" si="264">+D351+SUM(L351:O351)</f>
        <v>5.7379999999999995</v>
      </c>
      <c r="Q351" s="183">
        <f t="shared" si="247"/>
        <v>12</v>
      </c>
      <c r="R351" s="188">
        <f t="shared" si="248"/>
        <v>0.2</v>
      </c>
      <c r="S351" s="183">
        <f t="shared" si="249"/>
        <v>29</v>
      </c>
      <c r="T351" s="189">
        <f t="shared" si="250"/>
        <v>8.4000000000000005E-2</v>
      </c>
      <c r="U351" s="189">
        <f>0.5+0.7</f>
        <v>1.2</v>
      </c>
      <c r="V351" s="189">
        <f t="shared" ref="V351:V415" si="265">-(0.02*2)</f>
        <v>-0.04</v>
      </c>
      <c r="W351" s="189">
        <f>4.21*0.3</f>
        <v>1.2629999999999999</v>
      </c>
      <c r="X351" s="188">
        <f t="shared" ref="X351:X359" si="266">+D351+SUM(T351:W351)</f>
        <v>5.9269999999999996</v>
      </c>
      <c r="Y351" s="183">
        <f t="shared" si="251"/>
        <v>10</v>
      </c>
      <c r="Z351" s="182">
        <f t="shared" si="252"/>
        <v>0.4</v>
      </c>
      <c r="AA351" s="183">
        <f t="shared" si="253"/>
        <v>10</v>
      </c>
      <c r="AB351" s="189">
        <f t="shared" si="254"/>
        <v>8.4000000000000005E-2</v>
      </c>
      <c r="AC351" s="189">
        <f>0.38+0.5</f>
        <v>0.88</v>
      </c>
      <c r="AD351" s="189">
        <f t="shared" ref="AD351:AD415" si="267">-(0.02*2)</f>
        <v>-0.04</v>
      </c>
      <c r="AE351" s="189">
        <f>5.54*0.3</f>
        <v>1.6619999999999999</v>
      </c>
      <c r="AF351" s="188">
        <f t="shared" ref="AF351:AF359" si="268">+E351+SUM(AB351:AE351)</f>
        <v>8.3559999999999999</v>
      </c>
      <c r="AG351" s="183">
        <f t="shared" si="255"/>
        <v>10</v>
      </c>
      <c r="AH351" s="182">
        <f t="shared" si="256"/>
        <v>0.4</v>
      </c>
      <c r="AI351" s="183">
        <f t="shared" si="257"/>
        <v>9</v>
      </c>
      <c r="AJ351" s="189">
        <f t="shared" si="258"/>
        <v>8.4000000000000005E-2</v>
      </c>
      <c r="AK351" s="189">
        <f>0.38+0.5</f>
        <v>0.88</v>
      </c>
      <c r="AL351" s="189">
        <f t="shared" ref="AL351:AL415" si="269">-(0.02*2)</f>
        <v>-0.04</v>
      </c>
      <c r="AM351" s="189">
        <f t="shared" si="259"/>
        <v>0.16</v>
      </c>
      <c r="AN351" s="188">
        <f t="shared" ref="AN351:AN359" si="270">+E351+SUM(AJ351:AM351)</f>
        <v>6.8539999999999992</v>
      </c>
      <c r="AO351" s="183">
        <v>0</v>
      </c>
      <c r="AP351" s="182">
        <f t="shared" si="260"/>
        <v>12</v>
      </c>
      <c r="AQ351" s="182">
        <v>1.5</v>
      </c>
      <c r="AR351" s="187">
        <f t="shared" ref="AR351:AR359" si="271">IF(I351=8,K351*P351*B351,0)+IF(Q351=8,S351*X351*B351,0)</f>
        <v>0</v>
      </c>
      <c r="AS351" s="187">
        <f t="shared" ref="AS351:AS359" si="272">IF(I351=10,K351*P351*B351,0)+IF(Q351=10,S351*X351*B351,0)</f>
        <v>0</v>
      </c>
      <c r="AT351" s="187">
        <f t="shared" ref="AT351:AT359" si="273">IF(I351=12,K351*P351*B351,0)+IF(Q351=12,S351*X351*B351,0)</f>
        <v>344.02299999999997</v>
      </c>
      <c r="AU351" s="187">
        <f t="shared" si="261"/>
        <v>0</v>
      </c>
      <c r="AV351" s="187">
        <f t="shared" si="262"/>
        <v>145.24599999999998</v>
      </c>
      <c r="AW351" s="187">
        <f t="shared" ref="AW351:AW359" si="274">IF(AG351=12,AI351*AN351*B351,0)+IF(Y351=12,B351*AA351*AF351,0)</f>
        <v>0</v>
      </c>
      <c r="AX351" s="187">
        <f t="shared" ref="AX351:AX359" si="275">AP351*AQ351*B351</f>
        <v>18</v>
      </c>
      <c r="AY351" s="388"/>
      <c r="AZ351" s="389"/>
      <c r="BA351" s="390"/>
      <c r="BB351" s="389"/>
      <c r="BC351" s="389"/>
      <c r="BD351" s="397"/>
      <c r="BE351" s="398"/>
      <c r="BF351" s="391"/>
      <c r="BG351" s="392"/>
      <c r="BH351" s="393"/>
      <c r="BK351" s="395"/>
      <c r="BL351" s="395"/>
      <c r="BM351" s="395"/>
      <c r="BN351" s="395"/>
      <c r="BO351" s="395"/>
      <c r="BP351" s="395"/>
      <c r="BQ351" s="396"/>
      <c r="BS351" s="395"/>
      <c r="BT351" s="395"/>
      <c r="BU351" s="395"/>
      <c r="BV351" s="395"/>
      <c r="BW351" s="395"/>
      <c r="BX351" s="395"/>
      <c r="BY351" s="395"/>
    </row>
    <row r="352" spans="1:105" s="394" customFormat="1" ht="13.8" x14ac:dyDescent="0.3">
      <c r="A352" s="182" t="s">
        <v>215</v>
      </c>
      <c r="B352" s="183">
        <v>1</v>
      </c>
      <c r="C352" s="184" t="s">
        <v>461</v>
      </c>
      <c r="D352" s="185">
        <v>4.21</v>
      </c>
      <c r="E352" s="185">
        <v>5.77</v>
      </c>
      <c r="F352" s="186">
        <v>0.22500000000000001</v>
      </c>
      <c r="G352" s="187">
        <f t="shared" si="241"/>
        <v>5.4656324999999999</v>
      </c>
      <c r="H352" s="188">
        <f t="shared" si="242"/>
        <v>24.291699999999999</v>
      </c>
      <c r="I352" s="183">
        <f t="shared" si="243"/>
        <v>12</v>
      </c>
      <c r="J352" s="188">
        <f t="shared" si="244"/>
        <v>0.18</v>
      </c>
      <c r="K352" s="183">
        <f t="shared" si="245"/>
        <v>33</v>
      </c>
      <c r="L352" s="189">
        <f t="shared" si="246"/>
        <v>9.4500000000000001E-2</v>
      </c>
      <c r="M352" s="189">
        <f>0.6+0.7</f>
        <v>1.2999999999999998</v>
      </c>
      <c r="N352" s="189">
        <f t="shared" si="263"/>
        <v>-0.04</v>
      </c>
      <c r="O352" s="189">
        <f>3.42*0.3</f>
        <v>1.026</v>
      </c>
      <c r="P352" s="188">
        <f t="shared" si="264"/>
        <v>6.5904999999999996</v>
      </c>
      <c r="Q352" s="183">
        <f t="shared" si="247"/>
        <v>12</v>
      </c>
      <c r="R352" s="188">
        <f t="shared" si="248"/>
        <v>0.18</v>
      </c>
      <c r="S352" s="183">
        <f t="shared" si="249"/>
        <v>32</v>
      </c>
      <c r="T352" s="189">
        <f t="shared" si="250"/>
        <v>9.4500000000000001E-2</v>
      </c>
      <c r="U352" s="189">
        <f>0.6+0.7</f>
        <v>1.2999999999999998</v>
      </c>
      <c r="V352" s="189">
        <f t="shared" si="265"/>
        <v>-0.04</v>
      </c>
      <c r="W352" s="189">
        <f>2.45*0.3</f>
        <v>0.73499999999999999</v>
      </c>
      <c r="X352" s="188">
        <f t="shared" si="266"/>
        <v>6.2995000000000001</v>
      </c>
      <c r="Y352" s="183">
        <f t="shared" si="251"/>
        <v>10</v>
      </c>
      <c r="Z352" s="182">
        <f t="shared" si="252"/>
        <v>0.3</v>
      </c>
      <c r="AA352" s="183">
        <f t="shared" si="253"/>
        <v>15</v>
      </c>
      <c r="AB352" s="189">
        <f t="shared" si="254"/>
        <v>9.4500000000000001E-2</v>
      </c>
      <c r="AC352" s="189">
        <f>0.38+0.5</f>
        <v>0.88</v>
      </c>
      <c r="AD352" s="189">
        <f t="shared" si="267"/>
        <v>-0.04</v>
      </c>
      <c r="AE352" s="189">
        <f>2.79*0.3</f>
        <v>0.83699999999999997</v>
      </c>
      <c r="AF352" s="188">
        <f t="shared" si="268"/>
        <v>7.5414999999999992</v>
      </c>
      <c r="AG352" s="183">
        <f t="shared" si="255"/>
        <v>10</v>
      </c>
      <c r="AH352" s="182">
        <f t="shared" si="256"/>
        <v>0.3</v>
      </c>
      <c r="AI352" s="183">
        <f t="shared" si="257"/>
        <v>14</v>
      </c>
      <c r="AJ352" s="189">
        <f t="shared" si="258"/>
        <v>9.4500000000000001E-2</v>
      </c>
      <c r="AK352" s="189">
        <f>0.38+0.5</f>
        <v>0.88</v>
      </c>
      <c r="AL352" s="189">
        <f t="shared" si="269"/>
        <v>-0.04</v>
      </c>
      <c r="AM352" s="189">
        <f t="shared" si="259"/>
        <v>0.185</v>
      </c>
      <c r="AN352" s="188">
        <f t="shared" si="270"/>
        <v>6.8895</v>
      </c>
      <c r="AO352" s="183">
        <v>0</v>
      </c>
      <c r="AP352" s="182">
        <f t="shared" si="260"/>
        <v>14</v>
      </c>
      <c r="AQ352" s="182">
        <v>1.5</v>
      </c>
      <c r="AR352" s="187">
        <f t="shared" si="271"/>
        <v>0</v>
      </c>
      <c r="AS352" s="187">
        <f t="shared" si="272"/>
        <v>0</v>
      </c>
      <c r="AT352" s="187">
        <f t="shared" si="273"/>
        <v>419.07049999999998</v>
      </c>
      <c r="AU352" s="187">
        <f t="shared" si="261"/>
        <v>0</v>
      </c>
      <c r="AV352" s="187">
        <f t="shared" si="262"/>
        <v>209.57549999999998</v>
      </c>
      <c r="AW352" s="187">
        <f t="shared" si="274"/>
        <v>0</v>
      </c>
      <c r="AX352" s="187">
        <f t="shared" si="275"/>
        <v>21</v>
      </c>
      <c r="AY352" s="388"/>
      <c r="AZ352" s="389" t="s">
        <v>192</v>
      </c>
      <c r="BA352" s="390" t="s">
        <v>193</v>
      </c>
      <c r="BB352" s="399" t="s">
        <v>198</v>
      </c>
      <c r="BC352" s="399" t="s">
        <v>199</v>
      </c>
      <c r="BD352" s="399" t="s">
        <v>200</v>
      </c>
      <c r="BE352" s="400" t="s">
        <v>201</v>
      </c>
      <c r="BF352" s="391" t="s">
        <v>202</v>
      </c>
      <c r="BG352" s="391" t="s">
        <v>203</v>
      </c>
      <c r="BH352" s="393" t="s">
        <v>204</v>
      </c>
      <c r="BK352" s="395"/>
      <c r="BL352" s="395"/>
      <c r="BM352" s="395"/>
      <c r="BN352" s="395"/>
      <c r="BO352" s="395"/>
      <c r="BP352" s="395"/>
      <c r="BQ352" s="396"/>
      <c r="BS352" s="395"/>
      <c r="BT352" s="395"/>
      <c r="BU352" s="395"/>
      <c r="BV352" s="395"/>
      <c r="BY352" s="395"/>
    </row>
    <row r="353" spans="1:85" s="394" customFormat="1" x14ac:dyDescent="0.3">
      <c r="A353" s="182" t="s">
        <v>190</v>
      </c>
      <c r="B353" s="183">
        <v>1</v>
      </c>
      <c r="C353" s="184" t="s">
        <v>462</v>
      </c>
      <c r="D353" s="203">
        <v>2.4500000000000002</v>
      </c>
      <c r="E353" s="185">
        <v>5.96</v>
      </c>
      <c r="F353" s="186">
        <v>0.2</v>
      </c>
      <c r="G353" s="187">
        <f t="shared" si="241"/>
        <v>2.9204000000000003</v>
      </c>
      <c r="H353" s="188">
        <f t="shared" si="242"/>
        <v>14.602</v>
      </c>
      <c r="I353" s="183">
        <f t="shared" si="243"/>
        <v>12</v>
      </c>
      <c r="J353" s="188">
        <f t="shared" si="244"/>
        <v>0.2</v>
      </c>
      <c r="K353" s="183">
        <f t="shared" si="245"/>
        <v>31</v>
      </c>
      <c r="L353" s="189">
        <f t="shared" si="246"/>
        <v>8.4000000000000005E-2</v>
      </c>
      <c r="M353" s="189">
        <f>0.6+0.6</f>
        <v>1.2</v>
      </c>
      <c r="N353" s="189">
        <f t="shared" si="263"/>
        <v>-0.04</v>
      </c>
      <c r="O353" s="189">
        <f>4.21*0.3</f>
        <v>1.2629999999999999</v>
      </c>
      <c r="P353" s="188">
        <f t="shared" si="264"/>
        <v>4.9569999999999999</v>
      </c>
      <c r="Q353" s="183">
        <f t="shared" si="247"/>
        <v>12</v>
      </c>
      <c r="R353" s="188">
        <f t="shared" si="248"/>
        <v>0.2</v>
      </c>
      <c r="S353" s="183">
        <f t="shared" si="249"/>
        <v>30</v>
      </c>
      <c r="T353" s="189">
        <f t="shared" si="250"/>
        <v>8.4000000000000005E-2</v>
      </c>
      <c r="U353" s="189">
        <f>0.6+0.6</f>
        <v>1.2</v>
      </c>
      <c r="V353" s="189">
        <f t="shared" si="265"/>
        <v>-0.04</v>
      </c>
      <c r="W353" s="189">
        <f>4.11*0.3</f>
        <v>1.2330000000000001</v>
      </c>
      <c r="X353" s="188">
        <f t="shared" si="266"/>
        <v>4.9270000000000005</v>
      </c>
      <c r="Y353" s="183">
        <f t="shared" si="251"/>
        <v>8</v>
      </c>
      <c r="Z353" s="182">
        <f t="shared" si="252"/>
        <v>0.24</v>
      </c>
      <c r="AA353" s="183">
        <f t="shared" si="253"/>
        <v>11</v>
      </c>
      <c r="AB353" s="189">
        <f t="shared" si="254"/>
        <v>8.4000000000000005E-2</v>
      </c>
      <c r="AC353" s="189">
        <f>0.23+0.3</f>
        <v>0.53</v>
      </c>
      <c r="AD353" s="189">
        <f t="shared" si="267"/>
        <v>-0.04</v>
      </c>
      <c r="AE353" s="189">
        <f>2.94*0.3</f>
        <v>0.88200000000000001</v>
      </c>
      <c r="AF353" s="188">
        <f t="shared" si="268"/>
        <v>7.4160000000000004</v>
      </c>
      <c r="AG353" s="183">
        <f t="shared" si="255"/>
        <v>8</v>
      </c>
      <c r="AH353" s="182">
        <f t="shared" si="256"/>
        <v>0.24</v>
      </c>
      <c r="AI353" s="183">
        <f t="shared" si="257"/>
        <v>10</v>
      </c>
      <c r="AJ353" s="189">
        <f t="shared" si="258"/>
        <v>8.4000000000000005E-2</v>
      </c>
      <c r="AK353" s="189">
        <f>0.23+0.3</f>
        <v>0.53</v>
      </c>
      <c r="AL353" s="189">
        <f t="shared" si="269"/>
        <v>-0.04</v>
      </c>
      <c r="AM353" s="189">
        <f t="shared" si="259"/>
        <v>0.16</v>
      </c>
      <c r="AN353" s="188">
        <f t="shared" si="270"/>
        <v>6.694</v>
      </c>
      <c r="AO353" s="183">
        <v>0</v>
      </c>
      <c r="AP353" s="182">
        <f t="shared" si="260"/>
        <v>12</v>
      </c>
      <c r="AQ353" s="182">
        <v>1.5</v>
      </c>
      <c r="AR353" s="187">
        <f t="shared" si="271"/>
        <v>0</v>
      </c>
      <c r="AS353" s="187">
        <f t="shared" si="272"/>
        <v>0</v>
      </c>
      <c r="AT353" s="187">
        <f t="shared" si="273"/>
        <v>301.47699999999998</v>
      </c>
      <c r="AU353" s="187">
        <f t="shared" si="261"/>
        <v>148.51600000000002</v>
      </c>
      <c r="AV353" s="187">
        <f t="shared" si="262"/>
        <v>0</v>
      </c>
      <c r="AW353" s="187">
        <f t="shared" si="274"/>
        <v>0</v>
      </c>
      <c r="AX353" s="187">
        <f t="shared" si="275"/>
        <v>18</v>
      </c>
      <c r="AY353" s="388"/>
      <c r="AZ353" s="401" t="s">
        <v>190</v>
      </c>
      <c r="BA353" s="402">
        <v>0.2</v>
      </c>
      <c r="BB353" s="395">
        <v>12</v>
      </c>
      <c r="BC353" s="403">
        <v>0.1</v>
      </c>
      <c r="BD353" s="395">
        <v>8</v>
      </c>
      <c r="BE353" s="403">
        <v>0.12</v>
      </c>
      <c r="BF353" s="403">
        <f>BA353*0.42</f>
        <v>8.4000000000000005E-2</v>
      </c>
      <c r="BG353" s="403">
        <f>BA353*0.42</f>
        <v>8.4000000000000005E-2</v>
      </c>
      <c r="BH353" s="404">
        <v>1</v>
      </c>
      <c r="BK353" s="405" t="s">
        <v>206</v>
      </c>
      <c r="BL353" s="406"/>
      <c r="BM353" s="395"/>
      <c r="BN353" s="405" t="s">
        <v>207</v>
      </c>
      <c r="BO353" s="406"/>
      <c r="BP353" s="395"/>
      <c r="BQ353" s="407" t="s">
        <v>208</v>
      </c>
      <c r="BR353" s="406"/>
      <c r="BS353" s="395"/>
      <c r="BT353" s="405" t="s">
        <v>209</v>
      </c>
      <c r="BU353" s="406"/>
      <c r="BV353" s="395"/>
      <c r="BW353" s="408" t="s">
        <v>210</v>
      </c>
      <c r="BX353" s="409"/>
      <c r="BY353" s="395"/>
      <c r="BZ353" s="405" t="s">
        <v>211</v>
      </c>
      <c r="CA353" s="406"/>
      <c r="CC353" s="405" t="s">
        <v>212</v>
      </c>
      <c r="CD353" s="406"/>
      <c r="CF353" s="408" t="s">
        <v>213</v>
      </c>
      <c r="CG353" s="409"/>
    </row>
    <row r="354" spans="1:85" s="394" customFormat="1" x14ac:dyDescent="0.3">
      <c r="A354" s="182" t="s">
        <v>215</v>
      </c>
      <c r="B354" s="183">
        <v>1</v>
      </c>
      <c r="C354" s="184" t="s">
        <v>463</v>
      </c>
      <c r="D354" s="203">
        <v>4.1100000000000003</v>
      </c>
      <c r="E354" s="185">
        <v>5.92</v>
      </c>
      <c r="F354" s="186">
        <v>0.22500000000000001</v>
      </c>
      <c r="G354" s="187">
        <f t="shared" si="241"/>
        <v>5.4745200000000009</v>
      </c>
      <c r="H354" s="188">
        <f t="shared" si="242"/>
        <v>24.331200000000003</v>
      </c>
      <c r="I354" s="183">
        <f t="shared" si="243"/>
        <v>12</v>
      </c>
      <c r="J354" s="188">
        <f t="shared" si="244"/>
        <v>0.18</v>
      </c>
      <c r="K354" s="183">
        <f t="shared" si="245"/>
        <v>34</v>
      </c>
      <c r="L354" s="189">
        <f t="shared" si="246"/>
        <v>9.4500000000000001E-2</v>
      </c>
      <c r="M354" s="189">
        <f>0.6+0.6</f>
        <v>1.2</v>
      </c>
      <c r="N354" s="189">
        <f t="shared" si="263"/>
        <v>-0.04</v>
      </c>
      <c r="O354" s="189">
        <f>2.45*0.3</f>
        <v>0.73499999999999999</v>
      </c>
      <c r="P354" s="188">
        <f t="shared" si="264"/>
        <v>6.0995000000000008</v>
      </c>
      <c r="Q354" s="183">
        <f t="shared" si="247"/>
        <v>12</v>
      </c>
      <c r="R354" s="188">
        <f t="shared" si="248"/>
        <v>0.18</v>
      </c>
      <c r="S354" s="183">
        <f t="shared" si="249"/>
        <v>33</v>
      </c>
      <c r="T354" s="189">
        <f t="shared" si="250"/>
        <v>9.4500000000000001E-2</v>
      </c>
      <c r="U354" s="189">
        <f>0.6+0.6</f>
        <v>1.2</v>
      </c>
      <c r="V354" s="189">
        <f t="shared" si="265"/>
        <v>-0.04</v>
      </c>
      <c r="W354" s="189">
        <f>2.45*0.3</f>
        <v>0.73499999999999999</v>
      </c>
      <c r="X354" s="188">
        <f t="shared" si="266"/>
        <v>6.0995000000000008</v>
      </c>
      <c r="Y354" s="183">
        <f t="shared" si="251"/>
        <v>10</v>
      </c>
      <c r="Z354" s="182">
        <f t="shared" si="252"/>
        <v>0.3</v>
      </c>
      <c r="AA354" s="183">
        <f t="shared" si="253"/>
        <v>15</v>
      </c>
      <c r="AB354" s="189">
        <f t="shared" si="254"/>
        <v>9.4500000000000001E-2</v>
      </c>
      <c r="AC354" s="189">
        <f>0.23+0.38</f>
        <v>0.61</v>
      </c>
      <c r="AD354" s="189">
        <f t="shared" si="267"/>
        <v>-0.04</v>
      </c>
      <c r="AE354" s="189">
        <v>0</v>
      </c>
      <c r="AF354" s="188">
        <f t="shared" si="268"/>
        <v>6.5845000000000002</v>
      </c>
      <c r="AG354" s="183">
        <f t="shared" si="255"/>
        <v>10</v>
      </c>
      <c r="AH354" s="182">
        <f t="shared" si="256"/>
        <v>0.3</v>
      </c>
      <c r="AI354" s="183">
        <f t="shared" si="257"/>
        <v>14</v>
      </c>
      <c r="AJ354" s="189">
        <f t="shared" si="258"/>
        <v>9.4500000000000001E-2</v>
      </c>
      <c r="AK354" s="189">
        <f>0.23+0.38</f>
        <v>0.61</v>
      </c>
      <c r="AL354" s="189">
        <f t="shared" si="269"/>
        <v>-0.04</v>
      </c>
      <c r="AM354" s="189">
        <f t="shared" si="259"/>
        <v>0.185</v>
      </c>
      <c r="AN354" s="188">
        <f t="shared" si="270"/>
        <v>6.7694999999999999</v>
      </c>
      <c r="AO354" s="183">
        <v>0</v>
      </c>
      <c r="AP354" s="182">
        <f t="shared" si="260"/>
        <v>14</v>
      </c>
      <c r="AQ354" s="182">
        <v>1.5</v>
      </c>
      <c r="AR354" s="187">
        <f t="shared" si="271"/>
        <v>0</v>
      </c>
      <c r="AS354" s="187">
        <f t="shared" si="272"/>
        <v>0</v>
      </c>
      <c r="AT354" s="187">
        <f t="shared" si="273"/>
        <v>408.66650000000004</v>
      </c>
      <c r="AU354" s="187">
        <f t="shared" si="261"/>
        <v>0</v>
      </c>
      <c r="AV354" s="187">
        <f t="shared" si="262"/>
        <v>193.54050000000001</v>
      </c>
      <c r="AW354" s="187">
        <f t="shared" si="274"/>
        <v>0</v>
      </c>
      <c r="AX354" s="187">
        <f t="shared" si="275"/>
        <v>21</v>
      </c>
      <c r="AY354" s="388"/>
      <c r="AZ354" s="401" t="s">
        <v>215</v>
      </c>
      <c r="BA354" s="402">
        <v>0.22500000000000001</v>
      </c>
      <c r="BB354" s="395">
        <v>12</v>
      </c>
      <c r="BC354" s="403">
        <v>0.09</v>
      </c>
      <c r="BD354" s="395">
        <v>10</v>
      </c>
      <c r="BE354" s="403">
        <v>0.15</v>
      </c>
      <c r="BF354" s="403">
        <f t="shared" ref="BF354:BF377" si="276">BA354*0.42</f>
        <v>9.4500000000000001E-2</v>
      </c>
      <c r="BG354" s="403">
        <f t="shared" ref="BG354:BG366" si="277">BA354*0.42</f>
        <v>9.4500000000000001E-2</v>
      </c>
      <c r="BH354" s="404">
        <v>1</v>
      </c>
      <c r="BK354" s="410" t="s">
        <v>192</v>
      </c>
      <c r="BL354" s="411" t="s">
        <v>95</v>
      </c>
      <c r="BM354" s="395"/>
      <c r="BN354" s="410" t="s">
        <v>192</v>
      </c>
      <c r="BO354" s="411" t="s">
        <v>95</v>
      </c>
      <c r="BP354" s="395"/>
      <c r="BQ354" s="412" t="s">
        <v>192</v>
      </c>
      <c r="BR354" s="411" t="s">
        <v>95</v>
      </c>
      <c r="BS354" s="395"/>
      <c r="BT354" s="410" t="s">
        <v>192</v>
      </c>
      <c r="BU354" s="411" t="s">
        <v>95</v>
      </c>
      <c r="BV354" s="395"/>
      <c r="BW354" s="413" t="s">
        <v>192</v>
      </c>
      <c r="BX354" s="414" t="s">
        <v>95</v>
      </c>
      <c r="BY354" s="395"/>
      <c r="BZ354" s="410" t="s">
        <v>192</v>
      </c>
      <c r="CA354" s="411" t="s">
        <v>95</v>
      </c>
      <c r="CC354" s="410" t="s">
        <v>192</v>
      </c>
      <c r="CD354" s="411" t="s">
        <v>95</v>
      </c>
      <c r="CF354" s="413" t="s">
        <v>192</v>
      </c>
      <c r="CG354" s="414" t="s">
        <v>95</v>
      </c>
    </row>
    <row r="355" spans="1:85" s="415" customFormat="1" x14ac:dyDescent="0.3">
      <c r="A355" s="182" t="s">
        <v>190</v>
      </c>
      <c r="B355" s="183">
        <v>1</v>
      </c>
      <c r="C355" s="184" t="s">
        <v>464</v>
      </c>
      <c r="D355" s="203">
        <v>2.4500000000000002</v>
      </c>
      <c r="E355" s="185">
        <v>5.96</v>
      </c>
      <c r="F355" s="186">
        <v>0.2</v>
      </c>
      <c r="G355" s="187">
        <f t="shared" si="241"/>
        <v>2.9204000000000003</v>
      </c>
      <c r="H355" s="188">
        <f t="shared" si="242"/>
        <v>14.602</v>
      </c>
      <c r="I355" s="183">
        <f t="shared" si="243"/>
        <v>12</v>
      </c>
      <c r="J355" s="188">
        <f t="shared" si="244"/>
        <v>0.2</v>
      </c>
      <c r="K355" s="183">
        <f t="shared" si="245"/>
        <v>31</v>
      </c>
      <c r="L355" s="189">
        <f t="shared" si="246"/>
        <v>8.4000000000000005E-2</v>
      </c>
      <c r="M355" s="189">
        <f>0.6+0.6</f>
        <v>1.2</v>
      </c>
      <c r="N355" s="189">
        <f t="shared" si="263"/>
        <v>-0.04</v>
      </c>
      <c r="O355" s="189">
        <f>4.11*0.3</f>
        <v>1.2330000000000001</v>
      </c>
      <c r="P355" s="188">
        <f t="shared" si="264"/>
        <v>4.9270000000000005</v>
      </c>
      <c r="Q355" s="183">
        <f t="shared" si="247"/>
        <v>12</v>
      </c>
      <c r="R355" s="188">
        <f t="shared" si="248"/>
        <v>0.2</v>
      </c>
      <c r="S355" s="183">
        <f t="shared" si="249"/>
        <v>30</v>
      </c>
      <c r="T355" s="189">
        <f t="shared" si="250"/>
        <v>8.4000000000000005E-2</v>
      </c>
      <c r="U355" s="189">
        <f>0.6+0.6</f>
        <v>1.2</v>
      </c>
      <c r="V355" s="189">
        <f t="shared" si="265"/>
        <v>-0.04</v>
      </c>
      <c r="W355" s="189">
        <f>2.88*0.3</f>
        <v>0.86399999999999999</v>
      </c>
      <c r="X355" s="188">
        <f t="shared" si="266"/>
        <v>4.5579999999999998</v>
      </c>
      <c r="Y355" s="183">
        <f t="shared" si="251"/>
        <v>8</v>
      </c>
      <c r="Z355" s="182">
        <f t="shared" si="252"/>
        <v>0.24</v>
      </c>
      <c r="AA355" s="183">
        <f t="shared" si="253"/>
        <v>11</v>
      </c>
      <c r="AB355" s="189">
        <f t="shared" si="254"/>
        <v>8.4000000000000005E-2</v>
      </c>
      <c r="AC355" s="189">
        <f>0.23+0.3</f>
        <v>0.53</v>
      </c>
      <c r="AD355" s="189">
        <f t="shared" si="267"/>
        <v>-0.04</v>
      </c>
      <c r="AE355" s="189">
        <f>3.01*0.3</f>
        <v>0.90299999999999991</v>
      </c>
      <c r="AF355" s="188">
        <f t="shared" si="268"/>
        <v>7.4369999999999994</v>
      </c>
      <c r="AG355" s="183">
        <f t="shared" si="255"/>
        <v>8</v>
      </c>
      <c r="AH355" s="182">
        <f t="shared" si="256"/>
        <v>0.24</v>
      </c>
      <c r="AI355" s="183">
        <f t="shared" si="257"/>
        <v>10</v>
      </c>
      <c r="AJ355" s="189">
        <f t="shared" si="258"/>
        <v>8.4000000000000005E-2</v>
      </c>
      <c r="AK355" s="189">
        <f>0.23+0.3</f>
        <v>0.53</v>
      </c>
      <c r="AL355" s="189">
        <f t="shared" si="269"/>
        <v>-0.04</v>
      </c>
      <c r="AM355" s="189">
        <f t="shared" si="259"/>
        <v>0.16</v>
      </c>
      <c r="AN355" s="188">
        <f t="shared" si="270"/>
        <v>6.694</v>
      </c>
      <c r="AO355" s="183">
        <v>0</v>
      </c>
      <c r="AP355" s="182">
        <f t="shared" si="260"/>
        <v>12</v>
      </c>
      <c r="AQ355" s="182">
        <v>1.5</v>
      </c>
      <c r="AR355" s="187">
        <f t="shared" si="271"/>
        <v>0</v>
      </c>
      <c r="AS355" s="187">
        <f t="shared" si="272"/>
        <v>0</v>
      </c>
      <c r="AT355" s="187">
        <f t="shared" si="273"/>
        <v>289.47700000000003</v>
      </c>
      <c r="AU355" s="187">
        <f t="shared" si="261"/>
        <v>148.74699999999999</v>
      </c>
      <c r="AV355" s="187">
        <f t="shared" si="262"/>
        <v>0</v>
      </c>
      <c r="AW355" s="187">
        <f t="shared" si="274"/>
        <v>0</v>
      </c>
      <c r="AX355" s="187">
        <f t="shared" si="275"/>
        <v>18</v>
      </c>
      <c r="AY355" s="388"/>
      <c r="AZ355" s="401" t="s">
        <v>217</v>
      </c>
      <c r="BA355" s="402">
        <v>0.2</v>
      </c>
      <c r="BB355" s="395">
        <v>12</v>
      </c>
      <c r="BC355" s="403">
        <v>0.1</v>
      </c>
      <c r="BD355" s="395">
        <v>10</v>
      </c>
      <c r="BE355" s="403">
        <v>0.2</v>
      </c>
      <c r="BF355" s="403">
        <f t="shared" si="276"/>
        <v>8.4000000000000005E-2</v>
      </c>
      <c r="BG355" s="403">
        <f t="shared" si="277"/>
        <v>8.4000000000000005E-2</v>
      </c>
      <c r="BH355" s="404">
        <v>1</v>
      </c>
      <c r="BK355" s="416" t="s">
        <v>218</v>
      </c>
      <c r="BL355" s="417">
        <v>0.16500000000000001</v>
      </c>
      <c r="BM355" s="395"/>
      <c r="BN355" s="416" t="s">
        <v>218</v>
      </c>
      <c r="BO355" s="417">
        <v>10</v>
      </c>
      <c r="BP355" s="395"/>
      <c r="BQ355" s="412" t="s">
        <v>218</v>
      </c>
      <c r="BR355" s="418">
        <v>0.1</v>
      </c>
      <c r="BS355" s="395"/>
      <c r="BT355" s="410" t="s">
        <v>219</v>
      </c>
      <c r="BU355" s="418">
        <v>7.3499999999999996E-2</v>
      </c>
      <c r="BV355" s="395"/>
      <c r="BW355" s="410" t="s">
        <v>218</v>
      </c>
      <c r="BX355" s="418">
        <v>10</v>
      </c>
      <c r="BY355" s="395"/>
      <c r="BZ355" s="410" t="s">
        <v>218</v>
      </c>
      <c r="CA355" s="418">
        <v>6.93E-2</v>
      </c>
      <c r="CB355" s="394"/>
      <c r="CC355" s="410" t="s">
        <v>218</v>
      </c>
      <c r="CD355" s="418">
        <v>0.1</v>
      </c>
      <c r="CE355" s="394"/>
      <c r="CF355" s="410" t="s">
        <v>218</v>
      </c>
      <c r="CG355" s="418">
        <v>1</v>
      </c>
    </row>
    <row r="356" spans="1:85" s="394" customFormat="1" x14ac:dyDescent="0.3">
      <c r="A356" s="182" t="s">
        <v>190</v>
      </c>
      <c r="B356" s="183">
        <v>1</v>
      </c>
      <c r="C356" s="184" t="s">
        <v>465</v>
      </c>
      <c r="D356" s="203">
        <v>2.88</v>
      </c>
      <c r="E356" s="185">
        <v>5.96</v>
      </c>
      <c r="F356" s="186">
        <v>0.2</v>
      </c>
      <c r="G356" s="187">
        <f t="shared" si="241"/>
        <v>3.43296</v>
      </c>
      <c r="H356" s="188">
        <f t="shared" si="242"/>
        <v>17.1648</v>
      </c>
      <c r="I356" s="183">
        <f t="shared" si="243"/>
        <v>12</v>
      </c>
      <c r="J356" s="188">
        <f t="shared" si="244"/>
        <v>0.2</v>
      </c>
      <c r="K356" s="183">
        <f t="shared" si="245"/>
        <v>31</v>
      </c>
      <c r="L356" s="189">
        <f t="shared" si="246"/>
        <v>8.4000000000000005E-2</v>
      </c>
      <c r="M356" s="189">
        <f>0.6+0.45</f>
        <v>1.05</v>
      </c>
      <c r="N356" s="189">
        <f t="shared" si="263"/>
        <v>-0.04</v>
      </c>
      <c r="O356" s="189">
        <f>2.45*0.3</f>
        <v>0.73499999999999999</v>
      </c>
      <c r="P356" s="188">
        <f t="shared" si="264"/>
        <v>4.7089999999999996</v>
      </c>
      <c r="Q356" s="183">
        <f t="shared" si="247"/>
        <v>12</v>
      </c>
      <c r="R356" s="188">
        <f t="shared" si="248"/>
        <v>0.2</v>
      </c>
      <c r="S356" s="183">
        <f t="shared" si="249"/>
        <v>30</v>
      </c>
      <c r="T356" s="189">
        <f t="shared" si="250"/>
        <v>8.4000000000000005E-2</v>
      </c>
      <c r="U356" s="189">
        <f>0.6+0.45</f>
        <v>1.05</v>
      </c>
      <c r="V356" s="189">
        <f t="shared" si="265"/>
        <v>-0.04</v>
      </c>
      <c r="W356" s="189">
        <f>3.1*0.3</f>
        <v>0.92999999999999994</v>
      </c>
      <c r="X356" s="188">
        <f t="shared" si="266"/>
        <v>4.9039999999999999</v>
      </c>
      <c r="Y356" s="183">
        <f t="shared" si="251"/>
        <v>8</v>
      </c>
      <c r="Z356" s="182">
        <f t="shared" si="252"/>
        <v>0.24</v>
      </c>
      <c r="AA356" s="183">
        <f t="shared" si="253"/>
        <v>13</v>
      </c>
      <c r="AB356" s="189">
        <f t="shared" si="254"/>
        <v>8.4000000000000005E-2</v>
      </c>
      <c r="AC356" s="189">
        <f>0.3+0.23</f>
        <v>0.53</v>
      </c>
      <c r="AD356" s="189">
        <f t="shared" si="267"/>
        <v>-0.04</v>
      </c>
      <c r="AE356" s="189">
        <f>2.94*0.3</f>
        <v>0.88200000000000001</v>
      </c>
      <c r="AF356" s="188">
        <f t="shared" si="268"/>
        <v>7.4160000000000004</v>
      </c>
      <c r="AG356" s="183">
        <f t="shared" si="255"/>
        <v>8</v>
      </c>
      <c r="AH356" s="182">
        <f t="shared" si="256"/>
        <v>0.24</v>
      </c>
      <c r="AI356" s="183">
        <f t="shared" si="257"/>
        <v>12</v>
      </c>
      <c r="AJ356" s="189">
        <f t="shared" si="258"/>
        <v>8.4000000000000005E-2</v>
      </c>
      <c r="AK356" s="189">
        <f>0.3+0.23</f>
        <v>0.53</v>
      </c>
      <c r="AL356" s="189">
        <f t="shared" si="269"/>
        <v>-0.04</v>
      </c>
      <c r="AM356" s="189">
        <f t="shared" si="259"/>
        <v>0.16</v>
      </c>
      <c r="AN356" s="188">
        <f t="shared" si="270"/>
        <v>6.694</v>
      </c>
      <c r="AO356" s="183">
        <v>0</v>
      </c>
      <c r="AP356" s="182">
        <f t="shared" si="260"/>
        <v>12</v>
      </c>
      <c r="AQ356" s="182">
        <v>1.5</v>
      </c>
      <c r="AR356" s="187">
        <f t="shared" si="271"/>
        <v>0</v>
      </c>
      <c r="AS356" s="187">
        <f t="shared" si="272"/>
        <v>0</v>
      </c>
      <c r="AT356" s="187">
        <f t="shared" si="273"/>
        <v>293.09899999999999</v>
      </c>
      <c r="AU356" s="187">
        <f t="shared" si="261"/>
        <v>176.73599999999999</v>
      </c>
      <c r="AV356" s="187">
        <f t="shared" si="262"/>
        <v>0</v>
      </c>
      <c r="AW356" s="187">
        <f t="shared" si="274"/>
        <v>0</v>
      </c>
      <c r="AX356" s="187">
        <f t="shared" si="275"/>
        <v>18</v>
      </c>
      <c r="AY356" s="388"/>
      <c r="AZ356" s="401" t="s">
        <v>221</v>
      </c>
      <c r="BA356" s="402">
        <v>0.17499999999999999</v>
      </c>
      <c r="BB356" s="395">
        <v>12</v>
      </c>
      <c r="BC356" s="403">
        <v>0.1</v>
      </c>
      <c r="BD356" s="395">
        <v>8</v>
      </c>
      <c r="BE356" s="403">
        <v>0.16</v>
      </c>
      <c r="BF356" s="403">
        <f t="shared" si="276"/>
        <v>7.3499999999999996E-2</v>
      </c>
      <c r="BG356" s="403">
        <f t="shared" si="277"/>
        <v>7.3499999999999996E-2</v>
      </c>
      <c r="BH356" s="404">
        <v>1</v>
      </c>
      <c r="BK356" s="419" t="s">
        <v>219</v>
      </c>
      <c r="BL356" s="420">
        <v>0.17499999999999999</v>
      </c>
      <c r="BM356" s="395"/>
      <c r="BN356" s="419" t="s">
        <v>219</v>
      </c>
      <c r="BO356" s="420">
        <v>10</v>
      </c>
      <c r="BP356" s="395"/>
      <c r="BQ356" s="421" t="s">
        <v>219</v>
      </c>
      <c r="BR356" s="422">
        <v>0.09</v>
      </c>
      <c r="BS356" s="395"/>
      <c r="BT356" s="423" t="s">
        <v>222</v>
      </c>
      <c r="BU356" s="422">
        <v>7.3499999999999996E-2</v>
      </c>
      <c r="BW356" s="423" t="s">
        <v>223</v>
      </c>
      <c r="BX356" s="422">
        <v>8</v>
      </c>
      <c r="BZ356" s="423" t="s">
        <v>223</v>
      </c>
      <c r="CA356" s="422">
        <v>5.4600000000000003E-2</v>
      </c>
      <c r="CC356" s="423" t="s">
        <v>219</v>
      </c>
      <c r="CD356" s="422">
        <v>0.1</v>
      </c>
      <c r="CF356" s="423" t="s">
        <v>223</v>
      </c>
      <c r="CG356" s="422">
        <v>1</v>
      </c>
    </row>
    <row r="357" spans="1:85" s="394" customFormat="1" x14ac:dyDescent="0.3">
      <c r="A357" s="182" t="s">
        <v>190</v>
      </c>
      <c r="B357" s="183">
        <v>1</v>
      </c>
      <c r="C357" s="184" t="s">
        <v>466</v>
      </c>
      <c r="D357" s="185">
        <v>3.1</v>
      </c>
      <c r="E357" s="185">
        <v>5.96</v>
      </c>
      <c r="F357" s="186">
        <v>0.2</v>
      </c>
      <c r="G357" s="187">
        <f t="shared" si="241"/>
        <v>3.6951999999999998</v>
      </c>
      <c r="H357" s="188">
        <f t="shared" si="242"/>
        <v>18.475999999999999</v>
      </c>
      <c r="I357" s="183">
        <f t="shared" si="243"/>
        <v>12</v>
      </c>
      <c r="J357" s="188">
        <f t="shared" si="244"/>
        <v>0.2</v>
      </c>
      <c r="K357" s="183">
        <f t="shared" si="245"/>
        <v>31</v>
      </c>
      <c r="L357" s="189">
        <f t="shared" si="246"/>
        <v>8.4000000000000005E-2</v>
      </c>
      <c r="M357" s="189">
        <f>0.45*2</f>
        <v>0.9</v>
      </c>
      <c r="N357" s="189">
        <f t="shared" si="263"/>
        <v>-0.04</v>
      </c>
      <c r="O357" s="189">
        <f>2.88*0.3</f>
        <v>0.86399999999999999</v>
      </c>
      <c r="P357" s="188">
        <f t="shared" si="264"/>
        <v>4.9079999999999995</v>
      </c>
      <c r="Q357" s="183">
        <f t="shared" si="247"/>
        <v>12</v>
      </c>
      <c r="R357" s="188">
        <f t="shared" si="248"/>
        <v>0.2</v>
      </c>
      <c r="S357" s="183">
        <f t="shared" si="249"/>
        <v>30</v>
      </c>
      <c r="T357" s="189">
        <f t="shared" si="250"/>
        <v>8.4000000000000005E-2</v>
      </c>
      <c r="U357" s="189">
        <f>0.45*2</f>
        <v>0.9</v>
      </c>
      <c r="V357" s="189">
        <f t="shared" si="265"/>
        <v>-0.04</v>
      </c>
      <c r="W357" s="189">
        <f>2.95*0.3</f>
        <v>0.88500000000000001</v>
      </c>
      <c r="X357" s="188">
        <f t="shared" si="266"/>
        <v>4.9290000000000003</v>
      </c>
      <c r="Y357" s="183">
        <f t="shared" si="251"/>
        <v>8</v>
      </c>
      <c r="Z357" s="182">
        <f t="shared" si="252"/>
        <v>0.24</v>
      </c>
      <c r="AA357" s="183">
        <f t="shared" si="253"/>
        <v>14</v>
      </c>
      <c r="AB357" s="189">
        <f t="shared" si="254"/>
        <v>8.4000000000000005E-2</v>
      </c>
      <c r="AC357" s="189">
        <f>0.23+0.3</f>
        <v>0.53</v>
      </c>
      <c r="AD357" s="189">
        <f t="shared" si="267"/>
        <v>-0.04</v>
      </c>
      <c r="AE357" s="189">
        <f>5.65*0.3</f>
        <v>1.6950000000000001</v>
      </c>
      <c r="AF357" s="188">
        <f t="shared" si="268"/>
        <v>8.2289999999999992</v>
      </c>
      <c r="AG357" s="183">
        <f t="shared" si="255"/>
        <v>8</v>
      </c>
      <c r="AH357" s="182">
        <f t="shared" si="256"/>
        <v>0.24</v>
      </c>
      <c r="AI357" s="183">
        <f t="shared" si="257"/>
        <v>13</v>
      </c>
      <c r="AJ357" s="189">
        <f t="shared" si="258"/>
        <v>8.4000000000000005E-2</v>
      </c>
      <c r="AK357" s="189">
        <f>0.23+0.3</f>
        <v>0.53</v>
      </c>
      <c r="AL357" s="189">
        <f t="shared" si="269"/>
        <v>-0.04</v>
      </c>
      <c r="AM357" s="189">
        <f t="shared" si="259"/>
        <v>0.16</v>
      </c>
      <c r="AN357" s="188">
        <f t="shared" si="270"/>
        <v>6.694</v>
      </c>
      <c r="AO357" s="183">
        <v>0</v>
      </c>
      <c r="AP357" s="182">
        <f t="shared" si="260"/>
        <v>12</v>
      </c>
      <c r="AQ357" s="182">
        <v>1.5</v>
      </c>
      <c r="AR357" s="187">
        <f t="shared" si="271"/>
        <v>0</v>
      </c>
      <c r="AS357" s="187">
        <f t="shared" si="272"/>
        <v>0</v>
      </c>
      <c r="AT357" s="187">
        <f t="shared" si="273"/>
        <v>300.01800000000003</v>
      </c>
      <c r="AU357" s="187">
        <f t="shared" si="261"/>
        <v>202.22800000000001</v>
      </c>
      <c r="AV357" s="187">
        <f t="shared" si="262"/>
        <v>0</v>
      </c>
      <c r="AW357" s="187">
        <f t="shared" si="274"/>
        <v>0</v>
      </c>
      <c r="AX357" s="187">
        <f t="shared" si="275"/>
        <v>18</v>
      </c>
      <c r="AY357" s="388"/>
      <c r="AZ357" s="401" t="s">
        <v>218</v>
      </c>
      <c r="BA357" s="402">
        <v>0.16500000000000001</v>
      </c>
      <c r="BB357" s="395">
        <v>10</v>
      </c>
      <c r="BC357" s="403">
        <v>0.1</v>
      </c>
      <c r="BD357" s="395">
        <v>10</v>
      </c>
      <c r="BE357" s="403">
        <v>0.1</v>
      </c>
      <c r="BF357" s="403">
        <f t="shared" si="276"/>
        <v>6.93E-2</v>
      </c>
      <c r="BG357" s="403">
        <f t="shared" si="277"/>
        <v>6.93E-2</v>
      </c>
      <c r="BH357" s="404">
        <v>1</v>
      </c>
      <c r="BK357" s="419" t="s">
        <v>222</v>
      </c>
      <c r="BL357" s="420">
        <v>0.17499999999999999</v>
      </c>
      <c r="BM357" s="395"/>
      <c r="BN357" s="419" t="s">
        <v>222</v>
      </c>
      <c r="BO357" s="420">
        <v>10</v>
      </c>
      <c r="BP357" s="395"/>
      <c r="BQ357" s="421" t="s">
        <v>222</v>
      </c>
      <c r="BR357" s="422">
        <v>0.09</v>
      </c>
      <c r="BS357" s="395"/>
      <c r="BT357" s="423" t="s">
        <v>225</v>
      </c>
      <c r="BU357" s="422">
        <v>7.3499999999999996E-2</v>
      </c>
      <c r="BW357" s="423" t="s">
        <v>226</v>
      </c>
      <c r="BX357" s="422">
        <v>8</v>
      </c>
      <c r="BZ357" s="423" t="s">
        <v>227</v>
      </c>
      <c r="CA357" s="422">
        <v>5.2499999999999998E-2</v>
      </c>
      <c r="CC357" s="423" t="s">
        <v>222</v>
      </c>
      <c r="CD357" s="422">
        <v>0.1</v>
      </c>
      <c r="CF357" s="423" t="s">
        <v>226</v>
      </c>
      <c r="CG357" s="422">
        <v>1</v>
      </c>
    </row>
    <row r="358" spans="1:85" s="394" customFormat="1" x14ac:dyDescent="0.3">
      <c r="A358" s="182" t="s">
        <v>190</v>
      </c>
      <c r="B358" s="183">
        <v>1</v>
      </c>
      <c r="C358" s="184" t="s">
        <v>467</v>
      </c>
      <c r="D358" s="185">
        <v>2.95</v>
      </c>
      <c r="E358" s="185">
        <v>5.92</v>
      </c>
      <c r="F358" s="186">
        <v>0.2</v>
      </c>
      <c r="G358" s="187">
        <f t="shared" si="241"/>
        <v>3.4928000000000008</v>
      </c>
      <c r="H358" s="188">
        <f t="shared" si="242"/>
        <v>17.464000000000002</v>
      </c>
      <c r="I358" s="183">
        <f t="shared" si="243"/>
        <v>12</v>
      </c>
      <c r="J358" s="188">
        <f t="shared" si="244"/>
        <v>0.2</v>
      </c>
      <c r="K358" s="183">
        <f t="shared" si="245"/>
        <v>31</v>
      </c>
      <c r="L358" s="189">
        <f t="shared" si="246"/>
        <v>8.4000000000000005E-2</v>
      </c>
      <c r="M358" s="189">
        <f>0.45*2</f>
        <v>0.9</v>
      </c>
      <c r="N358" s="189">
        <f t="shared" si="263"/>
        <v>-0.04</v>
      </c>
      <c r="O358" s="189">
        <f>3.1*0.3</f>
        <v>0.92999999999999994</v>
      </c>
      <c r="P358" s="188">
        <f t="shared" si="264"/>
        <v>4.8239999999999998</v>
      </c>
      <c r="Q358" s="183">
        <f t="shared" si="247"/>
        <v>12</v>
      </c>
      <c r="R358" s="188">
        <f t="shared" si="248"/>
        <v>0.2</v>
      </c>
      <c r="S358" s="183">
        <f t="shared" si="249"/>
        <v>30</v>
      </c>
      <c r="T358" s="189">
        <f t="shared" si="250"/>
        <v>8.4000000000000005E-2</v>
      </c>
      <c r="U358" s="189">
        <f>0.45*2</f>
        <v>0.9</v>
      </c>
      <c r="V358" s="189">
        <f t="shared" si="265"/>
        <v>-0.04</v>
      </c>
      <c r="W358" s="189">
        <f>2.95*0.3</f>
        <v>0.88500000000000001</v>
      </c>
      <c r="X358" s="188">
        <f t="shared" si="266"/>
        <v>4.7789999999999999</v>
      </c>
      <c r="Y358" s="183">
        <f t="shared" si="251"/>
        <v>8</v>
      </c>
      <c r="Z358" s="182">
        <f t="shared" si="252"/>
        <v>0.24</v>
      </c>
      <c r="AA358" s="183">
        <f t="shared" si="253"/>
        <v>13</v>
      </c>
      <c r="AB358" s="189">
        <f t="shared" si="254"/>
        <v>8.4000000000000005E-2</v>
      </c>
      <c r="AC358" s="189">
        <f>0.38+0.23</f>
        <v>0.61</v>
      </c>
      <c r="AD358" s="189">
        <f t="shared" si="267"/>
        <v>-0.04</v>
      </c>
      <c r="AE358" s="189">
        <f>9.66*0.3</f>
        <v>2.8980000000000001</v>
      </c>
      <c r="AF358" s="188">
        <f t="shared" si="268"/>
        <v>9.4719999999999995</v>
      </c>
      <c r="AG358" s="183">
        <f t="shared" si="255"/>
        <v>8</v>
      </c>
      <c r="AH358" s="182">
        <f t="shared" si="256"/>
        <v>0.24</v>
      </c>
      <c r="AI358" s="183">
        <f t="shared" si="257"/>
        <v>12</v>
      </c>
      <c r="AJ358" s="189">
        <f t="shared" si="258"/>
        <v>8.4000000000000005E-2</v>
      </c>
      <c r="AK358" s="189">
        <f>0.38+0.23</f>
        <v>0.61</v>
      </c>
      <c r="AL358" s="189">
        <f t="shared" si="269"/>
        <v>-0.04</v>
      </c>
      <c r="AM358" s="189">
        <f t="shared" si="259"/>
        <v>0.16</v>
      </c>
      <c r="AN358" s="188">
        <f t="shared" si="270"/>
        <v>6.734</v>
      </c>
      <c r="AO358" s="183">
        <v>0</v>
      </c>
      <c r="AP358" s="182">
        <f t="shared" si="260"/>
        <v>12</v>
      </c>
      <c r="AQ358" s="182">
        <v>1.5</v>
      </c>
      <c r="AR358" s="187">
        <f t="shared" si="271"/>
        <v>0</v>
      </c>
      <c r="AS358" s="187">
        <f t="shared" si="272"/>
        <v>0</v>
      </c>
      <c r="AT358" s="187">
        <f t="shared" si="273"/>
        <v>292.91399999999999</v>
      </c>
      <c r="AU358" s="187">
        <f t="shared" si="261"/>
        <v>203.94399999999999</v>
      </c>
      <c r="AV358" s="187">
        <f t="shared" si="262"/>
        <v>0</v>
      </c>
      <c r="AW358" s="187">
        <f t="shared" si="274"/>
        <v>0</v>
      </c>
      <c r="AX358" s="187">
        <f t="shared" si="275"/>
        <v>18</v>
      </c>
      <c r="AY358" s="388"/>
      <c r="AZ358" s="401" t="s">
        <v>219</v>
      </c>
      <c r="BA358" s="402">
        <v>0.17499999999999999</v>
      </c>
      <c r="BB358" s="395">
        <v>10</v>
      </c>
      <c r="BC358" s="403">
        <v>0.09</v>
      </c>
      <c r="BD358" s="395">
        <v>10</v>
      </c>
      <c r="BE358" s="403">
        <v>0.1</v>
      </c>
      <c r="BF358" s="403">
        <f t="shared" si="276"/>
        <v>7.3499999999999996E-2</v>
      </c>
      <c r="BG358" s="403">
        <f t="shared" si="277"/>
        <v>7.3499999999999996E-2</v>
      </c>
      <c r="BH358" s="404">
        <v>1</v>
      </c>
      <c r="BK358" s="419" t="s">
        <v>225</v>
      </c>
      <c r="BL358" s="420">
        <v>0.17499999999999999</v>
      </c>
      <c r="BM358" s="395"/>
      <c r="BN358" s="419" t="s">
        <v>225</v>
      </c>
      <c r="BO358" s="420">
        <v>10</v>
      </c>
      <c r="BP358" s="395"/>
      <c r="BQ358" s="421" t="s">
        <v>225</v>
      </c>
      <c r="BR358" s="422">
        <v>0.09</v>
      </c>
      <c r="BS358" s="395"/>
      <c r="BT358" s="423" t="s">
        <v>229</v>
      </c>
      <c r="BU358" s="422">
        <v>5.4600000000000003E-2</v>
      </c>
      <c r="BW358" s="423" t="s">
        <v>227</v>
      </c>
      <c r="BX358" s="422">
        <v>8</v>
      </c>
      <c r="BZ358" s="423" t="s">
        <v>230</v>
      </c>
      <c r="CA358" s="422">
        <v>6.93E-2</v>
      </c>
      <c r="CC358" s="423" t="s">
        <v>225</v>
      </c>
      <c r="CD358" s="422">
        <v>0.1</v>
      </c>
      <c r="CF358" s="423" t="s">
        <v>227</v>
      </c>
      <c r="CG358" s="422">
        <v>1</v>
      </c>
    </row>
    <row r="359" spans="1:85" s="394" customFormat="1" x14ac:dyDescent="0.3">
      <c r="A359" s="182" t="s">
        <v>190</v>
      </c>
      <c r="B359" s="183">
        <v>1</v>
      </c>
      <c r="C359" s="184" t="s">
        <v>468</v>
      </c>
      <c r="D359" s="185">
        <v>2.95</v>
      </c>
      <c r="E359" s="185">
        <v>5.92</v>
      </c>
      <c r="F359" s="186">
        <v>0.2</v>
      </c>
      <c r="G359" s="187">
        <f t="shared" si="241"/>
        <v>3.4928000000000008</v>
      </c>
      <c r="H359" s="188">
        <f t="shared" si="242"/>
        <v>17.464000000000002</v>
      </c>
      <c r="I359" s="183">
        <f t="shared" si="243"/>
        <v>12</v>
      </c>
      <c r="J359" s="188">
        <f t="shared" si="244"/>
        <v>0.2</v>
      </c>
      <c r="K359" s="183">
        <f t="shared" si="245"/>
        <v>31</v>
      </c>
      <c r="L359" s="189">
        <f t="shared" si="246"/>
        <v>8.4000000000000005E-2</v>
      </c>
      <c r="M359" s="189">
        <f>0.45*2</f>
        <v>0.9</v>
      </c>
      <c r="N359" s="189">
        <f t="shared" si="263"/>
        <v>-0.04</v>
      </c>
      <c r="O359" s="189">
        <f>2.95*0.3</f>
        <v>0.88500000000000001</v>
      </c>
      <c r="P359" s="188">
        <f t="shared" si="264"/>
        <v>4.7789999999999999</v>
      </c>
      <c r="Q359" s="183">
        <f t="shared" si="247"/>
        <v>12</v>
      </c>
      <c r="R359" s="188">
        <f t="shared" si="248"/>
        <v>0.2</v>
      </c>
      <c r="S359" s="183">
        <f t="shared" si="249"/>
        <v>30</v>
      </c>
      <c r="T359" s="189">
        <f t="shared" si="250"/>
        <v>8.4000000000000005E-2</v>
      </c>
      <c r="U359" s="189">
        <f>0.45*2</f>
        <v>0.9</v>
      </c>
      <c r="V359" s="189">
        <f t="shared" si="265"/>
        <v>-0.04</v>
      </c>
      <c r="W359" s="189">
        <f>F359-2*0.02</f>
        <v>0.16</v>
      </c>
      <c r="X359" s="188">
        <f t="shared" si="266"/>
        <v>4.0540000000000003</v>
      </c>
      <c r="Y359" s="183">
        <f t="shared" si="251"/>
        <v>8</v>
      </c>
      <c r="Z359" s="182">
        <f t="shared" si="252"/>
        <v>0.24</v>
      </c>
      <c r="AA359" s="183">
        <f t="shared" si="253"/>
        <v>13</v>
      </c>
      <c r="AB359" s="189">
        <f t="shared" si="254"/>
        <v>8.4000000000000005E-2</v>
      </c>
      <c r="AC359" s="189">
        <f>0.38+0.23</f>
        <v>0.61</v>
      </c>
      <c r="AD359" s="189">
        <f t="shared" si="267"/>
        <v>-0.04</v>
      </c>
      <c r="AE359" s="189">
        <f>10.26*0.3</f>
        <v>3.0779999999999998</v>
      </c>
      <c r="AF359" s="188">
        <f t="shared" si="268"/>
        <v>9.6519999999999992</v>
      </c>
      <c r="AG359" s="183">
        <f t="shared" si="255"/>
        <v>8</v>
      </c>
      <c r="AH359" s="182">
        <f t="shared" si="256"/>
        <v>0.24</v>
      </c>
      <c r="AI359" s="183">
        <f t="shared" si="257"/>
        <v>12</v>
      </c>
      <c r="AJ359" s="189">
        <f t="shared" si="258"/>
        <v>8.4000000000000005E-2</v>
      </c>
      <c r="AK359" s="189">
        <f>0.38+0.23</f>
        <v>0.61</v>
      </c>
      <c r="AL359" s="189">
        <f t="shared" si="269"/>
        <v>-0.04</v>
      </c>
      <c r="AM359" s="189">
        <f t="shared" si="259"/>
        <v>0.16</v>
      </c>
      <c r="AN359" s="188">
        <f t="shared" si="270"/>
        <v>6.734</v>
      </c>
      <c r="AO359" s="183">
        <v>0</v>
      </c>
      <c r="AP359" s="182">
        <f t="shared" si="260"/>
        <v>12</v>
      </c>
      <c r="AQ359" s="182">
        <v>1.5</v>
      </c>
      <c r="AR359" s="187">
        <f t="shared" si="271"/>
        <v>0</v>
      </c>
      <c r="AS359" s="187">
        <f t="shared" si="272"/>
        <v>0</v>
      </c>
      <c r="AT359" s="187">
        <f t="shared" si="273"/>
        <v>269.76900000000001</v>
      </c>
      <c r="AU359" s="187">
        <f t="shared" si="261"/>
        <v>206.28399999999999</v>
      </c>
      <c r="AV359" s="187">
        <f t="shared" si="262"/>
        <v>0</v>
      </c>
      <c r="AW359" s="187">
        <f t="shared" si="274"/>
        <v>0</v>
      </c>
      <c r="AX359" s="187">
        <f t="shared" si="275"/>
        <v>18</v>
      </c>
      <c r="AY359" s="388"/>
      <c r="AZ359" s="401" t="s">
        <v>222</v>
      </c>
      <c r="BA359" s="402">
        <v>0.17499999999999999</v>
      </c>
      <c r="BB359" s="395">
        <v>10</v>
      </c>
      <c r="BC359" s="403">
        <v>0.09</v>
      </c>
      <c r="BD359" s="395">
        <v>10</v>
      </c>
      <c r="BE359" s="403">
        <v>0.1</v>
      </c>
      <c r="BF359" s="403">
        <f t="shared" si="276"/>
        <v>7.3499999999999996E-2</v>
      </c>
      <c r="BG359" s="403">
        <f t="shared" si="277"/>
        <v>7.3499999999999996E-2</v>
      </c>
      <c r="BH359" s="404">
        <v>1</v>
      </c>
      <c r="BK359" s="419" t="s">
        <v>229</v>
      </c>
      <c r="BL359" s="420">
        <v>0.13</v>
      </c>
      <c r="BM359" s="395"/>
      <c r="BN359" s="419" t="s">
        <v>229</v>
      </c>
      <c r="BO359" s="420">
        <v>8</v>
      </c>
      <c r="BP359" s="395"/>
      <c r="BQ359" s="421" t="s">
        <v>229</v>
      </c>
      <c r="BR359" s="422">
        <v>8.5000000000000006E-2</v>
      </c>
      <c r="BS359" s="395"/>
      <c r="BT359" s="423" t="s">
        <v>232</v>
      </c>
      <c r="BU359" s="422">
        <v>5.4600000000000003E-2</v>
      </c>
      <c r="BW359" s="423" t="s">
        <v>233</v>
      </c>
      <c r="BX359" s="422">
        <v>10</v>
      </c>
      <c r="BZ359" s="423" t="s">
        <v>234</v>
      </c>
      <c r="CA359" s="422"/>
      <c r="CC359" s="423" t="s">
        <v>229</v>
      </c>
      <c r="CD359" s="422">
        <v>0.12</v>
      </c>
      <c r="CF359" s="423" t="s">
        <v>233</v>
      </c>
      <c r="CG359" s="422">
        <v>1</v>
      </c>
    </row>
    <row r="360" spans="1:85" s="196" customFormat="1" x14ac:dyDescent="0.3">
      <c r="A360" s="243" t="s">
        <v>265</v>
      </c>
      <c r="B360" s="183"/>
      <c r="C360" s="184"/>
      <c r="D360" s="185"/>
      <c r="E360" s="185"/>
      <c r="F360" s="186"/>
      <c r="G360" s="187"/>
      <c r="H360" s="188"/>
      <c r="I360" s="183"/>
      <c r="J360" s="188"/>
      <c r="K360" s="183"/>
      <c r="L360" s="189"/>
      <c r="M360" s="189"/>
      <c r="N360" s="189"/>
      <c r="O360" s="189"/>
      <c r="P360" s="188"/>
      <c r="Q360" s="183"/>
      <c r="R360" s="188"/>
      <c r="S360" s="183"/>
      <c r="T360" s="189"/>
      <c r="U360" s="189"/>
      <c r="V360" s="189"/>
      <c r="W360" s="189"/>
      <c r="X360" s="188"/>
      <c r="Y360" s="183"/>
      <c r="Z360" s="182"/>
      <c r="AA360" s="183"/>
      <c r="AB360" s="189"/>
      <c r="AC360" s="189"/>
      <c r="AD360" s="189"/>
      <c r="AE360" s="189"/>
      <c r="AF360" s="188"/>
      <c r="AG360" s="183"/>
      <c r="AH360" s="182"/>
      <c r="AI360" s="183"/>
      <c r="AJ360" s="189"/>
      <c r="AK360" s="189"/>
      <c r="AL360" s="189"/>
      <c r="AM360" s="189"/>
      <c r="AN360" s="188"/>
      <c r="AO360" s="183"/>
      <c r="AP360" s="182"/>
      <c r="AQ360" s="182"/>
      <c r="AR360" s="187"/>
      <c r="AS360" s="187"/>
      <c r="AT360" s="187"/>
      <c r="AU360" s="187"/>
      <c r="AV360" s="187"/>
      <c r="AW360" s="187"/>
      <c r="AX360" s="187"/>
      <c r="AY360" s="190"/>
      <c r="AZ360" s="227" t="s">
        <v>225</v>
      </c>
      <c r="BA360" s="205">
        <v>0.17499999999999999</v>
      </c>
      <c r="BB360" s="197">
        <v>10</v>
      </c>
      <c r="BC360" s="206">
        <v>0.09</v>
      </c>
      <c r="BD360" s="197">
        <v>10</v>
      </c>
      <c r="BE360" s="206">
        <v>0.1</v>
      </c>
      <c r="BF360" s="206">
        <f t="shared" si="276"/>
        <v>7.3499999999999996E-2</v>
      </c>
      <c r="BG360" s="206">
        <f t="shared" si="277"/>
        <v>7.3499999999999996E-2</v>
      </c>
      <c r="BH360" s="207">
        <v>1</v>
      </c>
      <c r="BK360" s="343" t="s">
        <v>232</v>
      </c>
      <c r="BL360" s="344">
        <v>0.13</v>
      </c>
      <c r="BM360" s="197"/>
      <c r="BN360" s="343" t="s">
        <v>232</v>
      </c>
      <c r="BO360" s="344">
        <v>8</v>
      </c>
      <c r="BP360" s="197"/>
      <c r="BQ360" s="345" t="s">
        <v>232</v>
      </c>
      <c r="BR360" s="346">
        <v>0.1</v>
      </c>
      <c r="BS360" s="197"/>
      <c r="BT360" s="347" t="s">
        <v>218</v>
      </c>
      <c r="BU360" s="346">
        <v>6.93E-2</v>
      </c>
      <c r="BW360" s="347" t="s">
        <v>230</v>
      </c>
      <c r="BX360" s="346">
        <v>8</v>
      </c>
      <c r="BZ360" s="347" t="s">
        <v>236</v>
      </c>
      <c r="CA360" s="346">
        <v>6.93E-2</v>
      </c>
      <c r="CC360" s="347" t="s">
        <v>232</v>
      </c>
      <c r="CD360" s="346">
        <v>0.12</v>
      </c>
      <c r="CF360" s="347" t="s">
        <v>230</v>
      </c>
      <c r="CG360" s="346">
        <v>1</v>
      </c>
    </row>
    <row r="361" spans="1:85" s="394" customFormat="1" x14ac:dyDescent="0.3">
      <c r="A361" s="182" t="s">
        <v>223</v>
      </c>
      <c r="B361" s="183">
        <v>1</v>
      </c>
      <c r="C361" s="184" t="s">
        <v>469</v>
      </c>
      <c r="D361" s="185">
        <v>2.63</v>
      </c>
      <c r="E361" s="185">
        <v>5.54</v>
      </c>
      <c r="F361" s="186">
        <v>0.13</v>
      </c>
      <c r="G361" s="187">
        <f t="shared" ref="G361" si="278">D361*E361*F361*B361</f>
        <v>1.894126</v>
      </c>
      <c r="H361" s="188">
        <f t="shared" ref="H361" si="279">D361*E361*B361</f>
        <v>14.5702</v>
      </c>
      <c r="I361" s="183">
        <f t="shared" ref="I361:I424" si="280">GETPIVOTDATA($BN$20,A361)</f>
        <v>8</v>
      </c>
      <c r="J361" s="188">
        <f t="shared" ref="J361:J424" si="281">GETPIVOTDATA($BQ$20,A361)*2</f>
        <v>0.2</v>
      </c>
      <c r="K361" s="183">
        <f t="shared" ref="K361:K424" si="282">(ROUND(E361/J361,0)+1)*GETPIVOTDATA($CF$20,A361)</f>
        <v>29</v>
      </c>
      <c r="L361" s="189">
        <f t="shared" ref="L361:L424" si="283">GETPIVOTDATA($BT$20,A361)</f>
        <v>5.4600000000000003E-2</v>
      </c>
      <c r="M361" s="189">
        <f>0.53+0.38</f>
        <v>0.91</v>
      </c>
      <c r="N361" s="189">
        <f t="shared" si="263"/>
        <v>-0.04</v>
      </c>
      <c r="O361" s="189">
        <f>F361-2*0.02</f>
        <v>0.09</v>
      </c>
      <c r="P361" s="188">
        <f t="shared" ref="P361:P380" si="284">+D361+SUM(L361:O361)</f>
        <v>3.6445999999999996</v>
      </c>
      <c r="Q361" s="183">
        <f t="shared" ref="Q361:Q424" si="285">GETPIVOTDATA($BN$20,A361)</f>
        <v>8</v>
      </c>
      <c r="R361" s="188">
        <f t="shared" ref="R361:R424" si="286">GETPIVOTDATA($BQ$20,A361)*2</f>
        <v>0.2</v>
      </c>
      <c r="S361" s="183">
        <f t="shared" ref="S361:S424" si="287">(ROUND(E361/R361,0))*GETPIVOTDATA($CF$20,A361)</f>
        <v>28</v>
      </c>
      <c r="T361" s="189">
        <f t="shared" ref="T361:T424" si="288">GETPIVOTDATA($BT$20,A361)</f>
        <v>5.4600000000000003E-2</v>
      </c>
      <c r="U361" s="189">
        <f>0.53+0.38</f>
        <v>0.91</v>
      </c>
      <c r="V361" s="189">
        <f t="shared" si="265"/>
        <v>-0.04</v>
      </c>
      <c r="W361" s="189">
        <f>2.67*0.3</f>
        <v>0.80099999999999993</v>
      </c>
      <c r="X361" s="188">
        <f t="shared" ref="X361:X380" si="289">+D361+SUM(T361:W361)</f>
        <v>4.3555999999999999</v>
      </c>
      <c r="Y361" s="183">
        <f t="shared" ref="Y361:Y424" si="290">GETPIVOTDATA($BW$20,A361)</f>
        <v>8</v>
      </c>
      <c r="Z361" s="182">
        <f t="shared" ref="Z361:Z424" si="291">GETPIVOTDATA($CC$20,A361)*2</f>
        <v>0.36</v>
      </c>
      <c r="AA361" s="183">
        <f t="shared" ref="AA361:AA424" si="292">(ROUND(D361/Z361,0)+1)*GETPIVOTDATA($CF$20,A361)</f>
        <v>8</v>
      </c>
      <c r="AB361" s="189">
        <f t="shared" ref="AB361:AB424" si="293">GETPIVOTDATA($BZ$20,A361)</f>
        <v>5.4600000000000003E-2</v>
      </c>
      <c r="AC361" s="189">
        <f>0.5+0.3</f>
        <v>0.8</v>
      </c>
      <c r="AD361" s="189">
        <f t="shared" si="267"/>
        <v>-0.04</v>
      </c>
      <c r="AE361" s="189">
        <f>4.67*0.3</f>
        <v>1.401</v>
      </c>
      <c r="AF361" s="188">
        <f t="shared" ref="AF361:AF380" si="294">+E361+SUM(AB361:AE361)</f>
        <v>7.7556000000000003</v>
      </c>
      <c r="AG361" s="183">
        <f t="shared" ref="AG361:AG424" si="295">GETPIVOTDATA($BW$20,A361)</f>
        <v>8</v>
      </c>
      <c r="AH361" s="182">
        <f t="shared" ref="AH361:AH424" si="296">GETPIVOTDATA($CC$20,A361)*2</f>
        <v>0.36</v>
      </c>
      <c r="AI361" s="183">
        <f t="shared" ref="AI361:AI424" si="297">(ROUND(D361/AH361,0))*GETPIVOTDATA($CF$20,A361)</f>
        <v>7</v>
      </c>
      <c r="AJ361" s="189">
        <f t="shared" ref="AJ361:AJ424" si="298">GETPIVOTDATA($BZ$20,A361)</f>
        <v>5.4600000000000003E-2</v>
      </c>
      <c r="AK361" s="189">
        <f>0.5+0.3</f>
        <v>0.8</v>
      </c>
      <c r="AL361" s="189">
        <f t="shared" si="269"/>
        <v>-0.04</v>
      </c>
      <c r="AM361" s="189">
        <f>5.77*0.3</f>
        <v>1.7309999999999999</v>
      </c>
      <c r="AN361" s="188">
        <f t="shared" ref="AN361:AN380" si="299">+E361+SUM(AJ361:AM361)</f>
        <v>8.0855999999999995</v>
      </c>
      <c r="AO361" s="183">
        <v>0</v>
      </c>
      <c r="AP361" s="182">
        <f t="shared" ref="AP361:AP425" si="300">(ROUND(D361/1.5,0)+ROUND(E361/1.5,0))*2</f>
        <v>12</v>
      </c>
      <c r="AQ361" s="182">
        <v>1.5</v>
      </c>
      <c r="AR361" s="187">
        <f t="shared" ref="AR361" si="301">IF(I361=8,K361*P361*B361,0)+IF(Q361=8,S361*X361*B361,0)</f>
        <v>227.65019999999998</v>
      </c>
      <c r="AS361" s="187">
        <f t="shared" ref="AS361" si="302">IF(I361=10,K361*P361*B361,0)+IF(Q361=10,S361*X361*B361,0)</f>
        <v>0</v>
      </c>
      <c r="AT361" s="187">
        <f t="shared" ref="AT361" si="303">IF(I361=12,K361*P361*B361,0)+IF(Q361=12,S361*X361*B361,0)</f>
        <v>0</v>
      </c>
      <c r="AU361" s="187">
        <f t="shared" ref="AU361" si="304">IF(AG361=8,AI361*AN361*B361,0)+IF(Y361=8,B361*AA361*AF361,0)</f>
        <v>118.64400000000001</v>
      </c>
      <c r="AV361" s="187">
        <f t="shared" ref="AV361" si="305">IF(AG361=10,AI361*AN361*B361,0)+IF(Y361=10,B361*AA361*AF361,0)</f>
        <v>0</v>
      </c>
      <c r="AW361" s="187">
        <f t="shared" ref="AW361:AW425" si="306">IF(AG361=12,AI361*AN361*B361,0)+IF(Y361=12,B361*AA361*AF361,0)</f>
        <v>0</v>
      </c>
      <c r="AX361" s="187">
        <f t="shared" ref="AX361:AX425" si="307">AP361*AQ361*B361</f>
        <v>18</v>
      </c>
      <c r="AY361" s="388"/>
      <c r="AZ361" s="401" t="s">
        <v>229</v>
      </c>
      <c r="BA361" s="402">
        <v>0.13</v>
      </c>
      <c r="BB361" s="395">
        <v>8</v>
      </c>
      <c r="BC361" s="403">
        <v>8.5000000000000006E-2</v>
      </c>
      <c r="BD361" s="395">
        <v>8</v>
      </c>
      <c r="BE361" s="403">
        <v>0.12</v>
      </c>
      <c r="BF361" s="403">
        <f t="shared" si="276"/>
        <v>5.4600000000000003E-2</v>
      </c>
      <c r="BG361" s="403">
        <f t="shared" si="277"/>
        <v>5.4600000000000003E-2</v>
      </c>
      <c r="BH361" s="404">
        <v>1</v>
      </c>
      <c r="BK361" s="419" t="s">
        <v>238</v>
      </c>
      <c r="BL361" s="420"/>
      <c r="BM361" s="395"/>
      <c r="BN361" s="419" t="s">
        <v>238</v>
      </c>
      <c r="BO361" s="420"/>
      <c r="BP361" s="395"/>
      <c r="BQ361" s="423" t="s">
        <v>238</v>
      </c>
      <c r="BR361" s="422"/>
      <c r="BS361" s="395"/>
      <c r="BT361" s="423" t="s">
        <v>239</v>
      </c>
      <c r="BU361" s="422">
        <v>5.2499999999999998E-2</v>
      </c>
      <c r="BW361" s="423" t="s">
        <v>219</v>
      </c>
      <c r="BX361" s="422">
        <v>10</v>
      </c>
      <c r="BZ361" s="423" t="s">
        <v>240</v>
      </c>
      <c r="CA361" s="422">
        <v>6.7199999999999996E-2</v>
      </c>
      <c r="CC361" s="423" t="s">
        <v>238</v>
      </c>
      <c r="CD361" s="422"/>
      <c r="CF361" s="423" t="s">
        <v>234</v>
      </c>
      <c r="CG361" s="422">
        <v>1</v>
      </c>
    </row>
    <row r="362" spans="1:85" s="394" customFormat="1" x14ac:dyDescent="0.3">
      <c r="A362" s="182" t="s">
        <v>223</v>
      </c>
      <c r="B362" s="183">
        <v>1</v>
      </c>
      <c r="C362" s="184" t="s">
        <v>470</v>
      </c>
      <c r="D362" s="185">
        <v>2.67</v>
      </c>
      <c r="E362" s="185">
        <v>5.54</v>
      </c>
      <c r="F362" s="186">
        <v>0.13</v>
      </c>
      <c r="G362" s="187">
        <f>D362*E362*F362*B362</f>
        <v>1.9229340000000001</v>
      </c>
      <c r="H362" s="188">
        <f>D362*E362*B362</f>
        <v>14.7918</v>
      </c>
      <c r="I362" s="183">
        <f t="shared" si="280"/>
        <v>8</v>
      </c>
      <c r="J362" s="188">
        <f t="shared" si="281"/>
        <v>0.2</v>
      </c>
      <c r="K362" s="183">
        <f t="shared" si="282"/>
        <v>29</v>
      </c>
      <c r="L362" s="189">
        <f t="shared" si="283"/>
        <v>5.4600000000000003E-2</v>
      </c>
      <c r="M362" s="189">
        <f>0.38*2</f>
        <v>0.76</v>
      </c>
      <c r="N362" s="189">
        <f t="shared" si="263"/>
        <v>-0.04</v>
      </c>
      <c r="O362" s="189">
        <f>2.63*0.3</f>
        <v>0.78899999999999992</v>
      </c>
      <c r="P362" s="188">
        <f t="shared" si="284"/>
        <v>4.2336</v>
      </c>
      <c r="Q362" s="183">
        <f t="shared" si="285"/>
        <v>8</v>
      </c>
      <c r="R362" s="188">
        <f t="shared" si="286"/>
        <v>0.2</v>
      </c>
      <c r="S362" s="183">
        <f t="shared" si="287"/>
        <v>28</v>
      </c>
      <c r="T362" s="189">
        <f t="shared" si="288"/>
        <v>5.4600000000000003E-2</v>
      </c>
      <c r="U362" s="189">
        <f>0.38*2</f>
        <v>0.76</v>
      </c>
      <c r="V362" s="189">
        <f t="shared" si="265"/>
        <v>-0.04</v>
      </c>
      <c r="W362" s="189">
        <f>6.35*0.3</f>
        <v>1.9049999999999998</v>
      </c>
      <c r="X362" s="188">
        <f t="shared" si="289"/>
        <v>5.3495999999999997</v>
      </c>
      <c r="Y362" s="183">
        <f t="shared" si="290"/>
        <v>8</v>
      </c>
      <c r="Z362" s="182">
        <f t="shared" si="291"/>
        <v>0.36</v>
      </c>
      <c r="AA362" s="183">
        <f t="shared" si="292"/>
        <v>8</v>
      </c>
      <c r="AB362" s="189">
        <f t="shared" si="293"/>
        <v>5.4600000000000003E-2</v>
      </c>
      <c r="AC362" s="189">
        <f>0.3+0.5</f>
        <v>0.8</v>
      </c>
      <c r="AD362" s="189">
        <f t="shared" si="267"/>
        <v>-0.04</v>
      </c>
      <c r="AE362" s="189">
        <f>3.71*0.3</f>
        <v>1.113</v>
      </c>
      <c r="AF362" s="188">
        <f t="shared" si="294"/>
        <v>7.4676</v>
      </c>
      <c r="AG362" s="183">
        <f t="shared" si="295"/>
        <v>8</v>
      </c>
      <c r="AH362" s="182">
        <f t="shared" si="296"/>
        <v>0.36</v>
      </c>
      <c r="AI362" s="183">
        <f t="shared" si="297"/>
        <v>7</v>
      </c>
      <c r="AJ362" s="189">
        <f t="shared" si="298"/>
        <v>5.4600000000000003E-2</v>
      </c>
      <c r="AK362" s="189">
        <f>0.3+0.5</f>
        <v>0.8</v>
      </c>
      <c r="AL362" s="189">
        <f t="shared" si="269"/>
        <v>-0.04</v>
      </c>
      <c r="AM362" s="189">
        <f>5.77*0.3</f>
        <v>1.7309999999999999</v>
      </c>
      <c r="AN362" s="188">
        <f t="shared" si="299"/>
        <v>8.0855999999999995</v>
      </c>
      <c r="AO362" s="183">
        <v>0</v>
      </c>
      <c r="AP362" s="182">
        <f t="shared" si="300"/>
        <v>12</v>
      </c>
      <c r="AQ362" s="182">
        <v>1.5</v>
      </c>
      <c r="AR362" s="187">
        <f>IF(I362=8,K362*P362*B362,0)+IF(Q362=8,S362*X362*B362,0)</f>
        <v>272.56319999999999</v>
      </c>
      <c r="AS362" s="187">
        <f>IF(I362=10,K362*P362*B362,0)+IF(Q362=10,S362*X362*B362,0)</f>
        <v>0</v>
      </c>
      <c r="AT362" s="187">
        <f>IF(I362=12,K362*P362*B362,0)+IF(Q362=12,S362*X362*B362,0)</f>
        <v>0</v>
      </c>
      <c r="AU362" s="187">
        <f>IF(AG362=8,AI362*AN362*B362,0)+IF(Y362=8,B362*AA362*AF362,0)</f>
        <v>116.34</v>
      </c>
      <c r="AV362" s="187">
        <f>IF(AG362=10,AI362*AN362*B362,0)+IF(Y362=10,B362*AA362*AF362,0)</f>
        <v>0</v>
      </c>
      <c r="AW362" s="187">
        <f t="shared" si="306"/>
        <v>0</v>
      </c>
      <c r="AX362" s="187">
        <f t="shared" si="307"/>
        <v>18</v>
      </c>
      <c r="AY362" s="388"/>
      <c r="AZ362" s="401" t="s">
        <v>232</v>
      </c>
      <c r="BA362" s="402">
        <v>0.13</v>
      </c>
      <c r="BB362" s="395">
        <v>8</v>
      </c>
      <c r="BC362" s="403">
        <v>0.1</v>
      </c>
      <c r="BD362" s="395">
        <v>8</v>
      </c>
      <c r="BE362" s="403">
        <v>0.12</v>
      </c>
      <c r="BF362" s="403">
        <f t="shared" si="276"/>
        <v>5.4600000000000003E-2</v>
      </c>
      <c r="BG362" s="403">
        <f t="shared" si="277"/>
        <v>5.4600000000000003E-2</v>
      </c>
      <c r="BH362" s="404">
        <v>1</v>
      </c>
      <c r="BI362" s="395"/>
      <c r="BK362" s="419" t="s">
        <v>239</v>
      </c>
      <c r="BL362" s="420">
        <v>0.125</v>
      </c>
      <c r="BM362" s="395"/>
      <c r="BN362" s="419" t="s">
        <v>239</v>
      </c>
      <c r="BO362" s="420">
        <v>8</v>
      </c>
      <c r="BP362" s="395"/>
      <c r="BQ362" s="423" t="s">
        <v>239</v>
      </c>
      <c r="BR362" s="422">
        <v>0.115</v>
      </c>
      <c r="BS362" s="395"/>
      <c r="BT362" s="423" t="s">
        <v>242</v>
      </c>
      <c r="BU362" s="422">
        <v>5.8800000000000005E-2</v>
      </c>
      <c r="BW362" s="423" t="s">
        <v>222</v>
      </c>
      <c r="BX362" s="422">
        <v>10</v>
      </c>
      <c r="BZ362" s="423" t="s">
        <v>219</v>
      </c>
      <c r="CA362" s="422">
        <v>7.3499999999999996E-2</v>
      </c>
      <c r="CC362" s="423" t="s">
        <v>239</v>
      </c>
      <c r="CD362" s="422">
        <v>0.15</v>
      </c>
      <c r="CF362" s="423" t="s">
        <v>243</v>
      </c>
      <c r="CG362" s="422">
        <v>1</v>
      </c>
    </row>
    <row r="363" spans="1:85" s="394" customFormat="1" x14ac:dyDescent="0.3">
      <c r="A363" s="182" t="s">
        <v>223</v>
      </c>
      <c r="B363" s="183">
        <v>1</v>
      </c>
      <c r="C363" s="184" t="s">
        <v>471</v>
      </c>
      <c r="D363" s="185">
        <v>6.35</v>
      </c>
      <c r="E363" s="185">
        <v>2.79</v>
      </c>
      <c r="F363" s="186">
        <v>0.13</v>
      </c>
      <c r="G363" s="187">
        <f t="shared" ref="G363:G370" si="308">D363*E363*F363*B363</f>
        <v>2.3031450000000002</v>
      </c>
      <c r="H363" s="188">
        <f t="shared" ref="H363:H370" si="309">D363*E363*B363</f>
        <v>17.7165</v>
      </c>
      <c r="I363" s="183">
        <f t="shared" si="280"/>
        <v>8</v>
      </c>
      <c r="J363" s="188">
        <f t="shared" si="281"/>
        <v>0.2</v>
      </c>
      <c r="K363" s="183">
        <f t="shared" si="282"/>
        <v>15</v>
      </c>
      <c r="L363" s="189">
        <f t="shared" si="283"/>
        <v>5.4600000000000003E-2</v>
      </c>
      <c r="M363" s="189">
        <f>0.38+0.23</f>
        <v>0.61</v>
      </c>
      <c r="N363" s="189">
        <f t="shared" si="263"/>
        <v>-0.04</v>
      </c>
      <c r="O363" s="189">
        <f>2.67*0.3</f>
        <v>0.80099999999999993</v>
      </c>
      <c r="P363" s="188">
        <f t="shared" si="284"/>
        <v>7.775599999999999</v>
      </c>
      <c r="Q363" s="183">
        <f t="shared" si="285"/>
        <v>8</v>
      </c>
      <c r="R363" s="188">
        <f t="shared" si="286"/>
        <v>0.2</v>
      </c>
      <c r="S363" s="183">
        <f t="shared" si="287"/>
        <v>14</v>
      </c>
      <c r="T363" s="189">
        <f t="shared" si="288"/>
        <v>5.4600000000000003E-2</v>
      </c>
      <c r="U363" s="189">
        <f>0.38+0.23</f>
        <v>0.61</v>
      </c>
      <c r="V363" s="189">
        <f t="shared" si="265"/>
        <v>-0.04</v>
      </c>
      <c r="W363" s="189">
        <f>3.19*0.3</f>
        <v>0.95699999999999996</v>
      </c>
      <c r="X363" s="188">
        <f t="shared" si="289"/>
        <v>7.9315999999999995</v>
      </c>
      <c r="Y363" s="183">
        <f t="shared" si="290"/>
        <v>8</v>
      </c>
      <c r="Z363" s="182">
        <f t="shared" si="291"/>
        <v>0.36</v>
      </c>
      <c r="AA363" s="183">
        <f t="shared" si="292"/>
        <v>19</v>
      </c>
      <c r="AB363" s="189">
        <f t="shared" si="293"/>
        <v>5.4600000000000003E-2</v>
      </c>
      <c r="AC363" s="189">
        <f>0.3+0.5</f>
        <v>0.8</v>
      </c>
      <c r="AD363" s="189">
        <f t="shared" si="267"/>
        <v>-0.04</v>
      </c>
      <c r="AE363" s="189">
        <f>2.45*0.3</f>
        <v>0.73499999999999999</v>
      </c>
      <c r="AF363" s="188">
        <f t="shared" si="294"/>
        <v>4.3395999999999999</v>
      </c>
      <c r="AG363" s="183">
        <f t="shared" si="295"/>
        <v>8</v>
      </c>
      <c r="AH363" s="182">
        <f t="shared" si="296"/>
        <v>0.36</v>
      </c>
      <c r="AI363" s="183">
        <f t="shared" si="297"/>
        <v>18</v>
      </c>
      <c r="AJ363" s="189">
        <f t="shared" si="298"/>
        <v>5.4600000000000003E-2</v>
      </c>
      <c r="AK363" s="189">
        <f>0.3+0.5</f>
        <v>0.8</v>
      </c>
      <c r="AL363" s="189">
        <f t="shared" si="269"/>
        <v>-0.04</v>
      </c>
      <c r="AM363" s="189">
        <f>5.77*0.3</f>
        <v>1.7309999999999999</v>
      </c>
      <c r="AN363" s="188">
        <f t="shared" si="299"/>
        <v>5.3355999999999995</v>
      </c>
      <c r="AO363" s="183">
        <v>0</v>
      </c>
      <c r="AP363" s="182">
        <f t="shared" si="300"/>
        <v>12</v>
      </c>
      <c r="AQ363" s="182">
        <v>1.5</v>
      </c>
      <c r="AR363" s="187">
        <f t="shared" ref="AR363:AR427" si="310">IF(I363=8,K363*P363*B363,0)+IF(Q363=8,S363*X363*B363,0)</f>
        <v>227.67639999999997</v>
      </c>
      <c r="AS363" s="187">
        <f t="shared" ref="AS363:AS427" si="311">IF(I363=10,K363*P363*B363,0)+IF(Q363=10,S363*X363*B363,0)</f>
        <v>0</v>
      </c>
      <c r="AT363" s="187">
        <f t="shared" ref="AT363:AT427" si="312">IF(I363=12,K363*P363*B363,0)+IF(Q363=12,S363*X363*B363,0)</f>
        <v>0</v>
      </c>
      <c r="AU363" s="187">
        <f t="shared" ref="AU363:AU427" si="313">IF(AG363=8,AI363*AN363*B363,0)+IF(Y363=8,B363*AA363*AF363,0)</f>
        <v>178.4932</v>
      </c>
      <c r="AV363" s="187">
        <f t="shared" ref="AV363:AV427" si="314">IF(AG363=10,AI363*AN363*B363,0)+IF(Y363=10,B363*AA363*AF363,0)</f>
        <v>0</v>
      </c>
      <c r="AW363" s="187">
        <f t="shared" si="306"/>
        <v>0</v>
      </c>
      <c r="AX363" s="187">
        <f t="shared" si="307"/>
        <v>18</v>
      </c>
      <c r="AY363" s="388"/>
      <c r="AZ363" s="401" t="s">
        <v>239</v>
      </c>
      <c r="BA363" s="402">
        <v>0.125</v>
      </c>
      <c r="BB363" s="395">
        <v>8</v>
      </c>
      <c r="BC363" s="403">
        <v>0.115</v>
      </c>
      <c r="BD363" s="395">
        <v>8</v>
      </c>
      <c r="BE363" s="403">
        <v>0.15</v>
      </c>
      <c r="BF363" s="403">
        <f t="shared" si="276"/>
        <v>5.2499999999999998E-2</v>
      </c>
      <c r="BG363" s="403">
        <f t="shared" si="277"/>
        <v>5.2499999999999998E-2</v>
      </c>
      <c r="BH363" s="404">
        <v>1</v>
      </c>
      <c r="BI363" s="395"/>
      <c r="BK363" s="419" t="s">
        <v>242</v>
      </c>
      <c r="BL363" s="420">
        <v>0.14000000000000001</v>
      </c>
      <c r="BM363" s="395"/>
      <c r="BN363" s="419" t="s">
        <v>242</v>
      </c>
      <c r="BO363" s="420">
        <v>10</v>
      </c>
      <c r="BQ363" s="423" t="s">
        <v>242</v>
      </c>
      <c r="BR363" s="422">
        <v>0.1</v>
      </c>
      <c r="BS363" s="395"/>
      <c r="BT363" s="423" t="s">
        <v>245</v>
      </c>
      <c r="BU363" s="422">
        <v>5.8800000000000005E-2</v>
      </c>
      <c r="BW363" s="423" t="s">
        <v>225</v>
      </c>
      <c r="BX363" s="422">
        <v>10</v>
      </c>
      <c r="BZ363" s="423" t="s">
        <v>222</v>
      </c>
      <c r="CA363" s="422">
        <v>7.3499999999999996E-2</v>
      </c>
      <c r="CC363" s="423" t="s">
        <v>242</v>
      </c>
      <c r="CD363" s="422">
        <v>0.15</v>
      </c>
      <c r="CF363" s="423" t="s">
        <v>219</v>
      </c>
      <c r="CG363" s="422">
        <v>1</v>
      </c>
    </row>
    <row r="364" spans="1:85" s="394" customFormat="1" x14ac:dyDescent="0.3">
      <c r="A364" s="182" t="s">
        <v>232</v>
      </c>
      <c r="B364" s="183">
        <v>1</v>
      </c>
      <c r="C364" s="184" t="s">
        <v>472</v>
      </c>
      <c r="D364" s="185">
        <v>3.19</v>
      </c>
      <c r="E364" s="185">
        <v>2.94</v>
      </c>
      <c r="F364" s="186">
        <v>0.13</v>
      </c>
      <c r="G364" s="187">
        <f t="shared" si="308"/>
        <v>1.2192180000000001</v>
      </c>
      <c r="H364" s="188">
        <f t="shared" si="309"/>
        <v>9.3786000000000005</v>
      </c>
      <c r="I364" s="183">
        <f t="shared" si="280"/>
        <v>8</v>
      </c>
      <c r="J364" s="188">
        <f t="shared" si="281"/>
        <v>0.2</v>
      </c>
      <c r="K364" s="183">
        <f t="shared" si="282"/>
        <v>16</v>
      </c>
      <c r="L364" s="189">
        <f t="shared" si="283"/>
        <v>5.4600000000000003E-2</v>
      </c>
      <c r="M364" s="189">
        <f>0.23*2</f>
        <v>0.46</v>
      </c>
      <c r="N364" s="189">
        <f t="shared" si="263"/>
        <v>-0.04</v>
      </c>
      <c r="O364" s="189">
        <f>6.35*0.3</f>
        <v>1.9049999999999998</v>
      </c>
      <c r="P364" s="188">
        <f t="shared" si="284"/>
        <v>5.5695999999999994</v>
      </c>
      <c r="Q364" s="183">
        <f t="shared" si="285"/>
        <v>8</v>
      </c>
      <c r="R364" s="188">
        <f t="shared" si="286"/>
        <v>0.2</v>
      </c>
      <c r="S364" s="183">
        <f t="shared" si="287"/>
        <v>15</v>
      </c>
      <c r="T364" s="189">
        <f t="shared" si="288"/>
        <v>5.4600000000000003E-2</v>
      </c>
      <c r="U364" s="189">
        <f>0.23*2</f>
        <v>0.46</v>
      </c>
      <c r="V364" s="189">
        <f t="shared" si="265"/>
        <v>-0.04</v>
      </c>
      <c r="W364" s="189">
        <f>1.14*0.3</f>
        <v>0.34199999999999997</v>
      </c>
      <c r="X364" s="188">
        <f t="shared" si="289"/>
        <v>4.0065999999999997</v>
      </c>
      <c r="Y364" s="183">
        <f t="shared" si="290"/>
        <v>8</v>
      </c>
      <c r="Z364" s="182">
        <f t="shared" si="291"/>
        <v>0.24</v>
      </c>
      <c r="AA364" s="183">
        <f t="shared" si="292"/>
        <v>14</v>
      </c>
      <c r="AB364" s="189">
        <f t="shared" si="293"/>
        <v>5.4600000000000003E-2</v>
      </c>
      <c r="AC364" s="189">
        <f>0.3+0.23</f>
        <v>0.53</v>
      </c>
      <c r="AD364" s="189">
        <f t="shared" si="267"/>
        <v>-0.04</v>
      </c>
      <c r="AE364" s="189">
        <f>2.52*0.3</f>
        <v>0.75600000000000001</v>
      </c>
      <c r="AF364" s="188">
        <f t="shared" si="294"/>
        <v>4.2405999999999997</v>
      </c>
      <c r="AG364" s="183">
        <f t="shared" si="295"/>
        <v>8</v>
      </c>
      <c r="AH364" s="182">
        <f t="shared" si="296"/>
        <v>0.24</v>
      </c>
      <c r="AI364" s="183">
        <f t="shared" si="297"/>
        <v>13</v>
      </c>
      <c r="AJ364" s="189">
        <f t="shared" si="298"/>
        <v>5.4600000000000003E-2</v>
      </c>
      <c r="AK364" s="189">
        <f>0.3+0.23</f>
        <v>0.53</v>
      </c>
      <c r="AL364" s="189">
        <f t="shared" si="269"/>
        <v>-0.04</v>
      </c>
      <c r="AM364" s="189">
        <f>5.96*0.3</f>
        <v>1.788</v>
      </c>
      <c r="AN364" s="188">
        <f t="shared" si="299"/>
        <v>5.2726000000000006</v>
      </c>
      <c r="AO364" s="183">
        <v>0</v>
      </c>
      <c r="AP364" s="182">
        <f t="shared" si="300"/>
        <v>8</v>
      </c>
      <c r="AQ364" s="182">
        <v>1.5</v>
      </c>
      <c r="AR364" s="187">
        <f t="shared" si="310"/>
        <v>149.21259999999998</v>
      </c>
      <c r="AS364" s="187">
        <f t="shared" si="311"/>
        <v>0</v>
      </c>
      <c r="AT364" s="187">
        <f t="shared" si="312"/>
        <v>0</v>
      </c>
      <c r="AU364" s="187">
        <f t="shared" si="313"/>
        <v>127.9122</v>
      </c>
      <c r="AV364" s="187">
        <f t="shared" si="314"/>
        <v>0</v>
      </c>
      <c r="AW364" s="187">
        <f t="shared" si="306"/>
        <v>0</v>
      </c>
      <c r="AX364" s="187">
        <f t="shared" si="307"/>
        <v>12</v>
      </c>
      <c r="AY364" s="388"/>
      <c r="AZ364" s="401" t="s">
        <v>242</v>
      </c>
      <c r="BA364" s="402">
        <v>0.14000000000000001</v>
      </c>
      <c r="BB364" s="395">
        <v>10</v>
      </c>
      <c r="BC364" s="403">
        <v>0.1</v>
      </c>
      <c r="BD364" s="395">
        <v>8</v>
      </c>
      <c r="BE364" s="403">
        <v>0.15</v>
      </c>
      <c r="BF364" s="403">
        <f t="shared" si="276"/>
        <v>5.8800000000000005E-2</v>
      </c>
      <c r="BG364" s="403">
        <f t="shared" si="277"/>
        <v>5.8800000000000005E-2</v>
      </c>
      <c r="BH364" s="404">
        <v>1</v>
      </c>
      <c r="BI364" s="395"/>
      <c r="BK364" s="419" t="s">
        <v>245</v>
      </c>
      <c r="BL364" s="420">
        <v>0.14000000000000001</v>
      </c>
      <c r="BM364" s="395"/>
      <c r="BN364" s="419" t="s">
        <v>245</v>
      </c>
      <c r="BO364" s="420">
        <v>10</v>
      </c>
      <c r="BQ364" s="423" t="s">
        <v>245</v>
      </c>
      <c r="BR364" s="422">
        <v>0.1</v>
      </c>
      <c r="BS364" s="395"/>
      <c r="BT364" s="423" t="s">
        <v>223</v>
      </c>
      <c r="BU364" s="422">
        <v>5.4600000000000003E-2</v>
      </c>
      <c r="BW364" s="423" t="s">
        <v>229</v>
      </c>
      <c r="BX364" s="422">
        <v>8</v>
      </c>
      <c r="BZ364" s="423" t="s">
        <v>225</v>
      </c>
      <c r="CA364" s="422">
        <v>7.3499999999999996E-2</v>
      </c>
      <c r="CC364" s="423" t="s">
        <v>245</v>
      </c>
      <c r="CD364" s="422">
        <v>0.12</v>
      </c>
      <c r="CF364" s="423" t="s">
        <v>222</v>
      </c>
      <c r="CG364" s="422">
        <v>1</v>
      </c>
    </row>
    <row r="365" spans="1:85" s="394" customFormat="1" x14ac:dyDescent="0.3">
      <c r="A365" s="182" t="s">
        <v>245</v>
      </c>
      <c r="B365" s="183">
        <v>1</v>
      </c>
      <c r="C365" s="184" t="s">
        <v>272</v>
      </c>
      <c r="D365" s="185">
        <v>1.1399999999999999</v>
      </c>
      <c r="E365" s="185">
        <v>2.0499999999999998</v>
      </c>
      <c r="F365" s="186">
        <v>0.14000000000000001</v>
      </c>
      <c r="G365" s="187">
        <f t="shared" si="308"/>
        <v>0.32717999999999997</v>
      </c>
      <c r="H365" s="188">
        <f t="shared" si="309"/>
        <v>2.3369999999999997</v>
      </c>
      <c r="I365" s="183">
        <f t="shared" si="280"/>
        <v>10</v>
      </c>
      <c r="J365" s="188">
        <f t="shared" si="281"/>
        <v>0.2</v>
      </c>
      <c r="K365" s="183">
        <f t="shared" si="282"/>
        <v>11</v>
      </c>
      <c r="L365" s="189">
        <f t="shared" si="283"/>
        <v>5.8800000000000005E-2</v>
      </c>
      <c r="M365" s="189">
        <f>0.23*2</f>
        <v>0.46</v>
      </c>
      <c r="N365" s="189">
        <f t="shared" si="263"/>
        <v>-0.04</v>
      </c>
      <c r="O365" s="189">
        <f>3.19*0.3</f>
        <v>0.95699999999999996</v>
      </c>
      <c r="P365" s="188">
        <f t="shared" si="284"/>
        <v>2.5758000000000001</v>
      </c>
      <c r="Q365" s="183">
        <f t="shared" si="285"/>
        <v>10</v>
      </c>
      <c r="R365" s="188">
        <f t="shared" si="286"/>
        <v>0.2</v>
      </c>
      <c r="S365" s="183">
        <f t="shared" si="287"/>
        <v>10</v>
      </c>
      <c r="T365" s="189">
        <f t="shared" si="288"/>
        <v>5.8800000000000005E-2</v>
      </c>
      <c r="U365" s="189">
        <f>0.23*2</f>
        <v>0.46</v>
      </c>
      <c r="V365" s="189">
        <f t="shared" si="265"/>
        <v>-0.04</v>
      </c>
      <c r="W365" s="189">
        <f>1.37*0.3</f>
        <v>0.41100000000000003</v>
      </c>
      <c r="X365" s="188">
        <f t="shared" si="289"/>
        <v>2.0297999999999998</v>
      </c>
      <c r="Y365" s="183">
        <f t="shared" si="290"/>
        <v>10</v>
      </c>
      <c r="Z365" s="182">
        <f t="shared" si="291"/>
        <v>0.24</v>
      </c>
      <c r="AA365" s="183">
        <f t="shared" si="292"/>
        <v>6</v>
      </c>
      <c r="AB365" s="189">
        <f t="shared" si="293"/>
        <v>5.8800000000000005E-2</v>
      </c>
      <c r="AC365" s="189">
        <f>0.23*2</f>
        <v>0.46</v>
      </c>
      <c r="AD365" s="189">
        <f t="shared" si="267"/>
        <v>-0.04</v>
      </c>
      <c r="AE365" s="189">
        <v>0</v>
      </c>
      <c r="AF365" s="188">
        <f t="shared" si="294"/>
        <v>2.5287999999999999</v>
      </c>
      <c r="AG365" s="183">
        <f t="shared" si="295"/>
        <v>10</v>
      </c>
      <c r="AH365" s="182">
        <f t="shared" si="296"/>
        <v>0.24</v>
      </c>
      <c r="AI365" s="183">
        <f t="shared" si="297"/>
        <v>5</v>
      </c>
      <c r="AJ365" s="189">
        <f t="shared" si="298"/>
        <v>5.8800000000000005E-2</v>
      </c>
      <c r="AK365" s="189">
        <f>0.23*2</f>
        <v>0.46</v>
      </c>
      <c r="AL365" s="189">
        <f t="shared" si="269"/>
        <v>-0.04</v>
      </c>
      <c r="AM365" s="189">
        <v>0</v>
      </c>
      <c r="AN365" s="188">
        <f t="shared" si="299"/>
        <v>2.5287999999999999</v>
      </c>
      <c r="AO365" s="183">
        <v>0</v>
      </c>
      <c r="AP365" s="182">
        <f t="shared" si="300"/>
        <v>4</v>
      </c>
      <c r="AQ365" s="182">
        <v>1.5</v>
      </c>
      <c r="AR365" s="187">
        <f t="shared" si="310"/>
        <v>0</v>
      </c>
      <c r="AS365" s="187">
        <f t="shared" si="311"/>
        <v>48.631799999999998</v>
      </c>
      <c r="AT365" s="187">
        <f t="shared" si="312"/>
        <v>0</v>
      </c>
      <c r="AU365" s="187">
        <f t="shared" si="313"/>
        <v>0</v>
      </c>
      <c r="AV365" s="187">
        <f t="shared" si="314"/>
        <v>27.816800000000001</v>
      </c>
      <c r="AW365" s="187">
        <f t="shared" si="306"/>
        <v>0</v>
      </c>
      <c r="AX365" s="187">
        <f t="shared" si="307"/>
        <v>6</v>
      </c>
      <c r="AY365" s="388"/>
      <c r="AZ365" s="401" t="s">
        <v>245</v>
      </c>
      <c r="BA365" s="402">
        <v>0.14000000000000001</v>
      </c>
      <c r="BB365" s="395">
        <v>10</v>
      </c>
      <c r="BC365" s="403">
        <v>0.1</v>
      </c>
      <c r="BD365" s="395">
        <v>10</v>
      </c>
      <c r="BE365" s="395">
        <v>0.12</v>
      </c>
      <c r="BF365" s="403">
        <f t="shared" si="276"/>
        <v>5.8800000000000005E-2</v>
      </c>
      <c r="BG365" s="403">
        <f t="shared" si="277"/>
        <v>5.8800000000000005E-2</v>
      </c>
      <c r="BH365" s="404">
        <v>1</v>
      </c>
      <c r="BI365" s="395"/>
      <c r="BK365" s="419" t="s">
        <v>223</v>
      </c>
      <c r="BL365" s="420">
        <v>0.13</v>
      </c>
      <c r="BM365" s="395"/>
      <c r="BN365" s="419" t="s">
        <v>223</v>
      </c>
      <c r="BO365" s="420">
        <v>8</v>
      </c>
      <c r="BQ365" s="423" t="s">
        <v>223</v>
      </c>
      <c r="BR365" s="422">
        <v>0.1</v>
      </c>
      <c r="BS365" s="395"/>
      <c r="BT365" s="423" t="s">
        <v>226</v>
      </c>
      <c r="BU365" s="422">
        <v>4.8300000000000003E-2</v>
      </c>
      <c r="BW365" s="423" t="s">
        <v>232</v>
      </c>
      <c r="BX365" s="422">
        <v>8</v>
      </c>
      <c r="BZ365" s="423" t="s">
        <v>229</v>
      </c>
      <c r="CA365" s="422">
        <v>5.4600000000000003E-2</v>
      </c>
      <c r="CC365" s="423" t="s">
        <v>223</v>
      </c>
      <c r="CD365" s="422">
        <v>0.18</v>
      </c>
      <c r="CF365" s="423" t="s">
        <v>225</v>
      </c>
      <c r="CG365" s="422">
        <v>1</v>
      </c>
    </row>
    <row r="366" spans="1:85" s="394" customFormat="1" x14ac:dyDescent="0.3">
      <c r="A366" s="182" t="s">
        <v>245</v>
      </c>
      <c r="B366" s="183">
        <v>1</v>
      </c>
      <c r="C366" s="184" t="s">
        <v>273</v>
      </c>
      <c r="D366" s="185">
        <v>1.37</v>
      </c>
      <c r="E366" s="185">
        <v>1.85</v>
      </c>
      <c r="F366" s="186">
        <v>0.14000000000000001</v>
      </c>
      <c r="G366" s="187">
        <f t="shared" si="308"/>
        <v>0.35483000000000009</v>
      </c>
      <c r="H366" s="188">
        <f t="shared" si="309"/>
        <v>2.5345000000000004</v>
      </c>
      <c r="I366" s="183">
        <f t="shared" si="280"/>
        <v>10</v>
      </c>
      <c r="J366" s="188">
        <f t="shared" si="281"/>
        <v>0.2</v>
      </c>
      <c r="K366" s="183">
        <f t="shared" si="282"/>
        <v>10</v>
      </c>
      <c r="L366" s="189">
        <f t="shared" si="283"/>
        <v>5.8800000000000005E-2</v>
      </c>
      <c r="M366" s="189">
        <f>0.23*2</f>
        <v>0.46</v>
      </c>
      <c r="N366" s="189">
        <f t="shared" si="263"/>
        <v>-0.04</v>
      </c>
      <c r="O366" s="189">
        <f>1.14*0.3</f>
        <v>0.34199999999999997</v>
      </c>
      <c r="P366" s="188">
        <f t="shared" si="284"/>
        <v>2.1908000000000003</v>
      </c>
      <c r="Q366" s="183">
        <f t="shared" si="285"/>
        <v>10</v>
      </c>
      <c r="R366" s="188">
        <f t="shared" si="286"/>
        <v>0.2</v>
      </c>
      <c r="S366" s="183">
        <f t="shared" si="287"/>
        <v>9</v>
      </c>
      <c r="T366" s="189">
        <f t="shared" si="288"/>
        <v>5.8800000000000005E-2</v>
      </c>
      <c r="U366" s="189">
        <f>0.23*2</f>
        <v>0.46</v>
      </c>
      <c r="V366" s="189">
        <f t="shared" si="265"/>
        <v>-0.04</v>
      </c>
      <c r="W366" s="189">
        <f>1.14*0.3</f>
        <v>0.34199999999999997</v>
      </c>
      <c r="X366" s="188">
        <f t="shared" si="289"/>
        <v>2.1908000000000003</v>
      </c>
      <c r="Y366" s="183">
        <f t="shared" si="290"/>
        <v>10</v>
      </c>
      <c r="Z366" s="182">
        <f t="shared" si="291"/>
        <v>0.24</v>
      </c>
      <c r="AA366" s="183">
        <f t="shared" si="292"/>
        <v>7</v>
      </c>
      <c r="AB366" s="189">
        <f t="shared" si="293"/>
        <v>5.8800000000000005E-2</v>
      </c>
      <c r="AC366" s="189">
        <v>0.23</v>
      </c>
      <c r="AD366" s="189">
        <f t="shared" si="267"/>
        <v>-0.04</v>
      </c>
      <c r="AE366" s="189">
        <v>0</v>
      </c>
      <c r="AF366" s="188">
        <f t="shared" si="294"/>
        <v>2.0988000000000002</v>
      </c>
      <c r="AG366" s="183">
        <f t="shared" si="295"/>
        <v>10</v>
      </c>
      <c r="AH366" s="182">
        <f t="shared" si="296"/>
        <v>0.24</v>
      </c>
      <c r="AI366" s="183">
        <f t="shared" si="297"/>
        <v>6</v>
      </c>
      <c r="AJ366" s="189">
        <f t="shared" si="298"/>
        <v>5.8800000000000005E-2</v>
      </c>
      <c r="AK366" s="189">
        <v>0.23</v>
      </c>
      <c r="AL366" s="189">
        <f t="shared" si="269"/>
        <v>-0.04</v>
      </c>
      <c r="AM366" s="189">
        <v>0</v>
      </c>
      <c r="AN366" s="188">
        <f t="shared" si="299"/>
        <v>2.0988000000000002</v>
      </c>
      <c r="AO366" s="183">
        <v>0</v>
      </c>
      <c r="AP366" s="182">
        <f t="shared" si="300"/>
        <v>4</v>
      </c>
      <c r="AQ366" s="182">
        <v>1.5</v>
      </c>
      <c r="AR366" s="187">
        <f t="shared" si="310"/>
        <v>0</v>
      </c>
      <c r="AS366" s="187">
        <f t="shared" si="311"/>
        <v>41.625200000000007</v>
      </c>
      <c r="AT366" s="187">
        <f t="shared" si="312"/>
        <v>0</v>
      </c>
      <c r="AU366" s="187">
        <f t="shared" si="313"/>
        <v>0</v>
      </c>
      <c r="AV366" s="187">
        <f t="shared" si="314"/>
        <v>27.284400000000002</v>
      </c>
      <c r="AW366" s="187">
        <f t="shared" si="306"/>
        <v>0</v>
      </c>
      <c r="AX366" s="187">
        <f t="shared" si="307"/>
        <v>6</v>
      </c>
      <c r="AY366" s="388"/>
      <c r="AZ366" s="401" t="s">
        <v>223</v>
      </c>
      <c r="BA366" s="402">
        <v>0.13</v>
      </c>
      <c r="BB366" s="395">
        <v>8</v>
      </c>
      <c r="BC366" s="403">
        <v>0.1</v>
      </c>
      <c r="BD366" s="395">
        <v>8</v>
      </c>
      <c r="BE366" s="395">
        <v>0.18</v>
      </c>
      <c r="BF366" s="403">
        <f t="shared" si="276"/>
        <v>5.4600000000000003E-2</v>
      </c>
      <c r="BG366" s="403">
        <f t="shared" si="277"/>
        <v>5.4600000000000003E-2</v>
      </c>
      <c r="BH366" s="404">
        <v>1</v>
      </c>
      <c r="BI366" s="395"/>
      <c r="BK366" s="419" t="s">
        <v>226</v>
      </c>
      <c r="BL366" s="420">
        <v>0.115</v>
      </c>
      <c r="BM366" s="395"/>
      <c r="BN366" s="419" t="s">
        <v>226</v>
      </c>
      <c r="BO366" s="420">
        <v>8</v>
      </c>
      <c r="BQ366" s="423" t="s">
        <v>226</v>
      </c>
      <c r="BR366" s="422">
        <v>0.125</v>
      </c>
      <c r="BS366" s="395"/>
      <c r="BT366" s="423" t="s">
        <v>227</v>
      </c>
      <c r="BU366" s="422">
        <v>5.2499999999999998E-2</v>
      </c>
      <c r="BW366" s="423" t="s">
        <v>239</v>
      </c>
      <c r="BX366" s="422">
        <v>8</v>
      </c>
      <c r="BZ366" s="423" t="s">
        <v>232</v>
      </c>
      <c r="CA366" s="422">
        <v>5.4600000000000003E-2</v>
      </c>
      <c r="CC366" s="423" t="s">
        <v>226</v>
      </c>
      <c r="CD366" s="422">
        <v>0.17499999999999999</v>
      </c>
      <c r="CF366" s="423" t="s">
        <v>229</v>
      </c>
      <c r="CG366" s="422">
        <v>1</v>
      </c>
    </row>
    <row r="367" spans="1:85" s="394" customFormat="1" x14ac:dyDescent="0.3">
      <c r="A367" s="182" t="s">
        <v>245</v>
      </c>
      <c r="B367" s="183">
        <v>1</v>
      </c>
      <c r="C367" s="184" t="s">
        <v>272</v>
      </c>
      <c r="D367" s="185">
        <v>1.1399999999999999</v>
      </c>
      <c r="E367" s="185">
        <v>2.0499999999999998</v>
      </c>
      <c r="F367" s="186">
        <v>0.14000000000000001</v>
      </c>
      <c r="G367" s="187">
        <f t="shared" si="308"/>
        <v>0.32717999999999997</v>
      </c>
      <c r="H367" s="188">
        <f t="shared" si="309"/>
        <v>2.3369999999999997</v>
      </c>
      <c r="I367" s="183">
        <f t="shared" si="280"/>
        <v>10</v>
      </c>
      <c r="J367" s="188">
        <f t="shared" si="281"/>
        <v>0.2</v>
      </c>
      <c r="K367" s="183">
        <f t="shared" si="282"/>
        <v>11</v>
      </c>
      <c r="L367" s="189">
        <f t="shared" si="283"/>
        <v>5.8800000000000005E-2</v>
      </c>
      <c r="M367" s="189">
        <f>0.23*2</f>
        <v>0.46</v>
      </c>
      <c r="N367" s="189">
        <f t="shared" si="263"/>
        <v>-0.04</v>
      </c>
      <c r="O367" s="189">
        <f>1.37*0.3</f>
        <v>0.41100000000000003</v>
      </c>
      <c r="P367" s="188">
        <f t="shared" si="284"/>
        <v>2.0297999999999998</v>
      </c>
      <c r="Q367" s="183">
        <f t="shared" si="285"/>
        <v>10</v>
      </c>
      <c r="R367" s="188">
        <f t="shared" si="286"/>
        <v>0.2</v>
      </c>
      <c r="S367" s="183">
        <f t="shared" si="287"/>
        <v>10</v>
      </c>
      <c r="T367" s="189">
        <f t="shared" si="288"/>
        <v>5.8800000000000005E-2</v>
      </c>
      <c r="U367" s="189">
        <f>0.23*2</f>
        <v>0.46</v>
      </c>
      <c r="V367" s="189">
        <f t="shared" si="265"/>
        <v>-0.04</v>
      </c>
      <c r="W367" s="189">
        <f>3.19*0.3</f>
        <v>0.95699999999999996</v>
      </c>
      <c r="X367" s="188">
        <f t="shared" si="289"/>
        <v>2.5758000000000001</v>
      </c>
      <c r="Y367" s="183">
        <f t="shared" si="290"/>
        <v>10</v>
      </c>
      <c r="Z367" s="182">
        <f t="shared" si="291"/>
        <v>0.24</v>
      </c>
      <c r="AA367" s="183">
        <f t="shared" si="292"/>
        <v>6</v>
      </c>
      <c r="AB367" s="189">
        <f t="shared" si="293"/>
        <v>5.8800000000000005E-2</v>
      </c>
      <c r="AC367" s="189">
        <f>0.23*2</f>
        <v>0.46</v>
      </c>
      <c r="AD367" s="189">
        <f t="shared" si="267"/>
        <v>-0.04</v>
      </c>
      <c r="AE367" s="189">
        <v>0</v>
      </c>
      <c r="AF367" s="188">
        <f t="shared" si="294"/>
        <v>2.5287999999999999</v>
      </c>
      <c r="AG367" s="183">
        <f t="shared" si="295"/>
        <v>10</v>
      </c>
      <c r="AH367" s="182">
        <f t="shared" si="296"/>
        <v>0.24</v>
      </c>
      <c r="AI367" s="183">
        <f t="shared" si="297"/>
        <v>5</v>
      </c>
      <c r="AJ367" s="189">
        <f t="shared" si="298"/>
        <v>5.8800000000000005E-2</v>
      </c>
      <c r="AK367" s="189">
        <f>0.23*2</f>
        <v>0.46</v>
      </c>
      <c r="AL367" s="189">
        <f t="shared" si="269"/>
        <v>-0.04</v>
      </c>
      <c r="AM367" s="189">
        <v>0</v>
      </c>
      <c r="AN367" s="188">
        <f t="shared" si="299"/>
        <v>2.5287999999999999</v>
      </c>
      <c r="AO367" s="183">
        <v>0</v>
      </c>
      <c r="AP367" s="182">
        <f t="shared" si="300"/>
        <v>4</v>
      </c>
      <c r="AQ367" s="182">
        <v>1.5</v>
      </c>
      <c r="AR367" s="187">
        <f t="shared" si="310"/>
        <v>0</v>
      </c>
      <c r="AS367" s="187">
        <f t="shared" si="311"/>
        <v>48.085799999999999</v>
      </c>
      <c r="AT367" s="187">
        <f t="shared" si="312"/>
        <v>0</v>
      </c>
      <c r="AU367" s="187">
        <f t="shared" si="313"/>
        <v>0</v>
      </c>
      <c r="AV367" s="187">
        <f t="shared" si="314"/>
        <v>27.816800000000001</v>
      </c>
      <c r="AW367" s="187">
        <f t="shared" si="306"/>
        <v>0</v>
      </c>
      <c r="AX367" s="187">
        <f t="shared" si="307"/>
        <v>6</v>
      </c>
      <c r="AY367" s="388"/>
      <c r="AZ367" s="401" t="s">
        <v>226</v>
      </c>
      <c r="BA367" s="402">
        <v>0.115</v>
      </c>
      <c r="BB367" s="395">
        <v>8</v>
      </c>
      <c r="BC367" s="395">
        <v>0.125</v>
      </c>
      <c r="BD367" s="395">
        <v>8</v>
      </c>
      <c r="BE367" s="395">
        <v>0.17499999999999999</v>
      </c>
      <c r="BF367" s="403">
        <f t="shared" si="276"/>
        <v>4.8300000000000003E-2</v>
      </c>
      <c r="BG367" s="403"/>
      <c r="BH367" s="404">
        <v>1</v>
      </c>
      <c r="BI367" s="395"/>
      <c r="BK367" s="419" t="s">
        <v>227</v>
      </c>
      <c r="BL367" s="420">
        <v>0.125</v>
      </c>
      <c r="BM367" s="395"/>
      <c r="BN367" s="419" t="s">
        <v>227</v>
      </c>
      <c r="BO367" s="420">
        <v>8</v>
      </c>
      <c r="BQ367" s="423" t="s">
        <v>227</v>
      </c>
      <c r="BR367" s="422">
        <v>0.1</v>
      </c>
      <c r="BS367" s="395"/>
      <c r="BT367" s="423" t="s">
        <v>233</v>
      </c>
      <c r="BU367" s="422">
        <v>6.3E-2</v>
      </c>
      <c r="BW367" s="423" t="s">
        <v>242</v>
      </c>
      <c r="BX367" s="422">
        <v>8</v>
      </c>
      <c r="BZ367" s="423" t="s">
        <v>239</v>
      </c>
      <c r="CA367" s="422">
        <v>5.2499999999999998E-2</v>
      </c>
      <c r="CC367" s="423" t="s">
        <v>227</v>
      </c>
      <c r="CD367" s="422">
        <v>0.1</v>
      </c>
      <c r="CF367" s="423" t="s">
        <v>232</v>
      </c>
      <c r="CG367" s="422">
        <v>1</v>
      </c>
    </row>
    <row r="368" spans="1:85" s="394" customFormat="1" x14ac:dyDescent="0.3">
      <c r="A368" s="182" t="s">
        <v>232</v>
      </c>
      <c r="B368" s="183">
        <v>1</v>
      </c>
      <c r="C368" s="184" t="s">
        <v>473</v>
      </c>
      <c r="D368" s="185">
        <v>3.19</v>
      </c>
      <c r="E368" s="185">
        <v>3.01</v>
      </c>
      <c r="F368" s="186">
        <v>0.13</v>
      </c>
      <c r="G368" s="187">
        <f t="shared" si="308"/>
        <v>1.2482469999999999</v>
      </c>
      <c r="H368" s="188">
        <f t="shared" si="309"/>
        <v>9.6018999999999988</v>
      </c>
      <c r="I368" s="183">
        <f t="shared" si="280"/>
        <v>8</v>
      </c>
      <c r="J368" s="188">
        <f t="shared" si="281"/>
        <v>0.2</v>
      </c>
      <c r="K368" s="183">
        <f t="shared" si="282"/>
        <v>16</v>
      </c>
      <c r="L368" s="189">
        <f t="shared" si="283"/>
        <v>5.4600000000000003E-2</v>
      </c>
      <c r="M368" s="189">
        <f>0.23*2</f>
        <v>0.46</v>
      </c>
      <c r="N368" s="189">
        <f t="shared" si="263"/>
        <v>-0.04</v>
      </c>
      <c r="O368" s="189">
        <f>1.14*0.3</f>
        <v>0.34199999999999997</v>
      </c>
      <c r="P368" s="188">
        <f t="shared" si="284"/>
        <v>4.0065999999999997</v>
      </c>
      <c r="Q368" s="183">
        <f t="shared" si="285"/>
        <v>8</v>
      </c>
      <c r="R368" s="188">
        <f t="shared" si="286"/>
        <v>0.2</v>
      </c>
      <c r="S368" s="183">
        <f t="shared" si="287"/>
        <v>15</v>
      </c>
      <c r="T368" s="189">
        <f t="shared" si="288"/>
        <v>5.4600000000000003E-2</v>
      </c>
      <c r="U368" s="189">
        <f>0.23*2</f>
        <v>0.46</v>
      </c>
      <c r="V368" s="189">
        <f t="shared" si="265"/>
        <v>-0.04</v>
      </c>
      <c r="W368" s="189">
        <f>3.03*0.3</f>
        <v>0.90899999999999992</v>
      </c>
      <c r="X368" s="188">
        <f t="shared" si="289"/>
        <v>4.5735999999999999</v>
      </c>
      <c r="Y368" s="183">
        <f t="shared" si="290"/>
        <v>8</v>
      </c>
      <c r="Z368" s="182">
        <f t="shared" si="291"/>
        <v>0.24</v>
      </c>
      <c r="AA368" s="183">
        <f t="shared" si="292"/>
        <v>14</v>
      </c>
      <c r="AB368" s="189">
        <f t="shared" si="293"/>
        <v>5.4600000000000003E-2</v>
      </c>
      <c r="AC368" s="189">
        <f>0.3+0.23</f>
        <v>0.53</v>
      </c>
      <c r="AD368" s="189">
        <f t="shared" si="267"/>
        <v>-0.04</v>
      </c>
      <c r="AE368" s="189">
        <f>2.45*0.3</f>
        <v>0.73499999999999999</v>
      </c>
      <c r="AF368" s="188">
        <f t="shared" si="294"/>
        <v>4.2896000000000001</v>
      </c>
      <c r="AG368" s="183">
        <f t="shared" si="295"/>
        <v>8</v>
      </c>
      <c r="AH368" s="182">
        <f t="shared" si="296"/>
        <v>0.24</v>
      </c>
      <c r="AI368" s="183">
        <f t="shared" si="297"/>
        <v>13</v>
      </c>
      <c r="AJ368" s="189">
        <f t="shared" si="298"/>
        <v>5.4600000000000003E-2</v>
      </c>
      <c r="AK368" s="189">
        <f>0.3+0.23</f>
        <v>0.53</v>
      </c>
      <c r="AL368" s="189">
        <f t="shared" si="269"/>
        <v>-0.04</v>
      </c>
      <c r="AM368" s="189">
        <f>5.96*0.3</f>
        <v>1.788</v>
      </c>
      <c r="AN368" s="188">
        <f t="shared" si="299"/>
        <v>5.3426</v>
      </c>
      <c r="AO368" s="183">
        <v>0</v>
      </c>
      <c r="AP368" s="182">
        <f t="shared" si="300"/>
        <v>8</v>
      </c>
      <c r="AQ368" s="182">
        <v>1.5</v>
      </c>
      <c r="AR368" s="187">
        <f t="shared" si="310"/>
        <v>132.70959999999999</v>
      </c>
      <c r="AS368" s="187">
        <f t="shared" si="311"/>
        <v>0</v>
      </c>
      <c r="AT368" s="187">
        <f t="shared" si="312"/>
        <v>0</v>
      </c>
      <c r="AU368" s="187">
        <f t="shared" si="313"/>
        <v>129.50819999999999</v>
      </c>
      <c r="AV368" s="187">
        <f t="shared" si="314"/>
        <v>0</v>
      </c>
      <c r="AW368" s="187">
        <f t="shared" si="306"/>
        <v>0</v>
      </c>
      <c r="AX368" s="187">
        <f t="shared" si="307"/>
        <v>12</v>
      </c>
      <c r="AY368" s="388"/>
      <c r="AZ368" s="401" t="s">
        <v>227</v>
      </c>
      <c r="BA368" s="402">
        <v>0.125</v>
      </c>
      <c r="BB368" s="395">
        <v>8</v>
      </c>
      <c r="BC368" s="395">
        <v>0.1</v>
      </c>
      <c r="BD368" s="395">
        <v>8</v>
      </c>
      <c r="BE368" s="395">
        <v>0.1</v>
      </c>
      <c r="BF368" s="403">
        <f t="shared" si="276"/>
        <v>5.2499999999999998E-2</v>
      </c>
      <c r="BG368" s="403">
        <f t="shared" ref="BG368:BG370" si="315">BA368*0.42</f>
        <v>5.2499999999999998E-2</v>
      </c>
      <c r="BH368" s="404">
        <v>1</v>
      </c>
      <c r="BI368" s="395"/>
      <c r="BK368" s="424" t="s">
        <v>233</v>
      </c>
      <c r="BL368" s="425">
        <v>0.15</v>
      </c>
      <c r="BM368" s="395"/>
      <c r="BN368" s="424" t="s">
        <v>233</v>
      </c>
      <c r="BO368" s="425">
        <v>10</v>
      </c>
      <c r="BQ368" s="426" t="s">
        <v>233</v>
      </c>
      <c r="BR368" s="427">
        <v>8.5000000000000006E-2</v>
      </c>
      <c r="BT368" s="426" t="s">
        <v>230</v>
      </c>
      <c r="BU368" s="427">
        <v>6.93E-2</v>
      </c>
      <c r="BW368" s="426" t="s">
        <v>245</v>
      </c>
      <c r="BX368" s="427">
        <v>10</v>
      </c>
      <c r="BZ368" s="423" t="s">
        <v>242</v>
      </c>
      <c r="CA368" s="422">
        <v>5.8800000000000005E-2</v>
      </c>
      <c r="CC368" s="426" t="s">
        <v>233</v>
      </c>
      <c r="CD368" s="427">
        <v>0.125</v>
      </c>
      <c r="CF368" s="426" t="s">
        <v>239</v>
      </c>
      <c r="CG368" s="427">
        <v>1</v>
      </c>
    </row>
    <row r="369" spans="1:85" s="394" customFormat="1" x14ac:dyDescent="0.3">
      <c r="A369" s="182" t="s">
        <v>232</v>
      </c>
      <c r="B369" s="183">
        <v>1</v>
      </c>
      <c r="C369" s="184" t="s">
        <v>474</v>
      </c>
      <c r="D369" s="185">
        <v>3.03</v>
      </c>
      <c r="E369" s="185">
        <v>2.94</v>
      </c>
      <c r="F369" s="186">
        <v>0.13</v>
      </c>
      <c r="G369" s="187">
        <f t="shared" si="308"/>
        <v>1.1580659999999998</v>
      </c>
      <c r="H369" s="188">
        <f t="shared" si="309"/>
        <v>8.908199999999999</v>
      </c>
      <c r="I369" s="183">
        <f t="shared" si="280"/>
        <v>8</v>
      </c>
      <c r="J369" s="188">
        <f t="shared" si="281"/>
        <v>0.2</v>
      </c>
      <c r="K369" s="183">
        <f t="shared" si="282"/>
        <v>16</v>
      </c>
      <c r="L369" s="189">
        <f t="shared" si="283"/>
        <v>5.4600000000000003E-2</v>
      </c>
      <c r="M369" s="189">
        <f>0.23+0.3</f>
        <v>0.53</v>
      </c>
      <c r="N369" s="189">
        <f t="shared" si="263"/>
        <v>-0.04</v>
      </c>
      <c r="O369" s="189">
        <f>3.19*0.3</f>
        <v>0.95699999999999996</v>
      </c>
      <c r="P369" s="188">
        <f t="shared" si="284"/>
        <v>4.5315999999999992</v>
      </c>
      <c r="Q369" s="183">
        <f t="shared" si="285"/>
        <v>8</v>
      </c>
      <c r="R369" s="188">
        <f t="shared" si="286"/>
        <v>0.2</v>
      </c>
      <c r="S369" s="183">
        <f t="shared" si="287"/>
        <v>15</v>
      </c>
      <c r="T369" s="189">
        <f t="shared" si="288"/>
        <v>5.4600000000000003E-2</v>
      </c>
      <c r="U369" s="189">
        <f>0.23+0.3</f>
        <v>0.53</v>
      </c>
      <c r="V369" s="189">
        <f t="shared" si="265"/>
        <v>-0.04</v>
      </c>
      <c r="W369" s="189">
        <f>3.73*0.3</f>
        <v>1.119</v>
      </c>
      <c r="X369" s="188">
        <f t="shared" si="289"/>
        <v>4.6936</v>
      </c>
      <c r="Y369" s="183">
        <f t="shared" si="290"/>
        <v>8</v>
      </c>
      <c r="Z369" s="182">
        <f t="shared" si="291"/>
        <v>0.24</v>
      </c>
      <c r="AA369" s="183">
        <f t="shared" si="292"/>
        <v>14</v>
      </c>
      <c r="AB369" s="189">
        <f t="shared" si="293"/>
        <v>5.4600000000000003E-2</v>
      </c>
      <c r="AC369" s="189">
        <f>0.3*2</f>
        <v>0.6</v>
      </c>
      <c r="AD369" s="189">
        <f t="shared" si="267"/>
        <v>-0.04</v>
      </c>
      <c r="AE369" s="189">
        <f>2.41*0.3</f>
        <v>0.72299999999999998</v>
      </c>
      <c r="AF369" s="188">
        <f t="shared" si="294"/>
        <v>4.2775999999999996</v>
      </c>
      <c r="AG369" s="183">
        <f t="shared" si="295"/>
        <v>8</v>
      </c>
      <c r="AH369" s="182">
        <f t="shared" si="296"/>
        <v>0.24</v>
      </c>
      <c r="AI369" s="183">
        <f t="shared" si="297"/>
        <v>13</v>
      </c>
      <c r="AJ369" s="189">
        <f t="shared" si="298"/>
        <v>5.4600000000000003E-2</v>
      </c>
      <c r="AK369" s="189">
        <f>0.3*2</f>
        <v>0.6</v>
      </c>
      <c r="AL369" s="189">
        <f t="shared" si="269"/>
        <v>-0.04</v>
      </c>
      <c r="AM369" s="189">
        <f>5.96*0.3</f>
        <v>1.788</v>
      </c>
      <c r="AN369" s="188">
        <f t="shared" si="299"/>
        <v>5.3426</v>
      </c>
      <c r="AO369" s="183">
        <v>0</v>
      </c>
      <c r="AP369" s="182">
        <f t="shared" si="300"/>
        <v>8</v>
      </c>
      <c r="AQ369" s="182">
        <v>1.5</v>
      </c>
      <c r="AR369" s="187">
        <f t="shared" si="310"/>
        <v>142.90959999999998</v>
      </c>
      <c r="AS369" s="187">
        <f t="shared" si="311"/>
        <v>0</v>
      </c>
      <c r="AT369" s="187">
        <f t="shared" si="312"/>
        <v>0</v>
      </c>
      <c r="AU369" s="187">
        <f t="shared" si="313"/>
        <v>129.34019999999998</v>
      </c>
      <c r="AV369" s="187">
        <f t="shared" si="314"/>
        <v>0</v>
      </c>
      <c r="AW369" s="187">
        <f t="shared" si="306"/>
        <v>0</v>
      </c>
      <c r="AX369" s="187">
        <f t="shared" si="307"/>
        <v>12</v>
      </c>
      <c r="AY369" s="388"/>
      <c r="AZ369" s="401" t="s">
        <v>233</v>
      </c>
      <c r="BA369" s="402">
        <v>0.15</v>
      </c>
      <c r="BB369" s="395">
        <v>10</v>
      </c>
      <c r="BC369" s="395">
        <v>8.5000000000000006E-2</v>
      </c>
      <c r="BD369" s="395">
        <v>10</v>
      </c>
      <c r="BE369" s="395">
        <v>0.125</v>
      </c>
      <c r="BF369" s="403">
        <f t="shared" si="276"/>
        <v>6.3E-2</v>
      </c>
      <c r="BG369" s="403">
        <f t="shared" si="315"/>
        <v>6.3E-2</v>
      </c>
      <c r="BH369" s="404">
        <v>1</v>
      </c>
      <c r="BI369" s="395"/>
      <c r="BK369" s="419" t="s">
        <v>230</v>
      </c>
      <c r="BL369" s="420">
        <v>0.16500000000000001</v>
      </c>
      <c r="BM369" s="395"/>
      <c r="BN369" s="419" t="s">
        <v>230</v>
      </c>
      <c r="BO369" s="420">
        <v>10</v>
      </c>
      <c r="BQ369" s="423" t="s">
        <v>230</v>
      </c>
      <c r="BR369" s="422">
        <v>0.115</v>
      </c>
      <c r="BT369" s="423" t="s">
        <v>234</v>
      </c>
      <c r="BU369" s="422">
        <v>6.3E-2</v>
      </c>
      <c r="BW369" s="423" t="s">
        <v>238</v>
      </c>
      <c r="BX369" s="422"/>
      <c r="BZ369" s="423" t="s">
        <v>245</v>
      </c>
      <c r="CA369" s="422">
        <v>5.8800000000000005E-2</v>
      </c>
      <c r="CC369" s="423" t="s">
        <v>230</v>
      </c>
      <c r="CD369" s="422">
        <v>0.115</v>
      </c>
      <c r="CF369" s="423" t="s">
        <v>242</v>
      </c>
      <c r="CG369" s="422">
        <v>1</v>
      </c>
    </row>
    <row r="370" spans="1:85" s="394" customFormat="1" x14ac:dyDescent="0.3">
      <c r="A370" s="182" t="s">
        <v>242</v>
      </c>
      <c r="B370" s="183">
        <v>1</v>
      </c>
      <c r="C370" s="184" t="s">
        <v>475</v>
      </c>
      <c r="D370" s="185">
        <v>3.73</v>
      </c>
      <c r="E370" s="185">
        <v>5.65</v>
      </c>
      <c r="F370" s="186">
        <v>0.14000000000000001</v>
      </c>
      <c r="G370" s="187">
        <f t="shared" si="308"/>
        <v>2.9504300000000003</v>
      </c>
      <c r="H370" s="188">
        <f t="shared" si="309"/>
        <v>21.0745</v>
      </c>
      <c r="I370" s="183">
        <f t="shared" si="280"/>
        <v>10</v>
      </c>
      <c r="J370" s="188">
        <f t="shared" si="281"/>
        <v>0.2</v>
      </c>
      <c r="K370" s="183">
        <f t="shared" si="282"/>
        <v>29</v>
      </c>
      <c r="L370" s="189">
        <f t="shared" si="283"/>
        <v>5.8800000000000005E-2</v>
      </c>
      <c r="M370" s="189">
        <f>0.3+0.45</f>
        <v>0.75</v>
      </c>
      <c r="N370" s="189">
        <f t="shared" si="263"/>
        <v>-0.04</v>
      </c>
      <c r="O370" s="189">
        <f>3.03*0.3</f>
        <v>0.90899999999999992</v>
      </c>
      <c r="P370" s="188">
        <f t="shared" si="284"/>
        <v>5.4077999999999999</v>
      </c>
      <c r="Q370" s="183">
        <f t="shared" si="285"/>
        <v>10</v>
      </c>
      <c r="R370" s="188">
        <f t="shared" si="286"/>
        <v>0.2</v>
      </c>
      <c r="S370" s="183">
        <f t="shared" si="287"/>
        <v>28</v>
      </c>
      <c r="T370" s="189">
        <f t="shared" si="288"/>
        <v>5.8800000000000005E-2</v>
      </c>
      <c r="U370" s="189">
        <f>0.3+0.45</f>
        <v>0.75</v>
      </c>
      <c r="V370" s="189">
        <f t="shared" si="265"/>
        <v>-0.04</v>
      </c>
      <c r="W370" s="189">
        <f>2.6*0.3</f>
        <v>0.78</v>
      </c>
      <c r="X370" s="188">
        <f t="shared" si="289"/>
        <v>5.2788000000000004</v>
      </c>
      <c r="Y370" s="183">
        <f t="shared" si="290"/>
        <v>8</v>
      </c>
      <c r="Z370" s="182">
        <f t="shared" si="291"/>
        <v>0.3</v>
      </c>
      <c r="AA370" s="183">
        <f t="shared" si="292"/>
        <v>13</v>
      </c>
      <c r="AB370" s="189">
        <f t="shared" si="293"/>
        <v>5.8800000000000005E-2</v>
      </c>
      <c r="AC370" s="189">
        <f>0.3+0.38</f>
        <v>0.67999999999999994</v>
      </c>
      <c r="AD370" s="189">
        <f t="shared" si="267"/>
        <v>-0.04</v>
      </c>
      <c r="AE370" s="189">
        <f>3.27*0.3</f>
        <v>0.98099999999999998</v>
      </c>
      <c r="AF370" s="188">
        <f t="shared" si="294"/>
        <v>7.3298000000000005</v>
      </c>
      <c r="AG370" s="183">
        <f t="shared" si="295"/>
        <v>8</v>
      </c>
      <c r="AH370" s="182">
        <f t="shared" si="296"/>
        <v>0.3</v>
      </c>
      <c r="AI370" s="183">
        <f t="shared" si="297"/>
        <v>12</v>
      </c>
      <c r="AJ370" s="189">
        <f t="shared" si="298"/>
        <v>5.8800000000000005E-2</v>
      </c>
      <c r="AK370" s="189">
        <f>0.3+0.38</f>
        <v>0.67999999999999994</v>
      </c>
      <c r="AL370" s="189">
        <f t="shared" si="269"/>
        <v>-0.04</v>
      </c>
      <c r="AM370" s="189">
        <f>5.96*0.3</f>
        <v>1.788</v>
      </c>
      <c r="AN370" s="188">
        <f t="shared" si="299"/>
        <v>8.1368000000000009</v>
      </c>
      <c r="AO370" s="183">
        <v>0</v>
      </c>
      <c r="AP370" s="182">
        <f t="shared" si="300"/>
        <v>12</v>
      </c>
      <c r="AQ370" s="182">
        <v>1.5</v>
      </c>
      <c r="AR370" s="187">
        <f t="shared" si="310"/>
        <v>0</v>
      </c>
      <c r="AS370" s="187">
        <f t="shared" si="311"/>
        <v>304.63260000000002</v>
      </c>
      <c r="AT370" s="187">
        <f t="shared" si="312"/>
        <v>0</v>
      </c>
      <c r="AU370" s="187">
        <f t="shared" si="313"/>
        <v>192.92900000000003</v>
      </c>
      <c r="AV370" s="187">
        <f t="shared" si="314"/>
        <v>0</v>
      </c>
      <c r="AW370" s="187">
        <f t="shared" si="306"/>
        <v>0</v>
      </c>
      <c r="AX370" s="187">
        <f t="shared" si="307"/>
        <v>18</v>
      </c>
      <c r="AY370" s="388"/>
      <c r="AZ370" s="401" t="s">
        <v>230</v>
      </c>
      <c r="BA370" s="428">
        <v>0.16500000000000001</v>
      </c>
      <c r="BB370" s="395">
        <v>10</v>
      </c>
      <c r="BC370" s="395">
        <v>0.115</v>
      </c>
      <c r="BD370" s="395">
        <v>8</v>
      </c>
      <c r="BE370" s="395">
        <v>0.115</v>
      </c>
      <c r="BF370" s="403">
        <f t="shared" si="276"/>
        <v>6.93E-2</v>
      </c>
      <c r="BG370" s="403">
        <f t="shared" si="315"/>
        <v>6.93E-2</v>
      </c>
      <c r="BH370" s="404">
        <v>1</v>
      </c>
      <c r="BI370" s="395"/>
      <c r="BK370" s="419" t="s">
        <v>234</v>
      </c>
      <c r="BL370" s="420">
        <v>0.15</v>
      </c>
      <c r="BM370" s="395"/>
      <c r="BN370" s="419" t="s">
        <v>234</v>
      </c>
      <c r="BO370" s="420">
        <v>12</v>
      </c>
      <c r="BQ370" s="423" t="s">
        <v>234</v>
      </c>
      <c r="BR370" s="422">
        <v>0.1</v>
      </c>
      <c r="BT370" s="423" t="s">
        <v>243</v>
      </c>
      <c r="BU370" s="422">
        <v>6.3E-2</v>
      </c>
      <c r="BW370" s="423" t="s">
        <v>234</v>
      </c>
      <c r="BX370" s="422">
        <v>8</v>
      </c>
      <c r="BZ370" s="426" t="s">
        <v>226</v>
      </c>
      <c r="CA370" s="427"/>
      <c r="CC370" s="423" t="s">
        <v>234</v>
      </c>
      <c r="CD370" s="422">
        <v>0.15</v>
      </c>
      <c r="CF370" s="423" t="s">
        <v>245</v>
      </c>
      <c r="CG370" s="422">
        <v>1</v>
      </c>
    </row>
    <row r="371" spans="1:85" s="395" customFormat="1" x14ac:dyDescent="0.3">
      <c r="A371" s="182" t="s">
        <v>223</v>
      </c>
      <c r="B371" s="183">
        <v>1</v>
      </c>
      <c r="C371" s="184" t="s">
        <v>476</v>
      </c>
      <c r="D371" s="185">
        <v>2.6</v>
      </c>
      <c r="E371" s="185">
        <v>9.66</v>
      </c>
      <c r="F371" s="186">
        <v>0.13</v>
      </c>
      <c r="G371" s="187">
        <f>D371*E371*F371*B371</f>
        <v>3.2650800000000002</v>
      </c>
      <c r="H371" s="188">
        <f>D371*E371*B371</f>
        <v>25.116</v>
      </c>
      <c r="I371" s="183">
        <f t="shared" si="280"/>
        <v>8</v>
      </c>
      <c r="J371" s="188">
        <f t="shared" si="281"/>
        <v>0.2</v>
      </c>
      <c r="K371" s="183">
        <f t="shared" si="282"/>
        <v>49</v>
      </c>
      <c r="L371" s="189">
        <f t="shared" si="283"/>
        <v>5.4600000000000003E-2</v>
      </c>
      <c r="M371" s="189">
        <f>0.45*2</f>
        <v>0.9</v>
      </c>
      <c r="N371" s="189">
        <f t="shared" si="263"/>
        <v>-0.04</v>
      </c>
      <c r="O371" s="189">
        <f>3.73*0.3</f>
        <v>1.119</v>
      </c>
      <c r="P371" s="188">
        <f t="shared" si="284"/>
        <v>4.6335999999999995</v>
      </c>
      <c r="Q371" s="183">
        <f t="shared" si="285"/>
        <v>8</v>
      </c>
      <c r="R371" s="188">
        <f t="shared" si="286"/>
        <v>0.2</v>
      </c>
      <c r="S371" s="183">
        <f t="shared" si="287"/>
        <v>48</v>
      </c>
      <c r="T371" s="189">
        <f t="shared" si="288"/>
        <v>5.4600000000000003E-2</v>
      </c>
      <c r="U371" s="189">
        <f>0.45*2</f>
        <v>0.9</v>
      </c>
      <c r="V371" s="189">
        <f t="shared" si="265"/>
        <v>-0.04</v>
      </c>
      <c r="W371" s="189">
        <f>2.68*0.3</f>
        <v>0.80400000000000005</v>
      </c>
      <c r="X371" s="188">
        <f t="shared" si="289"/>
        <v>4.3186</v>
      </c>
      <c r="Y371" s="183">
        <f t="shared" si="290"/>
        <v>8</v>
      </c>
      <c r="Z371" s="182">
        <f t="shared" si="291"/>
        <v>0.36</v>
      </c>
      <c r="AA371" s="183">
        <f t="shared" si="292"/>
        <v>8</v>
      </c>
      <c r="AB371" s="189">
        <f t="shared" si="293"/>
        <v>5.4600000000000003E-2</v>
      </c>
      <c r="AC371" s="189">
        <f>0.38+0.3</f>
        <v>0.67999999999999994</v>
      </c>
      <c r="AD371" s="189">
        <f t="shared" si="267"/>
        <v>-0.04</v>
      </c>
      <c r="AE371" s="189">
        <f>2.85*0.3</f>
        <v>0.85499999999999998</v>
      </c>
      <c r="AF371" s="188">
        <f t="shared" si="294"/>
        <v>11.2096</v>
      </c>
      <c r="AG371" s="183">
        <f t="shared" si="295"/>
        <v>8</v>
      </c>
      <c r="AH371" s="182">
        <f t="shared" si="296"/>
        <v>0.36</v>
      </c>
      <c r="AI371" s="183">
        <f t="shared" si="297"/>
        <v>7</v>
      </c>
      <c r="AJ371" s="189">
        <f t="shared" si="298"/>
        <v>5.4600000000000003E-2</v>
      </c>
      <c r="AK371" s="189">
        <f>0.38+0.3</f>
        <v>0.67999999999999994</v>
      </c>
      <c r="AL371" s="189">
        <f t="shared" si="269"/>
        <v>-0.04</v>
      </c>
      <c r="AM371" s="189">
        <f>5.92*0.3</f>
        <v>1.776</v>
      </c>
      <c r="AN371" s="188">
        <f t="shared" si="299"/>
        <v>12.130600000000001</v>
      </c>
      <c r="AO371" s="183">
        <v>0</v>
      </c>
      <c r="AP371" s="182">
        <f t="shared" si="300"/>
        <v>16</v>
      </c>
      <c r="AQ371" s="182">
        <v>1.5</v>
      </c>
      <c r="AR371" s="187">
        <f t="shared" si="310"/>
        <v>434.33920000000001</v>
      </c>
      <c r="AS371" s="187">
        <f t="shared" si="311"/>
        <v>0</v>
      </c>
      <c r="AT371" s="187">
        <f t="shared" si="312"/>
        <v>0</v>
      </c>
      <c r="AU371" s="187">
        <f t="shared" si="313"/>
        <v>174.59100000000001</v>
      </c>
      <c r="AV371" s="187">
        <f t="shared" si="314"/>
        <v>0</v>
      </c>
      <c r="AW371" s="187">
        <f t="shared" si="306"/>
        <v>0</v>
      </c>
      <c r="AX371" s="187">
        <f t="shared" si="307"/>
        <v>24</v>
      </c>
      <c r="AY371" s="388"/>
      <c r="AZ371" s="401" t="s">
        <v>234</v>
      </c>
      <c r="BA371" s="428">
        <v>0.15</v>
      </c>
      <c r="BB371" s="395">
        <v>12</v>
      </c>
      <c r="BC371" s="395">
        <v>0.1</v>
      </c>
      <c r="BD371" s="395">
        <v>8</v>
      </c>
      <c r="BE371" s="395">
        <v>0.15</v>
      </c>
      <c r="BF371" s="403">
        <f t="shared" si="276"/>
        <v>6.3E-2</v>
      </c>
      <c r="BG371" s="403"/>
      <c r="BH371" s="404">
        <v>1</v>
      </c>
      <c r="BK371" s="419" t="s">
        <v>243</v>
      </c>
      <c r="BL371" s="420">
        <v>0.15</v>
      </c>
      <c r="BN371" s="419" t="s">
        <v>243</v>
      </c>
      <c r="BO371" s="420">
        <v>10</v>
      </c>
      <c r="BQ371" s="429" t="s">
        <v>243</v>
      </c>
      <c r="BR371" s="430">
        <v>0.1</v>
      </c>
      <c r="BT371" s="423" t="s">
        <v>254</v>
      </c>
      <c r="BU371" s="422">
        <v>6.3E-2</v>
      </c>
      <c r="BW371" s="429" t="s">
        <v>243</v>
      </c>
      <c r="BX371" s="430">
        <v>8</v>
      </c>
      <c r="BZ371" s="423" t="s">
        <v>233</v>
      </c>
      <c r="CA371" s="422">
        <v>6.3E-2</v>
      </c>
      <c r="CC371" s="429" t="s">
        <v>243</v>
      </c>
      <c r="CD371" s="430">
        <v>0.12</v>
      </c>
      <c r="CF371" s="429" t="s">
        <v>238</v>
      </c>
      <c r="CG371" s="430"/>
    </row>
    <row r="372" spans="1:85" s="395" customFormat="1" x14ac:dyDescent="0.3">
      <c r="A372" s="182" t="s">
        <v>223</v>
      </c>
      <c r="B372" s="183">
        <v>1</v>
      </c>
      <c r="C372" s="184" t="s">
        <v>477</v>
      </c>
      <c r="D372" s="185">
        <v>2.68</v>
      </c>
      <c r="E372" s="185">
        <v>10.26</v>
      </c>
      <c r="F372" s="186">
        <v>0.13</v>
      </c>
      <c r="G372" s="187">
        <f t="shared" ref="G372:G383" si="316">D372*E372*F372*B372</f>
        <v>3.5745840000000002</v>
      </c>
      <c r="H372" s="188">
        <f t="shared" ref="H372:H383" si="317">D372*E372*B372</f>
        <v>27.4968</v>
      </c>
      <c r="I372" s="183">
        <f t="shared" si="280"/>
        <v>8</v>
      </c>
      <c r="J372" s="188">
        <f t="shared" si="281"/>
        <v>0.2</v>
      </c>
      <c r="K372" s="183">
        <f t="shared" si="282"/>
        <v>52</v>
      </c>
      <c r="L372" s="189">
        <f t="shared" si="283"/>
        <v>5.4600000000000003E-2</v>
      </c>
      <c r="M372" s="189">
        <f>0.45*2</f>
        <v>0.9</v>
      </c>
      <c r="N372" s="189">
        <f t="shared" si="263"/>
        <v>-0.04</v>
      </c>
      <c r="O372" s="189">
        <f>2.6*0.3</f>
        <v>0.78</v>
      </c>
      <c r="P372" s="188">
        <f t="shared" si="284"/>
        <v>4.3746</v>
      </c>
      <c r="Q372" s="183">
        <f t="shared" si="285"/>
        <v>8</v>
      </c>
      <c r="R372" s="188">
        <f t="shared" si="286"/>
        <v>0.2</v>
      </c>
      <c r="S372" s="183">
        <f t="shared" si="287"/>
        <v>51</v>
      </c>
      <c r="T372" s="189">
        <f t="shared" si="288"/>
        <v>5.4600000000000003E-2</v>
      </c>
      <c r="U372" s="189">
        <f>0.45*2</f>
        <v>0.9</v>
      </c>
      <c r="V372" s="189">
        <f t="shared" si="265"/>
        <v>-0.04</v>
      </c>
      <c r="W372" s="189">
        <f>F372-2*0.02</f>
        <v>0.09</v>
      </c>
      <c r="X372" s="188">
        <f t="shared" si="289"/>
        <v>3.6846000000000001</v>
      </c>
      <c r="Y372" s="183">
        <f t="shared" si="290"/>
        <v>8</v>
      </c>
      <c r="Z372" s="182">
        <f t="shared" si="291"/>
        <v>0.36</v>
      </c>
      <c r="AA372" s="183">
        <f t="shared" si="292"/>
        <v>8</v>
      </c>
      <c r="AB372" s="189">
        <f t="shared" si="293"/>
        <v>5.4600000000000003E-2</v>
      </c>
      <c r="AC372" s="189">
        <f>0.38+0.3</f>
        <v>0.67999999999999994</v>
      </c>
      <c r="AD372" s="189">
        <f t="shared" si="267"/>
        <v>-0.04</v>
      </c>
      <c r="AE372" s="189">
        <f>2.01*0.3</f>
        <v>0.60299999999999987</v>
      </c>
      <c r="AF372" s="188">
        <f t="shared" si="294"/>
        <v>11.557599999999999</v>
      </c>
      <c r="AG372" s="183">
        <f t="shared" si="295"/>
        <v>8</v>
      </c>
      <c r="AH372" s="182">
        <f t="shared" si="296"/>
        <v>0.36</v>
      </c>
      <c r="AI372" s="183">
        <f t="shared" si="297"/>
        <v>7</v>
      </c>
      <c r="AJ372" s="189">
        <f t="shared" si="298"/>
        <v>5.4600000000000003E-2</v>
      </c>
      <c r="AK372" s="189">
        <f>0.38+0.3</f>
        <v>0.67999999999999994</v>
      </c>
      <c r="AL372" s="189">
        <f t="shared" si="269"/>
        <v>-0.04</v>
      </c>
      <c r="AM372" s="189">
        <f>5.92*0.3</f>
        <v>1.776</v>
      </c>
      <c r="AN372" s="188">
        <f t="shared" si="299"/>
        <v>12.730599999999999</v>
      </c>
      <c r="AO372" s="183">
        <v>0</v>
      </c>
      <c r="AP372" s="182">
        <f t="shared" si="300"/>
        <v>18</v>
      </c>
      <c r="AQ372" s="182">
        <v>1.5</v>
      </c>
      <c r="AR372" s="187">
        <f t="shared" si="310"/>
        <v>415.3938</v>
      </c>
      <c r="AS372" s="187">
        <f t="shared" si="311"/>
        <v>0</v>
      </c>
      <c r="AT372" s="187">
        <f t="shared" si="312"/>
        <v>0</v>
      </c>
      <c r="AU372" s="187">
        <f t="shared" si="313"/>
        <v>181.57499999999999</v>
      </c>
      <c r="AV372" s="187">
        <f t="shared" si="314"/>
        <v>0</v>
      </c>
      <c r="AW372" s="187">
        <f t="shared" si="306"/>
        <v>0</v>
      </c>
      <c r="AX372" s="187">
        <f t="shared" si="307"/>
        <v>27</v>
      </c>
      <c r="AY372" s="388"/>
      <c r="AZ372" s="401" t="s">
        <v>243</v>
      </c>
      <c r="BA372" s="428">
        <v>0.15</v>
      </c>
      <c r="BB372" s="395">
        <v>10</v>
      </c>
      <c r="BC372" s="395">
        <v>0.1</v>
      </c>
      <c r="BD372" s="395">
        <v>8</v>
      </c>
      <c r="BE372" s="395">
        <v>0.12</v>
      </c>
      <c r="BF372" s="403">
        <f t="shared" si="276"/>
        <v>6.3E-2</v>
      </c>
      <c r="BG372" s="403">
        <f t="shared" ref="BG372:BG376" si="318">BA372*0.42</f>
        <v>6.3E-2</v>
      </c>
      <c r="BH372" s="404">
        <v>1</v>
      </c>
      <c r="BK372" s="419" t="s">
        <v>254</v>
      </c>
      <c r="BL372" s="420">
        <v>0.15</v>
      </c>
      <c r="BN372" s="419" t="s">
        <v>254</v>
      </c>
      <c r="BO372" s="420">
        <v>10</v>
      </c>
      <c r="BQ372" s="423" t="s">
        <v>254</v>
      </c>
      <c r="BR372" s="422">
        <v>0.09</v>
      </c>
      <c r="BT372" s="423" t="s">
        <v>236</v>
      </c>
      <c r="BU372" s="422">
        <v>6.93E-2</v>
      </c>
      <c r="BW372" s="423" t="s">
        <v>254</v>
      </c>
      <c r="BX372" s="422">
        <v>8</v>
      </c>
      <c r="BZ372" s="423" t="s">
        <v>243</v>
      </c>
      <c r="CA372" s="422">
        <v>6.3E-2</v>
      </c>
      <c r="CC372" s="423" t="s">
        <v>254</v>
      </c>
      <c r="CD372" s="422">
        <v>0.1</v>
      </c>
      <c r="CF372" s="423" t="s">
        <v>254</v>
      </c>
      <c r="CG372" s="422">
        <v>1</v>
      </c>
    </row>
    <row r="373" spans="1:85" s="395" customFormat="1" x14ac:dyDescent="0.3">
      <c r="A373" s="182" t="s">
        <v>223</v>
      </c>
      <c r="B373" s="183">
        <v>1</v>
      </c>
      <c r="C373" s="184" t="s">
        <v>478</v>
      </c>
      <c r="D373" s="185">
        <v>5.25</v>
      </c>
      <c r="E373" s="185">
        <v>2.4500000000000002</v>
      </c>
      <c r="F373" s="186">
        <v>0.13</v>
      </c>
      <c r="G373" s="187">
        <f t="shared" si="316"/>
        <v>1.6721250000000001</v>
      </c>
      <c r="H373" s="188">
        <f t="shared" si="317"/>
        <v>12.862500000000001</v>
      </c>
      <c r="I373" s="183">
        <f t="shared" si="280"/>
        <v>8</v>
      </c>
      <c r="J373" s="188">
        <f t="shared" si="281"/>
        <v>0.2</v>
      </c>
      <c r="K373" s="183">
        <f t="shared" si="282"/>
        <v>13</v>
      </c>
      <c r="L373" s="189">
        <f t="shared" si="283"/>
        <v>5.4600000000000003E-2</v>
      </c>
      <c r="M373" s="189">
        <f>0.38+0.23</f>
        <v>0.61</v>
      </c>
      <c r="N373" s="189">
        <f t="shared" si="263"/>
        <v>-0.04</v>
      </c>
      <c r="O373" s="189">
        <f>2.67*0.3</f>
        <v>0.80099999999999993</v>
      </c>
      <c r="P373" s="188">
        <f t="shared" si="284"/>
        <v>6.6755999999999993</v>
      </c>
      <c r="Q373" s="183">
        <f t="shared" si="285"/>
        <v>8</v>
      </c>
      <c r="R373" s="188">
        <f t="shared" si="286"/>
        <v>0.2</v>
      </c>
      <c r="S373" s="183">
        <f t="shared" si="287"/>
        <v>12</v>
      </c>
      <c r="T373" s="189">
        <f t="shared" si="288"/>
        <v>5.4600000000000003E-2</v>
      </c>
      <c r="U373" s="189">
        <f>0.38+0.23</f>
        <v>0.61</v>
      </c>
      <c r="V373" s="189">
        <f t="shared" si="265"/>
        <v>-0.04</v>
      </c>
      <c r="W373" s="189">
        <f>3.07*0.3</f>
        <v>0.92099999999999993</v>
      </c>
      <c r="X373" s="188">
        <f t="shared" si="289"/>
        <v>6.7956000000000003</v>
      </c>
      <c r="Y373" s="183">
        <f t="shared" si="290"/>
        <v>8</v>
      </c>
      <c r="Z373" s="182">
        <f t="shared" si="291"/>
        <v>0.36</v>
      </c>
      <c r="AA373" s="183">
        <f t="shared" si="292"/>
        <v>16</v>
      </c>
      <c r="AB373" s="189">
        <f t="shared" si="293"/>
        <v>5.4600000000000003E-2</v>
      </c>
      <c r="AC373" s="189">
        <f>0.3*2</f>
        <v>0.6</v>
      </c>
      <c r="AD373" s="189">
        <f t="shared" si="267"/>
        <v>-0.04</v>
      </c>
      <c r="AE373" s="189">
        <f>3.61*0.3</f>
        <v>1.083</v>
      </c>
      <c r="AF373" s="188">
        <f t="shared" si="294"/>
        <v>4.1476000000000006</v>
      </c>
      <c r="AG373" s="183">
        <f t="shared" si="295"/>
        <v>8</v>
      </c>
      <c r="AH373" s="182">
        <f t="shared" si="296"/>
        <v>0.36</v>
      </c>
      <c r="AI373" s="183">
        <f t="shared" si="297"/>
        <v>15</v>
      </c>
      <c r="AJ373" s="189">
        <f t="shared" si="298"/>
        <v>5.4600000000000003E-2</v>
      </c>
      <c r="AK373" s="189">
        <f>0.3*2</f>
        <v>0.6</v>
      </c>
      <c r="AL373" s="189">
        <f t="shared" si="269"/>
        <v>-0.04</v>
      </c>
      <c r="AM373" s="189">
        <f>2.79*0.3</f>
        <v>0.83699999999999997</v>
      </c>
      <c r="AN373" s="188">
        <f t="shared" si="299"/>
        <v>3.9016000000000002</v>
      </c>
      <c r="AO373" s="183">
        <v>0</v>
      </c>
      <c r="AP373" s="182">
        <f t="shared" si="300"/>
        <v>12</v>
      </c>
      <c r="AQ373" s="182">
        <v>1.5</v>
      </c>
      <c r="AR373" s="187">
        <f t="shared" si="310"/>
        <v>168.32999999999998</v>
      </c>
      <c r="AS373" s="187">
        <f t="shared" si="311"/>
        <v>0</v>
      </c>
      <c r="AT373" s="187">
        <f t="shared" si="312"/>
        <v>0</v>
      </c>
      <c r="AU373" s="187">
        <f t="shared" si="313"/>
        <v>124.88560000000001</v>
      </c>
      <c r="AV373" s="187">
        <f t="shared" si="314"/>
        <v>0</v>
      </c>
      <c r="AW373" s="187">
        <f t="shared" si="306"/>
        <v>0</v>
      </c>
      <c r="AX373" s="187">
        <f t="shared" si="307"/>
        <v>18</v>
      </c>
      <c r="AY373" s="388"/>
      <c r="AZ373" s="401" t="s">
        <v>254</v>
      </c>
      <c r="BA373" s="428">
        <v>0.15</v>
      </c>
      <c r="BB373" s="395">
        <v>10</v>
      </c>
      <c r="BC373" s="395">
        <v>0.09</v>
      </c>
      <c r="BD373" s="395">
        <v>8</v>
      </c>
      <c r="BE373" s="395">
        <v>0.1</v>
      </c>
      <c r="BF373" s="403">
        <f t="shared" si="276"/>
        <v>6.3E-2</v>
      </c>
      <c r="BG373" s="403">
        <f t="shared" si="318"/>
        <v>6.3E-2</v>
      </c>
      <c r="BH373" s="404">
        <v>1</v>
      </c>
      <c r="BK373" s="419" t="s">
        <v>236</v>
      </c>
      <c r="BL373" s="420">
        <v>0.16500000000000001</v>
      </c>
      <c r="BN373" s="419" t="s">
        <v>236</v>
      </c>
      <c r="BO373" s="420">
        <v>10</v>
      </c>
      <c r="BQ373" s="423" t="s">
        <v>236</v>
      </c>
      <c r="BR373" s="422">
        <v>9.5000000000000001E-2</v>
      </c>
      <c r="BT373" s="429" t="s">
        <v>238</v>
      </c>
      <c r="BU373" s="430"/>
      <c r="BW373" s="423" t="s">
        <v>190</v>
      </c>
      <c r="BX373" s="422">
        <v>8</v>
      </c>
      <c r="BZ373" s="429" t="s">
        <v>238</v>
      </c>
      <c r="CA373" s="430"/>
      <c r="CC373" s="423" t="s">
        <v>236</v>
      </c>
      <c r="CD373" s="422">
        <v>0.1</v>
      </c>
      <c r="CF373" s="423" t="s">
        <v>190</v>
      </c>
      <c r="CG373" s="422">
        <v>1</v>
      </c>
    </row>
    <row r="374" spans="1:85" s="395" customFormat="1" x14ac:dyDescent="0.3">
      <c r="A374" s="182" t="s">
        <v>239</v>
      </c>
      <c r="B374" s="183">
        <v>1</v>
      </c>
      <c r="C374" s="184" t="s">
        <v>479</v>
      </c>
      <c r="D374" s="185">
        <v>3.07</v>
      </c>
      <c r="E374" s="185">
        <v>2.52</v>
      </c>
      <c r="F374" s="186">
        <v>0.125</v>
      </c>
      <c r="G374" s="187">
        <f t="shared" si="316"/>
        <v>0.96704999999999997</v>
      </c>
      <c r="H374" s="188">
        <f t="shared" si="317"/>
        <v>7.7363999999999997</v>
      </c>
      <c r="I374" s="183">
        <f t="shared" si="280"/>
        <v>8</v>
      </c>
      <c r="J374" s="188">
        <f t="shared" si="281"/>
        <v>0.23</v>
      </c>
      <c r="K374" s="183">
        <f t="shared" si="282"/>
        <v>12</v>
      </c>
      <c r="L374" s="189">
        <f t="shared" si="283"/>
        <v>5.2499999999999998E-2</v>
      </c>
      <c r="M374" s="189">
        <f>0.23*2</f>
        <v>0.46</v>
      </c>
      <c r="N374" s="189">
        <f t="shared" si="263"/>
        <v>-0.04</v>
      </c>
      <c r="O374" s="189">
        <f>5.25*0.3</f>
        <v>1.575</v>
      </c>
      <c r="P374" s="188">
        <f t="shared" si="284"/>
        <v>5.1174999999999997</v>
      </c>
      <c r="Q374" s="183">
        <f t="shared" si="285"/>
        <v>8</v>
      </c>
      <c r="R374" s="188">
        <f t="shared" si="286"/>
        <v>0.23</v>
      </c>
      <c r="S374" s="183">
        <f t="shared" si="287"/>
        <v>11</v>
      </c>
      <c r="T374" s="189">
        <f t="shared" si="288"/>
        <v>5.2499999999999998E-2</v>
      </c>
      <c r="U374" s="189">
        <f>0.23*2</f>
        <v>0.46</v>
      </c>
      <c r="V374" s="189">
        <f t="shared" si="265"/>
        <v>-0.04</v>
      </c>
      <c r="W374" s="189">
        <f>1.9*0.3</f>
        <v>0.56999999999999995</v>
      </c>
      <c r="X374" s="188">
        <f t="shared" si="289"/>
        <v>4.1124999999999998</v>
      </c>
      <c r="Y374" s="183">
        <f t="shared" si="290"/>
        <v>8</v>
      </c>
      <c r="Z374" s="182">
        <f t="shared" si="291"/>
        <v>0.3</v>
      </c>
      <c r="AA374" s="183">
        <f t="shared" si="292"/>
        <v>11</v>
      </c>
      <c r="AB374" s="189">
        <f t="shared" si="293"/>
        <v>5.2499999999999998E-2</v>
      </c>
      <c r="AC374" s="189">
        <f>0.3+0.23</f>
        <v>0.53</v>
      </c>
      <c r="AD374" s="189">
        <f t="shared" si="267"/>
        <v>-0.04</v>
      </c>
      <c r="AE374" s="189">
        <f>3.12*0.3</f>
        <v>0.93599999999999994</v>
      </c>
      <c r="AF374" s="188">
        <f t="shared" si="294"/>
        <v>3.9984999999999999</v>
      </c>
      <c r="AG374" s="183">
        <f t="shared" si="295"/>
        <v>8</v>
      </c>
      <c r="AH374" s="182">
        <f t="shared" si="296"/>
        <v>0.3</v>
      </c>
      <c r="AI374" s="183">
        <f t="shared" si="297"/>
        <v>10</v>
      </c>
      <c r="AJ374" s="189">
        <f t="shared" si="298"/>
        <v>5.2499999999999998E-2</v>
      </c>
      <c r="AK374" s="189">
        <f>0.3+0.23</f>
        <v>0.53</v>
      </c>
      <c r="AL374" s="189">
        <f t="shared" si="269"/>
        <v>-0.04</v>
      </c>
      <c r="AM374" s="189">
        <f>2.94*0.3</f>
        <v>0.88200000000000001</v>
      </c>
      <c r="AN374" s="188">
        <f t="shared" si="299"/>
        <v>3.9445000000000001</v>
      </c>
      <c r="AO374" s="183">
        <v>0</v>
      </c>
      <c r="AP374" s="182">
        <f t="shared" si="300"/>
        <v>8</v>
      </c>
      <c r="AQ374" s="182">
        <v>1.5</v>
      </c>
      <c r="AR374" s="187">
        <f t="shared" si="310"/>
        <v>106.64749999999999</v>
      </c>
      <c r="AS374" s="187">
        <f t="shared" si="311"/>
        <v>0</v>
      </c>
      <c r="AT374" s="187">
        <f t="shared" si="312"/>
        <v>0</v>
      </c>
      <c r="AU374" s="187">
        <f t="shared" si="313"/>
        <v>83.4285</v>
      </c>
      <c r="AV374" s="187">
        <f t="shared" si="314"/>
        <v>0</v>
      </c>
      <c r="AW374" s="187">
        <f t="shared" si="306"/>
        <v>0</v>
      </c>
      <c r="AX374" s="187">
        <f t="shared" si="307"/>
        <v>12</v>
      </c>
      <c r="AY374" s="388"/>
      <c r="AZ374" s="401" t="s">
        <v>236</v>
      </c>
      <c r="BA374" s="428">
        <v>0.16500000000000001</v>
      </c>
      <c r="BB374" s="395">
        <v>10</v>
      </c>
      <c r="BC374" s="395">
        <v>9.5000000000000001E-2</v>
      </c>
      <c r="BD374" s="395">
        <v>8</v>
      </c>
      <c r="BE374" s="395">
        <v>0.1</v>
      </c>
      <c r="BF374" s="403">
        <f t="shared" si="276"/>
        <v>6.93E-2</v>
      </c>
      <c r="BG374" s="403">
        <f t="shared" si="318"/>
        <v>6.93E-2</v>
      </c>
      <c r="BH374" s="404">
        <v>1</v>
      </c>
      <c r="BK374" s="419" t="s">
        <v>240</v>
      </c>
      <c r="BL374" s="420">
        <v>0.16</v>
      </c>
      <c r="BN374" s="419" t="s">
        <v>240</v>
      </c>
      <c r="BO374" s="420">
        <v>10</v>
      </c>
      <c r="BQ374" s="423" t="s">
        <v>240</v>
      </c>
      <c r="BR374" s="422">
        <v>0.1</v>
      </c>
      <c r="BT374" s="423" t="s">
        <v>240</v>
      </c>
      <c r="BU374" s="422">
        <v>6.7199999999999996E-2</v>
      </c>
      <c r="BW374" s="423" t="s">
        <v>215</v>
      </c>
      <c r="BX374" s="422">
        <v>10</v>
      </c>
      <c r="BZ374" s="423" t="s">
        <v>254</v>
      </c>
      <c r="CA374" s="422">
        <v>6.3E-2</v>
      </c>
      <c r="CC374" s="423" t="s">
        <v>240</v>
      </c>
      <c r="CD374" s="422">
        <v>0.1</v>
      </c>
      <c r="CF374" s="423" t="s">
        <v>215</v>
      </c>
      <c r="CG374" s="422">
        <v>1</v>
      </c>
    </row>
    <row r="375" spans="1:85" s="395" customFormat="1" x14ac:dyDescent="0.3">
      <c r="A375" s="182" t="s">
        <v>245</v>
      </c>
      <c r="B375" s="183">
        <v>2</v>
      </c>
      <c r="C375" s="184" t="s">
        <v>480</v>
      </c>
      <c r="D375" s="187">
        <v>0.99</v>
      </c>
      <c r="E375" s="187">
        <v>1.39</v>
      </c>
      <c r="F375" s="186">
        <v>0.14000000000000001</v>
      </c>
      <c r="G375" s="187">
        <f t="shared" si="316"/>
        <v>0.38530799999999998</v>
      </c>
      <c r="H375" s="188">
        <f t="shared" si="317"/>
        <v>2.7521999999999998</v>
      </c>
      <c r="I375" s="183">
        <f t="shared" si="280"/>
        <v>10</v>
      </c>
      <c r="J375" s="188">
        <f t="shared" si="281"/>
        <v>0.2</v>
      </c>
      <c r="K375" s="183">
        <f t="shared" si="282"/>
        <v>8</v>
      </c>
      <c r="L375" s="189">
        <f t="shared" si="283"/>
        <v>5.8800000000000005E-2</v>
      </c>
      <c r="M375" s="189">
        <f>0.23*2</f>
        <v>0.46</v>
      </c>
      <c r="N375" s="189">
        <f t="shared" si="263"/>
        <v>-0.04</v>
      </c>
      <c r="O375" s="189">
        <f>3.07*0.3</f>
        <v>0.92099999999999993</v>
      </c>
      <c r="P375" s="188">
        <f t="shared" si="284"/>
        <v>2.3898000000000001</v>
      </c>
      <c r="Q375" s="183">
        <f t="shared" si="285"/>
        <v>10</v>
      </c>
      <c r="R375" s="188">
        <f t="shared" si="286"/>
        <v>0.2</v>
      </c>
      <c r="S375" s="183">
        <f t="shared" si="287"/>
        <v>7</v>
      </c>
      <c r="T375" s="189">
        <f t="shared" si="288"/>
        <v>5.8800000000000005E-2</v>
      </c>
      <c r="U375" s="189">
        <f>0.23*2</f>
        <v>0.46</v>
      </c>
      <c r="V375" s="189">
        <f t="shared" si="265"/>
        <v>-0.04</v>
      </c>
      <c r="W375" s="189">
        <v>0</v>
      </c>
      <c r="X375" s="188">
        <f t="shared" si="289"/>
        <v>1.4688000000000001</v>
      </c>
      <c r="Y375" s="183">
        <f t="shared" si="290"/>
        <v>10</v>
      </c>
      <c r="Z375" s="182">
        <f t="shared" si="291"/>
        <v>0.24</v>
      </c>
      <c r="AA375" s="183">
        <f t="shared" si="292"/>
        <v>5</v>
      </c>
      <c r="AB375" s="189">
        <f t="shared" si="293"/>
        <v>5.8800000000000005E-2</v>
      </c>
      <c r="AC375" s="189">
        <f>0.3+0.23</f>
        <v>0.53</v>
      </c>
      <c r="AD375" s="189">
        <f t="shared" si="267"/>
        <v>-0.04</v>
      </c>
      <c r="AE375" s="189">
        <v>0</v>
      </c>
      <c r="AF375" s="188">
        <f t="shared" si="294"/>
        <v>1.9387999999999999</v>
      </c>
      <c r="AG375" s="183">
        <f t="shared" si="295"/>
        <v>10</v>
      </c>
      <c r="AH375" s="182">
        <f t="shared" si="296"/>
        <v>0.24</v>
      </c>
      <c r="AI375" s="183">
        <f t="shared" si="297"/>
        <v>4</v>
      </c>
      <c r="AJ375" s="189">
        <f t="shared" si="298"/>
        <v>5.8800000000000005E-2</v>
      </c>
      <c r="AK375" s="189">
        <f>0.3+0.23</f>
        <v>0.53</v>
      </c>
      <c r="AL375" s="189">
        <f t="shared" si="269"/>
        <v>-0.04</v>
      </c>
      <c r="AM375" s="189">
        <v>0</v>
      </c>
      <c r="AN375" s="188">
        <f t="shared" si="299"/>
        <v>1.9387999999999999</v>
      </c>
      <c r="AO375" s="183">
        <v>0</v>
      </c>
      <c r="AP375" s="182">
        <f t="shared" si="300"/>
        <v>4</v>
      </c>
      <c r="AQ375" s="182">
        <v>1.5</v>
      </c>
      <c r="AR375" s="187">
        <f t="shared" si="310"/>
        <v>0</v>
      </c>
      <c r="AS375" s="187">
        <f t="shared" si="311"/>
        <v>58.800000000000004</v>
      </c>
      <c r="AT375" s="187">
        <f t="shared" si="312"/>
        <v>0</v>
      </c>
      <c r="AU375" s="187">
        <f t="shared" si="313"/>
        <v>0</v>
      </c>
      <c r="AV375" s="187">
        <f t="shared" si="314"/>
        <v>34.898399999999995</v>
      </c>
      <c r="AW375" s="187">
        <f t="shared" si="306"/>
        <v>0</v>
      </c>
      <c r="AX375" s="187">
        <f t="shared" si="307"/>
        <v>12</v>
      </c>
      <c r="AY375" s="388"/>
      <c r="AZ375" s="401" t="s">
        <v>240</v>
      </c>
      <c r="BA375" s="428">
        <v>0.16</v>
      </c>
      <c r="BB375" s="395">
        <v>10</v>
      </c>
      <c r="BC375" s="395">
        <v>0.1</v>
      </c>
      <c r="BD375" s="395">
        <v>10</v>
      </c>
      <c r="BE375" s="395">
        <v>0.1</v>
      </c>
      <c r="BF375" s="403">
        <f t="shared" si="276"/>
        <v>6.7199999999999996E-2</v>
      </c>
      <c r="BG375" s="403">
        <f t="shared" si="318"/>
        <v>6.7199999999999996E-2</v>
      </c>
      <c r="BH375" s="404">
        <v>1</v>
      </c>
      <c r="BK375" s="419" t="s">
        <v>190</v>
      </c>
      <c r="BL375" s="420">
        <v>0.2</v>
      </c>
      <c r="BN375" s="419" t="s">
        <v>190</v>
      </c>
      <c r="BO375" s="420">
        <v>12</v>
      </c>
      <c r="BQ375" s="423" t="s">
        <v>190</v>
      </c>
      <c r="BR375" s="422">
        <v>0.1</v>
      </c>
      <c r="BT375" s="423" t="s">
        <v>190</v>
      </c>
      <c r="BU375" s="422">
        <v>8.4000000000000005E-2</v>
      </c>
      <c r="BW375" s="423" t="s">
        <v>217</v>
      </c>
      <c r="BX375" s="422">
        <v>10</v>
      </c>
      <c r="BZ375" s="423" t="s">
        <v>190</v>
      </c>
      <c r="CA375" s="422">
        <v>8.4000000000000005E-2</v>
      </c>
      <c r="CC375" s="423" t="s">
        <v>190</v>
      </c>
      <c r="CD375" s="422">
        <v>0.12</v>
      </c>
      <c r="CF375" s="423" t="s">
        <v>217</v>
      </c>
      <c r="CG375" s="422">
        <v>1</v>
      </c>
    </row>
    <row r="376" spans="1:85" s="395" customFormat="1" x14ac:dyDescent="0.3">
      <c r="A376" s="182" t="s">
        <v>245</v>
      </c>
      <c r="B376" s="183">
        <v>1</v>
      </c>
      <c r="C376" s="184" t="s">
        <v>481</v>
      </c>
      <c r="D376" s="187">
        <v>1.29</v>
      </c>
      <c r="E376" s="187">
        <v>4.1100000000000003</v>
      </c>
      <c r="F376" s="186">
        <v>0.14000000000000001</v>
      </c>
      <c r="G376" s="187">
        <f t="shared" si="316"/>
        <v>0.7422660000000002</v>
      </c>
      <c r="H376" s="188">
        <f t="shared" si="317"/>
        <v>5.3019000000000007</v>
      </c>
      <c r="I376" s="183">
        <f t="shared" si="280"/>
        <v>10</v>
      </c>
      <c r="J376" s="188">
        <f t="shared" si="281"/>
        <v>0.2</v>
      </c>
      <c r="K376" s="183">
        <f t="shared" si="282"/>
        <v>22</v>
      </c>
      <c r="L376" s="189">
        <f t="shared" si="283"/>
        <v>5.8800000000000005E-2</v>
      </c>
      <c r="M376" s="189">
        <f>0.23+0.3</f>
        <v>0.53</v>
      </c>
      <c r="N376" s="189">
        <f t="shared" si="263"/>
        <v>-0.04</v>
      </c>
      <c r="O376" s="189">
        <f>4.19*0.3</f>
        <v>1.2570000000000001</v>
      </c>
      <c r="P376" s="188">
        <f t="shared" si="284"/>
        <v>3.0958000000000001</v>
      </c>
      <c r="Q376" s="183">
        <f t="shared" si="285"/>
        <v>10</v>
      </c>
      <c r="R376" s="188">
        <f t="shared" si="286"/>
        <v>0.2</v>
      </c>
      <c r="S376" s="183">
        <f t="shared" si="287"/>
        <v>21</v>
      </c>
      <c r="T376" s="189">
        <f t="shared" si="288"/>
        <v>5.8800000000000005E-2</v>
      </c>
      <c r="U376" s="189">
        <f>0.23+0.3</f>
        <v>0.53</v>
      </c>
      <c r="V376" s="189">
        <f t="shared" si="265"/>
        <v>-0.04</v>
      </c>
      <c r="W376" s="189">
        <v>0</v>
      </c>
      <c r="X376" s="188">
        <f t="shared" si="289"/>
        <v>1.8388</v>
      </c>
      <c r="Y376" s="183">
        <f t="shared" si="290"/>
        <v>10</v>
      </c>
      <c r="Z376" s="182">
        <f t="shared" si="291"/>
        <v>0.24</v>
      </c>
      <c r="AA376" s="183">
        <f t="shared" si="292"/>
        <v>6</v>
      </c>
      <c r="AB376" s="189">
        <f t="shared" si="293"/>
        <v>5.8800000000000005E-2</v>
      </c>
      <c r="AC376" s="189">
        <f>0.23*2</f>
        <v>0.46</v>
      </c>
      <c r="AD376" s="189">
        <f t="shared" si="267"/>
        <v>-0.04</v>
      </c>
      <c r="AE376" s="189">
        <v>0</v>
      </c>
      <c r="AF376" s="188">
        <f t="shared" si="294"/>
        <v>4.5888</v>
      </c>
      <c r="AG376" s="183">
        <f t="shared" si="295"/>
        <v>10</v>
      </c>
      <c r="AH376" s="182">
        <f t="shared" si="296"/>
        <v>0.24</v>
      </c>
      <c r="AI376" s="183">
        <f t="shared" si="297"/>
        <v>5</v>
      </c>
      <c r="AJ376" s="189">
        <f t="shared" si="298"/>
        <v>5.8800000000000005E-2</v>
      </c>
      <c r="AK376" s="189">
        <f>0.23*2</f>
        <v>0.46</v>
      </c>
      <c r="AL376" s="189">
        <f t="shared" si="269"/>
        <v>-0.04</v>
      </c>
      <c r="AM376" s="189">
        <v>0</v>
      </c>
      <c r="AN376" s="188">
        <f t="shared" si="299"/>
        <v>4.5888</v>
      </c>
      <c r="AO376" s="183">
        <v>0</v>
      </c>
      <c r="AP376" s="182">
        <f t="shared" si="300"/>
        <v>8</v>
      </c>
      <c r="AQ376" s="182">
        <v>1.5</v>
      </c>
      <c r="AR376" s="187">
        <f t="shared" si="310"/>
        <v>0</v>
      </c>
      <c r="AS376" s="187">
        <f t="shared" si="311"/>
        <v>106.72240000000001</v>
      </c>
      <c r="AT376" s="187">
        <f t="shared" si="312"/>
        <v>0</v>
      </c>
      <c r="AU376" s="187">
        <f t="shared" si="313"/>
        <v>0</v>
      </c>
      <c r="AV376" s="187">
        <f t="shared" si="314"/>
        <v>50.476799999999997</v>
      </c>
      <c r="AW376" s="187">
        <f t="shared" si="306"/>
        <v>0</v>
      </c>
      <c r="AX376" s="187">
        <f t="shared" si="307"/>
        <v>12</v>
      </c>
      <c r="AY376" s="388"/>
      <c r="AZ376" s="401" t="s">
        <v>259</v>
      </c>
      <c r="BA376" s="428">
        <v>0.17499999999999999</v>
      </c>
      <c r="BB376" s="395">
        <v>10</v>
      </c>
      <c r="BC376" s="395">
        <v>0.75</v>
      </c>
      <c r="BD376" s="395">
        <v>10</v>
      </c>
      <c r="BE376" s="395">
        <v>8.5000000000000006E-2</v>
      </c>
      <c r="BF376" s="403">
        <f t="shared" si="276"/>
        <v>7.3499999999999996E-2</v>
      </c>
      <c r="BG376" s="403">
        <f t="shared" si="318"/>
        <v>7.3499999999999996E-2</v>
      </c>
      <c r="BH376" s="404">
        <v>1</v>
      </c>
      <c r="BK376" s="419" t="s">
        <v>215</v>
      </c>
      <c r="BL376" s="420">
        <v>0.22500000000000001</v>
      </c>
      <c r="BN376" s="419" t="s">
        <v>215</v>
      </c>
      <c r="BO376" s="420">
        <v>12</v>
      </c>
      <c r="BQ376" s="423" t="s">
        <v>215</v>
      </c>
      <c r="BR376" s="422">
        <v>0.09</v>
      </c>
      <c r="BT376" s="423" t="s">
        <v>215</v>
      </c>
      <c r="BU376" s="422">
        <v>9.4500000000000001E-2</v>
      </c>
      <c r="BW376" s="423" t="s">
        <v>221</v>
      </c>
      <c r="BX376" s="422">
        <v>8</v>
      </c>
      <c r="BZ376" s="423" t="s">
        <v>215</v>
      </c>
      <c r="CA376" s="422">
        <v>9.4500000000000001E-2</v>
      </c>
      <c r="CC376" s="423" t="s">
        <v>215</v>
      </c>
      <c r="CD376" s="422">
        <v>0.15</v>
      </c>
      <c r="CF376" s="423" t="s">
        <v>221</v>
      </c>
      <c r="CG376" s="422">
        <v>1</v>
      </c>
    </row>
    <row r="377" spans="1:85" s="395" customFormat="1" x14ac:dyDescent="0.3">
      <c r="A377" s="182" t="s">
        <v>239</v>
      </c>
      <c r="B377" s="183">
        <v>1</v>
      </c>
      <c r="C377" s="184" t="s">
        <v>280</v>
      </c>
      <c r="D377" s="187">
        <v>2.74</v>
      </c>
      <c r="E377" s="187">
        <v>2.4500000000000002</v>
      </c>
      <c r="F377" s="186">
        <v>0.125</v>
      </c>
      <c r="G377" s="187">
        <f t="shared" si="316"/>
        <v>0.83912500000000012</v>
      </c>
      <c r="H377" s="188">
        <f t="shared" si="317"/>
        <v>6.713000000000001</v>
      </c>
      <c r="I377" s="183">
        <f t="shared" si="280"/>
        <v>8</v>
      </c>
      <c r="J377" s="188">
        <f t="shared" si="281"/>
        <v>0.23</v>
      </c>
      <c r="K377" s="183">
        <f t="shared" si="282"/>
        <v>12</v>
      </c>
      <c r="L377" s="189">
        <f t="shared" si="283"/>
        <v>5.2499999999999998E-2</v>
      </c>
      <c r="M377" s="189">
        <f>0.23*2</f>
        <v>0.46</v>
      </c>
      <c r="N377" s="189">
        <f t="shared" si="263"/>
        <v>-0.04</v>
      </c>
      <c r="O377" s="189">
        <f>0.99*0.3</f>
        <v>0.29699999999999999</v>
      </c>
      <c r="P377" s="188">
        <f t="shared" si="284"/>
        <v>3.5095000000000001</v>
      </c>
      <c r="Q377" s="183">
        <f t="shared" si="285"/>
        <v>8</v>
      </c>
      <c r="R377" s="188">
        <f t="shared" si="286"/>
        <v>0.23</v>
      </c>
      <c r="S377" s="183">
        <f t="shared" si="287"/>
        <v>11</v>
      </c>
      <c r="T377" s="189">
        <f t="shared" si="288"/>
        <v>5.2499999999999998E-2</v>
      </c>
      <c r="U377" s="189">
        <f>0.23*2</f>
        <v>0.46</v>
      </c>
      <c r="V377" s="189">
        <f t="shared" si="265"/>
        <v>-0.04</v>
      </c>
      <c r="W377" s="189">
        <f>2.26*0.3</f>
        <v>0.67799999999999994</v>
      </c>
      <c r="X377" s="188">
        <f t="shared" si="289"/>
        <v>3.8905000000000003</v>
      </c>
      <c r="Y377" s="183">
        <f t="shared" si="290"/>
        <v>8</v>
      </c>
      <c r="Z377" s="182">
        <f t="shared" si="291"/>
        <v>0.3</v>
      </c>
      <c r="AA377" s="183">
        <f t="shared" si="292"/>
        <v>10</v>
      </c>
      <c r="AB377" s="189">
        <f t="shared" si="293"/>
        <v>5.2499999999999998E-2</v>
      </c>
      <c r="AC377" s="189">
        <f>0.3+0.23</f>
        <v>0.53</v>
      </c>
      <c r="AD377" s="189">
        <f t="shared" si="267"/>
        <v>-0.04</v>
      </c>
      <c r="AE377" s="189">
        <f>3.05*0.3</f>
        <v>0.91499999999999992</v>
      </c>
      <c r="AF377" s="188">
        <f t="shared" si="294"/>
        <v>3.9075000000000002</v>
      </c>
      <c r="AG377" s="183">
        <f t="shared" si="295"/>
        <v>8</v>
      </c>
      <c r="AH377" s="182">
        <f t="shared" si="296"/>
        <v>0.3</v>
      </c>
      <c r="AI377" s="183">
        <f t="shared" si="297"/>
        <v>9</v>
      </c>
      <c r="AJ377" s="189">
        <f t="shared" si="298"/>
        <v>5.2499999999999998E-2</v>
      </c>
      <c r="AK377" s="189">
        <f>0.3+0.23</f>
        <v>0.53</v>
      </c>
      <c r="AL377" s="189">
        <f t="shared" si="269"/>
        <v>-0.04</v>
      </c>
      <c r="AM377" s="189">
        <f>3.01*0.3</f>
        <v>0.90299999999999991</v>
      </c>
      <c r="AN377" s="188">
        <f t="shared" si="299"/>
        <v>3.8955000000000002</v>
      </c>
      <c r="AO377" s="183">
        <v>0</v>
      </c>
      <c r="AP377" s="182">
        <f t="shared" si="300"/>
        <v>8</v>
      </c>
      <c r="AQ377" s="182">
        <v>1.5</v>
      </c>
      <c r="AR377" s="187">
        <f t="shared" si="310"/>
        <v>84.909500000000008</v>
      </c>
      <c r="AS377" s="187">
        <f t="shared" si="311"/>
        <v>0</v>
      </c>
      <c r="AT377" s="187">
        <f t="shared" si="312"/>
        <v>0</v>
      </c>
      <c r="AU377" s="187">
        <f t="shared" si="313"/>
        <v>74.134500000000003</v>
      </c>
      <c r="AV377" s="187">
        <f t="shared" si="314"/>
        <v>0</v>
      </c>
      <c r="AW377" s="187">
        <f t="shared" si="306"/>
        <v>0</v>
      </c>
      <c r="AX377" s="187">
        <f t="shared" si="307"/>
        <v>12</v>
      </c>
      <c r="AY377" s="388"/>
      <c r="AZ377" s="401" t="s">
        <v>261</v>
      </c>
      <c r="BA377" s="428">
        <v>0.12</v>
      </c>
      <c r="BB377" s="395">
        <v>10</v>
      </c>
      <c r="BC377" s="395">
        <v>0.125</v>
      </c>
      <c r="BD377" s="395">
        <v>8</v>
      </c>
      <c r="BE377" s="395">
        <v>0.2</v>
      </c>
      <c r="BF377" s="403">
        <f t="shared" si="276"/>
        <v>5.0399999999999993E-2</v>
      </c>
      <c r="BG377" s="403"/>
      <c r="BH377" s="404">
        <v>1</v>
      </c>
      <c r="BK377" s="419" t="s">
        <v>217</v>
      </c>
      <c r="BL377" s="420">
        <v>0.2</v>
      </c>
      <c r="BN377" s="419" t="s">
        <v>217</v>
      </c>
      <c r="BO377" s="420">
        <v>12</v>
      </c>
      <c r="BQ377" s="423" t="s">
        <v>217</v>
      </c>
      <c r="BR377" s="422">
        <v>0.1</v>
      </c>
      <c r="BT377" s="423" t="s">
        <v>217</v>
      </c>
      <c r="BU377" s="422">
        <v>8.4000000000000005E-2</v>
      </c>
      <c r="BW377" s="423" t="s">
        <v>236</v>
      </c>
      <c r="BX377" s="422">
        <v>8</v>
      </c>
      <c r="BZ377" s="423" t="s">
        <v>217</v>
      </c>
      <c r="CA377" s="422">
        <v>8.4000000000000005E-2</v>
      </c>
      <c r="CC377" s="423" t="s">
        <v>217</v>
      </c>
      <c r="CD377" s="422">
        <v>0.2</v>
      </c>
      <c r="CF377" s="423" t="s">
        <v>236</v>
      </c>
      <c r="CG377" s="422">
        <v>1</v>
      </c>
    </row>
    <row r="378" spans="1:85" s="395" customFormat="1" x14ac:dyDescent="0.3">
      <c r="A378" s="182" t="s">
        <v>239</v>
      </c>
      <c r="B378" s="183">
        <v>1</v>
      </c>
      <c r="C378" s="184" t="s">
        <v>482</v>
      </c>
      <c r="D378" s="187">
        <v>2.2599999999999998</v>
      </c>
      <c r="E378" s="187">
        <v>2.41</v>
      </c>
      <c r="F378" s="186">
        <v>0.125</v>
      </c>
      <c r="G378" s="187">
        <f t="shared" si="316"/>
        <v>0.68082500000000001</v>
      </c>
      <c r="H378" s="188">
        <f t="shared" si="317"/>
        <v>5.4466000000000001</v>
      </c>
      <c r="I378" s="183">
        <f t="shared" si="280"/>
        <v>8</v>
      </c>
      <c r="J378" s="188">
        <f t="shared" si="281"/>
        <v>0.23</v>
      </c>
      <c r="K378" s="183">
        <f t="shared" si="282"/>
        <v>11</v>
      </c>
      <c r="L378" s="189">
        <f t="shared" si="283"/>
        <v>5.2499999999999998E-2</v>
      </c>
      <c r="M378" s="189">
        <f>0.23+0.3</f>
        <v>0.53</v>
      </c>
      <c r="N378" s="189">
        <f t="shared" si="263"/>
        <v>-0.04</v>
      </c>
      <c r="O378" s="189">
        <f>2.74*0.3</f>
        <v>0.82200000000000006</v>
      </c>
      <c r="P378" s="188">
        <f t="shared" si="284"/>
        <v>3.6244999999999998</v>
      </c>
      <c r="Q378" s="183">
        <f t="shared" si="285"/>
        <v>8</v>
      </c>
      <c r="R378" s="188">
        <f t="shared" si="286"/>
        <v>0.23</v>
      </c>
      <c r="S378" s="183">
        <f t="shared" si="287"/>
        <v>10</v>
      </c>
      <c r="T378" s="189">
        <f t="shared" si="288"/>
        <v>5.2499999999999998E-2</v>
      </c>
      <c r="U378" s="189">
        <f>0.23+0.3</f>
        <v>0.53</v>
      </c>
      <c r="V378" s="189">
        <f t="shared" si="265"/>
        <v>-0.04</v>
      </c>
      <c r="W378" s="189">
        <f>3.73*0.3</f>
        <v>1.119</v>
      </c>
      <c r="X378" s="188">
        <f t="shared" si="289"/>
        <v>3.9215</v>
      </c>
      <c r="Y378" s="183">
        <f t="shared" si="290"/>
        <v>8</v>
      </c>
      <c r="Z378" s="182">
        <f t="shared" si="291"/>
        <v>0.3</v>
      </c>
      <c r="AA378" s="183">
        <f t="shared" si="292"/>
        <v>9</v>
      </c>
      <c r="AB378" s="189">
        <f t="shared" si="293"/>
        <v>5.2499999999999998E-2</v>
      </c>
      <c r="AC378" s="189">
        <f>0.38+0.3</f>
        <v>0.67999999999999994</v>
      </c>
      <c r="AD378" s="189">
        <f t="shared" si="267"/>
        <v>-0.04</v>
      </c>
      <c r="AE378" s="189">
        <f>3.27*0.3</f>
        <v>0.98099999999999998</v>
      </c>
      <c r="AF378" s="188">
        <f t="shared" si="294"/>
        <v>4.0834999999999999</v>
      </c>
      <c r="AG378" s="183">
        <f t="shared" si="295"/>
        <v>8</v>
      </c>
      <c r="AH378" s="182">
        <f t="shared" si="296"/>
        <v>0.3</v>
      </c>
      <c r="AI378" s="183">
        <f t="shared" si="297"/>
        <v>8</v>
      </c>
      <c r="AJ378" s="189">
        <f t="shared" si="298"/>
        <v>5.2499999999999998E-2</v>
      </c>
      <c r="AK378" s="189">
        <f>0.38+0.3</f>
        <v>0.67999999999999994</v>
      </c>
      <c r="AL378" s="189">
        <f t="shared" si="269"/>
        <v>-0.04</v>
      </c>
      <c r="AM378" s="189">
        <f>2.94*0.3</f>
        <v>0.88200000000000001</v>
      </c>
      <c r="AN378" s="188">
        <f t="shared" si="299"/>
        <v>3.9845000000000002</v>
      </c>
      <c r="AO378" s="183">
        <v>0</v>
      </c>
      <c r="AP378" s="182">
        <f t="shared" si="300"/>
        <v>8</v>
      </c>
      <c r="AQ378" s="182">
        <v>1.5</v>
      </c>
      <c r="AR378" s="187">
        <f t="shared" si="310"/>
        <v>79.084499999999991</v>
      </c>
      <c r="AS378" s="187">
        <f t="shared" si="311"/>
        <v>0</v>
      </c>
      <c r="AT378" s="187">
        <f t="shared" si="312"/>
        <v>0</v>
      </c>
      <c r="AU378" s="187">
        <f t="shared" si="313"/>
        <v>68.627499999999998</v>
      </c>
      <c r="AV378" s="187">
        <f t="shared" si="314"/>
        <v>0</v>
      </c>
      <c r="AW378" s="187">
        <f t="shared" si="306"/>
        <v>0</v>
      </c>
      <c r="AX378" s="187">
        <f t="shared" si="307"/>
        <v>12</v>
      </c>
      <c r="AY378" s="388"/>
      <c r="AZ378" s="401"/>
      <c r="BA378" s="428"/>
      <c r="BF378" s="403"/>
      <c r="BG378" s="403"/>
      <c r="BH378" s="404"/>
      <c r="BK378" s="419" t="s">
        <v>221</v>
      </c>
      <c r="BL378" s="420">
        <v>0.17499999999999999</v>
      </c>
      <c r="BN378" s="419" t="s">
        <v>221</v>
      </c>
      <c r="BO378" s="420">
        <v>12</v>
      </c>
      <c r="BQ378" s="423" t="s">
        <v>221</v>
      </c>
      <c r="BR378" s="422">
        <v>0.1</v>
      </c>
      <c r="BT378" s="423" t="s">
        <v>221</v>
      </c>
      <c r="BU378" s="422">
        <v>7.3499999999999996E-2</v>
      </c>
      <c r="BW378" s="423" t="s">
        <v>240</v>
      </c>
      <c r="BX378" s="422">
        <v>10</v>
      </c>
      <c r="BZ378" s="423" t="s">
        <v>221</v>
      </c>
      <c r="CA378" s="422">
        <v>7.3499999999999996E-2</v>
      </c>
      <c r="CC378" s="423" t="s">
        <v>221</v>
      </c>
      <c r="CD378" s="422">
        <v>0.16</v>
      </c>
      <c r="CF378" s="423" t="s">
        <v>240</v>
      </c>
      <c r="CG378" s="422">
        <v>1</v>
      </c>
    </row>
    <row r="379" spans="1:85" s="395" customFormat="1" x14ac:dyDescent="0.3">
      <c r="A379" s="182" t="s">
        <v>242</v>
      </c>
      <c r="B379" s="183">
        <v>1</v>
      </c>
      <c r="C379" s="184" t="s">
        <v>483</v>
      </c>
      <c r="D379" s="187">
        <v>2.75</v>
      </c>
      <c r="E379" s="187">
        <v>4.67</v>
      </c>
      <c r="F379" s="186">
        <v>0.14000000000000001</v>
      </c>
      <c r="G379" s="187">
        <f t="shared" si="316"/>
        <v>1.7979500000000002</v>
      </c>
      <c r="H379" s="188">
        <f t="shared" si="317"/>
        <v>12.842499999999999</v>
      </c>
      <c r="I379" s="183">
        <f t="shared" si="280"/>
        <v>10</v>
      </c>
      <c r="J379" s="188">
        <f t="shared" si="281"/>
        <v>0.2</v>
      </c>
      <c r="K379" s="183">
        <f t="shared" si="282"/>
        <v>24</v>
      </c>
      <c r="L379" s="189">
        <f t="shared" si="283"/>
        <v>5.8800000000000005E-2</v>
      </c>
      <c r="M379" s="189">
        <f>0.3+0.38</f>
        <v>0.67999999999999994</v>
      </c>
      <c r="N379" s="189">
        <f t="shared" si="263"/>
        <v>-0.04</v>
      </c>
      <c r="O379" s="189">
        <f>F379-2*0.02</f>
        <v>0.1</v>
      </c>
      <c r="P379" s="188">
        <f t="shared" si="284"/>
        <v>3.5488</v>
      </c>
      <c r="Q379" s="183">
        <f t="shared" si="285"/>
        <v>10</v>
      </c>
      <c r="R379" s="188">
        <f t="shared" si="286"/>
        <v>0.2</v>
      </c>
      <c r="S379" s="183">
        <f t="shared" si="287"/>
        <v>23</v>
      </c>
      <c r="T379" s="189">
        <f t="shared" si="288"/>
        <v>5.8800000000000005E-2</v>
      </c>
      <c r="U379" s="189">
        <f>0.3+0.38</f>
        <v>0.67999999999999994</v>
      </c>
      <c r="V379" s="189">
        <f t="shared" si="265"/>
        <v>-0.04</v>
      </c>
      <c r="W379" s="189">
        <f>2.71*0.3</f>
        <v>0.81299999999999994</v>
      </c>
      <c r="X379" s="188">
        <f t="shared" si="289"/>
        <v>4.2618</v>
      </c>
      <c r="Y379" s="183">
        <f t="shared" si="290"/>
        <v>8</v>
      </c>
      <c r="Z379" s="182">
        <f t="shared" si="291"/>
        <v>0.3</v>
      </c>
      <c r="AA379" s="183">
        <f t="shared" si="292"/>
        <v>10</v>
      </c>
      <c r="AB379" s="189">
        <f t="shared" si="293"/>
        <v>5.8800000000000005E-2</v>
      </c>
      <c r="AC379" s="189">
        <f>0.3*2</f>
        <v>0.6</v>
      </c>
      <c r="AD379" s="189">
        <f t="shared" si="267"/>
        <v>-0.04</v>
      </c>
      <c r="AE379" s="189">
        <f>1.65*0.3</f>
        <v>0.49499999999999994</v>
      </c>
      <c r="AF379" s="188">
        <f t="shared" si="294"/>
        <v>5.7837999999999994</v>
      </c>
      <c r="AG379" s="183">
        <f t="shared" si="295"/>
        <v>8</v>
      </c>
      <c r="AH379" s="182">
        <f t="shared" si="296"/>
        <v>0.3</v>
      </c>
      <c r="AI379" s="183">
        <f t="shared" si="297"/>
        <v>9</v>
      </c>
      <c r="AJ379" s="189">
        <f t="shared" si="298"/>
        <v>5.8800000000000005E-2</v>
      </c>
      <c r="AK379" s="189">
        <f>0.3*2</f>
        <v>0.6</v>
      </c>
      <c r="AL379" s="189">
        <f t="shared" si="269"/>
        <v>-0.04</v>
      </c>
      <c r="AM379" s="189">
        <f>5.54*0.3</f>
        <v>1.6619999999999999</v>
      </c>
      <c r="AN379" s="188">
        <f t="shared" si="299"/>
        <v>6.9507999999999992</v>
      </c>
      <c r="AO379" s="183">
        <v>0</v>
      </c>
      <c r="AP379" s="182">
        <f t="shared" si="300"/>
        <v>10</v>
      </c>
      <c r="AQ379" s="182">
        <v>1.5</v>
      </c>
      <c r="AR379" s="187">
        <f t="shared" si="310"/>
        <v>0</v>
      </c>
      <c r="AS379" s="187">
        <f t="shared" si="311"/>
        <v>183.1926</v>
      </c>
      <c r="AT379" s="187">
        <f t="shared" si="312"/>
        <v>0</v>
      </c>
      <c r="AU379" s="187">
        <f t="shared" si="313"/>
        <v>120.39519999999999</v>
      </c>
      <c r="AV379" s="187">
        <f t="shared" si="314"/>
        <v>0</v>
      </c>
      <c r="AW379" s="187">
        <f t="shared" si="306"/>
        <v>0</v>
      </c>
      <c r="AX379" s="187">
        <f t="shared" si="307"/>
        <v>15</v>
      </c>
      <c r="AY379" s="388"/>
      <c r="AZ379" s="431"/>
      <c r="BA379" s="432"/>
      <c r="BB379" s="433"/>
      <c r="BC379" s="433"/>
      <c r="BD379" s="433"/>
      <c r="BE379" s="433"/>
      <c r="BF379" s="434"/>
      <c r="BG379" s="433"/>
      <c r="BH379" s="435"/>
      <c r="BK379" s="419" t="s">
        <v>259</v>
      </c>
      <c r="BL379" s="420">
        <v>0.17499999999999999</v>
      </c>
      <c r="BN379" s="419" t="s">
        <v>259</v>
      </c>
      <c r="BO379" s="420">
        <v>10</v>
      </c>
      <c r="BQ379" s="423" t="s">
        <v>259</v>
      </c>
      <c r="BR379" s="422">
        <v>0.75</v>
      </c>
      <c r="BT379" s="423" t="s">
        <v>259</v>
      </c>
      <c r="BU379" s="422">
        <v>7.3499999999999996E-2</v>
      </c>
      <c r="BW379" s="423" t="s">
        <v>259</v>
      </c>
      <c r="BX379" s="422">
        <v>10</v>
      </c>
      <c r="BZ379" s="423" t="s">
        <v>259</v>
      </c>
      <c r="CA379" s="422">
        <v>7.3499999999999996E-2</v>
      </c>
      <c r="CC379" s="423" t="s">
        <v>259</v>
      </c>
      <c r="CD379" s="422">
        <v>8.5000000000000006E-2</v>
      </c>
      <c r="CF379" s="423" t="s">
        <v>259</v>
      </c>
      <c r="CG379" s="422">
        <v>1</v>
      </c>
    </row>
    <row r="380" spans="1:85" s="395" customFormat="1" x14ac:dyDescent="0.3">
      <c r="A380" s="182" t="s">
        <v>232</v>
      </c>
      <c r="B380" s="183">
        <v>1</v>
      </c>
      <c r="C380" s="184" t="s">
        <v>484</v>
      </c>
      <c r="D380" s="187">
        <v>3.71</v>
      </c>
      <c r="E380" s="187">
        <v>2.71</v>
      </c>
      <c r="F380" s="186">
        <v>0.13</v>
      </c>
      <c r="G380" s="187">
        <f t="shared" si="316"/>
        <v>1.3070330000000001</v>
      </c>
      <c r="H380" s="188">
        <f t="shared" si="317"/>
        <v>10.0541</v>
      </c>
      <c r="I380" s="183">
        <f t="shared" si="280"/>
        <v>8</v>
      </c>
      <c r="J380" s="188">
        <f t="shared" si="281"/>
        <v>0.2</v>
      </c>
      <c r="K380" s="183">
        <f t="shared" si="282"/>
        <v>15</v>
      </c>
      <c r="L380" s="189">
        <f t="shared" si="283"/>
        <v>5.4600000000000003E-2</v>
      </c>
      <c r="M380" s="189">
        <f>0.38+0.3</f>
        <v>0.67999999999999994</v>
      </c>
      <c r="N380" s="189">
        <f t="shared" si="263"/>
        <v>-0.04</v>
      </c>
      <c r="O380" s="189">
        <f>2.75*0.3</f>
        <v>0.82499999999999996</v>
      </c>
      <c r="P380" s="188">
        <f t="shared" si="284"/>
        <v>5.2295999999999996</v>
      </c>
      <c r="Q380" s="183">
        <f t="shared" si="285"/>
        <v>8</v>
      </c>
      <c r="R380" s="188">
        <f t="shared" si="286"/>
        <v>0.2</v>
      </c>
      <c r="S380" s="183">
        <f t="shared" si="287"/>
        <v>14</v>
      </c>
      <c r="T380" s="189">
        <f t="shared" si="288"/>
        <v>5.4600000000000003E-2</v>
      </c>
      <c r="U380" s="189">
        <f>0.38+0.3</f>
        <v>0.67999999999999994</v>
      </c>
      <c r="V380" s="189">
        <f t="shared" si="265"/>
        <v>-0.04</v>
      </c>
      <c r="W380" s="189">
        <f>5.5*0.3</f>
        <v>1.65</v>
      </c>
      <c r="X380" s="188">
        <f t="shared" si="289"/>
        <v>6.0545999999999998</v>
      </c>
      <c r="Y380" s="183">
        <f t="shared" si="290"/>
        <v>8</v>
      </c>
      <c r="Z380" s="182">
        <f t="shared" si="291"/>
        <v>0.24</v>
      </c>
      <c r="AA380" s="183">
        <f t="shared" si="292"/>
        <v>16</v>
      </c>
      <c r="AB380" s="189">
        <f t="shared" si="293"/>
        <v>5.4600000000000003E-2</v>
      </c>
      <c r="AC380" s="189">
        <v>0.6</v>
      </c>
      <c r="AD380" s="189">
        <f t="shared" si="267"/>
        <v>-0.04</v>
      </c>
      <c r="AE380" s="189">
        <f>5.54*0.3</f>
        <v>1.6619999999999999</v>
      </c>
      <c r="AF380" s="188">
        <f t="shared" si="294"/>
        <v>4.9865999999999993</v>
      </c>
      <c r="AG380" s="183">
        <f t="shared" si="295"/>
        <v>8</v>
      </c>
      <c r="AH380" s="182">
        <f t="shared" si="296"/>
        <v>0.24</v>
      </c>
      <c r="AI380" s="183">
        <f t="shared" si="297"/>
        <v>15</v>
      </c>
      <c r="AJ380" s="189">
        <f t="shared" si="298"/>
        <v>5.4600000000000003E-2</v>
      </c>
      <c r="AK380" s="189">
        <v>0.6</v>
      </c>
      <c r="AL380" s="189">
        <f t="shared" si="269"/>
        <v>-0.04</v>
      </c>
      <c r="AM380" s="189">
        <f>2.85*0.3</f>
        <v>0.85499999999999998</v>
      </c>
      <c r="AN380" s="188">
        <f t="shared" si="299"/>
        <v>4.1795999999999998</v>
      </c>
      <c r="AO380" s="183">
        <v>0</v>
      </c>
      <c r="AP380" s="182">
        <f t="shared" si="300"/>
        <v>8</v>
      </c>
      <c r="AQ380" s="182">
        <v>1.5</v>
      </c>
      <c r="AR380" s="187">
        <f t="shared" si="310"/>
        <v>163.20839999999998</v>
      </c>
      <c r="AS380" s="187">
        <f t="shared" si="311"/>
        <v>0</v>
      </c>
      <c r="AT380" s="187">
        <f t="shared" si="312"/>
        <v>0</v>
      </c>
      <c r="AU380" s="187">
        <f t="shared" si="313"/>
        <v>142.47959999999998</v>
      </c>
      <c r="AV380" s="187">
        <f t="shared" si="314"/>
        <v>0</v>
      </c>
      <c r="AW380" s="187">
        <f t="shared" si="306"/>
        <v>0</v>
      </c>
      <c r="AX380" s="187">
        <f t="shared" si="307"/>
        <v>12</v>
      </c>
      <c r="AY380" s="388"/>
      <c r="AZ380" s="436"/>
      <c r="BA380" s="428"/>
      <c r="BF380" s="403"/>
      <c r="BG380" s="403"/>
      <c r="BK380" s="437" t="s">
        <v>261</v>
      </c>
      <c r="BL380" s="420">
        <v>0.12</v>
      </c>
      <c r="BN380" s="437" t="s">
        <v>261</v>
      </c>
      <c r="BO380" s="438">
        <v>10</v>
      </c>
      <c r="BQ380" s="423" t="s">
        <v>261</v>
      </c>
      <c r="BR380" s="422">
        <v>0.125</v>
      </c>
      <c r="BT380" s="423" t="s">
        <v>261</v>
      </c>
      <c r="BU380" s="422">
        <v>5.0399999999999993E-2</v>
      </c>
      <c r="BW380" s="423" t="s">
        <v>261</v>
      </c>
      <c r="BX380" s="422">
        <v>8</v>
      </c>
      <c r="BZ380" s="423" t="s">
        <v>261</v>
      </c>
      <c r="CA380" s="422"/>
      <c r="CC380" s="423" t="s">
        <v>261</v>
      </c>
      <c r="CD380" s="422">
        <v>0.2</v>
      </c>
      <c r="CF380" s="423" t="s">
        <v>261</v>
      </c>
      <c r="CG380" s="422">
        <v>1</v>
      </c>
    </row>
    <row r="381" spans="1:85" s="395" customFormat="1" x14ac:dyDescent="0.3">
      <c r="A381" s="182" t="s">
        <v>236</v>
      </c>
      <c r="B381" s="183">
        <v>1</v>
      </c>
      <c r="C381" s="184" t="s">
        <v>485</v>
      </c>
      <c r="D381" s="187">
        <v>2.74</v>
      </c>
      <c r="E381" s="187">
        <v>5.5</v>
      </c>
      <c r="F381" s="186">
        <v>0.16500000000000001</v>
      </c>
      <c r="G381" s="187">
        <f t="shared" si="316"/>
        <v>2.4865500000000003</v>
      </c>
      <c r="H381" s="188">
        <f t="shared" si="317"/>
        <v>15.07</v>
      </c>
      <c r="I381" s="183">
        <f t="shared" si="280"/>
        <v>10</v>
      </c>
      <c r="J381" s="188">
        <f t="shared" si="281"/>
        <v>0.19</v>
      </c>
      <c r="K381" s="183">
        <f t="shared" si="282"/>
        <v>30</v>
      </c>
      <c r="L381" s="189">
        <f t="shared" si="283"/>
        <v>6.93E-2</v>
      </c>
      <c r="M381" s="189">
        <v>0.6</v>
      </c>
      <c r="N381" s="189">
        <f t="shared" si="263"/>
        <v>-0.04</v>
      </c>
      <c r="O381" s="189">
        <f>2.75*0.3</f>
        <v>0.82499999999999996</v>
      </c>
      <c r="P381" s="188">
        <f t="shared" ref="P381" si="319">+D381+SUM(L381:O381)</f>
        <v>4.1943000000000001</v>
      </c>
      <c r="Q381" s="183">
        <f t="shared" si="285"/>
        <v>10</v>
      </c>
      <c r="R381" s="188">
        <f t="shared" si="286"/>
        <v>0.19</v>
      </c>
      <c r="S381" s="183">
        <f t="shared" si="287"/>
        <v>29</v>
      </c>
      <c r="T381" s="189">
        <f t="shared" si="288"/>
        <v>6.93E-2</v>
      </c>
      <c r="U381" s="189">
        <v>0.6</v>
      </c>
      <c r="V381" s="189">
        <f t="shared" si="265"/>
        <v>-0.04</v>
      </c>
      <c r="W381" s="189">
        <f>2.2*0.3</f>
        <v>0.66</v>
      </c>
      <c r="X381" s="188">
        <f t="shared" ref="X381" si="320">+D381+SUM(T381:W381)</f>
        <v>4.0293000000000001</v>
      </c>
      <c r="Y381" s="183">
        <f t="shared" si="290"/>
        <v>8</v>
      </c>
      <c r="Z381" s="182">
        <f t="shared" si="291"/>
        <v>0.2</v>
      </c>
      <c r="AA381" s="183">
        <f t="shared" si="292"/>
        <v>15</v>
      </c>
      <c r="AB381" s="189">
        <f t="shared" si="293"/>
        <v>6.93E-2</v>
      </c>
      <c r="AC381" s="189">
        <f>0.38+0.438</f>
        <v>0.81800000000000006</v>
      </c>
      <c r="AD381" s="189">
        <f t="shared" si="267"/>
        <v>-0.04</v>
      </c>
      <c r="AE381" s="189">
        <f>3.37*0.3</f>
        <v>1.0109999999999999</v>
      </c>
      <c r="AF381" s="188">
        <f t="shared" ref="AF381:AF444" si="321">+E381+SUM(AB381:AE381)</f>
        <v>7.3582999999999998</v>
      </c>
      <c r="AG381" s="183">
        <f t="shared" si="295"/>
        <v>8</v>
      </c>
      <c r="AH381" s="182">
        <f t="shared" si="296"/>
        <v>0.2</v>
      </c>
      <c r="AI381" s="183">
        <f t="shared" si="297"/>
        <v>14</v>
      </c>
      <c r="AJ381" s="189">
        <f t="shared" si="298"/>
        <v>6.93E-2</v>
      </c>
      <c r="AK381" s="189">
        <f>0.38+0.438</f>
        <v>0.81800000000000006</v>
      </c>
      <c r="AL381" s="189">
        <f t="shared" si="269"/>
        <v>-0.04</v>
      </c>
      <c r="AM381" s="189">
        <f>2.1*0.3</f>
        <v>0.63</v>
      </c>
      <c r="AN381" s="188">
        <f t="shared" ref="AN381:AN444" si="322">+E381+SUM(AJ381:AM381)</f>
        <v>6.9772999999999996</v>
      </c>
      <c r="AO381" s="183">
        <v>1</v>
      </c>
      <c r="AP381" s="182">
        <f t="shared" si="300"/>
        <v>12</v>
      </c>
      <c r="AQ381" s="182">
        <v>1.5</v>
      </c>
      <c r="AR381" s="187">
        <f t="shared" si="310"/>
        <v>0</v>
      </c>
      <c r="AS381" s="187">
        <f t="shared" si="311"/>
        <v>242.67869999999999</v>
      </c>
      <c r="AT381" s="187">
        <f t="shared" si="312"/>
        <v>0</v>
      </c>
      <c r="AU381" s="187">
        <f t="shared" si="313"/>
        <v>208.05669999999998</v>
      </c>
      <c r="AV381" s="187">
        <f t="shared" si="314"/>
        <v>0</v>
      </c>
      <c r="AW381" s="187">
        <f t="shared" si="306"/>
        <v>0</v>
      </c>
      <c r="AX381" s="187">
        <f t="shared" si="307"/>
        <v>18</v>
      </c>
      <c r="AY381" s="388"/>
      <c r="AZ381" s="436"/>
      <c r="BA381" s="428"/>
      <c r="BF381" s="403"/>
      <c r="BG381" s="403"/>
      <c r="BK381" s="439" t="s">
        <v>266</v>
      </c>
      <c r="BL381" s="440">
        <v>3.9099999999999997</v>
      </c>
      <c r="BN381" s="437" t="s">
        <v>266</v>
      </c>
      <c r="BO381" s="438">
        <v>248</v>
      </c>
      <c r="BQ381" s="441" t="s">
        <v>266</v>
      </c>
      <c r="BR381" s="430">
        <v>3.1450000000000005</v>
      </c>
      <c r="BT381" s="429" t="s">
        <v>266</v>
      </c>
      <c r="BU381" s="430">
        <v>1.6421999999999997</v>
      </c>
      <c r="BW381" s="429" t="s">
        <v>266</v>
      </c>
      <c r="BX381" s="430">
        <v>220</v>
      </c>
      <c r="BZ381" s="429" t="s">
        <v>266</v>
      </c>
      <c r="CA381" s="430">
        <v>1.4804999999999997</v>
      </c>
      <c r="CC381" s="429" t="s">
        <v>266</v>
      </c>
      <c r="CD381" s="430">
        <v>3.2400000000000007</v>
      </c>
      <c r="CF381" s="429" t="s">
        <v>266</v>
      </c>
      <c r="CG381" s="430">
        <v>25</v>
      </c>
    </row>
    <row r="382" spans="1:85" s="395" customFormat="1" x14ac:dyDescent="0.3">
      <c r="A382" s="182" t="s">
        <v>254</v>
      </c>
      <c r="B382" s="183">
        <v>1</v>
      </c>
      <c r="C382" s="184" t="s">
        <v>486</v>
      </c>
      <c r="D382" s="442">
        <v>3.37</v>
      </c>
      <c r="E382" s="187">
        <v>5.5</v>
      </c>
      <c r="F382" s="186">
        <v>0.15</v>
      </c>
      <c r="G382" s="187">
        <f t="shared" si="316"/>
        <v>2.7802500000000001</v>
      </c>
      <c r="H382" s="188">
        <f t="shared" si="317"/>
        <v>18.535</v>
      </c>
      <c r="I382" s="183">
        <f t="shared" si="280"/>
        <v>10</v>
      </c>
      <c r="J382" s="188">
        <f t="shared" si="281"/>
        <v>0.18</v>
      </c>
      <c r="K382" s="183">
        <f t="shared" si="282"/>
        <v>32</v>
      </c>
      <c r="L382" s="189">
        <f t="shared" si="283"/>
        <v>6.3E-2</v>
      </c>
      <c r="M382" s="189">
        <f>0.3+0.3</f>
        <v>0.6</v>
      </c>
      <c r="N382" s="189">
        <f t="shared" si="263"/>
        <v>-0.04</v>
      </c>
      <c r="O382" s="189">
        <f>2.75*0.3</f>
        <v>0.82499999999999996</v>
      </c>
      <c r="P382" s="188">
        <f t="shared" ref="P382:P397" si="323">+D382+SUM(L382:O382)</f>
        <v>4.8179999999999996</v>
      </c>
      <c r="Q382" s="183">
        <f t="shared" si="285"/>
        <v>10</v>
      </c>
      <c r="R382" s="188">
        <f t="shared" si="286"/>
        <v>0.18</v>
      </c>
      <c r="S382" s="183">
        <f t="shared" si="287"/>
        <v>31</v>
      </c>
      <c r="T382" s="189">
        <f t="shared" si="288"/>
        <v>6.3E-2</v>
      </c>
      <c r="U382" s="189">
        <v>0.6</v>
      </c>
      <c r="V382" s="189">
        <f t="shared" si="265"/>
        <v>-0.04</v>
      </c>
      <c r="W382" s="189">
        <f>2.2*0.3</f>
        <v>0.66</v>
      </c>
      <c r="X382" s="188">
        <f t="shared" ref="X382:X445" si="324">+D382+SUM(T382:W382)</f>
        <v>4.6530000000000005</v>
      </c>
      <c r="Y382" s="183">
        <f t="shared" si="290"/>
        <v>8</v>
      </c>
      <c r="Z382" s="182">
        <f t="shared" si="291"/>
        <v>0.2</v>
      </c>
      <c r="AA382" s="183">
        <f t="shared" si="292"/>
        <v>18</v>
      </c>
      <c r="AB382" s="189">
        <f t="shared" si="293"/>
        <v>6.3E-2</v>
      </c>
      <c r="AC382" s="189">
        <f>0.3+0.37</f>
        <v>0.66999999999999993</v>
      </c>
      <c r="AD382" s="189">
        <f t="shared" si="267"/>
        <v>-0.04</v>
      </c>
      <c r="AE382" s="189">
        <f>3.37*0.3</f>
        <v>1.0109999999999999</v>
      </c>
      <c r="AF382" s="188">
        <f t="shared" si="321"/>
        <v>7.2039999999999997</v>
      </c>
      <c r="AG382" s="183">
        <f t="shared" si="295"/>
        <v>8</v>
      </c>
      <c r="AH382" s="182">
        <f t="shared" si="296"/>
        <v>0.2</v>
      </c>
      <c r="AI382" s="183">
        <f t="shared" si="297"/>
        <v>17</v>
      </c>
      <c r="AJ382" s="189">
        <f t="shared" si="298"/>
        <v>6.3E-2</v>
      </c>
      <c r="AK382" s="189">
        <f>0.3+0.37</f>
        <v>0.66999999999999993</v>
      </c>
      <c r="AL382" s="189">
        <f t="shared" si="269"/>
        <v>-0.04</v>
      </c>
      <c r="AM382" s="189">
        <f>2.75*0.3</f>
        <v>0.82499999999999996</v>
      </c>
      <c r="AN382" s="188">
        <f t="shared" si="322"/>
        <v>7.0179999999999998</v>
      </c>
      <c r="AO382" s="183">
        <v>0</v>
      </c>
      <c r="AP382" s="182">
        <f t="shared" si="300"/>
        <v>12</v>
      </c>
      <c r="AQ382" s="182">
        <v>1.5</v>
      </c>
      <c r="AR382" s="187">
        <f t="shared" si="310"/>
        <v>0</v>
      </c>
      <c r="AS382" s="187">
        <f t="shared" si="311"/>
        <v>298.41899999999998</v>
      </c>
      <c r="AT382" s="187">
        <f t="shared" si="312"/>
        <v>0</v>
      </c>
      <c r="AU382" s="187">
        <f t="shared" si="313"/>
        <v>248.97800000000001</v>
      </c>
      <c r="AV382" s="187">
        <f t="shared" si="314"/>
        <v>0</v>
      </c>
      <c r="AW382" s="187">
        <f t="shared" si="306"/>
        <v>0</v>
      </c>
      <c r="AX382" s="187">
        <f t="shared" si="307"/>
        <v>18</v>
      </c>
      <c r="AY382" s="388"/>
      <c r="AZ382" s="436"/>
      <c r="BA382" s="428"/>
      <c r="BF382" s="403"/>
      <c r="BG382" s="403"/>
      <c r="BK382" s="443"/>
      <c r="BL382" s="443"/>
      <c r="BN382" s="443"/>
      <c r="BO382" s="443"/>
      <c r="BQ382" s="443"/>
      <c r="BR382" s="443"/>
      <c r="BT382" s="443"/>
      <c r="BU382" s="443"/>
      <c r="BW382" s="443"/>
      <c r="BX382" s="443"/>
      <c r="BZ382" s="443"/>
      <c r="CA382" s="443"/>
      <c r="CC382" s="443"/>
      <c r="CD382" s="443"/>
      <c r="CF382" s="443"/>
      <c r="CG382" s="443"/>
    </row>
    <row r="383" spans="1:85" s="395" customFormat="1" x14ac:dyDescent="0.3">
      <c r="A383" s="182" t="s">
        <v>227</v>
      </c>
      <c r="B383" s="183">
        <v>1</v>
      </c>
      <c r="C383" s="184" t="s">
        <v>487</v>
      </c>
      <c r="D383" s="247">
        <v>1.63</v>
      </c>
      <c r="E383" s="187">
        <v>3.11</v>
      </c>
      <c r="F383" s="186">
        <v>0.125</v>
      </c>
      <c r="G383" s="187">
        <f t="shared" si="316"/>
        <v>0.63366249999999991</v>
      </c>
      <c r="H383" s="188">
        <f t="shared" si="317"/>
        <v>5.0692999999999993</v>
      </c>
      <c r="I383" s="183">
        <f t="shared" si="280"/>
        <v>8</v>
      </c>
      <c r="J383" s="188">
        <f t="shared" si="281"/>
        <v>0.2</v>
      </c>
      <c r="K383" s="183">
        <f t="shared" si="282"/>
        <v>17</v>
      </c>
      <c r="L383" s="189">
        <f t="shared" si="283"/>
        <v>5.2499999999999998E-2</v>
      </c>
      <c r="M383" s="189">
        <f>0.3+0.23</f>
        <v>0.53</v>
      </c>
      <c r="N383" s="189">
        <f t="shared" si="263"/>
        <v>-0.04</v>
      </c>
      <c r="O383" s="189">
        <f>5.49*0.3</f>
        <v>1.647</v>
      </c>
      <c r="P383" s="188">
        <f t="shared" si="323"/>
        <v>3.8194999999999997</v>
      </c>
      <c r="Q383" s="183">
        <f t="shared" si="285"/>
        <v>8</v>
      </c>
      <c r="R383" s="188">
        <f t="shared" si="286"/>
        <v>0.2</v>
      </c>
      <c r="S383" s="183">
        <f t="shared" si="287"/>
        <v>16</v>
      </c>
      <c r="T383" s="189">
        <f t="shared" si="288"/>
        <v>5.2499999999999998E-2</v>
      </c>
      <c r="U383" s="189">
        <f>0.3+0.23</f>
        <v>0.53</v>
      </c>
      <c r="V383" s="189">
        <f t="shared" si="265"/>
        <v>-0.04</v>
      </c>
      <c r="W383" s="189">
        <f>3.07*0.3</f>
        <v>0.92099999999999993</v>
      </c>
      <c r="X383" s="188">
        <f t="shared" si="324"/>
        <v>3.0934999999999997</v>
      </c>
      <c r="Y383" s="183">
        <f t="shared" si="290"/>
        <v>8</v>
      </c>
      <c r="Z383" s="182">
        <f t="shared" si="291"/>
        <v>0.2</v>
      </c>
      <c r="AA383" s="183">
        <f t="shared" si="292"/>
        <v>9</v>
      </c>
      <c r="AB383" s="189">
        <f t="shared" si="293"/>
        <v>5.2499999999999998E-2</v>
      </c>
      <c r="AC383" s="189">
        <f>0.3+0.37</f>
        <v>0.66999999999999993</v>
      </c>
      <c r="AD383" s="189">
        <f t="shared" si="267"/>
        <v>-0.04</v>
      </c>
      <c r="AE383" s="189">
        <f>2.52*0.3</f>
        <v>0.75600000000000001</v>
      </c>
      <c r="AF383" s="188">
        <f t="shared" si="321"/>
        <v>4.5484999999999998</v>
      </c>
      <c r="AG383" s="183">
        <f t="shared" si="295"/>
        <v>8</v>
      </c>
      <c r="AH383" s="182">
        <f t="shared" si="296"/>
        <v>0.2</v>
      </c>
      <c r="AI383" s="183">
        <f t="shared" si="297"/>
        <v>8</v>
      </c>
      <c r="AJ383" s="189">
        <f t="shared" si="298"/>
        <v>5.2499999999999998E-2</v>
      </c>
      <c r="AK383" s="189">
        <f>0.3+0.37</f>
        <v>0.66999999999999993</v>
      </c>
      <c r="AL383" s="189">
        <f t="shared" si="269"/>
        <v>-0.04</v>
      </c>
      <c r="AM383" s="189">
        <f>3.88*0.3</f>
        <v>1.1639999999999999</v>
      </c>
      <c r="AN383" s="188">
        <f t="shared" si="322"/>
        <v>4.9565000000000001</v>
      </c>
      <c r="AO383" s="183">
        <v>0</v>
      </c>
      <c r="AP383" s="182">
        <f t="shared" si="300"/>
        <v>6</v>
      </c>
      <c r="AQ383" s="182">
        <v>1.5</v>
      </c>
      <c r="AR383" s="187">
        <f t="shared" si="310"/>
        <v>114.42749999999999</v>
      </c>
      <c r="AS383" s="187">
        <f t="shared" si="311"/>
        <v>0</v>
      </c>
      <c r="AT383" s="187">
        <f t="shared" si="312"/>
        <v>0</v>
      </c>
      <c r="AU383" s="187">
        <f t="shared" si="313"/>
        <v>80.588499999999996</v>
      </c>
      <c r="AV383" s="187">
        <f t="shared" si="314"/>
        <v>0</v>
      </c>
      <c r="AW383" s="187">
        <f t="shared" si="306"/>
        <v>0</v>
      </c>
      <c r="AX383" s="187">
        <f t="shared" si="307"/>
        <v>9</v>
      </c>
      <c r="AY383" s="388"/>
      <c r="AZ383" s="436"/>
      <c r="BA383" s="428"/>
      <c r="BF383" s="403"/>
      <c r="BG383" s="403"/>
      <c r="BK383" s="443"/>
      <c r="BL383" s="443"/>
      <c r="BN383" s="443"/>
      <c r="BO383" s="443"/>
      <c r="BQ383" s="443"/>
      <c r="BR383" s="443"/>
      <c r="BT383" s="443"/>
      <c r="BU383" s="443"/>
      <c r="BW383" s="443"/>
      <c r="BX383" s="443"/>
      <c r="BZ383" s="443"/>
      <c r="CA383" s="443"/>
      <c r="CC383" s="443"/>
      <c r="CD383" s="443"/>
      <c r="CF383" s="443"/>
      <c r="CG383" s="443"/>
    </row>
    <row r="384" spans="1:85" s="395" customFormat="1" x14ac:dyDescent="0.3">
      <c r="A384" s="182" t="s">
        <v>239</v>
      </c>
      <c r="B384" s="183">
        <v>1</v>
      </c>
      <c r="C384" s="184" t="s">
        <v>488</v>
      </c>
      <c r="D384" s="187">
        <v>1.65</v>
      </c>
      <c r="E384" s="187">
        <v>2.9</v>
      </c>
      <c r="F384" s="186">
        <v>0.125</v>
      </c>
      <c r="G384" s="187">
        <f>D384*E384*F384*B384</f>
        <v>0.59812499999999991</v>
      </c>
      <c r="H384" s="188">
        <f>D384*E384*B384</f>
        <v>4.7849999999999993</v>
      </c>
      <c r="I384" s="183">
        <f t="shared" si="280"/>
        <v>8</v>
      </c>
      <c r="J384" s="188">
        <f t="shared" si="281"/>
        <v>0.23</v>
      </c>
      <c r="K384" s="183">
        <f t="shared" si="282"/>
        <v>14</v>
      </c>
      <c r="L384" s="189">
        <f t="shared" si="283"/>
        <v>5.2499999999999998E-2</v>
      </c>
      <c r="M384" s="189">
        <v>0.6</v>
      </c>
      <c r="N384" s="189">
        <f t="shared" si="263"/>
        <v>-0.04</v>
      </c>
      <c r="O384" s="189">
        <f>F384-2*0.02</f>
        <v>8.4999999999999992E-2</v>
      </c>
      <c r="P384" s="188">
        <f t="shared" si="323"/>
        <v>2.3474999999999997</v>
      </c>
      <c r="Q384" s="183">
        <f t="shared" si="285"/>
        <v>8</v>
      </c>
      <c r="R384" s="188">
        <f t="shared" si="286"/>
        <v>0.23</v>
      </c>
      <c r="S384" s="183">
        <f t="shared" si="287"/>
        <v>13</v>
      </c>
      <c r="T384" s="189">
        <f t="shared" si="288"/>
        <v>5.2499999999999998E-2</v>
      </c>
      <c r="U384" s="189">
        <v>0.6</v>
      </c>
      <c r="V384" s="189">
        <f t="shared" si="265"/>
        <v>-0.04</v>
      </c>
      <c r="W384" s="189">
        <f>2.75*0.3</f>
        <v>0.82499999999999996</v>
      </c>
      <c r="X384" s="188">
        <f t="shared" si="324"/>
        <v>3.0874999999999999</v>
      </c>
      <c r="Y384" s="183">
        <f t="shared" si="290"/>
        <v>8</v>
      </c>
      <c r="Z384" s="188">
        <f t="shared" si="291"/>
        <v>0.3</v>
      </c>
      <c r="AA384" s="183">
        <f t="shared" si="292"/>
        <v>7</v>
      </c>
      <c r="AB384" s="189">
        <f t="shared" si="293"/>
        <v>5.2499999999999998E-2</v>
      </c>
      <c r="AC384" s="189">
        <v>0.6</v>
      </c>
      <c r="AD384" s="189">
        <f t="shared" si="267"/>
        <v>-0.04</v>
      </c>
      <c r="AE384" s="189">
        <f>4.67*0.3</f>
        <v>1.401</v>
      </c>
      <c r="AF384" s="188">
        <f t="shared" si="321"/>
        <v>4.9135</v>
      </c>
      <c r="AG384" s="183">
        <f t="shared" si="295"/>
        <v>8</v>
      </c>
      <c r="AH384" s="182">
        <f t="shared" si="296"/>
        <v>0.3</v>
      </c>
      <c r="AI384" s="183">
        <f t="shared" si="297"/>
        <v>6</v>
      </c>
      <c r="AJ384" s="189">
        <f t="shared" si="298"/>
        <v>5.2499999999999998E-2</v>
      </c>
      <c r="AK384" s="189">
        <v>0.6</v>
      </c>
      <c r="AL384" s="189">
        <f t="shared" si="269"/>
        <v>-0.04</v>
      </c>
      <c r="AM384" s="189">
        <f>2.11*0.3</f>
        <v>0.6329999999999999</v>
      </c>
      <c r="AN384" s="188">
        <f t="shared" si="322"/>
        <v>4.1455000000000002</v>
      </c>
      <c r="AO384" s="183">
        <v>0</v>
      </c>
      <c r="AP384" s="182">
        <f t="shared" si="300"/>
        <v>6</v>
      </c>
      <c r="AQ384" s="182">
        <v>1.5</v>
      </c>
      <c r="AR384" s="187">
        <f t="shared" si="310"/>
        <v>73.002499999999998</v>
      </c>
      <c r="AS384" s="187">
        <f t="shared" si="311"/>
        <v>0</v>
      </c>
      <c r="AT384" s="187">
        <f t="shared" si="312"/>
        <v>0</v>
      </c>
      <c r="AU384" s="187">
        <f t="shared" si="313"/>
        <v>59.267499999999998</v>
      </c>
      <c r="AV384" s="187">
        <f t="shared" si="314"/>
        <v>0</v>
      </c>
      <c r="AW384" s="187">
        <f t="shared" si="306"/>
        <v>0</v>
      </c>
      <c r="AX384" s="187">
        <f t="shared" si="307"/>
        <v>9</v>
      </c>
      <c r="AY384" s="388"/>
      <c r="AZ384" s="436"/>
      <c r="BA384" s="428"/>
      <c r="BF384" s="403"/>
      <c r="BG384" s="403"/>
      <c r="BK384" s="443"/>
      <c r="BL384" s="443"/>
      <c r="BN384" s="443"/>
      <c r="BO384" s="443"/>
      <c r="BQ384" s="443"/>
      <c r="BR384" s="443"/>
      <c r="BT384" s="443"/>
      <c r="BU384" s="443"/>
      <c r="BW384" s="443"/>
      <c r="BX384" s="443"/>
      <c r="BZ384" s="443"/>
      <c r="CA384" s="443"/>
      <c r="CC384" s="443"/>
      <c r="CD384" s="443"/>
      <c r="CF384" s="443"/>
      <c r="CG384" s="443"/>
    </row>
    <row r="385" spans="1:85" s="395" customFormat="1" x14ac:dyDescent="0.3">
      <c r="A385" s="182" t="s">
        <v>239</v>
      </c>
      <c r="B385" s="183">
        <v>1</v>
      </c>
      <c r="C385" s="184" t="s">
        <v>489</v>
      </c>
      <c r="D385" s="187">
        <v>2.11</v>
      </c>
      <c r="E385" s="187">
        <v>2.97</v>
      </c>
      <c r="F385" s="186">
        <v>0.125</v>
      </c>
      <c r="G385" s="187">
        <f t="shared" ref="G385:G444" si="325">D385*E385*F385*B385</f>
        <v>0.78333750000000002</v>
      </c>
      <c r="H385" s="188">
        <f t="shared" ref="H385:H449" si="326">D385*E385*B385</f>
        <v>6.2667000000000002</v>
      </c>
      <c r="I385" s="183">
        <f t="shared" si="280"/>
        <v>8</v>
      </c>
      <c r="J385" s="188">
        <f t="shared" si="281"/>
        <v>0.23</v>
      </c>
      <c r="K385" s="183">
        <f t="shared" si="282"/>
        <v>14</v>
      </c>
      <c r="L385" s="189">
        <f t="shared" si="283"/>
        <v>5.2499999999999998E-2</v>
      </c>
      <c r="M385" s="189">
        <f>0.3+0.23</f>
        <v>0.53</v>
      </c>
      <c r="N385" s="189">
        <f t="shared" si="263"/>
        <v>-0.04</v>
      </c>
      <c r="O385" s="189">
        <f>F385-2*0.02</f>
        <v>8.4999999999999992E-2</v>
      </c>
      <c r="P385" s="188">
        <f t="shared" si="323"/>
        <v>2.7374999999999998</v>
      </c>
      <c r="Q385" s="183">
        <f t="shared" si="285"/>
        <v>8</v>
      </c>
      <c r="R385" s="188">
        <f t="shared" si="286"/>
        <v>0.23</v>
      </c>
      <c r="S385" s="183">
        <f t="shared" si="287"/>
        <v>13</v>
      </c>
      <c r="T385" s="189">
        <f t="shared" si="288"/>
        <v>5.2499999999999998E-2</v>
      </c>
      <c r="U385" s="189">
        <f>0.3+0.23</f>
        <v>0.53</v>
      </c>
      <c r="V385" s="189">
        <f t="shared" si="265"/>
        <v>-0.04</v>
      </c>
      <c r="W385" s="189">
        <f>2.75*0.3</f>
        <v>0.82499999999999996</v>
      </c>
      <c r="X385" s="188">
        <f t="shared" si="324"/>
        <v>3.4775</v>
      </c>
      <c r="Y385" s="183">
        <f t="shared" si="290"/>
        <v>8</v>
      </c>
      <c r="Z385" s="188">
        <f t="shared" si="291"/>
        <v>0.3</v>
      </c>
      <c r="AA385" s="183">
        <f t="shared" si="292"/>
        <v>8</v>
      </c>
      <c r="AB385" s="189">
        <f t="shared" si="293"/>
        <v>5.2499999999999998E-2</v>
      </c>
      <c r="AC385" s="189">
        <f>0.3+0.23</f>
        <v>0.53</v>
      </c>
      <c r="AD385" s="189">
        <f t="shared" si="267"/>
        <v>-0.04</v>
      </c>
      <c r="AE385" s="189">
        <f>1.65*0.3</f>
        <v>0.49499999999999994</v>
      </c>
      <c r="AF385" s="188">
        <f t="shared" si="321"/>
        <v>4.0075000000000003</v>
      </c>
      <c r="AG385" s="183">
        <f t="shared" si="295"/>
        <v>8</v>
      </c>
      <c r="AH385" s="182">
        <f t="shared" si="296"/>
        <v>0.3</v>
      </c>
      <c r="AI385" s="183">
        <f t="shared" si="297"/>
        <v>7</v>
      </c>
      <c r="AJ385" s="189">
        <f t="shared" si="298"/>
        <v>5.2499999999999998E-2</v>
      </c>
      <c r="AK385" s="189">
        <f>0.3+0.23</f>
        <v>0.53</v>
      </c>
      <c r="AL385" s="189">
        <f t="shared" si="269"/>
        <v>-0.04</v>
      </c>
      <c r="AM385" s="189">
        <v>0</v>
      </c>
      <c r="AN385" s="188">
        <f t="shared" si="322"/>
        <v>3.5125000000000002</v>
      </c>
      <c r="AO385" s="183">
        <v>0</v>
      </c>
      <c r="AP385" s="182">
        <f t="shared" si="300"/>
        <v>6</v>
      </c>
      <c r="AQ385" s="182">
        <v>1.5</v>
      </c>
      <c r="AR385" s="187">
        <f t="shared" si="310"/>
        <v>83.532499999999999</v>
      </c>
      <c r="AS385" s="187">
        <f t="shared" si="311"/>
        <v>0</v>
      </c>
      <c r="AT385" s="187">
        <f t="shared" si="312"/>
        <v>0</v>
      </c>
      <c r="AU385" s="187">
        <f t="shared" si="313"/>
        <v>56.647500000000008</v>
      </c>
      <c r="AV385" s="187">
        <f t="shared" si="314"/>
        <v>0</v>
      </c>
      <c r="AW385" s="187">
        <f t="shared" si="306"/>
        <v>0</v>
      </c>
      <c r="AX385" s="187">
        <f t="shared" si="307"/>
        <v>9</v>
      </c>
      <c r="AY385" s="388"/>
      <c r="AZ385" s="436"/>
      <c r="BA385" s="428"/>
      <c r="BF385" s="403"/>
      <c r="BG385" s="403"/>
      <c r="BK385" s="443"/>
      <c r="BL385" s="443"/>
      <c r="BN385" s="443"/>
      <c r="BO385" s="443"/>
      <c r="BQ385" s="443"/>
      <c r="BR385" s="443"/>
      <c r="BT385" s="443"/>
      <c r="BU385" s="443"/>
      <c r="BW385" s="443"/>
      <c r="BX385" s="443"/>
      <c r="BZ385" s="443"/>
      <c r="CA385" s="443"/>
      <c r="CC385" s="443"/>
      <c r="CD385" s="443"/>
      <c r="CF385" s="443"/>
      <c r="CG385" s="443"/>
    </row>
    <row r="386" spans="1:85" s="395" customFormat="1" x14ac:dyDescent="0.3">
      <c r="A386" s="182" t="s">
        <v>239</v>
      </c>
      <c r="B386" s="183">
        <v>1</v>
      </c>
      <c r="C386" s="184" t="s">
        <v>490</v>
      </c>
      <c r="D386" s="187">
        <v>2.75</v>
      </c>
      <c r="E386" s="187">
        <v>2.85</v>
      </c>
      <c r="F386" s="186">
        <v>0.125</v>
      </c>
      <c r="G386" s="187">
        <f t="shared" si="325"/>
        <v>0.97968750000000004</v>
      </c>
      <c r="H386" s="188">
        <f t="shared" si="326"/>
        <v>7.8375000000000004</v>
      </c>
      <c r="I386" s="183">
        <f t="shared" si="280"/>
        <v>8</v>
      </c>
      <c r="J386" s="188">
        <f t="shared" si="281"/>
        <v>0.23</v>
      </c>
      <c r="K386" s="183">
        <f t="shared" si="282"/>
        <v>13</v>
      </c>
      <c r="L386" s="189">
        <f t="shared" si="283"/>
        <v>5.2499999999999998E-2</v>
      </c>
      <c r="M386" s="189">
        <f>0.3+0.3</f>
        <v>0.6</v>
      </c>
      <c r="N386" s="189">
        <f t="shared" si="263"/>
        <v>-0.04</v>
      </c>
      <c r="O386" s="189">
        <f>2.9*0.3</f>
        <v>0.87</v>
      </c>
      <c r="P386" s="188">
        <f t="shared" si="323"/>
        <v>4.2324999999999999</v>
      </c>
      <c r="Q386" s="183">
        <f t="shared" si="285"/>
        <v>8</v>
      </c>
      <c r="R386" s="188">
        <f t="shared" si="286"/>
        <v>0.23</v>
      </c>
      <c r="S386" s="183">
        <f t="shared" si="287"/>
        <v>12</v>
      </c>
      <c r="T386" s="189">
        <f t="shared" si="288"/>
        <v>5.2499999999999998E-2</v>
      </c>
      <c r="U386" s="189">
        <v>0.6</v>
      </c>
      <c r="V386" s="189">
        <f t="shared" si="265"/>
        <v>-0.04</v>
      </c>
      <c r="W386" s="189">
        <f>5.55*0.3</f>
        <v>1.6649999999999998</v>
      </c>
      <c r="X386" s="188">
        <f t="shared" si="324"/>
        <v>5.0274999999999999</v>
      </c>
      <c r="Y386" s="183">
        <f t="shared" si="290"/>
        <v>8</v>
      </c>
      <c r="Z386" s="188">
        <f t="shared" si="291"/>
        <v>0.3</v>
      </c>
      <c r="AA386" s="183">
        <f t="shared" si="292"/>
        <v>10</v>
      </c>
      <c r="AB386" s="189">
        <f t="shared" si="293"/>
        <v>5.2499999999999998E-2</v>
      </c>
      <c r="AC386" s="189">
        <v>0.6</v>
      </c>
      <c r="AD386" s="189">
        <f t="shared" si="267"/>
        <v>-0.04</v>
      </c>
      <c r="AE386" s="189">
        <f>3.37*0.3</f>
        <v>1.0109999999999999</v>
      </c>
      <c r="AF386" s="188">
        <f t="shared" si="321"/>
        <v>4.4734999999999996</v>
      </c>
      <c r="AG386" s="183">
        <f t="shared" si="295"/>
        <v>8</v>
      </c>
      <c r="AH386" s="182">
        <f t="shared" si="296"/>
        <v>0.3</v>
      </c>
      <c r="AI386" s="183">
        <f t="shared" si="297"/>
        <v>9</v>
      </c>
      <c r="AJ386" s="189">
        <f t="shared" si="298"/>
        <v>5.2499999999999998E-2</v>
      </c>
      <c r="AK386" s="189">
        <v>0.6</v>
      </c>
      <c r="AL386" s="189">
        <f t="shared" si="269"/>
        <v>-0.04</v>
      </c>
      <c r="AM386" s="189">
        <f>2.01*0.3</f>
        <v>0.60299999999999987</v>
      </c>
      <c r="AN386" s="188">
        <f t="shared" si="322"/>
        <v>4.0655000000000001</v>
      </c>
      <c r="AO386" s="183">
        <v>0</v>
      </c>
      <c r="AP386" s="182">
        <f t="shared" si="300"/>
        <v>8</v>
      </c>
      <c r="AQ386" s="182">
        <v>1.5</v>
      </c>
      <c r="AR386" s="187">
        <f t="shared" si="310"/>
        <v>115.35249999999999</v>
      </c>
      <c r="AS386" s="187">
        <f t="shared" si="311"/>
        <v>0</v>
      </c>
      <c r="AT386" s="187">
        <f t="shared" si="312"/>
        <v>0</v>
      </c>
      <c r="AU386" s="187">
        <f t="shared" si="313"/>
        <v>81.3245</v>
      </c>
      <c r="AV386" s="187">
        <f t="shared" si="314"/>
        <v>0</v>
      </c>
      <c r="AW386" s="187">
        <f t="shared" si="306"/>
        <v>0</v>
      </c>
      <c r="AX386" s="187">
        <f t="shared" si="307"/>
        <v>12</v>
      </c>
      <c r="AY386" s="388"/>
      <c r="AZ386" s="436"/>
      <c r="BA386" s="428"/>
      <c r="BF386" s="403"/>
      <c r="BG386" s="403"/>
      <c r="BK386" s="443"/>
      <c r="BL386" s="443"/>
      <c r="BN386" s="443"/>
      <c r="BO386" s="443"/>
      <c r="BQ386" s="443"/>
      <c r="BR386" s="443"/>
      <c r="BT386" s="443"/>
      <c r="BU386" s="443"/>
      <c r="BW386" s="443"/>
      <c r="BX386" s="443"/>
      <c r="BZ386" s="443"/>
      <c r="CA386" s="443"/>
      <c r="CC386" s="443"/>
      <c r="CD386" s="443"/>
      <c r="CF386" s="443"/>
      <c r="CG386" s="443"/>
    </row>
    <row r="387" spans="1:85" s="395" customFormat="1" x14ac:dyDescent="0.3">
      <c r="A387" s="182" t="s">
        <v>239</v>
      </c>
      <c r="B387" s="183">
        <v>1</v>
      </c>
      <c r="C387" s="184" t="s">
        <v>311</v>
      </c>
      <c r="D387" s="187">
        <v>1.87</v>
      </c>
      <c r="E387" s="187">
        <v>2.75</v>
      </c>
      <c r="F387" s="186">
        <v>0.125</v>
      </c>
      <c r="G387" s="187">
        <f t="shared" si="325"/>
        <v>0.64281250000000001</v>
      </c>
      <c r="H387" s="188">
        <f t="shared" si="326"/>
        <v>5.1425000000000001</v>
      </c>
      <c r="I387" s="183">
        <f t="shared" si="280"/>
        <v>8</v>
      </c>
      <c r="J387" s="188">
        <f t="shared" si="281"/>
        <v>0.23</v>
      </c>
      <c r="K387" s="183">
        <f t="shared" si="282"/>
        <v>13</v>
      </c>
      <c r="L387" s="189">
        <f t="shared" si="283"/>
        <v>5.2499999999999998E-2</v>
      </c>
      <c r="M387" s="189">
        <f>0.23+0.23</f>
        <v>0.46</v>
      </c>
      <c r="N387" s="189">
        <f t="shared" si="263"/>
        <v>-0.04</v>
      </c>
      <c r="O387" s="189">
        <f>2.97*0.3</f>
        <v>0.89100000000000001</v>
      </c>
      <c r="P387" s="188">
        <f t="shared" si="323"/>
        <v>3.2335000000000003</v>
      </c>
      <c r="Q387" s="183">
        <f t="shared" si="285"/>
        <v>8</v>
      </c>
      <c r="R387" s="188">
        <f t="shared" si="286"/>
        <v>0.23</v>
      </c>
      <c r="S387" s="183">
        <f t="shared" si="287"/>
        <v>12</v>
      </c>
      <c r="T387" s="189">
        <f t="shared" si="288"/>
        <v>5.2499999999999998E-2</v>
      </c>
      <c r="U387" s="189">
        <f>0.23+0.23</f>
        <v>0.46</v>
      </c>
      <c r="V387" s="189">
        <f t="shared" si="265"/>
        <v>-0.04</v>
      </c>
      <c r="W387" s="189">
        <f>5.44*0.3</f>
        <v>1.6320000000000001</v>
      </c>
      <c r="X387" s="188">
        <f t="shared" si="324"/>
        <v>3.9745000000000004</v>
      </c>
      <c r="Y387" s="183">
        <f t="shared" si="290"/>
        <v>8</v>
      </c>
      <c r="Z387" s="188">
        <f t="shared" si="291"/>
        <v>0.3</v>
      </c>
      <c r="AA387" s="183">
        <f t="shared" si="292"/>
        <v>7</v>
      </c>
      <c r="AB387" s="189">
        <f t="shared" si="293"/>
        <v>5.2499999999999998E-2</v>
      </c>
      <c r="AC387" s="189">
        <f>0.3+0.23</f>
        <v>0.53</v>
      </c>
      <c r="AD387" s="189">
        <f t="shared" si="267"/>
        <v>-0.04</v>
      </c>
      <c r="AE387" s="189">
        <f>2.74*0.3</f>
        <v>0.82200000000000006</v>
      </c>
      <c r="AF387" s="188">
        <f t="shared" si="321"/>
        <v>4.1144999999999996</v>
      </c>
      <c r="AG387" s="183">
        <f t="shared" si="295"/>
        <v>8</v>
      </c>
      <c r="AH387" s="182">
        <f t="shared" si="296"/>
        <v>0.3</v>
      </c>
      <c r="AI387" s="183">
        <f t="shared" si="297"/>
        <v>6</v>
      </c>
      <c r="AJ387" s="189">
        <f t="shared" si="298"/>
        <v>5.2499999999999998E-2</v>
      </c>
      <c r="AK387" s="189">
        <f>0.23+0.3</f>
        <v>0.53</v>
      </c>
      <c r="AL387" s="189">
        <f t="shared" si="269"/>
        <v>-0.04</v>
      </c>
      <c r="AM387" s="189">
        <f>2.01*0.3</f>
        <v>0.60299999999999987</v>
      </c>
      <c r="AN387" s="188">
        <f t="shared" si="322"/>
        <v>3.8954999999999997</v>
      </c>
      <c r="AO387" s="183">
        <v>0</v>
      </c>
      <c r="AP387" s="182">
        <f t="shared" si="300"/>
        <v>6</v>
      </c>
      <c r="AQ387" s="182">
        <v>1.5</v>
      </c>
      <c r="AR387" s="187">
        <f t="shared" si="310"/>
        <v>89.729500000000002</v>
      </c>
      <c r="AS387" s="187">
        <f t="shared" si="311"/>
        <v>0</v>
      </c>
      <c r="AT387" s="187">
        <f t="shared" si="312"/>
        <v>0</v>
      </c>
      <c r="AU387" s="187">
        <f t="shared" si="313"/>
        <v>52.174499999999995</v>
      </c>
      <c r="AV387" s="187">
        <f t="shared" si="314"/>
        <v>0</v>
      </c>
      <c r="AW387" s="187">
        <f t="shared" si="306"/>
        <v>0</v>
      </c>
      <c r="AX387" s="187">
        <f t="shared" si="307"/>
        <v>9</v>
      </c>
      <c r="AY387" s="388"/>
      <c r="AZ387" s="436"/>
      <c r="BA387" s="428"/>
      <c r="BF387" s="403"/>
      <c r="BG387" s="403"/>
      <c r="BK387" s="443"/>
      <c r="BL387" s="443"/>
      <c r="BN387" s="443"/>
      <c r="BO387" s="443"/>
      <c r="BQ387" s="443"/>
      <c r="BR387" s="443"/>
      <c r="BT387" s="443"/>
      <c r="BU387" s="443"/>
      <c r="BW387" s="443"/>
      <c r="BX387" s="443"/>
      <c r="BZ387" s="443"/>
      <c r="CA387" s="443"/>
      <c r="CC387" s="443"/>
      <c r="CD387" s="443"/>
      <c r="CF387" s="443"/>
      <c r="CG387" s="443"/>
    </row>
    <row r="388" spans="1:85" s="395" customFormat="1" x14ac:dyDescent="0.3">
      <c r="A388" s="182" t="s">
        <v>223</v>
      </c>
      <c r="B388" s="183">
        <v>1</v>
      </c>
      <c r="C388" s="184" t="s">
        <v>491</v>
      </c>
      <c r="D388" s="187">
        <v>2.2000000000000002</v>
      </c>
      <c r="E388" s="187">
        <v>3.83</v>
      </c>
      <c r="F388" s="186">
        <v>0.13</v>
      </c>
      <c r="G388" s="187">
        <f>D388*E388*F388*B388</f>
        <v>1.09538</v>
      </c>
      <c r="H388" s="188">
        <f>D388*E388*B388</f>
        <v>8.4260000000000002</v>
      </c>
      <c r="I388" s="183">
        <f t="shared" si="280"/>
        <v>8</v>
      </c>
      <c r="J388" s="188">
        <f t="shared" si="281"/>
        <v>0.2</v>
      </c>
      <c r="K388" s="183">
        <f t="shared" si="282"/>
        <v>20</v>
      </c>
      <c r="L388" s="189">
        <f t="shared" si="283"/>
        <v>5.4600000000000003E-2</v>
      </c>
      <c r="M388" s="189">
        <f>0.3+0.23</f>
        <v>0.53</v>
      </c>
      <c r="N388" s="189">
        <f t="shared" si="263"/>
        <v>-0.04</v>
      </c>
      <c r="O388" s="189">
        <f>5.5*0.3</f>
        <v>1.65</v>
      </c>
      <c r="P388" s="188">
        <f>+D388+SUM(L388:O388)</f>
        <v>4.3946000000000005</v>
      </c>
      <c r="Q388" s="183">
        <f t="shared" si="285"/>
        <v>8</v>
      </c>
      <c r="R388" s="188">
        <f t="shared" si="286"/>
        <v>0.2</v>
      </c>
      <c r="S388" s="183">
        <f t="shared" si="287"/>
        <v>19</v>
      </c>
      <c r="T388" s="189">
        <f t="shared" si="288"/>
        <v>5.4600000000000003E-2</v>
      </c>
      <c r="U388" s="189">
        <f>0.3+0.23</f>
        <v>0.53</v>
      </c>
      <c r="V388" s="189">
        <f t="shared" si="265"/>
        <v>-0.04</v>
      </c>
      <c r="W388" s="189">
        <f>2.5*0.3</f>
        <v>0.75</v>
      </c>
      <c r="X388" s="188">
        <f>+D388+SUM(T388:W388)</f>
        <v>3.4946000000000002</v>
      </c>
      <c r="Y388" s="183">
        <f t="shared" si="290"/>
        <v>8</v>
      </c>
      <c r="Z388" s="188">
        <f t="shared" si="291"/>
        <v>0.36</v>
      </c>
      <c r="AA388" s="183">
        <f t="shared" si="292"/>
        <v>7</v>
      </c>
      <c r="AB388" s="189">
        <f t="shared" si="293"/>
        <v>5.4600000000000003E-2</v>
      </c>
      <c r="AC388" s="189">
        <f>0.3+0.38</f>
        <v>0.67999999999999994</v>
      </c>
      <c r="AD388" s="189">
        <f t="shared" si="267"/>
        <v>-0.04</v>
      </c>
      <c r="AE388" s="189">
        <f>3.11*0.3</f>
        <v>0.93299999999999994</v>
      </c>
      <c r="AF388" s="188">
        <f>+E388+SUM(AB388:AE388)</f>
        <v>5.4575999999999993</v>
      </c>
      <c r="AG388" s="183">
        <f t="shared" si="295"/>
        <v>8</v>
      </c>
      <c r="AH388" s="182">
        <f t="shared" si="296"/>
        <v>0.36</v>
      </c>
      <c r="AI388" s="183">
        <f t="shared" si="297"/>
        <v>6</v>
      </c>
      <c r="AJ388" s="189">
        <f t="shared" si="298"/>
        <v>5.4600000000000003E-2</v>
      </c>
      <c r="AK388" s="189">
        <f>0.3+0.38</f>
        <v>0.67999999999999994</v>
      </c>
      <c r="AL388" s="189">
        <f t="shared" si="269"/>
        <v>-0.04</v>
      </c>
      <c r="AM388" s="189">
        <f>3.8*0.3</f>
        <v>1.1399999999999999</v>
      </c>
      <c r="AN388" s="188">
        <f>+E388+SUM(AJ388:AM388)</f>
        <v>5.6646000000000001</v>
      </c>
      <c r="AO388" s="183">
        <v>0</v>
      </c>
      <c r="AP388" s="182">
        <f>(ROUND(D388/1.5,0)+ROUND(E388/1.5,0))*2</f>
        <v>8</v>
      </c>
      <c r="AQ388" s="182">
        <v>1.5</v>
      </c>
      <c r="AR388" s="187">
        <f t="shared" si="310"/>
        <v>154.2894</v>
      </c>
      <c r="AS388" s="187">
        <f t="shared" si="311"/>
        <v>0</v>
      </c>
      <c r="AT388" s="187">
        <f t="shared" si="312"/>
        <v>0</v>
      </c>
      <c r="AU388" s="187">
        <f t="shared" si="313"/>
        <v>72.190799999999996</v>
      </c>
      <c r="AV388" s="187">
        <f t="shared" si="314"/>
        <v>0</v>
      </c>
      <c r="AW388" s="187">
        <f t="shared" si="306"/>
        <v>0</v>
      </c>
      <c r="AX388" s="187">
        <f t="shared" si="307"/>
        <v>12</v>
      </c>
      <c r="AY388" s="388"/>
      <c r="AZ388" s="436"/>
      <c r="BA388" s="428"/>
      <c r="BF388" s="403"/>
      <c r="BG388" s="403"/>
      <c r="BK388" s="443"/>
      <c r="BL388" s="443"/>
      <c r="BN388" s="443"/>
      <c r="BO388" s="443"/>
      <c r="BQ388" s="443"/>
      <c r="BR388" s="443"/>
      <c r="BT388" s="443"/>
      <c r="BU388" s="443"/>
      <c r="BW388" s="443"/>
      <c r="BX388" s="443"/>
      <c r="BZ388" s="443"/>
      <c r="CA388" s="443"/>
      <c r="CC388" s="443"/>
      <c r="CD388" s="443"/>
      <c r="CF388" s="443"/>
      <c r="CG388" s="443"/>
    </row>
    <row r="389" spans="1:85" s="395" customFormat="1" x14ac:dyDescent="0.3">
      <c r="A389" s="182" t="s">
        <v>229</v>
      </c>
      <c r="B389" s="183">
        <v>2</v>
      </c>
      <c r="C389" s="184" t="s">
        <v>492</v>
      </c>
      <c r="D389" s="187">
        <v>1.9</v>
      </c>
      <c r="E389" s="187">
        <v>1.07</v>
      </c>
      <c r="F389" s="186">
        <v>0.13</v>
      </c>
      <c r="G389" s="187">
        <f>D389*E389*F389*B389</f>
        <v>0.52858000000000005</v>
      </c>
      <c r="H389" s="188">
        <f>D389*E389*B389</f>
        <v>4.0659999999999998</v>
      </c>
      <c r="I389" s="183">
        <f t="shared" si="280"/>
        <v>8</v>
      </c>
      <c r="J389" s="188">
        <f t="shared" si="281"/>
        <v>0.17</v>
      </c>
      <c r="K389" s="183">
        <f t="shared" si="282"/>
        <v>7</v>
      </c>
      <c r="L389" s="189">
        <f t="shared" si="283"/>
        <v>5.4600000000000003E-2</v>
      </c>
      <c r="M389" s="189">
        <f>0.23+0.23</f>
        <v>0.46</v>
      </c>
      <c r="N389" s="189">
        <f t="shared" si="263"/>
        <v>-0.04</v>
      </c>
      <c r="O389" s="189">
        <f>3.07*0.3</f>
        <v>0.92099999999999993</v>
      </c>
      <c r="P389" s="188">
        <f>+D389+SUM(L389:O389)</f>
        <v>3.2955999999999999</v>
      </c>
      <c r="Q389" s="183">
        <f t="shared" si="285"/>
        <v>8</v>
      </c>
      <c r="R389" s="188">
        <f t="shared" si="286"/>
        <v>0.17</v>
      </c>
      <c r="S389" s="183">
        <f t="shared" si="287"/>
        <v>6</v>
      </c>
      <c r="T389" s="189">
        <f t="shared" si="288"/>
        <v>5.4600000000000003E-2</v>
      </c>
      <c r="U389" s="189">
        <f>0.23+0.23</f>
        <v>0.46</v>
      </c>
      <c r="V389" s="189">
        <f t="shared" si="265"/>
        <v>-0.04</v>
      </c>
      <c r="W389" s="189">
        <f>2.29*0.3</f>
        <v>0.68699999999999994</v>
      </c>
      <c r="X389" s="188">
        <f>+D389+SUM(T389:W389)</f>
        <v>3.0615999999999999</v>
      </c>
      <c r="Y389" s="183">
        <f t="shared" si="290"/>
        <v>8</v>
      </c>
      <c r="Z389" s="188">
        <f t="shared" si="291"/>
        <v>0.24</v>
      </c>
      <c r="AA389" s="183">
        <f t="shared" si="292"/>
        <v>9</v>
      </c>
      <c r="AB389" s="189">
        <f t="shared" si="293"/>
        <v>5.4600000000000003E-2</v>
      </c>
      <c r="AC389" s="189">
        <v>0.3</v>
      </c>
      <c r="AD389" s="189">
        <f t="shared" si="267"/>
        <v>-0.04</v>
      </c>
      <c r="AE389" s="189">
        <f>3.05*0.3</f>
        <v>0.91499999999999992</v>
      </c>
      <c r="AF389" s="188">
        <f>+E389+SUM(AB389:AE389)</f>
        <v>2.2995999999999999</v>
      </c>
      <c r="AG389" s="183">
        <f t="shared" si="295"/>
        <v>8</v>
      </c>
      <c r="AH389" s="182">
        <f t="shared" si="296"/>
        <v>0.24</v>
      </c>
      <c r="AI389" s="183">
        <f t="shared" si="297"/>
        <v>8</v>
      </c>
      <c r="AJ389" s="189">
        <f t="shared" si="298"/>
        <v>5.4600000000000003E-2</v>
      </c>
      <c r="AK389" s="189">
        <v>0.3</v>
      </c>
      <c r="AL389" s="189">
        <f t="shared" si="269"/>
        <v>-0.04</v>
      </c>
      <c r="AM389" s="189">
        <v>0</v>
      </c>
      <c r="AN389" s="188">
        <f>+E389+SUM(AJ389:AM389)</f>
        <v>1.3846000000000001</v>
      </c>
      <c r="AO389" s="183">
        <v>0</v>
      </c>
      <c r="AP389" s="182">
        <f>(ROUND(D389/1.5,0)+ROUND(E389/1.5,0))*2</f>
        <v>4</v>
      </c>
      <c r="AQ389" s="182">
        <v>1.5</v>
      </c>
      <c r="AR389" s="187">
        <f t="shared" si="310"/>
        <v>82.877600000000001</v>
      </c>
      <c r="AS389" s="187">
        <f t="shared" si="311"/>
        <v>0</v>
      </c>
      <c r="AT389" s="187">
        <f t="shared" si="312"/>
        <v>0</v>
      </c>
      <c r="AU389" s="187">
        <f t="shared" si="313"/>
        <v>63.546399999999991</v>
      </c>
      <c r="AV389" s="187">
        <f t="shared" si="314"/>
        <v>0</v>
      </c>
      <c r="AW389" s="187">
        <f t="shared" si="306"/>
        <v>0</v>
      </c>
      <c r="AX389" s="187">
        <f t="shared" si="307"/>
        <v>12</v>
      </c>
      <c r="AY389" s="388"/>
      <c r="AZ389" s="436"/>
      <c r="BA389" s="428"/>
      <c r="BF389" s="403"/>
      <c r="BG389" s="403"/>
      <c r="BK389" s="443"/>
      <c r="BL389" s="443"/>
      <c r="BN389" s="443"/>
      <c r="BO389" s="443"/>
      <c r="BQ389" s="443"/>
      <c r="BR389" s="443"/>
      <c r="BT389" s="443"/>
      <c r="BU389" s="443"/>
      <c r="BW389" s="443"/>
      <c r="BX389" s="443"/>
      <c r="BZ389" s="443"/>
      <c r="CA389" s="443"/>
      <c r="CC389" s="443"/>
      <c r="CD389" s="443"/>
      <c r="CF389" s="443"/>
      <c r="CG389" s="443"/>
    </row>
    <row r="390" spans="1:85" s="395" customFormat="1" x14ac:dyDescent="0.3">
      <c r="A390" s="182" t="s">
        <v>229</v>
      </c>
      <c r="B390" s="183">
        <v>2</v>
      </c>
      <c r="C390" s="184" t="s">
        <v>492</v>
      </c>
      <c r="D390" s="187">
        <v>3.07</v>
      </c>
      <c r="E390" s="187">
        <v>3.05</v>
      </c>
      <c r="F390" s="186">
        <v>0.13</v>
      </c>
      <c r="G390" s="187">
        <f>D390*E390*F390*B390</f>
        <v>2.4345099999999995</v>
      </c>
      <c r="H390" s="188">
        <f>D390*E390*B390</f>
        <v>18.726999999999997</v>
      </c>
      <c r="I390" s="183">
        <f t="shared" si="280"/>
        <v>8</v>
      </c>
      <c r="J390" s="188">
        <f t="shared" si="281"/>
        <v>0.17</v>
      </c>
      <c r="K390" s="183">
        <f t="shared" si="282"/>
        <v>19</v>
      </c>
      <c r="L390" s="189">
        <f t="shared" si="283"/>
        <v>5.4600000000000003E-2</v>
      </c>
      <c r="M390" s="189">
        <f>0.23+0.23</f>
        <v>0.46</v>
      </c>
      <c r="N390" s="189">
        <f t="shared" si="263"/>
        <v>-0.04</v>
      </c>
      <c r="O390" s="189">
        <f>1.63*0.3</f>
        <v>0.48899999999999993</v>
      </c>
      <c r="P390" s="188">
        <f>+D390+SUM(L390:O390)</f>
        <v>4.0335999999999999</v>
      </c>
      <c r="Q390" s="183">
        <f t="shared" si="285"/>
        <v>8</v>
      </c>
      <c r="R390" s="188">
        <f t="shared" si="286"/>
        <v>0.17</v>
      </c>
      <c r="S390" s="183">
        <f t="shared" si="287"/>
        <v>18</v>
      </c>
      <c r="T390" s="189">
        <f t="shared" si="288"/>
        <v>5.4600000000000003E-2</v>
      </c>
      <c r="U390" s="189">
        <f>0.23+0.23</f>
        <v>0.46</v>
      </c>
      <c r="V390" s="189">
        <f t="shared" si="265"/>
        <v>-0.04</v>
      </c>
      <c r="W390" s="189">
        <f>2.29*0.3</f>
        <v>0.68699999999999994</v>
      </c>
      <c r="X390" s="188">
        <f>+D390+SUM(T390:W390)</f>
        <v>4.2316000000000003</v>
      </c>
      <c r="Y390" s="183">
        <f t="shared" si="290"/>
        <v>8</v>
      </c>
      <c r="Z390" s="188">
        <f t="shared" si="291"/>
        <v>0.24</v>
      </c>
      <c r="AA390" s="183">
        <f t="shared" si="292"/>
        <v>14</v>
      </c>
      <c r="AB390" s="189">
        <f t="shared" si="293"/>
        <v>5.4600000000000003E-2</v>
      </c>
      <c r="AC390" s="189">
        <f>0.3+0.3</f>
        <v>0.6</v>
      </c>
      <c r="AD390" s="189">
        <f t="shared" si="267"/>
        <v>-0.04</v>
      </c>
      <c r="AE390" s="189">
        <f>3.93*0.3</f>
        <v>1.179</v>
      </c>
      <c r="AF390" s="188">
        <f>+E390+SUM(AB390:AE390)</f>
        <v>4.8436000000000003</v>
      </c>
      <c r="AG390" s="183">
        <f t="shared" si="295"/>
        <v>8</v>
      </c>
      <c r="AH390" s="182">
        <f t="shared" si="296"/>
        <v>0.24</v>
      </c>
      <c r="AI390" s="183">
        <f t="shared" si="297"/>
        <v>13</v>
      </c>
      <c r="AJ390" s="189">
        <f t="shared" si="298"/>
        <v>5.4600000000000003E-2</v>
      </c>
      <c r="AK390" s="189">
        <f>0.3+0.3</f>
        <v>0.6</v>
      </c>
      <c r="AL390" s="189">
        <f t="shared" si="269"/>
        <v>-0.04</v>
      </c>
      <c r="AM390" s="189">
        <v>0</v>
      </c>
      <c r="AN390" s="188">
        <f>+E390+SUM(AJ390:AM390)</f>
        <v>3.6645999999999996</v>
      </c>
      <c r="AO390" s="183">
        <v>0</v>
      </c>
      <c r="AP390" s="182">
        <f>(ROUND(D390/1.5,0)+ROUND(E390/1.5,0))*2</f>
        <v>8</v>
      </c>
      <c r="AQ390" s="182">
        <v>1.5</v>
      </c>
      <c r="AR390" s="187">
        <f t="shared" si="310"/>
        <v>305.61439999999999</v>
      </c>
      <c r="AS390" s="187">
        <f t="shared" si="311"/>
        <v>0</v>
      </c>
      <c r="AT390" s="187">
        <f t="shared" si="312"/>
        <v>0</v>
      </c>
      <c r="AU390" s="187">
        <f t="shared" si="313"/>
        <v>230.90039999999999</v>
      </c>
      <c r="AV390" s="187">
        <f t="shared" si="314"/>
        <v>0</v>
      </c>
      <c r="AW390" s="187">
        <f t="shared" si="306"/>
        <v>0</v>
      </c>
      <c r="AX390" s="187">
        <f t="shared" si="307"/>
        <v>24</v>
      </c>
      <c r="AY390" s="388"/>
      <c r="AZ390" s="436"/>
      <c r="BA390" s="428"/>
      <c r="BF390" s="403"/>
      <c r="BG390" s="403"/>
      <c r="BK390" s="443"/>
      <c r="BL390" s="443"/>
      <c r="BN390" s="443"/>
      <c r="BO390" s="443"/>
      <c r="BQ390" s="443"/>
      <c r="BR390" s="443"/>
      <c r="BT390" s="443"/>
      <c r="BU390" s="443"/>
      <c r="BW390" s="443"/>
      <c r="BX390" s="443"/>
      <c r="BZ390" s="443"/>
      <c r="CA390" s="443"/>
      <c r="CC390" s="443"/>
      <c r="CD390" s="443"/>
      <c r="CF390" s="443"/>
      <c r="CG390" s="443"/>
    </row>
    <row r="391" spans="1:85" s="395" customFormat="1" x14ac:dyDescent="0.3">
      <c r="A391" s="182" t="s">
        <v>242</v>
      </c>
      <c r="B391" s="183">
        <v>1</v>
      </c>
      <c r="C391" s="184" t="s">
        <v>493</v>
      </c>
      <c r="D391" s="187">
        <v>2.29</v>
      </c>
      <c r="E391" s="187">
        <v>4.1900000000000004</v>
      </c>
      <c r="F391" s="186">
        <v>0.14000000000000001</v>
      </c>
      <c r="G391" s="187">
        <f t="shared" si="325"/>
        <v>1.3433140000000001</v>
      </c>
      <c r="H391" s="188">
        <f t="shared" si="326"/>
        <v>9.5951000000000004</v>
      </c>
      <c r="I391" s="183">
        <f t="shared" si="280"/>
        <v>10</v>
      </c>
      <c r="J391" s="188">
        <f t="shared" si="281"/>
        <v>0.2</v>
      </c>
      <c r="K391" s="183">
        <f t="shared" si="282"/>
        <v>22</v>
      </c>
      <c r="L391" s="189">
        <f t="shared" si="283"/>
        <v>5.8800000000000005E-2</v>
      </c>
      <c r="M391" s="189">
        <f>0.23+0.23</f>
        <v>0.46</v>
      </c>
      <c r="N391" s="189">
        <f t="shared" si="263"/>
        <v>-0.04</v>
      </c>
      <c r="O391" s="189">
        <f>3.07*0.3</f>
        <v>0.92099999999999993</v>
      </c>
      <c r="P391" s="188">
        <f t="shared" si="323"/>
        <v>3.6898</v>
      </c>
      <c r="Q391" s="183">
        <f t="shared" si="285"/>
        <v>10</v>
      </c>
      <c r="R391" s="188">
        <f t="shared" si="286"/>
        <v>0.2</v>
      </c>
      <c r="S391" s="183">
        <f t="shared" si="287"/>
        <v>21</v>
      </c>
      <c r="T391" s="189">
        <f t="shared" si="288"/>
        <v>5.8800000000000005E-2</v>
      </c>
      <c r="U391" s="189">
        <f>0.23+0.23</f>
        <v>0.46</v>
      </c>
      <c r="V391" s="189">
        <f t="shared" si="265"/>
        <v>-0.04</v>
      </c>
      <c r="W391" s="189">
        <f>3.07*0.3</f>
        <v>0.92099999999999993</v>
      </c>
      <c r="X391" s="188">
        <f t="shared" si="324"/>
        <v>3.6898</v>
      </c>
      <c r="Y391" s="183">
        <f t="shared" si="290"/>
        <v>8</v>
      </c>
      <c r="Z391" s="188">
        <f t="shared" si="291"/>
        <v>0.3</v>
      </c>
      <c r="AA391" s="183">
        <f t="shared" si="292"/>
        <v>9</v>
      </c>
      <c r="AB391" s="189">
        <f t="shared" si="293"/>
        <v>5.8800000000000005E-2</v>
      </c>
      <c r="AC391" s="189">
        <f>0.3+0.23</f>
        <v>0.53</v>
      </c>
      <c r="AD391" s="189">
        <f t="shared" si="267"/>
        <v>-0.04</v>
      </c>
      <c r="AE391" s="189">
        <f>1.3*0.3</f>
        <v>0.39</v>
      </c>
      <c r="AF391" s="188">
        <f t="shared" si="321"/>
        <v>5.1288</v>
      </c>
      <c r="AG391" s="183">
        <f t="shared" si="295"/>
        <v>8</v>
      </c>
      <c r="AH391" s="182">
        <f t="shared" si="296"/>
        <v>0.3</v>
      </c>
      <c r="AI391" s="183">
        <f t="shared" si="297"/>
        <v>8</v>
      </c>
      <c r="AJ391" s="189">
        <f t="shared" si="298"/>
        <v>5.8800000000000005E-2</v>
      </c>
      <c r="AK391" s="189">
        <f>0.23+0.3</f>
        <v>0.53</v>
      </c>
      <c r="AL391" s="189">
        <f t="shared" si="269"/>
        <v>-0.04</v>
      </c>
      <c r="AM391" s="189">
        <f>3.93*0.3</f>
        <v>1.179</v>
      </c>
      <c r="AN391" s="188">
        <f t="shared" si="322"/>
        <v>5.9178000000000006</v>
      </c>
      <c r="AO391" s="183">
        <v>0</v>
      </c>
      <c r="AP391" s="182">
        <f t="shared" si="300"/>
        <v>10</v>
      </c>
      <c r="AQ391" s="182">
        <v>1.5</v>
      </c>
      <c r="AR391" s="187">
        <f t="shared" si="310"/>
        <v>0</v>
      </c>
      <c r="AS391" s="187">
        <f t="shared" si="311"/>
        <v>158.66140000000001</v>
      </c>
      <c r="AT391" s="187">
        <f t="shared" si="312"/>
        <v>0</v>
      </c>
      <c r="AU391" s="187">
        <f t="shared" si="313"/>
        <v>93.501599999999996</v>
      </c>
      <c r="AV391" s="187">
        <f t="shared" si="314"/>
        <v>0</v>
      </c>
      <c r="AW391" s="187">
        <f t="shared" si="306"/>
        <v>0</v>
      </c>
      <c r="AX391" s="187">
        <f t="shared" si="307"/>
        <v>15</v>
      </c>
      <c r="AY391" s="388"/>
      <c r="AZ391" s="436"/>
      <c r="BA391" s="428"/>
      <c r="BF391" s="403"/>
      <c r="BG391" s="403"/>
      <c r="BK391" s="443"/>
      <c r="BL391" s="443"/>
      <c r="BN391" s="443"/>
      <c r="BO391" s="443"/>
      <c r="BQ391" s="443"/>
      <c r="BR391" s="443"/>
      <c r="BT391" s="443"/>
      <c r="BU391" s="443"/>
      <c r="BW391" s="443"/>
      <c r="BX391" s="443"/>
      <c r="BZ391" s="443"/>
      <c r="CA391" s="443"/>
      <c r="CC391" s="443"/>
      <c r="CD391" s="443"/>
      <c r="CF391" s="443"/>
      <c r="CG391" s="443"/>
    </row>
    <row r="392" spans="1:85" s="395" customFormat="1" x14ac:dyDescent="0.3">
      <c r="A392" s="182" t="s">
        <v>229</v>
      </c>
      <c r="B392" s="183">
        <v>1</v>
      </c>
      <c r="C392" s="184" t="s">
        <v>494</v>
      </c>
      <c r="D392" s="187">
        <v>2.7</v>
      </c>
      <c r="E392" s="187">
        <v>3.05</v>
      </c>
      <c r="F392" s="186">
        <v>0.13</v>
      </c>
      <c r="G392" s="187">
        <f t="shared" si="325"/>
        <v>1.0705499999999999</v>
      </c>
      <c r="H392" s="188">
        <f t="shared" si="326"/>
        <v>8.2349999999999994</v>
      </c>
      <c r="I392" s="183">
        <f t="shared" si="280"/>
        <v>8</v>
      </c>
      <c r="J392" s="188">
        <f t="shared" si="281"/>
        <v>0.17</v>
      </c>
      <c r="K392" s="183">
        <f t="shared" si="282"/>
        <v>19</v>
      </c>
      <c r="L392" s="189">
        <f t="shared" si="283"/>
        <v>5.4600000000000003E-2</v>
      </c>
      <c r="M392" s="189">
        <f>0.3+0.23</f>
        <v>0.53</v>
      </c>
      <c r="N392" s="189">
        <f t="shared" si="263"/>
        <v>-0.04</v>
      </c>
      <c r="O392" s="189">
        <f>2.74*0.3</f>
        <v>0.82200000000000006</v>
      </c>
      <c r="P392" s="188">
        <f t="shared" si="323"/>
        <v>4.0666000000000002</v>
      </c>
      <c r="Q392" s="183">
        <f t="shared" si="285"/>
        <v>8</v>
      </c>
      <c r="R392" s="188">
        <f t="shared" si="286"/>
        <v>0.17</v>
      </c>
      <c r="S392" s="183">
        <f t="shared" si="287"/>
        <v>18</v>
      </c>
      <c r="T392" s="189">
        <f t="shared" si="288"/>
        <v>5.4600000000000003E-2</v>
      </c>
      <c r="U392" s="189">
        <f>0.3+0.23</f>
        <v>0.53</v>
      </c>
      <c r="V392" s="189">
        <f t="shared" si="265"/>
        <v>-0.04</v>
      </c>
      <c r="W392" s="189">
        <f>5.42*0.3</f>
        <v>1.6259999999999999</v>
      </c>
      <c r="X392" s="188">
        <f t="shared" si="324"/>
        <v>4.8705999999999996</v>
      </c>
      <c r="Y392" s="183">
        <f t="shared" si="290"/>
        <v>8</v>
      </c>
      <c r="Z392" s="188">
        <f t="shared" si="291"/>
        <v>0.24</v>
      </c>
      <c r="AA392" s="183">
        <f t="shared" si="292"/>
        <v>12</v>
      </c>
      <c r="AB392" s="189">
        <f t="shared" si="293"/>
        <v>5.4600000000000003E-2</v>
      </c>
      <c r="AC392" s="189">
        <f>0.3+0.3</f>
        <v>0.6</v>
      </c>
      <c r="AD392" s="189">
        <f t="shared" si="267"/>
        <v>-0.04</v>
      </c>
      <c r="AE392" s="189">
        <f>2.43*0.3</f>
        <v>0.72899999999999998</v>
      </c>
      <c r="AF392" s="188">
        <f t="shared" si="321"/>
        <v>4.3935999999999993</v>
      </c>
      <c r="AG392" s="183">
        <f t="shared" si="295"/>
        <v>8</v>
      </c>
      <c r="AH392" s="182">
        <f t="shared" si="296"/>
        <v>0.24</v>
      </c>
      <c r="AI392" s="183">
        <f t="shared" si="297"/>
        <v>11</v>
      </c>
      <c r="AJ392" s="189">
        <f t="shared" si="298"/>
        <v>5.4600000000000003E-2</v>
      </c>
      <c r="AK392" s="189">
        <f>0.3+0.3</f>
        <v>0.6</v>
      </c>
      <c r="AL392" s="189">
        <f t="shared" si="269"/>
        <v>-0.04</v>
      </c>
      <c r="AM392" s="189">
        <f>2.45*0.3</f>
        <v>0.73499999999999999</v>
      </c>
      <c r="AN392" s="188">
        <f t="shared" si="322"/>
        <v>4.3995999999999995</v>
      </c>
      <c r="AO392" s="183">
        <v>0</v>
      </c>
      <c r="AP392" s="182">
        <f t="shared" si="300"/>
        <v>8</v>
      </c>
      <c r="AQ392" s="182">
        <v>1.5</v>
      </c>
      <c r="AR392" s="187">
        <f t="shared" si="310"/>
        <v>164.93619999999999</v>
      </c>
      <c r="AS392" s="187">
        <f t="shared" si="311"/>
        <v>0</v>
      </c>
      <c r="AT392" s="187">
        <f t="shared" si="312"/>
        <v>0</v>
      </c>
      <c r="AU392" s="187">
        <f t="shared" si="313"/>
        <v>101.11879999999999</v>
      </c>
      <c r="AV392" s="187">
        <f t="shared" si="314"/>
        <v>0</v>
      </c>
      <c r="AW392" s="187">
        <f t="shared" si="306"/>
        <v>0</v>
      </c>
      <c r="AX392" s="187">
        <f t="shared" si="307"/>
        <v>12</v>
      </c>
      <c r="AY392" s="388"/>
      <c r="AZ392" s="436"/>
      <c r="BA392" s="428"/>
      <c r="BF392" s="403"/>
      <c r="BG392" s="403"/>
      <c r="BK392" s="443"/>
      <c r="BL392" s="443"/>
      <c r="BN392" s="443"/>
      <c r="BO392" s="443"/>
      <c r="BQ392" s="443"/>
      <c r="BR392" s="443"/>
      <c r="BT392" s="443"/>
      <c r="BU392" s="443"/>
      <c r="BW392" s="443"/>
      <c r="BX392" s="443"/>
      <c r="BZ392" s="443"/>
      <c r="CA392" s="443"/>
      <c r="CC392" s="443"/>
      <c r="CD392" s="443"/>
      <c r="CF392" s="443"/>
      <c r="CG392" s="443"/>
    </row>
    <row r="393" spans="1:85" s="395" customFormat="1" x14ac:dyDescent="0.3">
      <c r="A393" s="182" t="s">
        <v>254</v>
      </c>
      <c r="B393" s="183">
        <v>1</v>
      </c>
      <c r="C393" s="184" t="s">
        <v>495</v>
      </c>
      <c r="D393" s="187">
        <v>5.42</v>
      </c>
      <c r="E393" s="187">
        <v>3.27</v>
      </c>
      <c r="F393" s="186">
        <v>0.15</v>
      </c>
      <c r="G393" s="187">
        <f t="shared" si="325"/>
        <v>2.6585100000000002</v>
      </c>
      <c r="H393" s="188">
        <f t="shared" si="326"/>
        <v>17.723400000000002</v>
      </c>
      <c r="I393" s="183">
        <f t="shared" si="280"/>
        <v>10</v>
      </c>
      <c r="J393" s="188">
        <f t="shared" si="281"/>
        <v>0.18</v>
      </c>
      <c r="K393" s="183">
        <f t="shared" si="282"/>
        <v>19</v>
      </c>
      <c r="L393" s="189">
        <f t="shared" si="283"/>
        <v>6.3E-2</v>
      </c>
      <c r="M393" s="189">
        <f>0.3+0.45</f>
        <v>0.75</v>
      </c>
      <c r="N393" s="189">
        <f t="shared" si="263"/>
        <v>-0.04</v>
      </c>
      <c r="O393" s="189">
        <f>2.7*0.3</f>
        <v>0.81</v>
      </c>
      <c r="P393" s="188">
        <f t="shared" si="323"/>
        <v>7.0030000000000001</v>
      </c>
      <c r="Q393" s="183">
        <f t="shared" si="285"/>
        <v>10</v>
      </c>
      <c r="R393" s="188">
        <f t="shared" si="286"/>
        <v>0.18</v>
      </c>
      <c r="S393" s="183">
        <f t="shared" si="287"/>
        <v>18</v>
      </c>
      <c r="T393" s="189">
        <f t="shared" si="288"/>
        <v>6.3E-2</v>
      </c>
      <c r="U393" s="189">
        <f>0.3+0.45</f>
        <v>0.75</v>
      </c>
      <c r="V393" s="189">
        <f t="shared" si="265"/>
        <v>-0.04</v>
      </c>
      <c r="W393" s="189">
        <f>2.6*0.3</f>
        <v>0.78</v>
      </c>
      <c r="X393" s="188">
        <f t="shared" si="324"/>
        <v>6.9729999999999999</v>
      </c>
      <c r="Y393" s="183">
        <f t="shared" si="290"/>
        <v>8</v>
      </c>
      <c r="Z393" s="188">
        <f t="shared" si="291"/>
        <v>0.2</v>
      </c>
      <c r="AA393" s="183">
        <f t="shared" si="292"/>
        <v>28</v>
      </c>
      <c r="AB393" s="189">
        <f t="shared" si="293"/>
        <v>6.3E-2</v>
      </c>
      <c r="AC393" s="189">
        <f>0.38+0.3</f>
        <v>0.67999999999999994</v>
      </c>
      <c r="AD393" s="189">
        <f t="shared" si="267"/>
        <v>-0.04</v>
      </c>
      <c r="AE393" s="189">
        <f>1.48*0.3</f>
        <v>0.44400000000000001</v>
      </c>
      <c r="AF393" s="188">
        <f t="shared" si="321"/>
        <v>4.4169999999999998</v>
      </c>
      <c r="AG393" s="183">
        <f t="shared" si="295"/>
        <v>8</v>
      </c>
      <c r="AH393" s="182">
        <f t="shared" si="296"/>
        <v>0.2</v>
      </c>
      <c r="AI393" s="183">
        <f t="shared" si="297"/>
        <v>27</v>
      </c>
      <c r="AJ393" s="189">
        <f t="shared" si="298"/>
        <v>6.3E-2</v>
      </c>
      <c r="AK393" s="189">
        <f>0.38+0.3</f>
        <v>0.67999999999999994</v>
      </c>
      <c r="AL393" s="189">
        <f t="shared" si="269"/>
        <v>-0.04</v>
      </c>
      <c r="AM393" s="189">
        <f>5.65*0.3</f>
        <v>1.6950000000000001</v>
      </c>
      <c r="AN393" s="188">
        <f t="shared" si="322"/>
        <v>5.6679999999999993</v>
      </c>
      <c r="AO393" s="183">
        <v>0</v>
      </c>
      <c r="AP393" s="182">
        <f t="shared" si="300"/>
        <v>12</v>
      </c>
      <c r="AQ393" s="182">
        <v>1.5</v>
      </c>
      <c r="AR393" s="187">
        <f t="shared" si="310"/>
        <v>0</v>
      </c>
      <c r="AS393" s="187">
        <f t="shared" si="311"/>
        <v>258.57100000000003</v>
      </c>
      <c r="AT393" s="187">
        <f t="shared" si="312"/>
        <v>0</v>
      </c>
      <c r="AU393" s="187">
        <f t="shared" si="313"/>
        <v>276.71199999999999</v>
      </c>
      <c r="AV393" s="187">
        <f t="shared" si="314"/>
        <v>0</v>
      </c>
      <c r="AW393" s="187">
        <f t="shared" si="306"/>
        <v>0</v>
      </c>
      <c r="AX393" s="187">
        <f t="shared" si="307"/>
        <v>18</v>
      </c>
      <c r="AY393" s="388"/>
      <c r="AZ393" s="436"/>
      <c r="BA393" s="428"/>
      <c r="BF393" s="403"/>
      <c r="BG393" s="403"/>
      <c r="BK393" s="443"/>
      <c r="BL393" s="443"/>
      <c r="BN393" s="443"/>
      <c r="BO393" s="443"/>
      <c r="BQ393" s="443"/>
      <c r="BR393" s="443"/>
      <c r="BT393" s="443"/>
      <c r="BU393" s="443"/>
      <c r="BW393" s="443"/>
      <c r="BX393" s="443"/>
      <c r="BZ393" s="443"/>
      <c r="CA393" s="443"/>
      <c r="CC393" s="443"/>
      <c r="CD393" s="443"/>
      <c r="CF393" s="443"/>
      <c r="CG393" s="443"/>
    </row>
    <row r="394" spans="1:85" s="395" customFormat="1" x14ac:dyDescent="0.3">
      <c r="A394" s="182" t="s">
        <v>223</v>
      </c>
      <c r="B394" s="183">
        <v>1</v>
      </c>
      <c r="C394" s="184" t="s">
        <v>299</v>
      </c>
      <c r="D394" s="187">
        <v>2.5</v>
      </c>
      <c r="E394" s="187">
        <v>3.93</v>
      </c>
      <c r="F394" s="186">
        <v>0.13</v>
      </c>
      <c r="G394" s="187">
        <f t="shared" si="325"/>
        <v>1.2772500000000002</v>
      </c>
      <c r="H394" s="188">
        <f t="shared" si="326"/>
        <v>9.8250000000000011</v>
      </c>
      <c r="I394" s="183">
        <f t="shared" si="280"/>
        <v>8</v>
      </c>
      <c r="J394" s="188">
        <f t="shared" si="281"/>
        <v>0.2</v>
      </c>
      <c r="K394" s="183">
        <f t="shared" si="282"/>
        <v>21</v>
      </c>
      <c r="L394" s="189">
        <f t="shared" si="283"/>
        <v>5.4600000000000003E-2</v>
      </c>
      <c r="M394" s="189">
        <f>0.23*2</f>
        <v>0.46</v>
      </c>
      <c r="N394" s="189">
        <f t="shared" si="263"/>
        <v>-0.04</v>
      </c>
      <c r="O394" s="189">
        <f>2.2*0.3</f>
        <v>0.66</v>
      </c>
      <c r="P394" s="188">
        <f t="shared" si="323"/>
        <v>3.6345999999999998</v>
      </c>
      <c r="Q394" s="183">
        <f t="shared" si="285"/>
        <v>8</v>
      </c>
      <c r="R394" s="188">
        <f t="shared" si="286"/>
        <v>0.2</v>
      </c>
      <c r="S394" s="183">
        <f t="shared" si="287"/>
        <v>20</v>
      </c>
      <c r="T394" s="189">
        <f t="shared" si="288"/>
        <v>5.4600000000000003E-2</v>
      </c>
      <c r="U394" s="189">
        <f>0.23*2</f>
        <v>0.46</v>
      </c>
      <c r="V394" s="189">
        <f t="shared" si="265"/>
        <v>-0.04</v>
      </c>
      <c r="W394" s="189">
        <f>2.29*0.3</f>
        <v>0.68699999999999994</v>
      </c>
      <c r="X394" s="188">
        <f t="shared" si="324"/>
        <v>3.6616</v>
      </c>
      <c r="Y394" s="183">
        <f t="shared" si="290"/>
        <v>8</v>
      </c>
      <c r="Z394" s="188">
        <f t="shared" si="291"/>
        <v>0.36</v>
      </c>
      <c r="AA394" s="183">
        <f t="shared" si="292"/>
        <v>8</v>
      </c>
      <c r="AB394" s="189">
        <f t="shared" si="293"/>
        <v>5.4600000000000003E-2</v>
      </c>
      <c r="AC394" s="189">
        <f>0.3+0.23</f>
        <v>0.53</v>
      </c>
      <c r="AD394" s="189">
        <f t="shared" si="267"/>
        <v>-0.04</v>
      </c>
      <c r="AE394" s="189">
        <v>0</v>
      </c>
      <c r="AF394" s="188">
        <f t="shared" si="321"/>
        <v>4.4746000000000006</v>
      </c>
      <c r="AG394" s="183">
        <f t="shared" si="295"/>
        <v>8</v>
      </c>
      <c r="AH394" s="182">
        <f t="shared" si="296"/>
        <v>0.36</v>
      </c>
      <c r="AI394" s="183">
        <f t="shared" si="297"/>
        <v>7</v>
      </c>
      <c r="AJ394" s="189">
        <f t="shared" si="298"/>
        <v>5.4600000000000003E-2</v>
      </c>
      <c r="AK394" s="189">
        <f>0.3+0.23</f>
        <v>0.53</v>
      </c>
      <c r="AL394" s="189">
        <f t="shared" si="269"/>
        <v>-0.04</v>
      </c>
      <c r="AM394" s="189">
        <f>4.19*0.3</f>
        <v>1.2570000000000001</v>
      </c>
      <c r="AN394" s="188">
        <f t="shared" si="322"/>
        <v>5.7316000000000003</v>
      </c>
      <c r="AO394" s="183">
        <v>0</v>
      </c>
      <c r="AP394" s="182">
        <f t="shared" si="300"/>
        <v>10</v>
      </c>
      <c r="AQ394" s="182">
        <v>1.5</v>
      </c>
      <c r="AR394" s="187">
        <f t="shared" si="310"/>
        <v>149.55860000000001</v>
      </c>
      <c r="AS394" s="187">
        <f t="shared" si="311"/>
        <v>0</v>
      </c>
      <c r="AT394" s="187">
        <f t="shared" si="312"/>
        <v>0</v>
      </c>
      <c r="AU394" s="187">
        <f t="shared" si="313"/>
        <v>75.918000000000006</v>
      </c>
      <c r="AV394" s="187">
        <f t="shared" si="314"/>
        <v>0</v>
      </c>
      <c r="AW394" s="187">
        <f t="shared" si="306"/>
        <v>0</v>
      </c>
      <c r="AX394" s="187">
        <f t="shared" si="307"/>
        <v>15</v>
      </c>
      <c r="AY394" s="388"/>
      <c r="AZ394" s="436"/>
      <c r="BA394" s="428"/>
      <c r="BF394" s="403"/>
      <c r="BG394" s="403"/>
      <c r="BK394" s="443"/>
      <c r="BL394" s="443"/>
      <c r="BN394" s="443"/>
      <c r="BO394" s="443"/>
      <c r="BQ394" s="443"/>
      <c r="BR394" s="443"/>
      <c r="BT394" s="443"/>
      <c r="BU394" s="443"/>
      <c r="BW394" s="443"/>
      <c r="BX394" s="443"/>
      <c r="BZ394" s="443"/>
      <c r="CA394" s="443"/>
      <c r="CC394" s="443"/>
      <c r="CD394" s="443"/>
      <c r="CF394" s="443"/>
      <c r="CG394" s="443"/>
    </row>
    <row r="395" spans="1:85" s="395" customFormat="1" x14ac:dyDescent="0.3">
      <c r="A395" s="182" t="s">
        <v>223</v>
      </c>
      <c r="B395" s="183">
        <v>1</v>
      </c>
      <c r="C395" s="184" t="s">
        <v>298</v>
      </c>
      <c r="D395" s="187">
        <v>2.29</v>
      </c>
      <c r="E395" s="187">
        <v>3.93</v>
      </c>
      <c r="F395" s="186">
        <v>0.13</v>
      </c>
      <c r="G395" s="187">
        <f t="shared" si="325"/>
        <v>1.169961</v>
      </c>
      <c r="H395" s="188">
        <f t="shared" si="326"/>
        <v>8.9997000000000007</v>
      </c>
      <c r="I395" s="183">
        <f t="shared" si="280"/>
        <v>8</v>
      </c>
      <c r="J395" s="188">
        <f t="shared" si="281"/>
        <v>0.2</v>
      </c>
      <c r="K395" s="183">
        <f t="shared" si="282"/>
        <v>21</v>
      </c>
      <c r="L395" s="189">
        <f t="shared" si="283"/>
        <v>5.4600000000000003E-2</v>
      </c>
      <c r="M395" s="189">
        <f>0.23*2</f>
        <v>0.46</v>
      </c>
      <c r="N395" s="189">
        <f t="shared" si="263"/>
        <v>-0.04</v>
      </c>
      <c r="O395" s="189">
        <f>2.5*0.3</f>
        <v>0.75</v>
      </c>
      <c r="P395" s="188">
        <f t="shared" si="323"/>
        <v>3.5146000000000002</v>
      </c>
      <c r="Q395" s="183">
        <f t="shared" si="285"/>
        <v>8</v>
      </c>
      <c r="R395" s="188">
        <f t="shared" si="286"/>
        <v>0.2</v>
      </c>
      <c r="S395" s="183">
        <f t="shared" si="287"/>
        <v>20</v>
      </c>
      <c r="T395" s="189">
        <f t="shared" si="288"/>
        <v>5.4600000000000003E-2</v>
      </c>
      <c r="U395" s="189">
        <f>0.23*2</f>
        <v>0.46</v>
      </c>
      <c r="V395" s="189">
        <f t="shared" si="265"/>
        <v>-0.04</v>
      </c>
      <c r="W395" s="189">
        <f>2.74*0.3</f>
        <v>0.82200000000000006</v>
      </c>
      <c r="X395" s="188">
        <f t="shared" si="324"/>
        <v>3.5866000000000002</v>
      </c>
      <c r="Y395" s="183">
        <f t="shared" si="290"/>
        <v>8</v>
      </c>
      <c r="Z395" s="188">
        <f t="shared" si="291"/>
        <v>0.36</v>
      </c>
      <c r="AA395" s="183">
        <f t="shared" si="292"/>
        <v>7</v>
      </c>
      <c r="AB395" s="189">
        <f t="shared" si="293"/>
        <v>5.4600000000000003E-2</v>
      </c>
      <c r="AC395" s="189">
        <f>0.23*2</f>
        <v>0.46</v>
      </c>
      <c r="AD395" s="189">
        <f t="shared" si="267"/>
        <v>-0.04</v>
      </c>
      <c r="AE395" s="189">
        <f>2.5*0.3</f>
        <v>0.75</v>
      </c>
      <c r="AF395" s="188">
        <f t="shared" si="321"/>
        <v>5.1546000000000003</v>
      </c>
      <c r="AG395" s="183">
        <f t="shared" si="295"/>
        <v>8</v>
      </c>
      <c r="AH395" s="182">
        <f t="shared" si="296"/>
        <v>0.36</v>
      </c>
      <c r="AI395" s="183">
        <f t="shared" si="297"/>
        <v>6</v>
      </c>
      <c r="AJ395" s="189">
        <f t="shared" si="298"/>
        <v>5.4600000000000003E-2</v>
      </c>
      <c r="AK395" s="189">
        <f>0.23*2</f>
        <v>0.46</v>
      </c>
      <c r="AL395" s="189">
        <f t="shared" si="269"/>
        <v>-0.04</v>
      </c>
      <c r="AM395" s="189">
        <f>4.19*0.3</f>
        <v>1.2570000000000001</v>
      </c>
      <c r="AN395" s="188">
        <f t="shared" si="322"/>
        <v>5.6616</v>
      </c>
      <c r="AO395" s="183">
        <v>0</v>
      </c>
      <c r="AP395" s="182">
        <f t="shared" si="300"/>
        <v>10</v>
      </c>
      <c r="AQ395" s="182">
        <v>1.5</v>
      </c>
      <c r="AR395" s="187">
        <f t="shared" si="310"/>
        <v>145.5386</v>
      </c>
      <c r="AS395" s="187">
        <f t="shared" si="311"/>
        <v>0</v>
      </c>
      <c r="AT395" s="187">
        <f t="shared" si="312"/>
        <v>0</v>
      </c>
      <c r="AU395" s="187">
        <f t="shared" si="313"/>
        <v>70.0518</v>
      </c>
      <c r="AV395" s="187">
        <f t="shared" si="314"/>
        <v>0</v>
      </c>
      <c r="AW395" s="187">
        <f t="shared" si="306"/>
        <v>0</v>
      </c>
      <c r="AX395" s="187">
        <f t="shared" si="307"/>
        <v>15</v>
      </c>
      <c r="AY395" s="388"/>
      <c r="AZ395" s="436"/>
      <c r="BA395" s="428"/>
      <c r="BF395" s="403"/>
      <c r="BG395" s="403"/>
      <c r="BK395" s="443"/>
      <c r="BL395" s="443"/>
      <c r="BN395" s="443"/>
      <c r="BO395" s="443"/>
      <c r="BQ395" s="443"/>
      <c r="BR395" s="443"/>
      <c r="BT395" s="443"/>
      <c r="BU395" s="443"/>
      <c r="BW395" s="443"/>
      <c r="BX395" s="443"/>
      <c r="BZ395" s="443"/>
      <c r="CA395" s="443"/>
      <c r="CC395" s="443"/>
      <c r="CD395" s="443"/>
      <c r="CF395" s="443"/>
      <c r="CG395" s="443"/>
    </row>
    <row r="396" spans="1:85" s="395" customFormat="1" x14ac:dyDescent="0.3">
      <c r="A396" s="182" t="s">
        <v>239</v>
      </c>
      <c r="B396" s="183">
        <v>1</v>
      </c>
      <c r="C396" s="184" t="s">
        <v>496</v>
      </c>
      <c r="D396" s="187">
        <v>2.74</v>
      </c>
      <c r="E396" s="187">
        <v>2.4300000000000002</v>
      </c>
      <c r="F396" s="186">
        <v>0.125</v>
      </c>
      <c r="G396" s="187">
        <f t="shared" si="325"/>
        <v>0.8322750000000001</v>
      </c>
      <c r="H396" s="188">
        <f t="shared" si="326"/>
        <v>6.6582000000000008</v>
      </c>
      <c r="I396" s="183">
        <f t="shared" si="280"/>
        <v>8</v>
      </c>
      <c r="J396" s="188">
        <f t="shared" si="281"/>
        <v>0.23</v>
      </c>
      <c r="K396" s="183">
        <f t="shared" si="282"/>
        <v>12</v>
      </c>
      <c r="L396" s="189">
        <f t="shared" si="283"/>
        <v>5.2499999999999998E-2</v>
      </c>
      <c r="M396" s="189">
        <f>0.23*2</f>
        <v>0.46</v>
      </c>
      <c r="N396" s="189">
        <f t="shared" si="263"/>
        <v>-0.04</v>
      </c>
      <c r="O396" s="189">
        <f>2.29*0.3</f>
        <v>0.68699999999999994</v>
      </c>
      <c r="P396" s="188">
        <f t="shared" si="323"/>
        <v>3.8995000000000002</v>
      </c>
      <c r="Q396" s="183">
        <f t="shared" si="285"/>
        <v>8</v>
      </c>
      <c r="R396" s="188">
        <f t="shared" si="286"/>
        <v>0.23</v>
      </c>
      <c r="S396" s="183">
        <f t="shared" si="287"/>
        <v>11</v>
      </c>
      <c r="T396" s="189">
        <f t="shared" si="288"/>
        <v>5.2499999999999998E-2</v>
      </c>
      <c r="U396" s="189">
        <f>0.23*2</f>
        <v>0.46</v>
      </c>
      <c r="V396" s="189">
        <f t="shared" si="265"/>
        <v>-0.04</v>
      </c>
      <c r="W396" s="189">
        <f>2.7*0.3</f>
        <v>0.81</v>
      </c>
      <c r="X396" s="188">
        <f t="shared" si="324"/>
        <v>4.0225000000000009</v>
      </c>
      <c r="Y396" s="183">
        <f t="shared" si="290"/>
        <v>8</v>
      </c>
      <c r="Z396" s="188">
        <f t="shared" si="291"/>
        <v>0.3</v>
      </c>
      <c r="AA396" s="183">
        <f t="shared" si="292"/>
        <v>10</v>
      </c>
      <c r="AB396" s="189">
        <f t="shared" si="293"/>
        <v>5.2499999999999998E-2</v>
      </c>
      <c r="AC396" s="189">
        <f>0.3+0.23</f>
        <v>0.53</v>
      </c>
      <c r="AD396" s="189">
        <f t="shared" si="267"/>
        <v>-0.04</v>
      </c>
      <c r="AE396" s="189">
        <v>0</v>
      </c>
      <c r="AF396" s="188">
        <f t="shared" si="321"/>
        <v>2.9725000000000001</v>
      </c>
      <c r="AG396" s="183">
        <f t="shared" si="295"/>
        <v>8</v>
      </c>
      <c r="AH396" s="182">
        <f t="shared" si="296"/>
        <v>0.3</v>
      </c>
      <c r="AI396" s="183">
        <f t="shared" si="297"/>
        <v>9</v>
      </c>
      <c r="AJ396" s="189">
        <f t="shared" si="298"/>
        <v>5.2499999999999998E-2</v>
      </c>
      <c r="AK396" s="189">
        <f>0.3+0.23</f>
        <v>0.53</v>
      </c>
      <c r="AL396" s="189">
        <f t="shared" si="269"/>
        <v>-0.04</v>
      </c>
      <c r="AM396" s="189">
        <f>4.12*0.3</f>
        <v>1.236</v>
      </c>
      <c r="AN396" s="188">
        <f t="shared" si="322"/>
        <v>4.2084999999999999</v>
      </c>
      <c r="AO396" s="183">
        <v>0</v>
      </c>
      <c r="AP396" s="182">
        <f t="shared" si="300"/>
        <v>8</v>
      </c>
      <c r="AQ396" s="182">
        <v>1.5</v>
      </c>
      <c r="AR396" s="187">
        <f t="shared" si="310"/>
        <v>91.041500000000013</v>
      </c>
      <c r="AS396" s="187">
        <f t="shared" si="311"/>
        <v>0</v>
      </c>
      <c r="AT396" s="187">
        <f t="shared" si="312"/>
        <v>0</v>
      </c>
      <c r="AU396" s="187">
        <f t="shared" si="313"/>
        <v>67.601500000000001</v>
      </c>
      <c r="AV396" s="187">
        <f t="shared" si="314"/>
        <v>0</v>
      </c>
      <c r="AW396" s="187">
        <f t="shared" si="306"/>
        <v>0</v>
      </c>
      <c r="AX396" s="187">
        <f t="shared" si="307"/>
        <v>12</v>
      </c>
      <c r="AY396" s="388"/>
      <c r="AZ396" s="436"/>
      <c r="BA396" s="428"/>
      <c r="BF396" s="403"/>
      <c r="BG396" s="403"/>
      <c r="BK396" s="443"/>
      <c r="BL396" s="443"/>
      <c r="BN396" s="443"/>
      <c r="BO396" s="443"/>
      <c r="BQ396" s="443"/>
      <c r="BR396" s="443"/>
      <c r="BT396" s="443"/>
      <c r="BU396" s="443"/>
      <c r="BW396" s="443"/>
      <c r="BX396" s="443"/>
      <c r="BZ396" s="443"/>
      <c r="CA396" s="443"/>
      <c r="CC396" s="443"/>
      <c r="CD396" s="443"/>
      <c r="CF396" s="443"/>
      <c r="CG396" s="443"/>
    </row>
    <row r="397" spans="1:85" s="395" customFormat="1" x14ac:dyDescent="0.3">
      <c r="A397" s="182" t="s">
        <v>232</v>
      </c>
      <c r="B397" s="183">
        <v>1</v>
      </c>
      <c r="C397" s="184" t="s">
        <v>296</v>
      </c>
      <c r="D397" s="187">
        <v>2.7</v>
      </c>
      <c r="E397" s="187">
        <v>2.4300000000000002</v>
      </c>
      <c r="F397" s="186">
        <v>0.13</v>
      </c>
      <c r="G397" s="187">
        <f t="shared" si="325"/>
        <v>0.85293000000000019</v>
      </c>
      <c r="H397" s="188">
        <f t="shared" si="326"/>
        <v>6.5610000000000008</v>
      </c>
      <c r="I397" s="183">
        <f t="shared" si="280"/>
        <v>8</v>
      </c>
      <c r="J397" s="188">
        <f t="shared" si="281"/>
        <v>0.2</v>
      </c>
      <c r="K397" s="183">
        <f t="shared" si="282"/>
        <v>13</v>
      </c>
      <c r="L397" s="189">
        <f t="shared" si="283"/>
        <v>5.4600000000000003E-2</v>
      </c>
      <c r="M397" s="189">
        <f>0.3+0.23</f>
        <v>0.53</v>
      </c>
      <c r="N397" s="189">
        <f t="shared" si="263"/>
        <v>-0.04</v>
      </c>
      <c r="O397" s="189">
        <f>2.74*0.3</f>
        <v>0.82200000000000006</v>
      </c>
      <c r="P397" s="188">
        <f t="shared" si="323"/>
        <v>4.0666000000000002</v>
      </c>
      <c r="Q397" s="183">
        <f t="shared" si="285"/>
        <v>8</v>
      </c>
      <c r="R397" s="188">
        <f t="shared" si="286"/>
        <v>0.2</v>
      </c>
      <c r="S397" s="183">
        <f t="shared" si="287"/>
        <v>12</v>
      </c>
      <c r="T397" s="189">
        <f t="shared" si="288"/>
        <v>5.4600000000000003E-2</v>
      </c>
      <c r="U397" s="189">
        <f>0.3+0.23</f>
        <v>0.53</v>
      </c>
      <c r="V397" s="189">
        <f t="shared" si="265"/>
        <v>-0.04</v>
      </c>
      <c r="W397" s="189">
        <v>0</v>
      </c>
      <c r="X397" s="188">
        <f t="shared" si="324"/>
        <v>3.2446000000000002</v>
      </c>
      <c r="Y397" s="183">
        <f t="shared" si="290"/>
        <v>8</v>
      </c>
      <c r="Z397" s="188">
        <f t="shared" si="291"/>
        <v>0.24</v>
      </c>
      <c r="AA397" s="183">
        <f t="shared" si="292"/>
        <v>12</v>
      </c>
      <c r="AB397" s="189">
        <f t="shared" si="293"/>
        <v>5.4600000000000003E-2</v>
      </c>
      <c r="AC397" s="189">
        <f>0.3+0.23</f>
        <v>0.53</v>
      </c>
      <c r="AD397" s="189">
        <f t="shared" si="267"/>
        <v>-0.04</v>
      </c>
      <c r="AE397" s="189">
        <v>0</v>
      </c>
      <c r="AF397" s="188">
        <f t="shared" si="321"/>
        <v>2.9746000000000001</v>
      </c>
      <c r="AG397" s="183">
        <f t="shared" si="295"/>
        <v>8</v>
      </c>
      <c r="AH397" s="182">
        <f t="shared" si="296"/>
        <v>0.24</v>
      </c>
      <c r="AI397" s="183">
        <f t="shared" si="297"/>
        <v>11</v>
      </c>
      <c r="AJ397" s="189">
        <f t="shared" si="298"/>
        <v>5.4600000000000003E-2</v>
      </c>
      <c r="AK397" s="189">
        <f>0.3+0.23</f>
        <v>0.53</v>
      </c>
      <c r="AL397" s="189">
        <f t="shared" si="269"/>
        <v>-0.04</v>
      </c>
      <c r="AM397" s="189">
        <f>3.05*0.3</f>
        <v>0.91499999999999992</v>
      </c>
      <c r="AN397" s="188">
        <f t="shared" si="322"/>
        <v>3.8896000000000002</v>
      </c>
      <c r="AO397" s="183">
        <v>0</v>
      </c>
      <c r="AP397" s="182">
        <f t="shared" si="300"/>
        <v>8</v>
      </c>
      <c r="AQ397" s="182">
        <v>1.5</v>
      </c>
      <c r="AR397" s="187">
        <f t="shared" si="310"/>
        <v>91.801000000000002</v>
      </c>
      <c r="AS397" s="187">
        <f t="shared" si="311"/>
        <v>0</v>
      </c>
      <c r="AT397" s="187">
        <f t="shared" si="312"/>
        <v>0</v>
      </c>
      <c r="AU397" s="187">
        <f t="shared" si="313"/>
        <v>78.480800000000002</v>
      </c>
      <c r="AV397" s="187">
        <f t="shared" si="314"/>
        <v>0</v>
      </c>
      <c r="AW397" s="187">
        <f t="shared" si="306"/>
        <v>0</v>
      </c>
      <c r="AX397" s="187">
        <f t="shared" si="307"/>
        <v>12</v>
      </c>
      <c r="AY397" s="388"/>
      <c r="AZ397" s="436"/>
      <c r="BA397" s="428"/>
      <c r="BF397" s="403"/>
      <c r="BG397" s="403"/>
      <c r="BK397" s="443"/>
      <c r="BL397" s="443"/>
      <c r="BN397" s="443"/>
      <c r="BO397" s="443"/>
      <c r="BQ397" s="443"/>
      <c r="BR397" s="443"/>
      <c r="BT397" s="443"/>
      <c r="BU397" s="443"/>
      <c r="BW397" s="443"/>
      <c r="BX397" s="443"/>
      <c r="BZ397" s="443"/>
      <c r="CA397" s="443"/>
      <c r="CC397" s="443"/>
      <c r="CD397" s="443"/>
      <c r="CF397" s="443"/>
      <c r="CG397" s="443"/>
    </row>
    <row r="398" spans="1:85" s="395" customFormat="1" x14ac:dyDescent="0.3">
      <c r="A398" s="182" t="s">
        <v>245</v>
      </c>
      <c r="B398" s="183">
        <v>1</v>
      </c>
      <c r="C398" s="184" t="s">
        <v>497</v>
      </c>
      <c r="D398" s="187">
        <v>1.48</v>
      </c>
      <c r="E398" s="187">
        <v>5.49</v>
      </c>
      <c r="F398" s="186">
        <v>0.14000000000000001</v>
      </c>
      <c r="G398" s="187">
        <f t="shared" si="325"/>
        <v>1.1375280000000001</v>
      </c>
      <c r="H398" s="188">
        <f t="shared" si="326"/>
        <v>8.1251999999999995</v>
      </c>
      <c r="I398" s="183">
        <f t="shared" si="280"/>
        <v>10</v>
      </c>
      <c r="J398" s="188">
        <f t="shared" si="281"/>
        <v>0.2</v>
      </c>
      <c r="K398" s="183">
        <f t="shared" si="282"/>
        <v>28</v>
      </c>
      <c r="L398" s="189">
        <f t="shared" si="283"/>
        <v>5.8800000000000005E-2</v>
      </c>
      <c r="M398" s="189">
        <f>0.3+0.5</f>
        <v>0.8</v>
      </c>
      <c r="N398" s="189">
        <f t="shared" si="263"/>
        <v>-0.04</v>
      </c>
      <c r="O398" s="189">
        <f>1.87*0.3</f>
        <v>0.56100000000000005</v>
      </c>
      <c r="P398" s="188">
        <f>+D398+SUM(L398:O398)</f>
        <v>2.8597999999999999</v>
      </c>
      <c r="Q398" s="183">
        <f t="shared" si="285"/>
        <v>10</v>
      </c>
      <c r="R398" s="188">
        <f t="shared" si="286"/>
        <v>0.2</v>
      </c>
      <c r="S398" s="183">
        <f t="shared" si="287"/>
        <v>27</v>
      </c>
      <c r="T398" s="189">
        <f t="shared" si="288"/>
        <v>5.8800000000000005E-2</v>
      </c>
      <c r="U398" s="189">
        <f>0.3+0.5</f>
        <v>0.8</v>
      </c>
      <c r="V398" s="189">
        <f t="shared" si="265"/>
        <v>-0.04</v>
      </c>
      <c r="W398" s="189">
        <f>3.27*0.3</f>
        <v>0.98099999999999998</v>
      </c>
      <c r="X398" s="188">
        <f t="shared" si="324"/>
        <v>3.2797999999999998</v>
      </c>
      <c r="Y398" s="183">
        <f t="shared" si="290"/>
        <v>10</v>
      </c>
      <c r="Z398" s="188">
        <f t="shared" si="291"/>
        <v>0.24</v>
      </c>
      <c r="AA398" s="183">
        <f t="shared" si="292"/>
        <v>7</v>
      </c>
      <c r="AB398" s="189">
        <f t="shared" si="293"/>
        <v>5.8800000000000005E-2</v>
      </c>
      <c r="AC398" s="189">
        <f>0.3*2</f>
        <v>0.6</v>
      </c>
      <c r="AD398" s="189">
        <f t="shared" si="267"/>
        <v>-0.04</v>
      </c>
      <c r="AE398" s="189">
        <v>0</v>
      </c>
      <c r="AF398" s="188">
        <f t="shared" si="321"/>
        <v>6.1088000000000005</v>
      </c>
      <c r="AG398" s="183">
        <f t="shared" si="295"/>
        <v>10</v>
      </c>
      <c r="AH398" s="182">
        <f t="shared" si="296"/>
        <v>0.24</v>
      </c>
      <c r="AI398" s="183">
        <f t="shared" si="297"/>
        <v>6</v>
      </c>
      <c r="AJ398" s="189">
        <f t="shared" si="298"/>
        <v>5.8800000000000005E-2</v>
      </c>
      <c r="AK398" s="189">
        <f>0.3*2</f>
        <v>0.6</v>
      </c>
      <c r="AL398" s="189">
        <f t="shared" si="269"/>
        <v>-0.04</v>
      </c>
      <c r="AM398" s="189">
        <v>0</v>
      </c>
      <c r="AN398" s="188">
        <f t="shared" si="322"/>
        <v>6.1088000000000005</v>
      </c>
      <c r="AO398" s="183">
        <v>0</v>
      </c>
      <c r="AP398" s="182">
        <f t="shared" si="300"/>
        <v>10</v>
      </c>
      <c r="AQ398" s="182">
        <v>1.5</v>
      </c>
      <c r="AR398" s="187">
        <f t="shared" si="310"/>
        <v>0</v>
      </c>
      <c r="AS398" s="187">
        <f t="shared" si="311"/>
        <v>168.62899999999999</v>
      </c>
      <c r="AT398" s="187">
        <f t="shared" si="312"/>
        <v>0</v>
      </c>
      <c r="AU398" s="187">
        <f t="shared" si="313"/>
        <v>0</v>
      </c>
      <c r="AV398" s="187">
        <f t="shared" si="314"/>
        <v>79.414400000000001</v>
      </c>
      <c r="AW398" s="187">
        <f t="shared" si="306"/>
        <v>0</v>
      </c>
      <c r="AX398" s="187">
        <f t="shared" si="307"/>
        <v>15</v>
      </c>
      <c r="AY398" s="388"/>
      <c r="AZ398" s="436"/>
      <c r="BA398" s="428"/>
      <c r="BF398" s="403"/>
      <c r="BG398" s="403"/>
      <c r="BK398" s="443"/>
      <c r="BL398" s="443"/>
      <c r="BN398" s="443"/>
      <c r="BO398" s="443"/>
      <c r="BQ398" s="443"/>
      <c r="BR398" s="443"/>
      <c r="BT398" s="443"/>
      <c r="BU398" s="443"/>
      <c r="BW398" s="443"/>
      <c r="BX398" s="443"/>
      <c r="BZ398" s="443"/>
      <c r="CA398" s="443"/>
      <c r="CC398" s="443"/>
      <c r="CD398" s="443"/>
      <c r="CF398" s="443"/>
      <c r="CG398" s="443"/>
    </row>
    <row r="399" spans="1:85" s="395" customFormat="1" x14ac:dyDescent="0.3">
      <c r="A399" s="182" t="s">
        <v>232</v>
      </c>
      <c r="B399" s="183">
        <v>1</v>
      </c>
      <c r="C399" s="184" t="s">
        <v>498</v>
      </c>
      <c r="D399" s="187">
        <v>2.75</v>
      </c>
      <c r="E399" s="187">
        <v>2.85</v>
      </c>
      <c r="F399" s="186">
        <v>0.13</v>
      </c>
      <c r="G399" s="187">
        <f t="shared" si="325"/>
        <v>1.018875</v>
      </c>
      <c r="H399" s="188">
        <f t="shared" si="326"/>
        <v>7.8375000000000004</v>
      </c>
      <c r="I399" s="183">
        <f t="shared" si="280"/>
        <v>8</v>
      </c>
      <c r="J399" s="188">
        <f t="shared" si="281"/>
        <v>0.2</v>
      </c>
      <c r="K399" s="183">
        <f t="shared" si="282"/>
        <v>15</v>
      </c>
      <c r="L399" s="189">
        <f t="shared" si="283"/>
        <v>5.4600000000000003E-2</v>
      </c>
      <c r="M399" s="189">
        <f>0.3*2</f>
        <v>0.6</v>
      </c>
      <c r="N399" s="189">
        <f t="shared" si="263"/>
        <v>-0.04</v>
      </c>
      <c r="O399" s="189">
        <f>5.49*0.3</f>
        <v>1.647</v>
      </c>
      <c r="P399" s="188">
        <f t="shared" ref="P399:P415" si="327">+D399+SUM(L399:O399)</f>
        <v>5.0115999999999996</v>
      </c>
      <c r="Q399" s="183">
        <f t="shared" si="285"/>
        <v>8</v>
      </c>
      <c r="R399" s="188">
        <f t="shared" si="286"/>
        <v>0.2</v>
      </c>
      <c r="S399" s="183">
        <f t="shared" si="287"/>
        <v>14</v>
      </c>
      <c r="T399" s="189">
        <f t="shared" si="288"/>
        <v>5.4600000000000003E-2</v>
      </c>
      <c r="U399" s="189">
        <f>0.3*2</f>
        <v>0.6</v>
      </c>
      <c r="V399" s="189">
        <f t="shared" si="265"/>
        <v>-0.04</v>
      </c>
      <c r="W399" s="189">
        <f>2.9*0.3</f>
        <v>0.87</v>
      </c>
      <c r="X399" s="188">
        <f t="shared" si="324"/>
        <v>4.2346000000000004</v>
      </c>
      <c r="Y399" s="183">
        <f t="shared" si="290"/>
        <v>8</v>
      </c>
      <c r="Z399" s="188">
        <f t="shared" si="291"/>
        <v>0.24</v>
      </c>
      <c r="AA399" s="183">
        <f t="shared" si="292"/>
        <v>12</v>
      </c>
      <c r="AB399" s="189">
        <f t="shared" si="293"/>
        <v>5.4600000000000003E-2</v>
      </c>
      <c r="AC399" s="189">
        <f>0.3*2</f>
        <v>0.6</v>
      </c>
      <c r="AD399" s="189">
        <f t="shared" si="267"/>
        <v>-0.04</v>
      </c>
      <c r="AE399" s="189">
        <f>2.78*0.3</f>
        <v>0.83399999999999996</v>
      </c>
      <c r="AF399" s="188">
        <f t="shared" si="321"/>
        <v>4.2986000000000004</v>
      </c>
      <c r="AG399" s="183">
        <f t="shared" si="295"/>
        <v>8</v>
      </c>
      <c r="AH399" s="182">
        <f t="shared" si="296"/>
        <v>0.24</v>
      </c>
      <c r="AI399" s="183">
        <f t="shared" si="297"/>
        <v>11</v>
      </c>
      <c r="AJ399" s="189">
        <f t="shared" si="298"/>
        <v>5.4600000000000003E-2</v>
      </c>
      <c r="AK399" s="189">
        <f>0.3*2</f>
        <v>0.6</v>
      </c>
      <c r="AL399" s="189">
        <f t="shared" si="269"/>
        <v>-0.04</v>
      </c>
      <c r="AM399" s="189">
        <f>9.66*0.3</f>
        <v>2.8980000000000001</v>
      </c>
      <c r="AN399" s="188">
        <f t="shared" si="322"/>
        <v>6.3626000000000005</v>
      </c>
      <c r="AO399" s="183">
        <v>0</v>
      </c>
      <c r="AP399" s="182">
        <f t="shared" si="300"/>
        <v>8</v>
      </c>
      <c r="AQ399" s="182">
        <v>1.5</v>
      </c>
      <c r="AR399" s="187">
        <f t="shared" si="310"/>
        <v>134.45839999999998</v>
      </c>
      <c r="AS399" s="187">
        <f t="shared" si="311"/>
        <v>0</v>
      </c>
      <c r="AT399" s="187">
        <f t="shared" si="312"/>
        <v>0</v>
      </c>
      <c r="AU399" s="187">
        <f t="shared" si="313"/>
        <v>121.57180000000001</v>
      </c>
      <c r="AV399" s="187">
        <f t="shared" si="314"/>
        <v>0</v>
      </c>
      <c r="AW399" s="187">
        <f t="shared" si="306"/>
        <v>0</v>
      </c>
      <c r="AX399" s="187">
        <f t="shared" si="307"/>
        <v>12</v>
      </c>
      <c r="AY399" s="388"/>
      <c r="AZ399" s="436"/>
      <c r="BA399" s="428"/>
      <c r="BF399" s="403"/>
      <c r="BG399" s="403"/>
      <c r="BK399" s="443"/>
      <c r="BL399" s="443"/>
      <c r="BN399" s="443"/>
      <c r="BO399" s="443"/>
      <c r="BQ399" s="443"/>
      <c r="BR399" s="443"/>
      <c r="BT399" s="443"/>
      <c r="BU399" s="443"/>
      <c r="BW399" s="443"/>
      <c r="BX399" s="443"/>
      <c r="BZ399" s="443"/>
      <c r="CA399" s="443"/>
      <c r="CC399" s="443"/>
      <c r="CD399" s="443"/>
      <c r="CF399" s="443"/>
      <c r="CG399" s="443"/>
    </row>
    <row r="400" spans="1:85" s="395" customFormat="1" x14ac:dyDescent="0.3">
      <c r="A400" s="182" t="s">
        <v>239</v>
      </c>
      <c r="B400" s="183">
        <v>1</v>
      </c>
      <c r="C400" s="184" t="s">
        <v>499</v>
      </c>
      <c r="D400" s="187">
        <v>2.9</v>
      </c>
      <c r="E400" s="187">
        <v>2.0099999999999998</v>
      </c>
      <c r="F400" s="186">
        <v>0.125</v>
      </c>
      <c r="G400" s="187">
        <f t="shared" si="325"/>
        <v>0.72862499999999986</v>
      </c>
      <c r="H400" s="188">
        <f t="shared" si="326"/>
        <v>5.8289999999999988</v>
      </c>
      <c r="I400" s="183">
        <f t="shared" si="280"/>
        <v>8</v>
      </c>
      <c r="J400" s="188">
        <f t="shared" si="281"/>
        <v>0.23</v>
      </c>
      <c r="K400" s="183">
        <f t="shared" si="282"/>
        <v>10</v>
      </c>
      <c r="L400" s="189">
        <f t="shared" si="283"/>
        <v>5.2499999999999998E-2</v>
      </c>
      <c r="M400" s="189">
        <f>0.3*2</f>
        <v>0.6</v>
      </c>
      <c r="N400" s="189">
        <f t="shared" si="263"/>
        <v>-0.04</v>
      </c>
      <c r="O400" s="248">
        <f>2.75*0.3</f>
        <v>0.82499999999999996</v>
      </c>
      <c r="P400" s="188">
        <f t="shared" si="327"/>
        <v>4.3375000000000004</v>
      </c>
      <c r="Q400" s="183">
        <f t="shared" si="285"/>
        <v>8</v>
      </c>
      <c r="R400" s="188">
        <f t="shared" si="286"/>
        <v>0.23</v>
      </c>
      <c r="S400" s="183">
        <f t="shared" si="287"/>
        <v>9</v>
      </c>
      <c r="T400" s="189">
        <f t="shared" si="288"/>
        <v>5.2499999999999998E-2</v>
      </c>
      <c r="U400" s="189">
        <f>0.3*2</f>
        <v>0.6</v>
      </c>
      <c r="V400" s="189">
        <f t="shared" si="265"/>
        <v>-0.04</v>
      </c>
      <c r="W400" s="189">
        <f>2.9*0.3</f>
        <v>0.87</v>
      </c>
      <c r="X400" s="188">
        <f t="shared" si="324"/>
        <v>4.3825000000000003</v>
      </c>
      <c r="Y400" s="183">
        <f t="shared" si="290"/>
        <v>8</v>
      </c>
      <c r="Z400" s="188">
        <f t="shared" si="291"/>
        <v>0.3</v>
      </c>
      <c r="AA400" s="183">
        <f t="shared" si="292"/>
        <v>11</v>
      </c>
      <c r="AB400" s="189">
        <f t="shared" si="293"/>
        <v>5.2499999999999998E-2</v>
      </c>
      <c r="AC400" s="189">
        <f>0.3*2</f>
        <v>0.6</v>
      </c>
      <c r="AD400" s="189">
        <f t="shared" si="267"/>
        <v>-0.04</v>
      </c>
      <c r="AE400" s="189">
        <f>2.11*0.3</f>
        <v>0.6329999999999999</v>
      </c>
      <c r="AF400" s="188">
        <f t="shared" si="321"/>
        <v>3.2554999999999996</v>
      </c>
      <c r="AG400" s="183">
        <f t="shared" si="295"/>
        <v>8</v>
      </c>
      <c r="AH400" s="182">
        <f t="shared" si="296"/>
        <v>0.3</v>
      </c>
      <c r="AI400" s="183">
        <f t="shared" si="297"/>
        <v>10</v>
      </c>
      <c r="AJ400" s="189">
        <f t="shared" si="298"/>
        <v>5.2499999999999998E-2</v>
      </c>
      <c r="AK400" s="189">
        <f>0.3*2</f>
        <v>0.6</v>
      </c>
      <c r="AL400" s="189">
        <f t="shared" si="269"/>
        <v>-0.04</v>
      </c>
      <c r="AM400" s="189">
        <f>10.26*0.3</f>
        <v>3.0779999999999998</v>
      </c>
      <c r="AN400" s="188">
        <f t="shared" si="322"/>
        <v>5.7004999999999999</v>
      </c>
      <c r="AO400" s="183">
        <v>0</v>
      </c>
      <c r="AP400" s="182">
        <f t="shared" si="300"/>
        <v>6</v>
      </c>
      <c r="AQ400" s="182">
        <v>1.5</v>
      </c>
      <c r="AR400" s="187">
        <f t="shared" si="310"/>
        <v>82.817499999999995</v>
      </c>
      <c r="AS400" s="187">
        <f t="shared" si="311"/>
        <v>0</v>
      </c>
      <c r="AT400" s="187">
        <f t="shared" si="312"/>
        <v>0</v>
      </c>
      <c r="AU400" s="187">
        <f t="shared" si="313"/>
        <v>92.815499999999986</v>
      </c>
      <c r="AV400" s="187">
        <f t="shared" si="314"/>
        <v>0</v>
      </c>
      <c r="AW400" s="187">
        <f t="shared" si="306"/>
        <v>0</v>
      </c>
      <c r="AX400" s="187">
        <f t="shared" si="307"/>
        <v>9</v>
      </c>
      <c r="AY400" s="388"/>
      <c r="AZ400" s="436"/>
      <c r="BA400" s="428"/>
      <c r="BF400" s="403"/>
      <c r="BG400" s="403"/>
      <c r="BK400" s="443"/>
      <c r="BL400" s="443"/>
      <c r="BN400" s="443"/>
      <c r="BO400" s="443"/>
      <c r="BQ400" s="443"/>
      <c r="BR400" s="443"/>
      <c r="BT400" s="443"/>
      <c r="BU400" s="443"/>
      <c r="BW400" s="443"/>
      <c r="BX400" s="443"/>
      <c r="BZ400" s="443"/>
      <c r="CA400" s="443"/>
      <c r="CC400" s="443"/>
      <c r="CD400" s="443"/>
      <c r="CF400" s="443"/>
      <c r="CG400" s="443"/>
    </row>
    <row r="401" spans="1:85" s="395" customFormat="1" x14ac:dyDescent="0.3">
      <c r="A401" s="182" t="s">
        <v>223</v>
      </c>
      <c r="B401" s="183">
        <v>1</v>
      </c>
      <c r="C401" s="184" t="s">
        <v>500</v>
      </c>
      <c r="D401" s="187">
        <v>5.49</v>
      </c>
      <c r="E401" s="187">
        <v>1.87</v>
      </c>
      <c r="F401" s="186">
        <v>0.13</v>
      </c>
      <c r="G401" s="187">
        <f t="shared" si="325"/>
        <v>1.3346190000000002</v>
      </c>
      <c r="H401" s="188">
        <f t="shared" si="326"/>
        <v>10.266300000000001</v>
      </c>
      <c r="I401" s="183">
        <f t="shared" si="280"/>
        <v>8</v>
      </c>
      <c r="J401" s="188">
        <f t="shared" si="281"/>
        <v>0.2</v>
      </c>
      <c r="K401" s="183">
        <f t="shared" si="282"/>
        <v>10</v>
      </c>
      <c r="L401" s="189">
        <f t="shared" si="283"/>
        <v>5.4600000000000003E-2</v>
      </c>
      <c r="M401" s="189">
        <f>0.3*2</f>
        <v>0.6</v>
      </c>
      <c r="N401" s="189">
        <f t="shared" si="263"/>
        <v>-0.04</v>
      </c>
      <c r="O401" s="189">
        <f>4.0013*0.3</f>
        <v>1.2003899999999998</v>
      </c>
      <c r="P401" s="188">
        <f t="shared" si="327"/>
        <v>7.3049900000000001</v>
      </c>
      <c r="Q401" s="183">
        <f t="shared" si="285"/>
        <v>8</v>
      </c>
      <c r="R401" s="188">
        <f t="shared" si="286"/>
        <v>0.2</v>
      </c>
      <c r="S401" s="183">
        <f t="shared" si="287"/>
        <v>9</v>
      </c>
      <c r="T401" s="189">
        <f t="shared" si="288"/>
        <v>5.4600000000000003E-2</v>
      </c>
      <c r="U401" s="189">
        <f>0.3*2</f>
        <v>0.6</v>
      </c>
      <c r="V401" s="189">
        <f t="shared" si="265"/>
        <v>-0.04</v>
      </c>
      <c r="W401" s="189">
        <f>2.75*0.3</f>
        <v>0.82499999999999996</v>
      </c>
      <c r="X401" s="188">
        <f t="shared" si="324"/>
        <v>6.9296000000000006</v>
      </c>
      <c r="Y401" s="183">
        <f t="shared" si="290"/>
        <v>8</v>
      </c>
      <c r="Z401" s="188">
        <f t="shared" si="291"/>
        <v>0.36</v>
      </c>
      <c r="AA401" s="183">
        <f t="shared" si="292"/>
        <v>16</v>
      </c>
      <c r="AB401" s="189">
        <f t="shared" si="293"/>
        <v>5.4600000000000003E-2</v>
      </c>
      <c r="AC401" s="189">
        <f>0.5*2</f>
        <v>1</v>
      </c>
      <c r="AD401" s="189">
        <f t="shared" si="267"/>
        <v>-0.04</v>
      </c>
      <c r="AE401" s="189">
        <f>1.98*0.3</f>
        <v>0.59399999999999997</v>
      </c>
      <c r="AF401" s="188">
        <f t="shared" si="321"/>
        <v>3.4786000000000001</v>
      </c>
      <c r="AG401" s="183">
        <f t="shared" si="295"/>
        <v>8</v>
      </c>
      <c r="AH401" s="182">
        <f t="shared" si="296"/>
        <v>0.36</v>
      </c>
      <c r="AI401" s="183">
        <f t="shared" si="297"/>
        <v>15</v>
      </c>
      <c r="AJ401" s="189">
        <f t="shared" si="298"/>
        <v>5.4600000000000003E-2</v>
      </c>
      <c r="AK401" s="189">
        <f>0.5*2</f>
        <v>1</v>
      </c>
      <c r="AL401" s="189">
        <f t="shared" si="269"/>
        <v>-0.04</v>
      </c>
      <c r="AM401" s="189">
        <f>1.48*0.3</f>
        <v>0.44400000000000001</v>
      </c>
      <c r="AN401" s="188">
        <f t="shared" si="322"/>
        <v>3.3285999999999998</v>
      </c>
      <c r="AO401" s="183">
        <v>0</v>
      </c>
      <c r="AP401" s="182">
        <f t="shared" si="300"/>
        <v>10</v>
      </c>
      <c r="AQ401" s="182">
        <v>1.5</v>
      </c>
      <c r="AR401" s="187">
        <f t="shared" si="310"/>
        <v>135.41630000000001</v>
      </c>
      <c r="AS401" s="187">
        <f t="shared" si="311"/>
        <v>0</v>
      </c>
      <c r="AT401" s="187">
        <f t="shared" si="312"/>
        <v>0</v>
      </c>
      <c r="AU401" s="187">
        <f t="shared" si="313"/>
        <v>105.5866</v>
      </c>
      <c r="AV401" s="187">
        <f t="shared" si="314"/>
        <v>0</v>
      </c>
      <c r="AW401" s="187">
        <f t="shared" si="306"/>
        <v>0</v>
      </c>
      <c r="AX401" s="187">
        <f t="shared" si="307"/>
        <v>15</v>
      </c>
      <c r="AY401" s="388"/>
      <c r="AZ401" s="436"/>
      <c r="BA401" s="428"/>
      <c r="BF401" s="403"/>
      <c r="BG401" s="403"/>
      <c r="BK401" s="443"/>
      <c r="BL401" s="443"/>
      <c r="BN401" s="443"/>
      <c r="BO401" s="443"/>
      <c r="BQ401" s="443"/>
      <c r="BR401" s="443"/>
      <c r="BT401" s="443"/>
      <c r="BU401" s="443"/>
      <c r="BW401" s="443"/>
      <c r="BX401" s="443"/>
      <c r="BZ401" s="443"/>
      <c r="CA401" s="443"/>
      <c r="CC401" s="443"/>
      <c r="CD401" s="443"/>
      <c r="CF401" s="443"/>
      <c r="CG401" s="443"/>
    </row>
    <row r="402" spans="1:85" s="395" customFormat="1" x14ac:dyDescent="0.3">
      <c r="A402" s="182" t="s">
        <v>232</v>
      </c>
      <c r="B402" s="183">
        <v>1</v>
      </c>
      <c r="C402" s="184" t="s">
        <v>315</v>
      </c>
      <c r="D402" s="187">
        <v>2.2000000000000002</v>
      </c>
      <c r="E402" s="187">
        <v>2.36</v>
      </c>
      <c r="F402" s="186">
        <v>0.13</v>
      </c>
      <c r="G402" s="187">
        <f t="shared" si="325"/>
        <v>0.67496</v>
      </c>
      <c r="H402" s="188">
        <f t="shared" si="326"/>
        <v>5.1920000000000002</v>
      </c>
      <c r="I402" s="183">
        <f t="shared" si="280"/>
        <v>8</v>
      </c>
      <c r="J402" s="188">
        <f t="shared" si="281"/>
        <v>0.2</v>
      </c>
      <c r="K402" s="183">
        <f t="shared" si="282"/>
        <v>13</v>
      </c>
      <c r="L402" s="189">
        <f t="shared" si="283"/>
        <v>5.4600000000000003E-2</v>
      </c>
      <c r="M402" s="189">
        <f>0.38+0.23</f>
        <v>0.61</v>
      </c>
      <c r="N402" s="189">
        <f t="shared" si="263"/>
        <v>-0.04</v>
      </c>
      <c r="O402" s="189">
        <f>5.45*0.3</f>
        <v>1.635</v>
      </c>
      <c r="P402" s="188">
        <f t="shared" si="327"/>
        <v>4.4596</v>
      </c>
      <c r="Q402" s="183">
        <f t="shared" si="285"/>
        <v>8</v>
      </c>
      <c r="R402" s="188">
        <f t="shared" si="286"/>
        <v>0.2</v>
      </c>
      <c r="S402" s="183">
        <f t="shared" si="287"/>
        <v>12</v>
      </c>
      <c r="T402" s="189">
        <f t="shared" si="288"/>
        <v>5.4600000000000003E-2</v>
      </c>
      <c r="U402" s="189">
        <f>0.38+0.23</f>
        <v>0.61</v>
      </c>
      <c r="V402" s="189">
        <f t="shared" si="265"/>
        <v>-0.04</v>
      </c>
      <c r="W402" s="189">
        <v>0</v>
      </c>
      <c r="X402" s="188">
        <f t="shared" si="324"/>
        <v>2.8246000000000002</v>
      </c>
      <c r="Y402" s="183">
        <f t="shared" si="290"/>
        <v>8</v>
      </c>
      <c r="Z402" s="188">
        <f t="shared" si="291"/>
        <v>0.24</v>
      </c>
      <c r="AA402" s="183">
        <f t="shared" si="292"/>
        <v>10</v>
      </c>
      <c r="AB402" s="189">
        <f t="shared" si="293"/>
        <v>5.4600000000000003E-2</v>
      </c>
      <c r="AC402" s="189">
        <f>0.3*2</f>
        <v>0.6</v>
      </c>
      <c r="AD402" s="189">
        <f t="shared" si="267"/>
        <v>-0.04</v>
      </c>
      <c r="AE402" s="189">
        <f>2.29*0.3</f>
        <v>0.68699999999999994</v>
      </c>
      <c r="AF402" s="188">
        <f t="shared" si="321"/>
        <v>3.6616</v>
      </c>
      <c r="AG402" s="183">
        <f t="shared" si="295"/>
        <v>8</v>
      </c>
      <c r="AH402" s="182">
        <f t="shared" si="296"/>
        <v>0.24</v>
      </c>
      <c r="AI402" s="183">
        <f t="shared" si="297"/>
        <v>9</v>
      </c>
      <c r="AJ402" s="189">
        <f t="shared" si="298"/>
        <v>5.4600000000000003E-2</v>
      </c>
      <c r="AK402" s="189">
        <f>0.3*2</f>
        <v>0.6</v>
      </c>
      <c r="AL402" s="189">
        <f t="shared" si="269"/>
        <v>-0.04</v>
      </c>
      <c r="AM402" s="189">
        <f>3.84*0.3</f>
        <v>1.1519999999999999</v>
      </c>
      <c r="AN402" s="188">
        <f t="shared" si="322"/>
        <v>4.1265999999999998</v>
      </c>
      <c r="AO402" s="183">
        <v>0</v>
      </c>
      <c r="AP402" s="182">
        <f t="shared" si="300"/>
        <v>6</v>
      </c>
      <c r="AQ402" s="182">
        <v>1.5</v>
      </c>
      <c r="AR402" s="187">
        <f t="shared" si="310"/>
        <v>91.87</v>
      </c>
      <c r="AS402" s="187">
        <f t="shared" si="311"/>
        <v>0</v>
      </c>
      <c r="AT402" s="187">
        <f t="shared" si="312"/>
        <v>0</v>
      </c>
      <c r="AU402" s="187">
        <f t="shared" si="313"/>
        <v>73.755399999999995</v>
      </c>
      <c r="AV402" s="187">
        <f t="shared" si="314"/>
        <v>0</v>
      </c>
      <c r="AW402" s="187">
        <f t="shared" si="306"/>
        <v>0</v>
      </c>
      <c r="AX402" s="187">
        <f t="shared" si="307"/>
        <v>9</v>
      </c>
      <c r="AY402" s="388"/>
      <c r="AZ402" s="436"/>
      <c r="BA402" s="428"/>
      <c r="BF402" s="403"/>
      <c r="BG402" s="403"/>
      <c r="BK402" s="443"/>
      <c r="BL402" s="443"/>
      <c r="BN402" s="443"/>
      <c r="BO402" s="443"/>
      <c r="BQ402" s="443"/>
      <c r="BR402" s="443"/>
      <c r="BT402" s="443"/>
      <c r="BU402" s="443"/>
      <c r="BW402" s="443"/>
      <c r="BX402" s="443"/>
      <c r="BZ402" s="443"/>
      <c r="CA402" s="443"/>
      <c r="CC402" s="443"/>
      <c r="CD402" s="443"/>
      <c r="CF402" s="443"/>
      <c r="CG402" s="443"/>
    </row>
    <row r="403" spans="1:85" s="395" customFormat="1" x14ac:dyDescent="0.3">
      <c r="A403" s="182" t="s">
        <v>239</v>
      </c>
      <c r="B403" s="183">
        <v>1</v>
      </c>
      <c r="C403" s="184" t="s">
        <v>314</v>
      </c>
      <c r="D403" s="187">
        <v>2.29</v>
      </c>
      <c r="E403" s="187">
        <v>2.5</v>
      </c>
      <c r="F403" s="186">
        <v>0.125</v>
      </c>
      <c r="G403" s="187">
        <f t="shared" si="325"/>
        <v>0.71562499999999996</v>
      </c>
      <c r="H403" s="188">
        <f t="shared" si="326"/>
        <v>5.7249999999999996</v>
      </c>
      <c r="I403" s="183">
        <f t="shared" si="280"/>
        <v>8</v>
      </c>
      <c r="J403" s="188">
        <f t="shared" si="281"/>
        <v>0.23</v>
      </c>
      <c r="K403" s="183">
        <f t="shared" si="282"/>
        <v>12</v>
      </c>
      <c r="L403" s="189">
        <f t="shared" si="283"/>
        <v>5.2499999999999998E-2</v>
      </c>
      <c r="M403" s="189">
        <f>0.23*2</f>
        <v>0.46</v>
      </c>
      <c r="N403" s="189">
        <f t="shared" si="263"/>
        <v>-0.04</v>
      </c>
      <c r="O403" s="189">
        <v>0</v>
      </c>
      <c r="P403" s="188">
        <f t="shared" si="327"/>
        <v>2.7625000000000002</v>
      </c>
      <c r="Q403" s="183">
        <f t="shared" si="285"/>
        <v>8</v>
      </c>
      <c r="R403" s="188">
        <f t="shared" si="286"/>
        <v>0.23</v>
      </c>
      <c r="S403" s="183">
        <f t="shared" si="287"/>
        <v>11</v>
      </c>
      <c r="T403" s="189">
        <f t="shared" si="288"/>
        <v>5.2499999999999998E-2</v>
      </c>
      <c r="U403" s="189">
        <f>0.23*2</f>
        <v>0.46</v>
      </c>
      <c r="V403" s="189">
        <f t="shared" si="265"/>
        <v>-0.04</v>
      </c>
      <c r="W403" s="189">
        <f>1.37*0.3</f>
        <v>0.41100000000000003</v>
      </c>
      <c r="X403" s="188">
        <f t="shared" si="324"/>
        <v>3.1735000000000002</v>
      </c>
      <c r="Y403" s="183">
        <f t="shared" si="290"/>
        <v>8</v>
      </c>
      <c r="Z403" s="188">
        <f t="shared" si="291"/>
        <v>0.3</v>
      </c>
      <c r="AA403" s="183">
        <f t="shared" si="292"/>
        <v>9</v>
      </c>
      <c r="AB403" s="189">
        <f t="shared" si="293"/>
        <v>5.2499999999999998E-2</v>
      </c>
      <c r="AC403" s="189">
        <f>0.23*2</f>
        <v>0.46</v>
      </c>
      <c r="AD403" s="189">
        <f t="shared" si="267"/>
        <v>-0.04</v>
      </c>
      <c r="AE403" s="189">
        <f>2.29*0.3</f>
        <v>0.68699999999999994</v>
      </c>
      <c r="AF403" s="188">
        <f t="shared" si="321"/>
        <v>3.6595</v>
      </c>
      <c r="AG403" s="183">
        <f t="shared" si="295"/>
        <v>8</v>
      </c>
      <c r="AH403" s="182">
        <f t="shared" si="296"/>
        <v>0.3</v>
      </c>
      <c r="AI403" s="183">
        <f t="shared" si="297"/>
        <v>8</v>
      </c>
      <c r="AJ403" s="189">
        <f t="shared" si="298"/>
        <v>5.2499999999999998E-2</v>
      </c>
      <c r="AK403" s="189">
        <f>0.23*2</f>
        <v>0.46</v>
      </c>
      <c r="AL403" s="189">
        <f t="shared" si="269"/>
        <v>-0.04</v>
      </c>
      <c r="AM403" s="189">
        <f>3.93*0.3</f>
        <v>1.179</v>
      </c>
      <c r="AN403" s="188">
        <f t="shared" si="322"/>
        <v>4.1515000000000004</v>
      </c>
      <c r="AO403" s="183">
        <v>0</v>
      </c>
      <c r="AP403" s="182">
        <f t="shared" si="300"/>
        <v>8</v>
      </c>
      <c r="AQ403" s="182">
        <v>1.5</v>
      </c>
      <c r="AR403" s="187">
        <f t="shared" si="310"/>
        <v>68.058500000000009</v>
      </c>
      <c r="AS403" s="187">
        <f t="shared" si="311"/>
        <v>0</v>
      </c>
      <c r="AT403" s="187">
        <f t="shared" si="312"/>
        <v>0</v>
      </c>
      <c r="AU403" s="187">
        <f t="shared" si="313"/>
        <v>66.147500000000008</v>
      </c>
      <c r="AV403" s="187">
        <f t="shared" si="314"/>
        <v>0</v>
      </c>
      <c r="AW403" s="187">
        <f t="shared" si="306"/>
        <v>0</v>
      </c>
      <c r="AX403" s="187">
        <f t="shared" si="307"/>
        <v>12</v>
      </c>
      <c r="AY403" s="388"/>
      <c r="AZ403" s="436"/>
      <c r="BA403" s="428"/>
      <c r="BF403" s="403"/>
      <c r="BG403" s="403"/>
      <c r="BK403" s="443"/>
      <c r="BL403" s="443"/>
      <c r="BN403" s="443"/>
      <c r="BO403" s="443"/>
      <c r="BQ403" s="443"/>
      <c r="BR403" s="443"/>
      <c r="BT403" s="443"/>
      <c r="BU403" s="443"/>
      <c r="BW403" s="443"/>
      <c r="BX403" s="443"/>
      <c r="BZ403" s="443"/>
      <c r="CA403" s="443"/>
      <c r="CC403" s="443"/>
      <c r="CD403" s="443"/>
      <c r="CF403" s="443"/>
      <c r="CG403" s="443"/>
    </row>
    <row r="404" spans="1:85" s="395" customFormat="1" x14ac:dyDescent="0.3">
      <c r="A404" s="182" t="s">
        <v>245</v>
      </c>
      <c r="B404" s="183">
        <v>1</v>
      </c>
      <c r="C404" s="184" t="s">
        <v>501</v>
      </c>
      <c r="D404" s="187">
        <v>1.37</v>
      </c>
      <c r="E404" s="187">
        <v>3.93</v>
      </c>
      <c r="F404" s="186">
        <v>0.14000000000000001</v>
      </c>
      <c r="G404" s="187">
        <f t="shared" si="325"/>
        <v>0.75377400000000017</v>
      </c>
      <c r="H404" s="188">
        <f t="shared" si="326"/>
        <v>5.384100000000001</v>
      </c>
      <c r="I404" s="183">
        <f t="shared" si="280"/>
        <v>10</v>
      </c>
      <c r="J404" s="188">
        <f t="shared" si="281"/>
        <v>0.2</v>
      </c>
      <c r="K404" s="183">
        <f t="shared" si="282"/>
        <v>21</v>
      </c>
      <c r="L404" s="189">
        <f t="shared" si="283"/>
        <v>5.8800000000000005E-2</v>
      </c>
      <c r="M404" s="189">
        <f>0.23+0.3</f>
        <v>0.53</v>
      </c>
      <c r="N404" s="189">
        <f t="shared" si="263"/>
        <v>-0.04</v>
      </c>
      <c r="O404" s="189">
        <f>2.29*0.3</f>
        <v>0.68699999999999994</v>
      </c>
      <c r="P404" s="188">
        <f t="shared" si="327"/>
        <v>2.6057999999999999</v>
      </c>
      <c r="Q404" s="183">
        <f t="shared" si="285"/>
        <v>10</v>
      </c>
      <c r="R404" s="188">
        <f t="shared" si="286"/>
        <v>0.2</v>
      </c>
      <c r="S404" s="183">
        <f t="shared" si="287"/>
        <v>20</v>
      </c>
      <c r="T404" s="189">
        <f t="shared" si="288"/>
        <v>5.8800000000000005E-2</v>
      </c>
      <c r="U404" s="189">
        <f>0.23+0.3</f>
        <v>0.53</v>
      </c>
      <c r="V404" s="189">
        <f t="shared" si="265"/>
        <v>-0.04</v>
      </c>
      <c r="W404" s="189">
        <f>4.0013*0.3</f>
        <v>1.2003899999999998</v>
      </c>
      <c r="X404" s="188">
        <f t="shared" si="324"/>
        <v>3.1191899999999997</v>
      </c>
      <c r="Y404" s="183">
        <f t="shared" si="290"/>
        <v>10</v>
      </c>
      <c r="Z404" s="188">
        <f t="shared" si="291"/>
        <v>0.24</v>
      </c>
      <c r="AA404" s="183">
        <f t="shared" si="292"/>
        <v>7</v>
      </c>
      <c r="AB404" s="189">
        <f t="shared" si="293"/>
        <v>5.8800000000000005E-2</v>
      </c>
      <c r="AC404" s="189">
        <f>0.3*2</f>
        <v>0.6</v>
      </c>
      <c r="AD404" s="189">
        <f t="shared" si="267"/>
        <v>-0.04</v>
      </c>
      <c r="AE404" s="189">
        <v>0</v>
      </c>
      <c r="AF404" s="188">
        <f t="shared" si="321"/>
        <v>4.5488</v>
      </c>
      <c r="AG404" s="183">
        <f t="shared" si="295"/>
        <v>10</v>
      </c>
      <c r="AH404" s="182">
        <f t="shared" si="296"/>
        <v>0.24</v>
      </c>
      <c r="AI404" s="183">
        <f t="shared" si="297"/>
        <v>6</v>
      </c>
      <c r="AJ404" s="189">
        <f t="shared" si="298"/>
        <v>5.8800000000000005E-2</v>
      </c>
      <c r="AK404" s="189">
        <f>0.3*2</f>
        <v>0.6</v>
      </c>
      <c r="AL404" s="189">
        <f t="shared" si="269"/>
        <v>-0.04</v>
      </c>
      <c r="AM404" s="189">
        <v>0</v>
      </c>
      <c r="AN404" s="188">
        <f t="shared" si="322"/>
        <v>4.5488</v>
      </c>
      <c r="AO404" s="183">
        <v>0</v>
      </c>
      <c r="AP404" s="182">
        <f t="shared" si="300"/>
        <v>8</v>
      </c>
      <c r="AQ404" s="182">
        <v>1.5</v>
      </c>
      <c r="AR404" s="187">
        <f t="shared" si="310"/>
        <v>0</v>
      </c>
      <c r="AS404" s="187">
        <f t="shared" si="311"/>
        <v>117.10559999999998</v>
      </c>
      <c r="AT404" s="187">
        <f t="shared" si="312"/>
        <v>0</v>
      </c>
      <c r="AU404" s="187">
        <f t="shared" si="313"/>
        <v>0</v>
      </c>
      <c r="AV404" s="187">
        <f t="shared" si="314"/>
        <v>59.134399999999999</v>
      </c>
      <c r="AW404" s="187">
        <f t="shared" si="306"/>
        <v>0</v>
      </c>
      <c r="AX404" s="187">
        <f t="shared" si="307"/>
        <v>12</v>
      </c>
      <c r="AY404" s="388"/>
      <c r="AZ404" s="436"/>
      <c r="BA404" s="428"/>
      <c r="BF404" s="403"/>
      <c r="BG404" s="403"/>
      <c r="BK404" s="443"/>
      <c r="BL404" s="443"/>
      <c r="BN404" s="443"/>
      <c r="BO404" s="443"/>
      <c r="BQ404" s="443"/>
      <c r="BR404" s="443"/>
      <c r="BT404" s="443"/>
      <c r="BU404" s="443"/>
      <c r="BW404" s="443"/>
      <c r="BX404" s="443"/>
      <c r="BZ404" s="443"/>
      <c r="CA404" s="443"/>
      <c r="CC404" s="443"/>
      <c r="CD404" s="443"/>
      <c r="CF404" s="443"/>
      <c r="CG404" s="443"/>
    </row>
    <row r="405" spans="1:85" s="395" customFormat="1" x14ac:dyDescent="0.3">
      <c r="A405" s="182" t="s">
        <v>223</v>
      </c>
      <c r="B405" s="183">
        <v>1</v>
      </c>
      <c r="C405" s="184" t="s">
        <v>502</v>
      </c>
      <c r="D405" s="187">
        <v>5.53</v>
      </c>
      <c r="E405" s="187">
        <v>1.98</v>
      </c>
      <c r="F405" s="186">
        <v>0.13</v>
      </c>
      <c r="G405" s="187">
        <f t="shared" si="325"/>
        <v>1.4234220000000002</v>
      </c>
      <c r="H405" s="188">
        <f t="shared" si="326"/>
        <v>10.949400000000001</v>
      </c>
      <c r="I405" s="183">
        <f t="shared" si="280"/>
        <v>8</v>
      </c>
      <c r="J405" s="188">
        <f t="shared" si="281"/>
        <v>0.2</v>
      </c>
      <c r="K405" s="183">
        <f t="shared" si="282"/>
        <v>11</v>
      </c>
      <c r="L405" s="189">
        <f t="shared" si="283"/>
        <v>5.4600000000000003E-2</v>
      </c>
      <c r="M405" s="189">
        <f>0.23*2</f>
        <v>0.46</v>
      </c>
      <c r="N405" s="189">
        <f t="shared" si="263"/>
        <v>-0.04</v>
      </c>
      <c r="O405" s="189">
        <f>4.0013*0.3</f>
        <v>1.2003899999999998</v>
      </c>
      <c r="P405" s="188">
        <f t="shared" si="327"/>
        <v>7.2049900000000004</v>
      </c>
      <c r="Q405" s="183">
        <f t="shared" si="285"/>
        <v>8</v>
      </c>
      <c r="R405" s="188">
        <f t="shared" si="286"/>
        <v>0.2</v>
      </c>
      <c r="S405" s="183">
        <f t="shared" si="287"/>
        <v>10</v>
      </c>
      <c r="T405" s="189">
        <f t="shared" si="288"/>
        <v>5.4600000000000003E-2</v>
      </c>
      <c r="U405" s="189">
        <f>0.23*2</f>
        <v>0.46</v>
      </c>
      <c r="V405" s="189">
        <f t="shared" si="265"/>
        <v>-0.04</v>
      </c>
      <c r="W405" s="189">
        <f>2.79*0.3</f>
        <v>0.83699999999999997</v>
      </c>
      <c r="X405" s="188">
        <f t="shared" si="324"/>
        <v>6.8416000000000006</v>
      </c>
      <c r="Y405" s="183">
        <f t="shared" si="290"/>
        <v>8</v>
      </c>
      <c r="Z405" s="188">
        <f t="shared" si="291"/>
        <v>0.36</v>
      </c>
      <c r="AA405" s="183">
        <f t="shared" si="292"/>
        <v>16</v>
      </c>
      <c r="AB405" s="189">
        <f t="shared" si="293"/>
        <v>5.4600000000000003E-2</v>
      </c>
      <c r="AC405" s="189">
        <f>0.5+0.3</f>
        <v>0.8</v>
      </c>
      <c r="AD405" s="189">
        <f t="shared" si="267"/>
        <v>-0.04</v>
      </c>
      <c r="AE405" s="189">
        <f>2.29*0.3</f>
        <v>0.68699999999999994</v>
      </c>
      <c r="AF405" s="188">
        <f t="shared" si="321"/>
        <v>3.4815999999999998</v>
      </c>
      <c r="AG405" s="183">
        <f t="shared" si="295"/>
        <v>8</v>
      </c>
      <c r="AH405" s="182">
        <f t="shared" si="296"/>
        <v>0.36</v>
      </c>
      <c r="AI405" s="183">
        <f t="shared" si="297"/>
        <v>15</v>
      </c>
      <c r="AJ405" s="189">
        <f t="shared" si="298"/>
        <v>5.4600000000000003E-2</v>
      </c>
      <c r="AK405" s="189">
        <f>0.5+0.3</f>
        <v>0.8</v>
      </c>
      <c r="AL405" s="189">
        <f t="shared" si="269"/>
        <v>-0.04</v>
      </c>
      <c r="AM405" s="189">
        <f>1.87*0.3</f>
        <v>0.56100000000000005</v>
      </c>
      <c r="AN405" s="188">
        <f t="shared" si="322"/>
        <v>3.3555999999999999</v>
      </c>
      <c r="AO405" s="183">
        <v>0</v>
      </c>
      <c r="AP405" s="182">
        <f t="shared" si="300"/>
        <v>10</v>
      </c>
      <c r="AQ405" s="182">
        <v>1.5</v>
      </c>
      <c r="AR405" s="187">
        <f t="shared" si="310"/>
        <v>147.67089000000001</v>
      </c>
      <c r="AS405" s="187">
        <f t="shared" si="311"/>
        <v>0</v>
      </c>
      <c r="AT405" s="187">
        <f t="shared" si="312"/>
        <v>0</v>
      </c>
      <c r="AU405" s="187">
        <f t="shared" si="313"/>
        <v>106.03959999999999</v>
      </c>
      <c r="AV405" s="187">
        <f t="shared" si="314"/>
        <v>0</v>
      </c>
      <c r="AW405" s="187">
        <f t="shared" si="306"/>
        <v>0</v>
      </c>
      <c r="AX405" s="187">
        <f t="shared" si="307"/>
        <v>15</v>
      </c>
      <c r="AY405" s="388"/>
      <c r="AZ405" s="436"/>
      <c r="BA405" s="428"/>
      <c r="BF405" s="403"/>
      <c r="BG405" s="403"/>
      <c r="BK405" s="443"/>
      <c r="BL405" s="443"/>
      <c r="BN405" s="443"/>
      <c r="BO405" s="443"/>
      <c r="BQ405" s="443"/>
      <c r="BR405" s="443"/>
      <c r="BT405" s="443"/>
      <c r="BU405" s="443"/>
      <c r="BW405" s="443"/>
      <c r="BX405" s="443"/>
      <c r="BZ405" s="443"/>
      <c r="CA405" s="443"/>
      <c r="CC405" s="443"/>
      <c r="CD405" s="443"/>
      <c r="CF405" s="443"/>
      <c r="CG405" s="443"/>
    </row>
    <row r="406" spans="1:85" s="395" customFormat="1" x14ac:dyDescent="0.3">
      <c r="A406" s="182" t="s">
        <v>239</v>
      </c>
      <c r="B406" s="183">
        <v>2</v>
      </c>
      <c r="C406" s="184" t="s">
        <v>503</v>
      </c>
      <c r="D406" s="187">
        <v>2.79</v>
      </c>
      <c r="E406" s="187">
        <v>1.87</v>
      </c>
      <c r="F406" s="186">
        <v>0.125</v>
      </c>
      <c r="G406" s="187">
        <f t="shared" si="325"/>
        <v>1.3043250000000002</v>
      </c>
      <c r="H406" s="188">
        <f t="shared" si="326"/>
        <v>10.434600000000001</v>
      </c>
      <c r="I406" s="183">
        <f t="shared" si="280"/>
        <v>8</v>
      </c>
      <c r="J406" s="188">
        <f t="shared" si="281"/>
        <v>0.23</v>
      </c>
      <c r="K406" s="183">
        <f t="shared" si="282"/>
        <v>9</v>
      </c>
      <c r="L406" s="189">
        <f t="shared" si="283"/>
        <v>5.2499999999999998E-2</v>
      </c>
      <c r="M406" s="189">
        <f>0.23*2</f>
        <v>0.46</v>
      </c>
      <c r="N406" s="189">
        <f t="shared" si="263"/>
        <v>-0.04</v>
      </c>
      <c r="O406" s="189">
        <f>5.53*0.3</f>
        <v>1.659</v>
      </c>
      <c r="P406" s="188">
        <f t="shared" si="327"/>
        <v>4.9215</v>
      </c>
      <c r="Q406" s="183">
        <f t="shared" si="285"/>
        <v>8</v>
      </c>
      <c r="R406" s="188">
        <f t="shared" si="286"/>
        <v>0.23</v>
      </c>
      <c r="S406" s="183">
        <f t="shared" si="287"/>
        <v>8</v>
      </c>
      <c r="T406" s="189">
        <f t="shared" si="288"/>
        <v>5.2499999999999998E-2</v>
      </c>
      <c r="U406" s="189">
        <f>0.23*2</f>
        <v>0.46</v>
      </c>
      <c r="V406" s="189">
        <f t="shared" si="265"/>
        <v>-0.04</v>
      </c>
      <c r="W406" s="189">
        <f>3.04*0.3</f>
        <v>0.91199999999999992</v>
      </c>
      <c r="X406" s="188">
        <f t="shared" si="324"/>
        <v>4.1745000000000001</v>
      </c>
      <c r="Y406" s="183">
        <f t="shared" si="290"/>
        <v>8</v>
      </c>
      <c r="Z406" s="188">
        <f t="shared" si="291"/>
        <v>0.3</v>
      </c>
      <c r="AA406" s="183">
        <f t="shared" si="292"/>
        <v>10</v>
      </c>
      <c r="AB406" s="189">
        <f t="shared" si="293"/>
        <v>5.2499999999999998E-2</v>
      </c>
      <c r="AC406" s="189">
        <f>0.3+0.23</f>
        <v>0.53</v>
      </c>
      <c r="AD406" s="189">
        <f t="shared" si="267"/>
        <v>-0.04</v>
      </c>
      <c r="AE406" s="189">
        <v>0</v>
      </c>
      <c r="AF406" s="188">
        <f t="shared" si="321"/>
        <v>2.4125000000000001</v>
      </c>
      <c r="AG406" s="183">
        <f t="shared" si="295"/>
        <v>8</v>
      </c>
      <c r="AH406" s="182">
        <f t="shared" si="296"/>
        <v>0.3</v>
      </c>
      <c r="AI406" s="183">
        <f t="shared" si="297"/>
        <v>9</v>
      </c>
      <c r="AJ406" s="189">
        <f t="shared" si="298"/>
        <v>5.2499999999999998E-2</v>
      </c>
      <c r="AK406" s="189">
        <f>0.3+0.23</f>
        <v>0.53</v>
      </c>
      <c r="AL406" s="189">
        <f t="shared" si="269"/>
        <v>-0.04</v>
      </c>
      <c r="AM406" s="189">
        <f>2.85*0.3</f>
        <v>0.85499999999999998</v>
      </c>
      <c r="AN406" s="188">
        <f t="shared" si="322"/>
        <v>3.2675000000000001</v>
      </c>
      <c r="AO406" s="183">
        <v>0</v>
      </c>
      <c r="AP406" s="182">
        <f t="shared" si="300"/>
        <v>6</v>
      </c>
      <c r="AQ406" s="182">
        <v>1.5</v>
      </c>
      <c r="AR406" s="187">
        <f t="shared" si="310"/>
        <v>155.37900000000002</v>
      </c>
      <c r="AS406" s="187">
        <f t="shared" si="311"/>
        <v>0</v>
      </c>
      <c r="AT406" s="187">
        <f t="shared" si="312"/>
        <v>0</v>
      </c>
      <c r="AU406" s="187">
        <f t="shared" si="313"/>
        <v>107.065</v>
      </c>
      <c r="AV406" s="187">
        <f t="shared" si="314"/>
        <v>0</v>
      </c>
      <c r="AW406" s="187">
        <f t="shared" si="306"/>
        <v>0</v>
      </c>
      <c r="AX406" s="187">
        <f t="shared" si="307"/>
        <v>18</v>
      </c>
      <c r="AY406" s="388"/>
      <c r="AZ406" s="436"/>
      <c r="BA406" s="428"/>
      <c r="BF406" s="403"/>
      <c r="BG406" s="403"/>
      <c r="BK406" s="443"/>
      <c r="BL406" s="443"/>
      <c r="BN406" s="443"/>
      <c r="BO406" s="443"/>
      <c r="BQ406" s="443"/>
      <c r="BR406" s="443"/>
      <c r="BT406" s="443"/>
      <c r="BU406" s="443"/>
      <c r="BW406" s="443"/>
      <c r="BX406" s="443"/>
      <c r="BZ406" s="443"/>
      <c r="CA406" s="443"/>
      <c r="CC406" s="443"/>
      <c r="CD406" s="443"/>
      <c r="CF406" s="443"/>
      <c r="CG406" s="443"/>
    </row>
    <row r="407" spans="1:85" s="395" customFormat="1" ht="27.6" x14ac:dyDescent="0.3">
      <c r="A407" s="182" t="s">
        <v>239</v>
      </c>
      <c r="B407" s="183">
        <v>2</v>
      </c>
      <c r="C407" s="184" t="s">
        <v>504</v>
      </c>
      <c r="D407" s="187">
        <v>0.80500000000000005</v>
      </c>
      <c r="E407" s="187">
        <v>0.91</v>
      </c>
      <c r="F407" s="186">
        <v>0.125</v>
      </c>
      <c r="G407" s="187">
        <f t="shared" si="325"/>
        <v>0.18313750000000001</v>
      </c>
      <c r="H407" s="188">
        <f t="shared" si="326"/>
        <v>1.4651000000000001</v>
      </c>
      <c r="I407" s="183">
        <f t="shared" si="280"/>
        <v>8</v>
      </c>
      <c r="J407" s="188">
        <f t="shared" si="281"/>
        <v>0.23</v>
      </c>
      <c r="K407" s="183">
        <f t="shared" si="282"/>
        <v>5</v>
      </c>
      <c r="L407" s="189">
        <f t="shared" si="283"/>
        <v>5.2499999999999998E-2</v>
      </c>
      <c r="M407" s="189">
        <f>0.3+0.23</f>
        <v>0.53</v>
      </c>
      <c r="N407" s="189">
        <f t="shared" si="263"/>
        <v>-0.04</v>
      </c>
      <c r="O407" s="189">
        <f>5.525*0.3</f>
        <v>1.6575</v>
      </c>
      <c r="P407" s="188">
        <f t="shared" si="327"/>
        <v>3.0050000000000003</v>
      </c>
      <c r="Q407" s="183">
        <f t="shared" si="285"/>
        <v>8</v>
      </c>
      <c r="R407" s="188">
        <f t="shared" si="286"/>
        <v>0.23</v>
      </c>
      <c r="S407" s="183">
        <f t="shared" si="287"/>
        <v>4</v>
      </c>
      <c r="T407" s="189">
        <f t="shared" si="288"/>
        <v>5.2499999999999998E-2</v>
      </c>
      <c r="U407" s="189">
        <f>0.3+0.23</f>
        <v>0.53</v>
      </c>
      <c r="V407" s="189">
        <f t="shared" si="265"/>
        <v>-0.04</v>
      </c>
      <c r="W407" s="189">
        <f>1.68*0.3</f>
        <v>0.504</v>
      </c>
      <c r="X407" s="188">
        <f t="shared" si="324"/>
        <v>1.8515000000000001</v>
      </c>
      <c r="Y407" s="183">
        <f t="shared" si="290"/>
        <v>8</v>
      </c>
      <c r="Z407" s="188">
        <f t="shared" si="291"/>
        <v>0.3</v>
      </c>
      <c r="AA407" s="183">
        <f t="shared" si="292"/>
        <v>4</v>
      </c>
      <c r="AB407" s="189">
        <f t="shared" si="293"/>
        <v>5.2499999999999998E-2</v>
      </c>
      <c r="AC407" s="189">
        <v>0.3</v>
      </c>
      <c r="AD407" s="189">
        <f t="shared" si="267"/>
        <v>-0.04</v>
      </c>
      <c r="AE407" s="189">
        <f>2.29*0.3</f>
        <v>0.68699999999999994</v>
      </c>
      <c r="AF407" s="188">
        <f t="shared" si="321"/>
        <v>1.9095</v>
      </c>
      <c r="AG407" s="183">
        <f t="shared" si="295"/>
        <v>8</v>
      </c>
      <c r="AH407" s="182">
        <f t="shared" si="296"/>
        <v>0.3</v>
      </c>
      <c r="AI407" s="183">
        <f t="shared" si="297"/>
        <v>3</v>
      </c>
      <c r="AJ407" s="189">
        <f t="shared" si="298"/>
        <v>5.2499999999999998E-2</v>
      </c>
      <c r="AK407" s="189">
        <v>0.3</v>
      </c>
      <c r="AL407" s="189">
        <f t="shared" si="269"/>
        <v>-0.04</v>
      </c>
      <c r="AM407" s="189">
        <v>0</v>
      </c>
      <c r="AN407" s="188">
        <f t="shared" si="322"/>
        <v>1.2225000000000001</v>
      </c>
      <c r="AO407" s="183">
        <v>0</v>
      </c>
      <c r="AP407" s="182">
        <f t="shared" si="300"/>
        <v>4</v>
      </c>
      <c r="AQ407" s="182">
        <v>1.5</v>
      </c>
      <c r="AR407" s="187">
        <f t="shared" si="310"/>
        <v>44.862000000000009</v>
      </c>
      <c r="AS407" s="187">
        <f t="shared" si="311"/>
        <v>0</v>
      </c>
      <c r="AT407" s="187">
        <f t="shared" si="312"/>
        <v>0</v>
      </c>
      <c r="AU407" s="187">
        <f t="shared" si="313"/>
        <v>22.611000000000001</v>
      </c>
      <c r="AV407" s="187">
        <f t="shared" si="314"/>
        <v>0</v>
      </c>
      <c r="AW407" s="187">
        <f t="shared" si="306"/>
        <v>0</v>
      </c>
      <c r="AX407" s="187">
        <f t="shared" si="307"/>
        <v>12</v>
      </c>
      <c r="AY407" s="388"/>
      <c r="AZ407" s="436"/>
      <c r="BA407" s="428"/>
      <c r="BF407" s="403"/>
      <c r="BG407" s="403"/>
      <c r="BK407" s="443"/>
      <c r="BL407" s="443"/>
      <c r="BN407" s="443"/>
      <c r="BO407" s="443"/>
      <c r="BQ407" s="443"/>
      <c r="BR407" s="443"/>
      <c r="BT407" s="443"/>
      <c r="BU407" s="443"/>
      <c r="BW407" s="443"/>
      <c r="BX407" s="443"/>
      <c r="BZ407" s="443"/>
      <c r="CA407" s="443"/>
      <c r="CC407" s="443"/>
      <c r="CD407" s="443"/>
      <c r="CF407" s="443"/>
      <c r="CG407" s="443"/>
    </row>
    <row r="408" spans="1:85" s="395" customFormat="1" x14ac:dyDescent="0.3">
      <c r="A408" s="182" t="s">
        <v>239</v>
      </c>
      <c r="B408" s="183">
        <v>1</v>
      </c>
      <c r="C408" s="184" t="s">
        <v>505</v>
      </c>
      <c r="D408" s="187">
        <v>3.04</v>
      </c>
      <c r="E408" s="187">
        <v>2.11</v>
      </c>
      <c r="F408" s="186">
        <v>0.125</v>
      </c>
      <c r="G408" s="187">
        <f t="shared" si="325"/>
        <v>0.80179999999999996</v>
      </c>
      <c r="H408" s="188">
        <f t="shared" si="326"/>
        <v>6.4143999999999997</v>
      </c>
      <c r="I408" s="183">
        <f t="shared" si="280"/>
        <v>8</v>
      </c>
      <c r="J408" s="188">
        <f t="shared" si="281"/>
        <v>0.23</v>
      </c>
      <c r="K408" s="183">
        <f t="shared" si="282"/>
        <v>10</v>
      </c>
      <c r="L408" s="189">
        <f t="shared" si="283"/>
        <v>5.2499999999999998E-2</v>
      </c>
      <c r="M408" s="189">
        <f>0.23*2</f>
        <v>0.46</v>
      </c>
      <c r="N408" s="189">
        <f t="shared" si="263"/>
        <v>-0.04</v>
      </c>
      <c r="O408" s="189">
        <f>2.79*0.3</f>
        <v>0.83699999999999997</v>
      </c>
      <c r="P408" s="188">
        <f t="shared" si="327"/>
        <v>4.3494999999999999</v>
      </c>
      <c r="Q408" s="183">
        <f t="shared" si="285"/>
        <v>8</v>
      </c>
      <c r="R408" s="188">
        <f t="shared" si="286"/>
        <v>0.23</v>
      </c>
      <c r="S408" s="183">
        <f t="shared" si="287"/>
        <v>9</v>
      </c>
      <c r="T408" s="189">
        <f t="shared" si="288"/>
        <v>5.2499999999999998E-2</v>
      </c>
      <c r="U408" s="189">
        <f>0.23*2</f>
        <v>0.46</v>
      </c>
      <c r="V408" s="189">
        <f t="shared" si="265"/>
        <v>-0.04</v>
      </c>
      <c r="W408" s="189">
        <f>F408-2*0.02</f>
        <v>8.4999999999999992E-2</v>
      </c>
      <c r="X408" s="188">
        <f t="shared" si="324"/>
        <v>3.5975000000000001</v>
      </c>
      <c r="Y408" s="183">
        <f t="shared" si="290"/>
        <v>8</v>
      </c>
      <c r="Z408" s="188">
        <f t="shared" si="291"/>
        <v>0.3</v>
      </c>
      <c r="AA408" s="183">
        <f t="shared" si="292"/>
        <v>11</v>
      </c>
      <c r="AB408" s="189">
        <f t="shared" si="293"/>
        <v>5.2499999999999998E-2</v>
      </c>
      <c r="AC408" s="189">
        <f>0.3+0.23</f>
        <v>0.53</v>
      </c>
      <c r="AD408" s="189">
        <f t="shared" si="267"/>
        <v>-0.04</v>
      </c>
      <c r="AE408" s="189">
        <v>0</v>
      </c>
      <c r="AF408" s="188">
        <f t="shared" si="321"/>
        <v>2.6524999999999999</v>
      </c>
      <c r="AG408" s="183">
        <f t="shared" si="295"/>
        <v>8</v>
      </c>
      <c r="AH408" s="182">
        <f t="shared" si="296"/>
        <v>0.3</v>
      </c>
      <c r="AI408" s="183">
        <f t="shared" si="297"/>
        <v>10</v>
      </c>
      <c r="AJ408" s="189">
        <f t="shared" si="298"/>
        <v>5.2499999999999998E-2</v>
      </c>
      <c r="AK408" s="189">
        <f>0.3+0.23</f>
        <v>0.53</v>
      </c>
      <c r="AL408" s="189">
        <f t="shared" si="269"/>
        <v>-0.04</v>
      </c>
      <c r="AM408" s="189">
        <f>2.01*0.3</f>
        <v>0.60299999999999987</v>
      </c>
      <c r="AN408" s="188">
        <f t="shared" si="322"/>
        <v>3.2554999999999996</v>
      </c>
      <c r="AO408" s="183">
        <v>0</v>
      </c>
      <c r="AP408" s="182">
        <f t="shared" si="300"/>
        <v>6</v>
      </c>
      <c r="AQ408" s="182">
        <v>1.5</v>
      </c>
      <c r="AR408" s="187">
        <f t="shared" si="310"/>
        <v>75.872500000000002</v>
      </c>
      <c r="AS408" s="187">
        <f t="shared" si="311"/>
        <v>0</v>
      </c>
      <c r="AT408" s="187">
        <f t="shared" si="312"/>
        <v>0</v>
      </c>
      <c r="AU408" s="187">
        <f t="shared" si="313"/>
        <v>61.732499999999987</v>
      </c>
      <c r="AV408" s="187">
        <f t="shared" si="314"/>
        <v>0</v>
      </c>
      <c r="AW408" s="187">
        <f t="shared" si="306"/>
        <v>0</v>
      </c>
      <c r="AX408" s="187">
        <f t="shared" si="307"/>
        <v>9</v>
      </c>
      <c r="AY408" s="388"/>
      <c r="AZ408" s="436"/>
      <c r="BA408" s="428"/>
      <c r="BF408" s="403"/>
      <c r="BG408" s="403"/>
      <c r="BK408" s="443"/>
      <c r="BL408" s="443"/>
      <c r="BN408" s="443"/>
      <c r="BO408" s="443"/>
      <c r="BQ408" s="443"/>
      <c r="BR408" s="443"/>
      <c r="BT408" s="443"/>
      <c r="BU408" s="443"/>
      <c r="BW408" s="443"/>
      <c r="BX408" s="443"/>
      <c r="BZ408" s="443"/>
      <c r="CA408" s="443"/>
      <c r="CC408" s="443"/>
      <c r="CD408" s="443"/>
      <c r="CF408" s="443"/>
      <c r="CG408" s="443"/>
    </row>
    <row r="409" spans="1:85" s="395" customFormat="1" x14ac:dyDescent="0.3">
      <c r="A409" s="182" t="s">
        <v>245</v>
      </c>
      <c r="B409" s="183">
        <v>1</v>
      </c>
      <c r="C409" s="184" t="s">
        <v>506</v>
      </c>
      <c r="D409" s="187">
        <v>1.36</v>
      </c>
      <c r="E409" s="187">
        <v>4.12</v>
      </c>
      <c r="F409" s="186">
        <v>0.14000000000000001</v>
      </c>
      <c r="G409" s="187">
        <f t="shared" si="325"/>
        <v>0.78444800000000015</v>
      </c>
      <c r="H409" s="188">
        <f t="shared" si="326"/>
        <v>5.6032000000000002</v>
      </c>
      <c r="I409" s="183">
        <f t="shared" si="280"/>
        <v>10</v>
      </c>
      <c r="J409" s="188">
        <f t="shared" si="281"/>
        <v>0.2</v>
      </c>
      <c r="K409" s="183">
        <f t="shared" si="282"/>
        <v>22</v>
      </c>
      <c r="L409" s="189">
        <f t="shared" si="283"/>
        <v>5.8800000000000005E-2</v>
      </c>
      <c r="M409" s="189">
        <f>0.23*2</f>
        <v>0.46</v>
      </c>
      <c r="N409" s="189">
        <f t="shared" si="263"/>
        <v>-0.04</v>
      </c>
      <c r="O409" s="189">
        <v>0</v>
      </c>
      <c r="P409" s="188">
        <f t="shared" si="327"/>
        <v>1.8388000000000002</v>
      </c>
      <c r="Q409" s="183">
        <f t="shared" si="285"/>
        <v>10</v>
      </c>
      <c r="R409" s="188">
        <f t="shared" si="286"/>
        <v>0.2</v>
      </c>
      <c r="S409" s="183">
        <f t="shared" si="287"/>
        <v>21</v>
      </c>
      <c r="T409" s="189">
        <f t="shared" si="288"/>
        <v>5.8800000000000005E-2</v>
      </c>
      <c r="U409" s="189">
        <f>0.23*2</f>
        <v>0.46</v>
      </c>
      <c r="V409" s="189">
        <f t="shared" si="265"/>
        <v>-0.04</v>
      </c>
      <c r="W409" s="189">
        <f>1.68*0.3</f>
        <v>0.504</v>
      </c>
      <c r="X409" s="188">
        <f t="shared" si="324"/>
        <v>2.3428000000000004</v>
      </c>
      <c r="Y409" s="183">
        <f t="shared" si="290"/>
        <v>10</v>
      </c>
      <c r="Z409" s="188">
        <f t="shared" si="291"/>
        <v>0.24</v>
      </c>
      <c r="AA409" s="183">
        <f t="shared" si="292"/>
        <v>7</v>
      </c>
      <c r="AB409" s="189">
        <f t="shared" si="293"/>
        <v>5.8800000000000005E-2</v>
      </c>
      <c r="AC409" s="189">
        <f>0.23+0.36</f>
        <v>0.59</v>
      </c>
      <c r="AD409" s="189">
        <f t="shared" si="267"/>
        <v>-0.04</v>
      </c>
      <c r="AE409" s="189">
        <v>0</v>
      </c>
      <c r="AF409" s="188">
        <f t="shared" si="321"/>
        <v>4.7287999999999997</v>
      </c>
      <c r="AG409" s="183">
        <f t="shared" si="295"/>
        <v>10</v>
      </c>
      <c r="AH409" s="182">
        <f t="shared" si="296"/>
        <v>0.24</v>
      </c>
      <c r="AI409" s="183">
        <f t="shared" si="297"/>
        <v>6</v>
      </c>
      <c r="AJ409" s="189">
        <f t="shared" si="298"/>
        <v>5.8800000000000005E-2</v>
      </c>
      <c r="AK409" s="189">
        <f>0.23+0.36</f>
        <v>0.59</v>
      </c>
      <c r="AL409" s="189">
        <f t="shared" si="269"/>
        <v>-0.04</v>
      </c>
      <c r="AM409" s="189">
        <v>0</v>
      </c>
      <c r="AN409" s="188">
        <f t="shared" si="322"/>
        <v>4.7287999999999997</v>
      </c>
      <c r="AO409" s="183">
        <v>0</v>
      </c>
      <c r="AP409" s="182">
        <f t="shared" si="300"/>
        <v>8</v>
      </c>
      <c r="AQ409" s="182">
        <v>1.5</v>
      </c>
      <c r="AR409" s="187">
        <f t="shared" si="310"/>
        <v>0</v>
      </c>
      <c r="AS409" s="187">
        <f t="shared" si="311"/>
        <v>89.6524</v>
      </c>
      <c r="AT409" s="187">
        <f t="shared" si="312"/>
        <v>0</v>
      </c>
      <c r="AU409" s="187">
        <f t="shared" si="313"/>
        <v>0</v>
      </c>
      <c r="AV409" s="187">
        <f t="shared" si="314"/>
        <v>61.474399999999996</v>
      </c>
      <c r="AW409" s="187">
        <f t="shared" si="306"/>
        <v>0</v>
      </c>
      <c r="AX409" s="187">
        <f t="shared" si="307"/>
        <v>12</v>
      </c>
      <c r="AY409" s="388"/>
      <c r="AZ409" s="436"/>
      <c r="BA409" s="428"/>
      <c r="BF409" s="403"/>
      <c r="BG409" s="403"/>
      <c r="BK409" s="443"/>
      <c r="BL409" s="443"/>
      <c r="BN409" s="443"/>
      <c r="BO409" s="443"/>
      <c r="BQ409" s="443"/>
      <c r="BR409" s="443"/>
      <c r="BT409" s="443"/>
      <c r="BU409" s="443"/>
      <c r="BW409" s="443"/>
      <c r="BX409" s="443"/>
      <c r="BZ409" s="443"/>
      <c r="CA409" s="443"/>
      <c r="CC409" s="443"/>
      <c r="CD409" s="443"/>
      <c r="CF409" s="443"/>
      <c r="CG409" s="443"/>
    </row>
    <row r="410" spans="1:85" s="395" customFormat="1" x14ac:dyDescent="0.3">
      <c r="A410" s="182" t="s">
        <v>239</v>
      </c>
      <c r="B410" s="183">
        <v>1</v>
      </c>
      <c r="C410" s="184" t="s">
        <v>322</v>
      </c>
      <c r="D410" s="187">
        <v>1.68</v>
      </c>
      <c r="E410" s="187">
        <v>4.12</v>
      </c>
      <c r="F410" s="186">
        <v>0.125</v>
      </c>
      <c r="G410" s="187">
        <f t="shared" si="325"/>
        <v>0.86519999999999997</v>
      </c>
      <c r="H410" s="188">
        <f t="shared" si="326"/>
        <v>6.9215999999999998</v>
      </c>
      <c r="I410" s="183">
        <f t="shared" si="280"/>
        <v>8</v>
      </c>
      <c r="J410" s="188">
        <f t="shared" si="281"/>
        <v>0.23</v>
      </c>
      <c r="K410" s="183">
        <f t="shared" si="282"/>
        <v>19</v>
      </c>
      <c r="L410" s="189">
        <f t="shared" si="283"/>
        <v>5.2499999999999998E-2</v>
      </c>
      <c r="M410" s="189">
        <f>0.23+0.3</f>
        <v>0.53</v>
      </c>
      <c r="N410" s="189">
        <f t="shared" si="263"/>
        <v>-0.04</v>
      </c>
      <c r="O410" s="189">
        <f>1.36*0.3</f>
        <v>0.40800000000000003</v>
      </c>
      <c r="P410" s="188">
        <f t="shared" si="327"/>
        <v>2.6305000000000001</v>
      </c>
      <c r="Q410" s="183">
        <f t="shared" si="285"/>
        <v>8</v>
      </c>
      <c r="R410" s="188">
        <f t="shared" si="286"/>
        <v>0.23</v>
      </c>
      <c r="S410" s="183">
        <f t="shared" si="287"/>
        <v>18</v>
      </c>
      <c r="T410" s="189">
        <f t="shared" si="288"/>
        <v>5.2499999999999998E-2</v>
      </c>
      <c r="U410" s="189">
        <f>0.23+0.3</f>
        <v>0.53</v>
      </c>
      <c r="V410" s="189">
        <f t="shared" si="265"/>
        <v>-0.04</v>
      </c>
      <c r="W410" s="189">
        <f>3.13*0.3</f>
        <v>0.93899999999999995</v>
      </c>
      <c r="X410" s="188">
        <f t="shared" si="324"/>
        <v>3.1615000000000002</v>
      </c>
      <c r="Y410" s="183">
        <f t="shared" si="290"/>
        <v>8</v>
      </c>
      <c r="Z410" s="188">
        <f t="shared" si="291"/>
        <v>0.3</v>
      </c>
      <c r="AA410" s="183">
        <f t="shared" si="292"/>
        <v>7</v>
      </c>
      <c r="AB410" s="189">
        <f t="shared" si="293"/>
        <v>5.2499999999999998E-2</v>
      </c>
      <c r="AC410" s="189">
        <f>0.23+0.36</f>
        <v>0.59</v>
      </c>
      <c r="AD410" s="189">
        <f t="shared" si="267"/>
        <v>-0.04</v>
      </c>
      <c r="AE410" s="189">
        <f>1.87*0.3</f>
        <v>0.56100000000000005</v>
      </c>
      <c r="AF410" s="188">
        <f t="shared" si="321"/>
        <v>5.2835000000000001</v>
      </c>
      <c r="AG410" s="183">
        <f t="shared" si="295"/>
        <v>8</v>
      </c>
      <c r="AH410" s="182">
        <f t="shared" si="296"/>
        <v>0.3</v>
      </c>
      <c r="AI410" s="183">
        <f t="shared" si="297"/>
        <v>6</v>
      </c>
      <c r="AJ410" s="189">
        <f t="shared" si="298"/>
        <v>5.2499999999999998E-2</v>
      </c>
      <c r="AK410" s="189">
        <f>0.23+0.36</f>
        <v>0.59</v>
      </c>
      <c r="AL410" s="189">
        <f t="shared" si="269"/>
        <v>-0.04</v>
      </c>
      <c r="AM410" s="189">
        <f>1.87*0.3</f>
        <v>0.56100000000000005</v>
      </c>
      <c r="AN410" s="188">
        <f t="shared" si="322"/>
        <v>5.2835000000000001</v>
      </c>
      <c r="AO410" s="183">
        <v>0</v>
      </c>
      <c r="AP410" s="182">
        <f t="shared" si="300"/>
        <v>8</v>
      </c>
      <c r="AQ410" s="182">
        <v>1.5</v>
      </c>
      <c r="AR410" s="187">
        <f t="shared" si="310"/>
        <v>106.88650000000001</v>
      </c>
      <c r="AS410" s="187">
        <f t="shared" si="311"/>
        <v>0</v>
      </c>
      <c r="AT410" s="187">
        <f t="shared" si="312"/>
        <v>0</v>
      </c>
      <c r="AU410" s="187">
        <f t="shared" si="313"/>
        <v>68.68549999999999</v>
      </c>
      <c r="AV410" s="187">
        <f t="shared" si="314"/>
        <v>0</v>
      </c>
      <c r="AW410" s="187">
        <f t="shared" si="306"/>
        <v>0</v>
      </c>
      <c r="AX410" s="187">
        <f t="shared" si="307"/>
        <v>12</v>
      </c>
      <c r="AY410" s="388"/>
      <c r="AZ410" s="436"/>
      <c r="BA410" s="428"/>
      <c r="BF410" s="403"/>
      <c r="BG410" s="403"/>
      <c r="BK410" s="443"/>
      <c r="BL410" s="443"/>
      <c r="BN410" s="443"/>
      <c r="BO410" s="443"/>
      <c r="BQ410" s="443"/>
      <c r="BR410" s="443"/>
      <c r="BT410" s="443"/>
      <c r="BU410" s="443"/>
      <c r="BW410" s="443"/>
      <c r="BX410" s="443"/>
      <c r="BZ410" s="443"/>
      <c r="CA410" s="443"/>
      <c r="CC410" s="443"/>
      <c r="CD410" s="443"/>
      <c r="CF410" s="443"/>
      <c r="CG410" s="443"/>
    </row>
    <row r="411" spans="1:85" s="395" customFormat="1" ht="27.6" x14ac:dyDescent="0.3">
      <c r="A411" s="182" t="s">
        <v>243</v>
      </c>
      <c r="B411" s="183">
        <v>2</v>
      </c>
      <c r="C411" s="184" t="s">
        <v>507</v>
      </c>
      <c r="D411" s="187">
        <v>3.165</v>
      </c>
      <c r="E411" s="187">
        <v>4.25</v>
      </c>
      <c r="F411" s="186">
        <v>0.15</v>
      </c>
      <c r="G411" s="187">
        <f t="shared" si="325"/>
        <v>4.0353750000000002</v>
      </c>
      <c r="H411" s="188">
        <f t="shared" si="326"/>
        <v>26.9025</v>
      </c>
      <c r="I411" s="183">
        <f t="shared" si="280"/>
        <v>10</v>
      </c>
      <c r="J411" s="188">
        <f t="shared" si="281"/>
        <v>0.2</v>
      </c>
      <c r="K411" s="183">
        <f t="shared" si="282"/>
        <v>22</v>
      </c>
      <c r="L411" s="189">
        <f t="shared" si="283"/>
        <v>6.3E-2</v>
      </c>
      <c r="M411" s="189">
        <f>0.23+0.3</f>
        <v>0.53</v>
      </c>
      <c r="N411" s="189">
        <f t="shared" si="263"/>
        <v>-0.04</v>
      </c>
      <c r="O411" s="189">
        <f>1.68*0.3</f>
        <v>0.504</v>
      </c>
      <c r="P411" s="188">
        <f t="shared" si="327"/>
        <v>4.2219999999999995</v>
      </c>
      <c r="Q411" s="183">
        <f t="shared" si="285"/>
        <v>10</v>
      </c>
      <c r="R411" s="188">
        <f t="shared" si="286"/>
        <v>0.2</v>
      </c>
      <c r="S411" s="183">
        <f t="shared" si="287"/>
        <v>21</v>
      </c>
      <c r="T411" s="189">
        <f t="shared" si="288"/>
        <v>6.3E-2</v>
      </c>
      <c r="U411" s="189">
        <f>0.23+0.3</f>
        <v>0.53</v>
      </c>
      <c r="V411" s="189">
        <f t="shared" si="265"/>
        <v>-0.04</v>
      </c>
      <c r="W411" s="189">
        <f>3.165*0.3</f>
        <v>0.94950000000000001</v>
      </c>
      <c r="X411" s="188">
        <f t="shared" si="324"/>
        <v>4.6675000000000004</v>
      </c>
      <c r="Y411" s="183">
        <f t="shared" si="290"/>
        <v>8</v>
      </c>
      <c r="Z411" s="188">
        <f t="shared" si="291"/>
        <v>0.24</v>
      </c>
      <c r="AA411" s="183">
        <f t="shared" si="292"/>
        <v>14</v>
      </c>
      <c r="AB411" s="189">
        <f t="shared" si="293"/>
        <v>6.3E-2</v>
      </c>
      <c r="AC411" s="189">
        <f>0.23*2</f>
        <v>0.46</v>
      </c>
      <c r="AD411" s="189">
        <f t="shared" si="267"/>
        <v>-0.04</v>
      </c>
      <c r="AE411" s="189">
        <f>2.002*0.3</f>
        <v>0.60059999999999991</v>
      </c>
      <c r="AF411" s="188">
        <f t="shared" si="321"/>
        <v>5.3335999999999997</v>
      </c>
      <c r="AG411" s="183">
        <f t="shared" si="295"/>
        <v>8</v>
      </c>
      <c r="AH411" s="182">
        <f t="shared" si="296"/>
        <v>0.24</v>
      </c>
      <c r="AI411" s="183">
        <f t="shared" si="297"/>
        <v>13</v>
      </c>
      <c r="AJ411" s="189">
        <f t="shared" si="298"/>
        <v>6.3E-2</v>
      </c>
      <c r="AK411" s="189">
        <f>0.23*2</f>
        <v>0.46</v>
      </c>
      <c r="AL411" s="189">
        <f t="shared" si="269"/>
        <v>-0.04</v>
      </c>
      <c r="AM411" s="189">
        <f>2.1*0.3</f>
        <v>0.63</v>
      </c>
      <c r="AN411" s="188">
        <f t="shared" si="322"/>
        <v>5.3629999999999995</v>
      </c>
      <c r="AO411" s="183">
        <v>0</v>
      </c>
      <c r="AP411" s="182">
        <f t="shared" si="300"/>
        <v>10</v>
      </c>
      <c r="AQ411" s="182">
        <v>1.5</v>
      </c>
      <c r="AR411" s="187">
        <f t="shared" si="310"/>
        <v>0</v>
      </c>
      <c r="AS411" s="187">
        <f t="shared" si="311"/>
        <v>381.803</v>
      </c>
      <c r="AT411" s="187">
        <f t="shared" si="312"/>
        <v>0</v>
      </c>
      <c r="AU411" s="187">
        <f t="shared" si="313"/>
        <v>288.77879999999999</v>
      </c>
      <c r="AV411" s="187">
        <f t="shared" si="314"/>
        <v>0</v>
      </c>
      <c r="AW411" s="187">
        <f t="shared" si="306"/>
        <v>0</v>
      </c>
      <c r="AX411" s="187">
        <f t="shared" si="307"/>
        <v>30</v>
      </c>
      <c r="AY411" s="388"/>
      <c r="AZ411" s="436"/>
      <c r="BA411" s="428"/>
      <c r="BF411" s="403"/>
      <c r="BG411" s="403"/>
      <c r="BK411" s="443"/>
      <c r="BL411" s="443"/>
      <c r="BN411" s="443"/>
      <c r="BO411" s="443"/>
      <c r="BQ411" s="443"/>
      <c r="BR411" s="443"/>
      <c r="BT411" s="443"/>
      <c r="BU411" s="443"/>
      <c r="BW411" s="443"/>
      <c r="BX411" s="443"/>
      <c r="BZ411" s="443"/>
      <c r="CA411" s="443"/>
      <c r="CC411" s="443"/>
      <c r="CD411" s="443"/>
      <c r="CF411" s="443"/>
      <c r="CG411" s="443"/>
    </row>
    <row r="412" spans="1:85" s="395" customFormat="1" x14ac:dyDescent="0.3">
      <c r="A412" s="182" t="s">
        <v>239</v>
      </c>
      <c r="B412" s="183">
        <v>1</v>
      </c>
      <c r="C412" s="184" t="s">
        <v>328</v>
      </c>
      <c r="D412" s="187">
        <v>2.2400000000000002</v>
      </c>
      <c r="E412" s="187">
        <v>2.29</v>
      </c>
      <c r="F412" s="186">
        <v>0.125</v>
      </c>
      <c r="G412" s="187">
        <f t="shared" si="325"/>
        <v>0.6412000000000001</v>
      </c>
      <c r="H412" s="188">
        <f t="shared" si="326"/>
        <v>5.1296000000000008</v>
      </c>
      <c r="I412" s="183">
        <f t="shared" si="280"/>
        <v>8</v>
      </c>
      <c r="J412" s="188">
        <f t="shared" si="281"/>
        <v>0.23</v>
      </c>
      <c r="K412" s="183">
        <f t="shared" si="282"/>
        <v>11</v>
      </c>
      <c r="L412" s="189">
        <f t="shared" si="283"/>
        <v>5.2499999999999998E-2</v>
      </c>
      <c r="M412" s="189">
        <f>0.23+0.3</f>
        <v>0.53</v>
      </c>
      <c r="N412" s="189">
        <f t="shared" si="263"/>
        <v>-0.04</v>
      </c>
      <c r="O412" s="189">
        <f>3.17*0.3</f>
        <v>0.95099999999999996</v>
      </c>
      <c r="P412" s="188">
        <f t="shared" si="327"/>
        <v>3.7335000000000003</v>
      </c>
      <c r="Q412" s="183">
        <f t="shared" si="285"/>
        <v>8</v>
      </c>
      <c r="R412" s="188">
        <f t="shared" si="286"/>
        <v>0.23</v>
      </c>
      <c r="S412" s="183">
        <f t="shared" si="287"/>
        <v>10</v>
      </c>
      <c r="T412" s="189">
        <f t="shared" si="288"/>
        <v>5.2499999999999998E-2</v>
      </c>
      <c r="U412" s="189">
        <f>0.23+0.3</f>
        <v>0.53</v>
      </c>
      <c r="V412" s="189">
        <f t="shared" si="265"/>
        <v>-0.04</v>
      </c>
      <c r="W412" s="189">
        <f>2.5*0.3</f>
        <v>0.75</v>
      </c>
      <c r="X412" s="188">
        <f t="shared" si="324"/>
        <v>3.5325000000000002</v>
      </c>
      <c r="Y412" s="183">
        <f t="shared" si="290"/>
        <v>8</v>
      </c>
      <c r="Z412" s="188">
        <f t="shared" si="291"/>
        <v>0.3</v>
      </c>
      <c r="AA412" s="183">
        <f t="shared" si="292"/>
        <v>8</v>
      </c>
      <c r="AB412" s="189">
        <f t="shared" si="293"/>
        <v>5.2499999999999998E-2</v>
      </c>
      <c r="AC412" s="189">
        <f>0.23+0.3</f>
        <v>0.53</v>
      </c>
      <c r="AD412" s="189">
        <f t="shared" si="267"/>
        <v>-0.04</v>
      </c>
      <c r="AE412" s="189">
        <v>0</v>
      </c>
      <c r="AF412" s="188">
        <f t="shared" si="321"/>
        <v>2.8325</v>
      </c>
      <c r="AG412" s="183">
        <f t="shared" si="295"/>
        <v>8</v>
      </c>
      <c r="AH412" s="182">
        <f t="shared" si="296"/>
        <v>0.3</v>
      </c>
      <c r="AI412" s="183">
        <f t="shared" si="297"/>
        <v>7</v>
      </c>
      <c r="AJ412" s="189">
        <f t="shared" si="298"/>
        <v>5.2499999999999998E-2</v>
      </c>
      <c r="AK412" s="189">
        <f>0.23+0.3</f>
        <v>0.53</v>
      </c>
      <c r="AL412" s="189">
        <f t="shared" si="269"/>
        <v>-0.04</v>
      </c>
      <c r="AM412" s="189">
        <f>2.36*0.3</f>
        <v>0.70799999999999996</v>
      </c>
      <c r="AN412" s="188">
        <f t="shared" si="322"/>
        <v>3.5404999999999998</v>
      </c>
      <c r="AO412" s="183">
        <v>0</v>
      </c>
      <c r="AP412" s="182">
        <f t="shared" si="300"/>
        <v>6</v>
      </c>
      <c r="AQ412" s="182">
        <v>1.5</v>
      </c>
      <c r="AR412" s="187">
        <f t="shared" si="310"/>
        <v>76.393500000000003</v>
      </c>
      <c r="AS412" s="187">
        <f t="shared" si="311"/>
        <v>0</v>
      </c>
      <c r="AT412" s="187">
        <f t="shared" si="312"/>
        <v>0</v>
      </c>
      <c r="AU412" s="187">
        <f t="shared" si="313"/>
        <v>47.4435</v>
      </c>
      <c r="AV412" s="187">
        <f t="shared" si="314"/>
        <v>0</v>
      </c>
      <c r="AW412" s="187">
        <f t="shared" si="306"/>
        <v>0</v>
      </c>
      <c r="AX412" s="187">
        <f t="shared" si="307"/>
        <v>9</v>
      </c>
      <c r="AY412" s="388"/>
      <c r="AZ412" s="436"/>
      <c r="BA412" s="428"/>
      <c r="BF412" s="403"/>
      <c r="BG412" s="403"/>
      <c r="BK412" s="443"/>
      <c r="BL412" s="443"/>
      <c r="BN412" s="443"/>
      <c r="BO412" s="443"/>
      <c r="BQ412" s="443"/>
      <c r="BR412" s="443"/>
      <c r="BT412" s="443"/>
      <c r="BU412" s="443"/>
      <c r="BW412" s="443"/>
      <c r="BX412" s="443"/>
      <c r="BZ412" s="443"/>
      <c r="CA412" s="443"/>
      <c r="CC412" s="443"/>
      <c r="CD412" s="443"/>
      <c r="CF412" s="443"/>
      <c r="CG412" s="443"/>
    </row>
    <row r="413" spans="1:85" s="395" customFormat="1" x14ac:dyDescent="0.3">
      <c r="A413" s="182" t="s">
        <v>239</v>
      </c>
      <c r="B413" s="183">
        <v>1</v>
      </c>
      <c r="C413" s="184" t="s">
        <v>508</v>
      </c>
      <c r="D413" s="187">
        <v>2.5</v>
      </c>
      <c r="E413" s="187">
        <v>2.29</v>
      </c>
      <c r="F413" s="186">
        <v>0.125</v>
      </c>
      <c r="G413" s="187">
        <f t="shared" si="325"/>
        <v>0.71562499999999996</v>
      </c>
      <c r="H413" s="188">
        <f t="shared" si="326"/>
        <v>5.7249999999999996</v>
      </c>
      <c r="I413" s="183">
        <f t="shared" si="280"/>
        <v>8</v>
      </c>
      <c r="J413" s="188">
        <f t="shared" si="281"/>
        <v>0.23</v>
      </c>
      <c r="K413" s="183">
        <f t="shared" si="282"/>
        <v>11</v>
      </c>
      <c r="L413" s="189">
        <f t="shared" si="283"/>
        <v>5.2499999999999998E-2</v>
      </c>
      <c r="M413" s="189">
        <f>0.23*2</f>
        <v>0.46</v>
      </c>
      <c r="N413" s="189">
        <f t="shared" si="263"/>
        <v>-0.04</v>
      </c>
      <c r="O413" s="189">
        <f>2.24*0.3</f>
        <v>0.67200000000000004</v>
      </c>
      <c r="P413" s="188">
        <f t="shared" si="327"/>
        <v>3.6444999999999999</v>
      </c>
      <c r="Q413" s="183">
        <f t="shared" si="285"/>
        <v>8</v>
      </c>
      <c r="R413" s="188">
        <f t="shared" si="286"/>
        <v>0.23</v>
      </c>
      <c r="S413" s="183">
        <f t="shared" si="287"/>
        <v>10</v>
      </c>
      <c r="T413" s="189">
        <f t="shared" si="288"/>
        <v>5.2499999999999998E-2</v>
      </c>
      <c r="U413" s="189">
        <f>0.23*2</f>
        <v>0.46</v>
      </c>
      <c r="V413" s="189">
        <f t="shared" si="265"/>
        <v>-0.04</v>
      </c>
      <c r="W413" s="189">
        <f>2.29*0.3</f>
        <v>0.68699999999999994</v>
      </c>
      <c r="X413" s="188">
        <f t="shared" si="324"/>
        <v>3.6595</v>
      </c>
      <c r="Y413" s="183">
        <f t="shared" si="290"/>
        <v>8</v>
      </c>
      <c r="Z413" s="188">
        <f t="shared" si="291"/>
        <v>0.3</v>
      </c>
      <c r="AA413" s="183">
        <f t="shared" si="292"/>
        <v>9</v>
      </c>
      <c r="AB413" s="189">
        <f t="shared" si="293"/>
        <v>5.2499999999999998E-2</v>
      </c>
      <c r="AC413" s="189">
        <f>0.23*2</f>
        <v>0.46</v>
      </c>
      <c r="AD413" s="189">
        <f t="shared" si="267"/>
        <v>-0.04</v>
      </c>
      <c r="AE413" s="189">
        <v>0</v>
      </c>
      <c r="AF413" s="188">
        <f t="shared" si="321"/>
        <v>2.7625000000000002</v>
      </c>
      <c r="AG413" s="183">
        <f t="shared" si="295"/>
        <v>8</v>
      </c>
      <c r="AH413" s="182">
        <f t="shared" si="296"/>
        <v>0.3</v>
      </c>
      <c r="AI413" s="183">
        <f t="shared" si="297"/>
        <v>8</v>
      </c>
      <c r="AJ413" s="189">
        <f t="shared" si="298"/>
        <v>5.2499999999999998E-2</v>
      </c>
      <c r="AK413" s="189">
        <f>0.23*2</f>
        <v>0.46</v>
      </c>
      <c r="AL413" s="189">
        <f t="shared" si="269"/>
        <v>-0.04</v>
      </c>
      <c r="AM413" s="189">
        <v>0</v>
      </c>
      <c r="AN413" s="188">
        <f t="shared" si="322"/>
        <v>2.7625000000000002</v>
      </c>
      <c r="AO413" s="183">
        <v>0</v>
      </c>
      <c r="AP413" s="182">
        <f t="shared" si="300"/>
        <v>8</v>
      </c>
      <c r="AQ413" s="182">
        <v>1.5</v>
      </c>
      <c r="AR413" s="187">
        <f t="shared" si="310"/>
        <v>76.6845</v>
      </c>
      <c r="AS413" s="187">
        <f t="shared" si="311"/>
        <v>0</v>
      </c>
      <c r="AT413" s="187">
        <f t="shared" si="312"/>
        <v>0</v>
      </c>
      <c r="AU413" s="187">
        <f t="shared" si="313"/>
        <v>46.962500000000006</v>
      </c>
      <c r="AV413" s="187">
        <f t="shared" si="314"/>
        <v>0</v>
      </c>
      <c r="AW413" s="187">
        <f t="shared" si="306"/>
        <v>0</v>
      </c>
      <c r="AX413" s="187">
        <f t="shared" si="307"/>
        <v>12</v>
      </c>
      <c r="AY413" s="388"/>
      <c r="AZ413" s="436"/>
      <c r="BA413" s="428"/>
      <c r="BF413" s="403"/>
      <c r="BG413" s="403"/>
      <c r="BK413" s="443"/>
      <c r="BL413" s="443"/>
      <c r="BN413" s="443"/>
      <c r="BO413" s="443"/>
      <c r="BQ413" s="443"/>
      <c r="BR413" s="443"/>
      <c r="BT413" s="443"/>
      <c r="BU413" s="443"/>
      <c r="BW413" s="443"/>
      <c r="BX413" s="443"/>
      <c r="BZ413" s="443"/>
      <c r="CA413" s="443"/>
      <c r="CC413" s="443"/>
      <c r="CD413" s="443"/>
      <c r="CF413" s="443"/>
      <c r="CG413" s="443"/>
    </row>
    <row r="414" spans="1:85" s="395" customFormat="1" x14ac:dyDescent="0.3">
      <c r="A414" s="182" t="s">
        <v>239</v>
      </c>
      <c r="B414" s="183">
        <v>1</v>
      </c>
      <c r="C414" s="184" t="s">
        <v>327</v>
      </c>
      <c r="D414" s="187">
        <v>2.29</v>
      </c>
      <c r="E414" s="187">
        <v>2.29</v>
      </c>
      <c r="F414" s="186">
        <v>0.125</v>
      </c>
      <c r="G414" s="187">
        <f t="shared" si="325"/>
        <v>0.65551250000000005</v>
      </c>
      <c r="H414" s="188">
        <f t="shared" si="326"/>
        <v>5.2441000000000004</v>
      </c>
      <c r="I414" s="183">
        <f t="shared" si="280"/>
        <v>8</v>
      </c>
      <c r="J414" s="188">
        <f t="shared" si="281"/>
        <v>0.23</v>
      </c>
      <c r="K414" s="183">
        <f t="shared" si="282"/>
        <v>11</v>
      </c>
      <c r="L414" s="189">
        <f t="shared" si="283"/>
        <v>5.2499999999999998E-2</v>
      </c>
      <c r="M414" s="189">
        <f>0.23*2</f>
        <v>0.46</v>
      </c>
      <c r="N414" s="189">
        <f t="shared" si="263"/>
        <v>-0.04</v>
      </c>
      <c r="O414" s="189">
        <f>2.5*0.3</f>
        <v>0.75</v>
      </c>
      <c r="P414" s="188">
        <f t="shared" si="327"/>
        <v>3.5125000000000002</v>
      </c>
      <c r="Q414" s="183">
        <f t="shared" si="285"/>
        <v>8</v>
      </c>
      <c r="R414" s="188">
        <f t="shared" si="286"/>
        <v>0.23</v>
      </c>
      <c r="S414" s="183">
        <f t="shared" si="287"/>
        <v>10</v>
      </c>
      <c r="T414" s="189">
        <f t="shared" si="288"/>
        <v>5.2499999999999998E-2</v>
      </c>
      <c r="U414" s="189">
        <f>0.23*2</f>
        <v>0.46</v>
      </c>
      <c r="V414" s="189">
        <f t="shared" si="265"/>
        <v>-0.04</v>
      </c>
      <c r="W414" s="189">
        <f>2.5*0.3</f>
        <v>0.75</v>
      </c>
      <c r="X414" s="188">
        <f t="shared" si="324"/>
        <v>3.5125000000000002</v>
      </c>
      <c r="Y414" s="183">
        <f t="shared" si="290"/>
        <v>8</v>
      </c>
      <c r="Z414" s="188">
        <f t="shared" si="291"/>
        <v>0.3</v>
      </c>
      <c r="AA414" s="183">
        <f t="shared" si="292"/>
        <v>9</v>
      </c>
      <c r="AB414" s="189">
        <f t="shared" si="293"/>
        <v>5.2499999999999998E-2</v>
      </c>
      <c r="AC414" s="189">
        <f>0.23*2</f>
        <v>0.46</v>
      </c>
      <c r="AD414" s="189">
        <f t="shared" si="267"/>
        <v>-0.04</v>
      </c>
      <c r="AE414" s="189">
        <f>2.5*0.3</f>
        <v>0.75</v>
      </c>
      <c r="AF414" s="188">
        <f t="shared" si="321"/>
        <v>3.5125000000000002</v>
      </c>
      <c r="AG414" s="183">
        <f t="shared" si="295"/>
        <v>8</v>
      </c>
      <c r="AH414" s="182">
        <f t="shared" si="296"/>
        <v>0.3</v>
      </c>
      <c r="AI414" s="183">
        <f t="shared" si="297"/>
        <v>8</v>
      </c>
      <c r="AJ414" s="189">
        <f t="shared" si="298"/>
        <v>5.2499999999999998E-2</v>
      </c>
      <c r="AK414" s="189">
        <f>0.23*2</f>
        <v>0.46</v>
      </c>
      <c r="AL414" s="189">
        <f t="shared" si="269"/>
        <v>-0.04</v>
      </c>
      <c r="AM414" s="189">
        <f>2.5*0.3</f>
        <v>0.75</v>
      </c>
      <c r="AN414" s="188">
        <f t="shared" si="322"/>
        <v>3.5125000000000002</v>
      </c>
      <c r="AO414" s="183">
        <v>0</v>
      </c>
      <c r="AP414" s="182">
        <f t="shared" si="300"/>
        <v>8</v>
      </c>
      <c r="AQ414" s="182">
        <v>1.5</v>
      </c>
      <c r="AR414" s="187">
        <f t="shared" si="310"/>
        <v>73.762500000000003</v>
      </c>
      <c r="AS414" s="187">
        <f t="shared" si="311"/>
        <v>0</v>
      </c>
      <c r="AT414" s="187">
        <f t="shared" si="312"/>
        <v>0</v>
      </c>
      <c r="AU414" s="187">
        <f t="shared" si="313"/>
        <v>59.712500000000006</v>
      </c>
      <c r="AV414" s="187">
        <f t="shared" si="314"/>
        <v>0</v>
      </c>
      <c r="AW414" s="187">
        <f t="shared" si="306"/>
        <v>0</v>
      </c>
      <c r="AX414" s="187">
        <f t="shared" si="307"/>
        <v>12</v>
      </c>
      <c r="AY414" s="388"/>
      <c r="AZ414" s="436"/>
      <c r="BA414" s="428"/>
      <c r="BF414" s="403"/>
      <c r="BG414" s="403"/>
      <c r="BK414" s="443"/>
      <c r="BL414" s="443"/>
      <c r="BN414" s="443"/>
      <c r="BO414" s="443"/>
      <c r="BQ414" s="443"/>
      <c r="BR414" s="443"/>
      <c r="BT414" s="443"/>
      <c r="BU414" s="443"/>
      <c r="BW414" s="443"/>
      <c r="BX414" s="443"/>
      <c r="BZ414" s="443"/>
      <c r="CA414" s="443"/>
      <c r="CC414" s="443"/>
      <c r="CD414" s="443"/>
      <c r="CF414" s="443"/>
      <c r="CG414" s="443"/>
    </row>
    <row r="415" spans="1:85" s="395" customFormat="1" x14ac:dyDescent="0.3">
      <c r="A415" s="182" t="s">
        <v>239</v>
      </c>
      <c r="B415" s="183">
        <v>1</v>
      </c>
      <c r="C415" s="184" t="s">
        <v>509</v>
      </c>
      <c r="D415" s="187">
        <v>2.5</v>
      </c>
      <c r="E415" s="187">
        <v>2.29</v>
      </c>
      <c r="F415" s="186">
        <v>0.125</v>
      </c>
      <c r="G415" s="187">
        <f t="shared" si="325"/>
        <v>0.71562499999999996</v>
      </c>
      <c r="H415" s="188">
        <f t="shared" si="326"/>
        <v>5.7249999999999996</v>
      </c>
      <c r="I415" s="183">
        <f t="shared" si="280"/>
        <v>8</v>
      </c>
      <c r="J415" s="188">
        <f t="shared" si="281"/>
        <v>0.23</v>
      </c>
      <c r="K415" s="183">
        <f t="shared" si="282"/>
        <v>11</v>
      </c>
      <c r="L415" s="189">
        <f t="shared" si="283"/>
        <v>5.2499999999999998E-2</v>
      </c>
      <c r="M415" s="189">
        <f>0.23*2</f>
        <v>0.46</v>
      </c>
      <c r="N415" s="189">
        <f t="shared" si="263"/>
        <v>-0.04</v>
      </c>
      <c r="O415" s="189">
        <f>2.29*0.3</f>
        <v>0.68699999999999994</v>
      </c>
      <c r="P415" s="188">
        <f t="shared" si="327"/>
        <v>3.6595</v>
      </c>
      <c r="Q415" s="183">
        <f t="shared" si="285"/>
        <v>8</v>
      </c>
      <c r="R415" s="188">
        <f t="shared" si="286"/>
        <v>0.23</v>
      </c>
      <c r="S415" s="183">
        <f t="shared" si="287"/>
        <v>10</v>
      </c>
      <c r="T415" s="189">
        <f t="shared" si="288"/>
        <v>5.2499999999999998E-2</v>
      </c>
      <c r="U415" s="189">
        <f>0.23*2</f>
        <v>0.46</v>
      </c>
      <c r="V415" s="189">
        <f t="shared" si="265"/>
        <v>-0.04</v>
      </c>
      <c r="W415" s="189">
        <f>3.01*0.3</f>
        <v>0.90299999999999991</v>
      </c>
      <c r="X415" s="188">
        <f t="shared" si="324"/>
        <v>3.8754999999999997</v>
      </c>
      <c r="Y415" s="183">
        <f t="shared" si="290"/>
        <v>8</v>
      </c>
      <c r="Z415" s="188">
        <f t="shared" si="291"/>
        <v>0.3</v>
      </c>
      <c r="AA415" s="183">
        <f t="shared" si="292"/>
        <v>9</v>
      </c>
      <c r="AB415" s="189">
        <f t="shared" si="293"/>
        <v>5.2499999999999998E-2</v>
      </c>
      <c r="AC415" s="189">
        <f>0.23+0.3</f>
        <v>0.53</v>
      </c>
      <c r="AD415" s="189">
        <f t="shared" si="267"/>
        <v>-0.04</v>
      </c>
      <c r="AE415" s="189">
        <v>0</v>
      </c>
      <c r="AF415" s="188">
        <f t="shared" si="321"/>
        <v>2.8325</v>
      </c>
      <c r="AG415" s="183">
        <f t="shared" si="295"/>
        <v>8</v>
      </c>
      <c r="AH415" s="182">
        <f t="shared" si="296"/>
        <v>0.3</v>
      </c>
      <c r="AI415" s="183">
        <f t="shared" si="297"/>
        <v>8</v>
      </c>
      <c r="AJ415" s="189">
        <f t="shared" si="298"/>
        <v>5.2499999999999998E-2</v>
      </c>
      <c r="AK415" s="189">
        <f>0.23+0.3</f>
        <v>0.53</v>
      </c>
      <c r="AL415" s="189">
        <f t="shared" si="269"/>
        <v>-0.04</v>
      </c>
      <c r="AM415" s="189">
        <v>0</v>
      </c>
      <c r="AN415" s="188">
        <f t="shared" si="322"/>
        <v>2.8325</v>
      </c>
      <c r="AO415" s="183">
        <v>0</v>
      </c>
      <c r="AP415" s="182">
        <f t="shared" si="300"/>
        <v>8</v>
      </c>
      <c r="AQ415" s="182">
        <v>1.5</v>
      </c>
      <c r="AR415" s="187">
        <f t="shared" si="310"/>
        <v>79.009500000000003</v>
      </c>
      <c r="AS415" s="187">
        <f t="shared" si="311"/>
        <v>0</v>
      </c>
      <c r="AT415" s="187">
        <f t="shared" si="312"/>
        <v>0</v>
      </c>
      <c r="AU415" s="187">
        <f t="shared" si="313"/>
        <v>48.152500000000003</v>
      </c>
      <c r="AV415" s="187">
        <f t="shared" si="314"/>
        <v>0</v>
      </c>
      <c r="AW415" s="187">
        <f t="shared" si="306"/>
        <v>0</v>
      </c>
      <c r="AX415" s="187">
        <f t="shared" si="307"/>
        <v>12</v>
      </c>
      <c r="AY415" s="388"/>
      <c r="AZ415" s="436"/>
      <c r="BA415" s="428"/>
      <c r="BF415" s="403"/>
      <c r="BG415" s="403"/>
      <c r="BK415" s="443"/>
      <c r="BL415" s="443"/>
      <c r="BN415" s="443"/>
      <c r="BO415" s="443"/>
      <c r="BQ415" s="443"/>
      <c r="BR415" s="443"/>
      <c r="BT415" s="443"/>
      <c r="BU415" s="443"/>
      <c r="BW415" s="443"/>
      <c r="BX415" s="443"/>
      <c r="BZ415" s="443"/>
      <c r="CA415" s="443"/>
      <c r="CC415" s="443"/>
      <c r="CD415" s="443"/>
      <c r="CF415" s="443"/>
      <c r="CG415" s="443"/>
    </row>
    <row r="416" spans="1:85" s="395" customFormat="1" x14ac:dyDescent="0.3">
      <c r="A416" s="182" t="s">
        <v>239</v>
      </c>
      <c r="B416" s="183">
        <v>1</v>
      </c>
      <c r="C416" s="184" t="s">
        <v>510</v>
      </c>
      <c r="D416" s="187">
        <v>3.01</v>
      </c>
      <c r="E416" s="187">
        <v>2.36</v>
      </c>
      <c r="F416" s="186">
        <v>0.125</v>
      </c>
      <c r="G416" s="187">
        <f t="shared" si="325"/>
        <v>0.88794999999999991</v>
      </c>
      <c r="H416" s="188">
        <f t="shared" si="326"/>
        <v>7.1035999999999992</v>
      </c>
      <c r="I416" s="183">
        <f t="shared" si="280"/>
        <v>8</v>
      </c>
      <c r="J416" s="188">
        <f t="shared" si="281"/>
        <v>0.23</v>
      </c>
      <c r="K416" s="183">
        <f t="shared" si="282"/>
        <v>11</v>
      </c>
      <c r="L416" s="189">
        <f t="shared" si="283"/>
        <v>5.2499999999999998E-2</v>
      </c>
      <c r="M416" s="189">
        <f>0.23*2</f>
        <v>0.46</v>
      </c>
      <c r="N416" s="189">
        <f t="shared" ref="N416:N477" si="328">-(0.02*2)</f>
        <v>-0.04</v>
      </c>
      <c r="O416" s="189">
        <f>2.5*0.3</f>
        <v>0.75</v>
      </c>
      <c r="P416" s="188">
        <f t="shared" ref="P416:P477" si="329">+D416+SUM(L416:O416)</f>
        <v>4.2324999999999999</v>
      </c>
      <c r="Q416" s="183">
        <f t="shared" si="285"/>
        <v>8</v>
      </c>
      <c r="R416" s="188">
        <f t="shared" si="286"/>
        <v>0.23</v>
      </c>
      <c r="S416" s="183">
        <f t="shared" si="287"/>
        <v>10</v>
      </c>
      <c r="T416" s="189">
        <f t="shared" si="288"/>
        <v>5.2499999999999998E-2</v>
      </c>
      <c r="U416" s="189">
        <f>0.23*2</f>
        <v>0.46</v>
      </c>
      <c r="V416" s="189">
        <f t="shared" ref="V416:V477" si="330">-(0.02*2)</f>
        <v>-0.04</v>
      </c>
      <c r="W416" s="189">
        <f>6.56*0.3</f>
        <v>1.9679999999999997</v>
      </c>
      <c r="X416" s="188">
        <f t="shared" si="324"/>
        <v>5.4504999999999999</v>
      </c>
      <c r="Y416" s="183">
        <f t="shared" si="290"/>
        <v>8</v>
      </c>
      <c r="Z416" s="188">
        <f t="shared" si="291"/>
        <v>0.3</v>
      </c>
      <c r="AA416" s="183">
        <f t="shared" si="292"/>
        <v>11</v>
      </c>
      <c r="AB416" s="189">
        <f t="shared" si="293"/>
        <v>5.2499999999999998E-2</v>
      </c>
      <c r="AC416" s="189">
        <f>0.23*2</f>
        <v>0.46</v>
      </c>
      <c r="AD416" s="189">
        <f t="shared" ref="AD416:AD477" si="331">-(0.02*2)</f>
        <v>-0.04</v>
      </c>
      <c r="AE416" s="189">
        <f>0.89*0.3</f>
        <v>0.26700000000000002</v>
      </c>
      <c r="AF416" s="188">
        <f t="shared" si="321"/>
        <v>3.0994999999999999</v>
      </c>
      <c r="AG416" s="183">
        <f t="shared" si="295"/>
        <v>8</v>
      </c>
      <c r="AH416" s="182">
        <f t="shared" si="296"/>
        <v>0.3</v>
      </c>
      <c r="AI416" s="183">
        <f t="shared" si="297"/>
        <v>10</v>
      </c>
      <c r="AJ416" s="189">
        <f t="shared" si="298"/>
        <v>5.2499999999999998E-2</v>
      </c>
      <c r="AK416" s="189">
        <f>0.23*2</f>
        <v>0.46</v>
      </c>
      <c r="AL416" s="189">
        <f t="shared" ref="AL416:AL477" si="332">-(0.02*2)</f>
        <v>-0.04</v>
      </c>
      <c r="AM416" s="189">
        <v>0</v>
      </c>
      <c r="AN416" s="188">
        <f t="shared" si="322"/>
        <v>2.8325</v>
      </c>
      <c r="AO416" s="183">
        <v>0</v>
      </c>
      <c r="AP416" s="182">
        <f t="shared" si="300"/>
        <v>8</v>
      </c>
      <c r="AQ416" s="182">
        <v>1.5</v>
      </c>
      <c r="AR416" s="187">
        <f t="shared" si="310"/>
        <v>101.0625</v>
      </c>
      <c r="AS416" s="187">
        <f t="shared" si="311"/>
        <v>0</v>
      </c>
      <c r="AT416" s="187">
        <f t="shared" si="312"/>
        <v>0</v>
      </c>
      <c r="AU416" s="187">
        <f t="shared" si="313"/>
        <v>62.419499999999999</v>
      </c>
      <c r="AV416" s="187">
        <f t="shared" si="314"/>
        <v>0</v>
      </c>
      <c r="AW416" s="187">
        <f t="shared" si="306"/>
        <v>0</v>
      </c>
      <c r="AX416" s="187">
        <f t="shared" si="307"/>
        <v>12</v>
      </c>
      <c r="AY416" s="388"/>
      <c r="AZ416" s="436"/>
      <c r="BA416" s="428"/>
      <c r="BF416" s="403"/>
      <c r="BG416" s="403"/>
      <c r="BK416" s="443"/>
      <c r="BL416" s="443"/>
      <c r="BN416" s="443"/>
      <c r="BO416" s="443"/>
      <c r="BQ416" s="443"/>
      <c r="BR416" s="443"/>
      <c r="BT416" s="443"/>
      <c r="BU416" s="443"/>
      <c r="BW416" s="443"/>
      <c r="BX416" s="443"/>
      <c r="BZ416" s="443"/>
      <c r="CA416" s="443"/>
      <c r="CC416" s="443"/>
      <c r="CD416" s="443"/>
      <c r="CF416" s="443"/>
      <c r="CG416" s="443"/>
    </row>
    <row r="417" spans="1:85" s="395" customFormat="1" x14ac:dyDescent="0.3">
      <c r="A417" s="182" t="s">
        <v>223</v>
      </c>
      <c r="B417" s="183">
        <v>1</v>
      </c>
      <c r="C417" s="184" t="s">
        <v>502</v>
      </c>
      <c r="D417" s="187">
        <v>6.56</v>
      </c>
      <c r="E417" s="187">
        <v>2.29</v>
      </c>
      <c r="F417" s="186">
        <v>0.13</v>
      </c>
      <c r="G417" s="187">
        <f t="shared" si="325"/>
        <v>1.952912</v>
      </c>
      <c r="H417" s="188">
        <f t="shared" si="326"/>
        <v>15.022399999999999</v>
      </c>
      <c r="I417" s="183">
        <f t="shared" si="280"/>
        <v>8</v>
      </c>
      <c r="J417" s="188">
        <f t="shared" si="281"/>
        <v>0.2</v>
      </c>
      <c r="K417" s="183">
        <f t="shared" si="282"/>
        <v>12</v>
      </c>
      <c r="L417" s="189">
        <f t="shared" si="283"/>
        <v>5.4600000000000003E-2</v>
      </c>
      <c r="M417" s="189">
        <f>0.23+0.3</f>
        <v>0.53</v>
      </c>
      <c r="N417" s="189">
        <f t="shared" si="328"/>
        <v>-0.04</v>
      </c>
      <c r="O417" s="189">
        <f>3.01*0.3</f>
        <v>0.90299999999999991</v>
      </c>
      <c r="P417" s="188">
        <f t="shared" si="329"/>
        <v>8.0076000000000001</v>
      </c>
      <c r="Q417" s="183">
        <f t="shared" si="285"/>
        <v>8</v>
      </c>
      <c r="R417" s="188">
        <f t="shared" si="286"/>
        <v>0.2</v>
      </c>
      <c r="S417" s="183">
        <f t="shared" si="287"/>
        <v>11</v>
      </c>
      <c r="T417" s="189">
        <f t="shared" si="288"/>
        <v>5.4600000000000003E-2</v>
      </c>
      <c r="U417" s="189">
        <f>0.23+0.3</f>
        <v>0.53</v>
      </c>
      <c r="V417" s="189">
        <f t="shared" si="330"/>
        <v>-0.04</v>
      </c>
      <c r="W417" s="189">
        <f>1.68*0.3</f>
        <v>0.504</v>
      </c>
      <c r="X417" s="188">
        <f t="shared" si="324"/>
        <v>7.6085999999999991</v>
      </c>
      <c r="Y417" s="183">
        <f t="shared" si="290"/>
        <v>8</v>
      </c>
      <c r="Z417" s="188">
        <f t="shared" si="291"/>
        <v>0.36</v>
      </c>
      <c r="AA417" s="183">
        <f t="shared" si="292"/>
        <v>19</v>
      </c>
      <c r="AB417" s="189">
        <f t="shared" si="293"/>
        <v>5.4600000000000003E-2</v>
      </c>
      <c r="AC417" s="189">
        <f>0.3+0.6</f>
        <v>0.89999999999999991</v>
      </c>
      <c r="AD417" s="189">
        <f t="shared" si="331"/>
        <v>-0.04</v>
      </c>
      <c r="AE417" s="189">
        <f>2.56*0.3</f>
        <v>0.76800000000000002</v>
      </c>
      <c r="AF417" s="188">
        <f t="shared" si="321"/>
        <v>3.9725999999999999</v>
      </c>
      <c r="AG417" s="183">
        <f t="shared" si="295"/>
        <v>8</v>
      </c>
      <c r="AH417" s="182">
        <f t="shared" si="296"/>
        <v>0.36</v>
      </c>
      <c r="AI417" s="183">
        <f t="shared" si="297"/>
        <v>18</v>
      </c>
      <c r="AJ417" s="189">
        <f t="shared" si="298"/>
        <v>5.4600000000000003E-2</v>
      </c>
      <c r="AK417" s="189">
        <f>0.3+0.6</f>
        <v>0.89999999999999991</v>
      </c>
      <c r="AL417" s="189">
        <f t="shared" si="332"/>
        <v>-0.04</v>
      </c>
      <c r="AM417" s="189">
        <f>1.98*0.3</f>
        <v>0.59399999999999997</v>
      </c>
      <c r="AN417" s="188">
        <f t="shared" si="322"/>
        <v>3.7986</v>
      </c>
      <c r="AO417" s="183">
        <v>0</v>
      </c>
      <c r="AP417" s="182">
        <f t="shared" si="300"/>
        <v>12</v>
      </c>
      <c r="AQ417" s="182">
        <v>1.5</v>
      </c>
      <c r="AR417" s="187">
        <f t="shared" si="310"/>
        <v>179.78579999999999</v>
      </c>
      <c r="AS417" s="187">
        <f t="shared" si="311"/>
        <v>0</v>
      </c>
      <c r="AT417" s="187">
        <f t="shared" si="312"/>
        <v>0</v>
      </c>
      <c r="AU417" s="187">
        <f t="shared" si="313"/>
        <v>143.85419999999999</v>
      </c>
      <c r="AV417" s="187">
        <f t="shared" si="314"/>
        <v>0</v>
      </c>
      <c r="AW417" s="187">
        <f t="shared" si="306"/>
        <v>0</v>
      </c>
      <c r="AX417" s="187">
        <f t="shared" si="307"/>
        <v>18</v>
      </c>
      <c r="AY417" s="388"/>
      <c r="AZ417" s="436"/>
      <c r="BA417" s="428"/>
      <c r="BF417" s="403"/>
      <c r="BG417" s="403"/>
      <c r="BK417" s="443"/>
      <c r="BL417" s="443"/>
      <c r="BN417" s="443"/>
      <c r="BO417" s="443"/>
      <c r="BQ417" s="443"/>
      <c r="BR417" s="443"/>
      <c r="BT417" s="443"/>
      <c r="BU417" s="443"/>
      <c r="BW417" s="443"/>
      <c r="BX417" s="443"/>
      <c r="BZ417" s="443"/>
      <c r="CA417" s="443"/>
      <c r="CC417" s="443"/>
      <c r="CD417" s="443"/>
      <c r="CF417" s="443"/>
      <c r="CG417" s="443"/>
    </row>
    <row r="418" spans="1:85" s="395" customFormat="1" x14ac:dyDescent="0.3">
      <c r="A418" s="182" t="s">
        <v>245</v>
      </c>
      <c r="B418" s="183">
        <v>1</v>
      </c>
      <c r="C418" s="184" t="s">
        <v>511</v>
      </c>
      <c r="D418" s="187">
        <v>1.68</v>
      </c>
      <c r="E418" s="187">
        <v>4.25</v>
      </c>
      <c r="F418" s="186">
        <v>0.14000000000000001</v>
      </c>
      <c r="G418" s="187">
        <f t="shared" si="325"/>
        <v>0.99960000000000004</v>
      </c>
      <c r="H418" s="188">
        <f t="shared" si="326"/>
        <v>7.14</v>
      </c>
      <c r="I418" s="183">
        <f t="shared" si="280"/>
        <v>10</v>
      </c>
      <c r="J418" s="188">
        <f t="shared" si="281"/>
        <v>0.2</v>
      </c>
      <c r="K418" s="183">
        <f t="shared" si="282"/>
        <v>22</v>
      </c>
      <c r="L418" s="189">
        <f t="shared" si="283"/>
        <v>5.8800000000000005E-2</v>
      </c>
      <c r="M418" s="189">
        <f>0.3+0.23</f>
        <v>0.53</v>
      </c>
      <c r="N418" s="189">
        <f t="shared" si="328"/>
        <v>-0.04</v>
      </c>
      <c r="O418" s="189">
        <f>6.56*0.3</f>
        <v>1.9679999999999997</v>
      </c>
      <c r="P418" s="188">
        <f t="shared" si="329"/>
        <v>4.1967999999999996</v>
      </c>
      <c r="Q418" s="183">
        <f t="shared" si="285"/>
        <v>10</v>
      </c>
      <c r="R418" s="188">
        <f t="shared" si="286"/>
        <v>0.2</v>
      </c>
      <c r="S418" s="183">
        <f t="shared" si="287"/>
        <v>21</v>
      </c>
      <c r="T418" s="189">
        <f t="shared" si="288"/>
        <v>5.8800000000000005E-2</v>
      </c>
      <c r="U418" s="189">
        <f>0.3+0.23</f>
        <v>0.53</v>
      </c>
      <c r="V418" s="189">
        <f t="shared" si="330"/>
        <v>-0.04</v>
      </c>
      <c r="W418" s="189">
        <f>1.36*0.3</f>
        <v>0.40800000000000003</v>
      </c>
      <c r="X418" s="188">
        <f t="shared" si="324"/>
        <v>2.6368</v>
      </c>
      <c r="Y418" s="183">
        <f t="shared" si="290"/>
        <v>10</v>
      </c>
      <c r="Z418" s="188">
        <f t="shared" si="291"/>
        <v>0.24</v>
      </c>
      <c r="AA418" s="183">
        <f t="shared" si="292"/>
        <v>8</v>
      </c>
      <c r="AB418" s="189">
        <f t="shared" si="293"/>
        <v>5.8800000000000005E-2</v>
      </c>
      <c r="AC418" s="189">
        <f>0.23*2</f>
        <v>0.46</v>
      </c>
      <c r="AD418" s="189">
        <f t="shared" si="331"/>
        <v>-0.04</v>
      </c>
      <c r="AE418" s="189">
        <v>0</v>
      </c>
      <c r="AF418" s="188">
        <f t="shared" si="321"/>
        <v>4.7287999999999997</v>
      </c>
      <c r="AG418" s="183">
        <f t="shared" si="295"/>
        <v>10</v>
      </c>
      <c r="AH418" s="182">
        <f t="shared" si="296"/>
        <v>0.24</v>
      </c>
      <c r="AI418" s="183">
        <f t="shared" si="297"/>
        <v>7</v>
      </c>
      <c r="AJ418" s="189">
        <f t="shared" si="298"/>
        <v>5.8800000000000005E-2</v>
      </c>
      <c r="AK418" s="189">
        <f>0.23*2</f>
        <v>0.46</v>
      </c>
      <c r="AL418" s="189">
        <f t="shared" si="332"/>
        <v>-0.04</v>
      </c>
      <c r="AM418" s="189">
        <v>0</v>
      </c>
      <c r="AN418" s="188">
        <f t="shared" si="322"/>
        <v>4.7287999999999997</v>
      </c>
      <c r="AO418" s="183">
        <v>0</v>
      </c>
      <c r="AP418" s="182">
        <f t="shared" si="300"/>
        <v>8</v>
      </c>
      <c r="AQ418" s="182">
        <v>1.5</v>
      </c>
      <c r="AR418" s="187">
        <f t="shared" si="310"/>
        <v>0</v>
      </c>
      <c r="AS418" s="187">
        <f t="shared" si="311"/>
        <v>147.70240000000001</v>
      </c>
      <c r="AT418" s="187">
        <f t="shared" si="312"/>
        <v>0</v>
      </c>
      <c r="AU418" s="187">
        <f t="shared" si="313"/>
        <v>0</v>
      </c>
      <c r="AV418" s="187">
        <f t="shared" si="314"/>
        <v>70.931999999999988</v>
      </c>
      <c r="AW418" s="187">
        <f t="shared" si="306"/>
        <v>0</v>
      </c>
      <c r="AX418" s="187">
        <f t="shared" si="307"/>
        <v>12</v>
      </c>
      <c r="AY418" s="388"/>
      <c r="AZ418" s="436"/>
      <c r="BA418" s="428"/>
      <c r="BF418" s="403"/>
      <c r="BG418" s="403"/>
      <c r="BK418" s="443"/>
      <c r="BL418" s="443"/>
      <c r="BN418" s="443"/>
      <c r="BO418" s="443"/>
      <c r="BQ418" s="443"/>
      <c r="BR418" s="443"/>
      <c r="BT418" s="443"/>
      <c r="BU418" s="443"/>
      <c r="BW418" s="443"/>
      <c r="BX418" s="443"/>
      <c r="BZ418" s="443"/>
      <c r="CA418" s="443"/>
      <c r="CC418" s="443"/>
      <c r="CD418" s="443"/>
      <c r="CF418" s="443"/>
      <c r="CG418" s="443"/>
    </row>
    <row r="419" spans="1:85" s="395" customFormat="1" x14ac:dyDescent="0.3">
      <c r="A419" s="182" t="s">
        <v>245</v>
      </c>
      <c r="B419" s="183">
        <v>1</v>
      </c>
      <c r="C419" s="184" t="s">
        <v>321</v>
      </c>
      <c r="D419" s="187">
        <v>1.36</v>
      </c>
      <c r="E419" s="187">
        <v>4.25</v>
      </c>
      <c r="F419" s="186">
        <v>0.14000000000000001</v>
      </c>
      <c r="G419" s="187">
        <f t="shared" si="325"/>
        <v>0.80920000000000014</v>
      </c>
      <c r="H419" s="188">
        <f t="shared" si="326"/>
        <v>5.78</v>
      </c>
      <c r="I419" s="183">
        <f t="shared" si="280"/>
        <v>10</v>
      </c>
      <c r="J419" s="188">
        <f t="shared" si="281"/>
        <v>0.2</v>
      </c>
      <c r="K419" s="183">
        <f t="shared" si="282"/>
        <v>22</v>
      </c>
      <c r="L419" s="189">
        <f t="shared" si="283"/>
        <v>5.8800000000000005E-2</v>
      </c>
      <c r="M419" s="189">
        <f>0.23*2</f>
        <v>0.46</v>
      </c>
      <c r="N419" s="189">
        <f t="shared" si="328"/>
        <v>-0.04</v>
      </c>
      <c r="O419" s="189">
        <f>1.68*0.3</f>
        <v>0.504</v>
      </c>
      <c r="P419" s="188">
        <f t="shared" si="329"/>
        <v>2.3428000000000004</v>
      </c>
      <c r="Q419" s="183">
        <f t="shared" si="285"/>
        <v>10</v>
      </c>
      <c r="R419" s="188">
        <f t="shared" si="286"/>
        <v>0.2</v>
      </c>
      <c r="S419" s="183">
        <f t="shared" si="287"/>
        <v>21</v>
      </c>
      <c r="T419" s="189">
        <f t="shared" si="288"/>
        <v>5.8800000000000005E-2</v>
      </c>
      <c r="U419" s="189">
        <f>0.23*2</f>
        <v>0.46</v>
      </c>
      <c r="V419" s="189">
        <f t="shared" si="330"/>
        <v>-0.04</v>
      </c>
      <c r="W419" s="189">
        <v>0</v>
      </c>
      <c r="X419" s="188">
        <f t="shared" si="324"/>
        <v>1.8388000000000002</v>
      </c>
      <c r="Y419" s="183">
        <f t="shared" si="290"/>
        <v>10</v>
      </c>
      <c r="Z419" s="188">
        <f t="shared" si="291"/>
        <v>0.24</v>
      </c>
      <c r="AA419" s="183">
        <f t="shared" si="292"/>
        <v>7</v>
      </c>
      <c r="AB419" s="189">
        <f t="shared" si="293"/>
        <v>5.8800000000000005E-2</v>
      </c>
      <c r="AC419" s="189">
        <f>0.23*2</f>
        <v>0.46</v>
      </c>
      <c r="AD419" s="189">
        <f t="shared" si="331"/>
        <v>-0.04</v>
      </c>
      <c r="AE419" s="189">
        <v>0</v>
      </c>
      <c r="AF419" s="188">
        <f t="shared" si="321"/>
        <v>4.7287999999999997</v>
      </c>
      <c r="AG419" s="183">
        <f t="shared" si="295"/>
        <v>10</v>
      </c>
      <c r="AH419" s="182">
        <f t="shared" si="296"/>
        <v>0.24</v>
      </c>
      <c r="AI419" s="183">
        <f t="shared" si="297"/>
        <v>6</v>
      </c>
      <c r="AJ419" s="189">
        <f t="shared" si="298"/>
        <v>5.8800000000000005E-2</v>
      </c>
      <c r="AK419" s="189">
        <f>0.23*2</f>
        <v>0.46</v>
      </c>
      <c r="AL419" s="189">
        <f t="shared" si="332"/>
        <v>-0.04</v>
      </c>
      <c r="AM419" s="189">
        <v>0</v>
      </c>
      <c r="AN419" s="188">
        <f t="shared" si="322"/>
        <v>4.7287999999999997</v>
      </c>
      <c r="AO419" s="183">
        <v>0</v>
      </c>
      <c r="AP419" s="182">
        <f t="shared" si="300"/>
        <v>8</v>
      </c>
      <c r="AQ419" s="182">
        <v>1.5</v>
      </c>
      <c r="AR419" s="187">
        <f t="shared" si="310"/>
        <v>0</v>
      </c>
      <c r="AS419" s="187">
        <f t="shared" si="311"/>
        <v>90.156400000000019</v>
      </c>
      <c r="AT419" s="187">
        <f t="shared" si="312"/>
        <v>0</v>
      </c>
      <c r="AU419" s="187">
        <f t="shared" si="313"/>
        <v>0</v>
      </c>
      <c r="AV419" s="187">
        <f t="shared" si="314"/>
        <v>61.474399999999996</v>
      </c>
      <c r="AW419" s="187">
        <f t="shared" si="306"/>
        <v>0</v>
      </c>
      <c r="AX419" s="187">
        <f t="shared" si="307"/>
        <v>12</v>
      </c>
      <c r="AY419" s="388"/>
      <c r="AZ419" s="436"/>
      <c r="BA419" s="428"/>
      <c r="BF419" s="403"/>
      <c r="BG419" s="403"/>
      <c r="BK419" s="443"/>
      <c r="BL419" s="443"/>
      <c r="BN419" s="443"/>
      <c r="BO419" s="443"/>
      <c r="BQ419" s="443"/>
      <c r="BR419" s="443"/>
      <c r="BT419" s="443"/>
      <c r="BU419" s="443"/>
      <c r="BW419" s="443"/>
      <c r="BX419" s="443"/>
      <c r="BZ419" s="443"/>
      <c r="CA419" s="443"/>
      <c r="CC419" s="443"/>
      <c r="CD419" s="443"/>
      <c r="CF419" s="443"/>
      <c r="CG419" s="443"/>
    </row>
    <row r="420" spans="1:85" s="395" customFormat="1" x14ac:dyDescent="0.3">
      <c r="A420" s="182" t="s">
        <v>218</v>
      </c>
      <c r="B420" s="183">
        <v>2</v>
      </c>
      <c r="C420" s="184" t="s">
        <v>512</v>
      </c>
      <c r="D420" s="187">
        <v>0.89</v>
      </c>
      <c r="E420" s="187">
        <v>2.94</v>
      </c>
      <c r="F420" s="186">
        <v>0.16500000000000001</v>
      </c>
      <c r="G420" s="187">
        <f t="shared" si="325"/>
        <v>0.86347800000000008</v>
      </c>
      <c r="H420" s="188">
        <f t="shared" si="326"/>
        <v>5.2332000000000001</v>
      </c>
      <c r="I420" s="183">
        <f t="shared" si="280"/>
        <v>10</v>
      </c>
      <c r="J420" s="188">
        <f t="shared" si="281"/>
        <v>0.2</v>
      </c>
      <c r="K420" s="183">
        <f t="shared" si="282"/>
        <v>16</v>
      </c>
      <c r="L420" s="189">
        <f t="shared" si="283"/>
        <v>6.93E-2</v>
      </c>
      <c r="M420" s="189">
        <f>0.23*2</f>
        <v>0.46</v>
      </c>
      <c r="N420" s="189">
        <f t="shared" si="328"/>
        <v>-0.04</v>
      </c>
      <c r="O420" s="189">
        <f>2.21*0.3</f>
        <v>0.66299999999999992</v>
      </c>
      <c r="P420" s="188">
        <f t="shared" si="329"/>
        <v>2.0423</v>
      </c>
      <c r="Q420" s="183">
        <f t="shared" si="285"/>
        <v>10</v>
      </c>
      <c r="R420" s="188">
        <f t="shared" si="286"/>
        <v>0.2</v>
      </c>
      <c r="S420" s="183">
        <f t="shared" si="287"/>
        <v>15</v>
      </c>
      <c r="T420" s="189">
        <f t="shared" si="288"/>
        <v>6.93E-2</v>
      </c>
      <c r="U420" s="189">
        <f>0.23*2</f>
        <v>0.46</v>
      </c>
      <c r="V420" s="189">
        <f t="shared" si="330"/>
        <v>-0.04</v>
      </c>
      <c r="W420" s="189">
        <f>2.36*0.3</f>
        <v>0.70799999999999996</v>
      </c>
      <c r="X420" s="188">
        <f t="shared" si="324"/>
        <v>2.0872999999999999</v>
      </c>
      <c r="Y420" s="183">
        <f t="shared" si="290"/>
        <v>10</v>
      </c>
      <c r="Z420" s="188">
        <f t="shared" si="291"/>
        <v>0.2</v>
      </c>
      <c r="AA420" s="183">
        <f t="shared" si="292"/>
        <v>5</v>
      </c>
      <c r="AB420" s="189">
        <f t="shared" si="293"/>
        <v>6.93E-2</v>
      </c>
      <c r="AC420" s="189">
        <f>0.38+0.23</f>
        <v>0.61</v>
      </c>
      <c r="AD420" s="189">
        <f t="shared" si="331"/>
        <v>-0.04</v>
      </c>
      <c r="AE420" s="189">
        <v>0</v>
      </c>
      <c r="AF420" s="188">
        <f t="shared" si="321"/>
        <v>3.5792999999999999</v>
      </c>
      <c r="AG420" s="183">
        <f t="shared" si="295"/>
        <v>10</v>
      </c>
      <c r="AH420" s="182">
        <f t="shared" si="296"/>
        <v>0.2</v>
      </c>
      <c r="AI420" s="183">
        <f t="shared" si="297"/>
        <v>4</v>
      </c>
      <c r="AJ420" s="189">
        <f t="shared" si="298"/>
        <v>6.93E-2</v>
      </c>
      <c r="AK420" s="189">
        <f>0.38+0.23</f>
        <v>0.61</v>
      </c>
      <c r="AL420" s="189">
        <f t="shared" si="332"/>
        <v>-0.04</v>
      </c>
      <c r="AM420" s="189">
        <v>0</v>
      </c>
      <c r="AN420" s="188">
        <f t="shared" si="322"/>
        <v>3.5792999999999999</v>
      </c>
      <c r="AO420" s="183">
        <v>0</v>
      </c>
      <c r="AP420" s="182">
        <f t="shared" si="300"/>
        <v>6</v>
      </c>
      <c r="AQ420" s="182">
        <v>1.5</v>
      </c>
      <c r="AR420" s="187">
        <f t="shared" si="310"/>
        <v>0</v>
      </c>
      <c r="AS420" s="187">
        <f t="shared" si="311"/>
        <v>127.9726</v>
      </c>
      <c r="AT420" s="187">
        <f t="shared" si="312"/>
        <v>0</v>
      </c>
      <c r="AU420" s="187">
        <f t="shared" si="313"/>
        <v>0</v>
      </c>
      <c r="AV420" s="187">
        <f t="shared" si="314"/>
        <v>64.427400000000006</v>
      </c>
      <c r="AW420" s="187">
        <f t="shared" si="306"/>
        <v>0</v>
      </c>
      <c r="AX420" s="187">
        <f t="shared" si="307"/>
        <v>18</v>
      </c>
      <c r="AY420" s="388"/>
      <c r="AZ420" s="436"/>
      <c r="BA420" s="428"/>
      <c r="BF420" s="403"/>
      <c r="BG420" s="403"/>
      <c r="BK420" s="443"/>
      <c r="BL420" s="443"/>
      <c r="BN420" s="443"/>
      <c r="BO420" s="443"/>
      <c r="BQ420" s="443"/>
      <c r="BR420" s="443"/>
      <c r="BT420" s="443"/>
      <c r="BU420" s="443"/>
      <c r="BW420" s="443"/>
      <c r="BX420" s="443"/>
      <c r="BZ420" s="443"/>
      <c r="CA420" s="443"/>
      <c r="CC420" s="443"/>
      <c r="CD420" s="443"/>
      <c r="CF420" s="443"/>
      <c r="CG420" s="443"/>
    </row>
    <row r="421" spans="1:85" s="395" customFormat="1" x14ac:dyDescent="0.3">
      <c r="A421" s="182" t="s">
        <v>239</v>
      </c>
      <c r="B421" s="183">
        <v>1</v>
      </c>
      <c r="C421" s="184" t="s">
        <v>513</v>
      </c>
      <c r="D421" s="187">
        <v>3.04</v>
      </c>
      <c r="E421" s="187">
        <v>2.11</v>
      </c>
      <c r="F421" s="186">
        <v>0.125</v>
      </c>
      <c r="G421" s="187">
        <f t="shared" si="325"/>
        <v>0.80179999999999996</v>
      </c>
      <c r="H421" s="188">
        <f t="shared" si="326"/>
        <v>6.4143999999999997</v>
      </c>
      <c r="I421" s="183">
        <f t="shared" si="280"/>
        <v>8</v>
      </c>
      <c r="J421" s="188">
        <f t="shared" si="281"/>
        <v>0.23</v>
      </c>
      <c r="K421" s="183">
        <f t="shared" si="282"/>
        <v>10</v>
      </c>
      <c r="L421" s="189">
        <f t="shared" si="283"/>
        <v>5.2499999999999998E-2</v>
      </c>
      <c r="M421" s="189">
        <f>0.23*2</f>
        <v>0.46</v>
      </c>
      <c r="N421" s="189">
        <f t="shared" si="328"/>
        <v>-0.04</v>
      </c>
      <c r="O421" s="189">
        <f>F421-2*0.02</f>
        <v>8.4999999999999992E-2</v>
      </c>
      <c r="P421" s="188">
        <f t="shared" si="329"/>
        <v>3.5975000000000001</v>
      </c>
      <c r="Q421" s="183">
        <f t="shared" si="285"/>
        <v>8</v>
      </c>
      <c r="R421" s="188">
        <f t="shared" si="286"/>
        <v>0.23</v>
      </c>
      <c r="S421" s="183">
        <f t="shared" si="287"/>
        <v>9</v>
      </c>
      <c r="T421" s="189">
        <f t="shared" si="288"/>
        <v>5.2499999999999998E-2</v>
      </c>
      <c r="U421" s="189">
        <f>0.23*2</f>
        <v>0.46</v>
      </c>
      <c r="V421" s="189">
        <f t="shared" si="330"/>
        <v>-0.04</v>
      </c>
      <c r="W421" s="189">
        <f>2.8*0.3</f>
        <v>0.84</v>
      </c>
      <c r="X421" s="188">
        <f t="shared" si="324"/>
        <v>4.3525</v>
      </c>
      <c r="Y421" s="183">
        <f t="shared" si="290"/>
        <v>8</v>
      </c>
      <c r="Z421" s="188">
        <f t="shared" si="291"/>
        <v>0.3</v>
      </c>
      <c r="AA421" s="183">
        <f t="shared" si="292"/>
        <v>11</v>
      </c>
      <c r="AB421" s="189">
        <f t="shared" si="293"/>
        <v>5.2499999999999998E-2</v>
      </c>
      <c r="AC421" s="189">
        <f>0.36+0.3</f>
        <v>0.65999999999999992</v>
      </c>
      <c r="AD421" s="189">
        <f t="shared" si="331"/>
        <v>-0.04</v>
      </c>
      <c r="AE421" s="189">
        <f>1.65*0.3</f>
        <v>0.49499999999999994</v>
      </c>
      <c r="AF421" s="188">
        <f t="shared" si="321"/>
        <v>3.2774999999999999</v>
      </c>
      <c r="AG421" s="183">
        <f t="shared" si="295"/>
        <v>8</v>
      </c>
      <c r="AH421" s="182">
        <f t="shared" si="296"/>
        <v>0.3</v>
      </c>
      <c r="AI421" s="183">
        <f t="shared" si="297"/>
        <v>10</v>
      </c>
      <c r="AJ421" s="189">
        <f t="shared" si="298"/>
        <v>5.2499999999999998E-2</v>
      </c>
      <c r="AK421" s="189">
        <f>0.36+0.3</f>
        <v>0.65999999999999992</v>
      </c>
      <c r="AL421" s="189">
        <f t="shared" si="332"/>
        <v>-0.04</v>
      </c>
      <c r="AM421" s="189">
        <v>0</v>
      </c>
      <c r="AN421" s="188">
        <f t="shared" si="322"/>
        <v>2.7824999999999998</v>
      </c>
      <c r="AO421" s="183">
        <v>0</v>
      </c>
      <c r="AP421" s="182">
        <f t="shared" si="300"/>
        <v>6</v>
      </c>
      <c r="AQ421" s="182">
        <v>1.5</v>
      </c>
      <c r="AR421" s="187">
        <f t="shared" si="310"/>
        <v>75.147500000000008</v>
      </c>
      <c r="AS421" s="187">
        <f t="shared" si="311"/>
        <v>0</v>
      </c>
      <c r="AT421" s="187">
        <f t="shared" si="312"/>
        <v>0</v>
      </c>
      <c r="AU421" s="187">
        <f t="shared" si="313"/>
        <v>63.877499999999991</v>
      </c>
      <c r="AV421" s="187">
        <f t="shared" si="314"/>
        <v>0</v>
      </c>
      <c r="AW421" s="187">
        <f t="shared" si="306"/>
        <v>0</v>
      </c>
      <c r="AX421" s="187">
        <f t="shared" si="307"/>
        <v>9</v>
      </c>
      <c r="AY421" s="388"/>
      <c r="AZ421" s="436"/>
      <c r="BA421" s="428"/>
      <c r="BF421" s="403"/>
      <c r="BG421" s="403"/>
      <c r="BK421" s="443"/>
      <c r="BL421" s="443"/>
      <c r="BN421" s="443"/>
      <c r="BO421" s="443"/>
      <c r="BQ421" s="443"/>
      <c r="BR421" s="443"/>
      <c r="BT421" s="443"/>
      <c r="BU421" s="443"/>
      <c r="BW421" s="443"/>
      <c r="BX421" s="443"/>
      <c r="BZ421" s="443"/>
      <c r="CA421" s="443"/>
      <c r="CC421" s="443"/>
      <c r="CD421" s="443"/>
      <c r="CF421" s="443"/>
      <c r="CG421" s="443"/>
    </row>
    <row r="422" spans="1:85" s="395" customFormat="1" x14ac:dyDescent="0.3">
      <c r="A422" s="182" t="s">
        <v>239</v>
      </c>
      <c r="B422" s="183">
        <v>1</v>
      </c>
      <c r="C422" s="184" t="s">
        <v>514</v>
      </c>
      <c r="D422" s="187">
        <v>2.8</v>
      </c>
      <c r="E422" s="187">
        <v>1.9</v>
      </c>
      <c r="F422" s="186">
        <v>0.125</v>
      </c>
      <c r="G422" s="187">
        <f t="shared" si="325"/>
        <v>0.66499999999999992</v>
      </c>
      <c r="H422" s="188">
        <f t="shared" si="326"/>
        <v>5.3199999999999994</v>
      </c>
      <c r="I422" s="183">
        <f t="shared" si="280"/>
        <v>8</v>
      </c>
      <c r="J422" s="188">
        <f t="shared" si="281"/>
        <v>0.23</v>
      </c>
      <c r="K422" s="183">
        <f t="shared" si="282"/>
        <v>9</v>
      </c>
      <c r="L422" s="189">
        <f t="shared" si="283"/>
        <v>5.2499999999999998E-2</v>
      </c>
      <c r="M422" s="189">
        <f>0.23*2</f>
        <v>0.46</v>
      </c>
      <c r="N422" s="189">
        <f t="shared" si="328"/>
        <v>-0.04</v>
      </c>
      <c r="O422" s="189">
        <f>3.04*0.3</f>
        <v>0.91199999999999992</v>
      </c>
      <c r="P422" s="188">
        <f t="shared" si="329"/>
        <v>4.1844999999999999</v>
      </c>
      <c r="Q422" s="183">
        <f t="shared" si="285"/>
        <v>8</v>
      </c>
      <c r="R422" s="188">
        <f t="shared" si="286"/>
        <v>0.23</v>
      </c>
      <c r="S422" s="183">
        <f t="shared" si="287"/>
        <v>8</v>
      </c>
      <c r="T422" s="189">
        <f t="shared" si="288"/>
        <v>5.2499999999999998E-2</v>
      </c>
      <c r="U422" s="189">
        <f>0.23*2</f>
        <v>0.46</v>
      </c>
      <c r="V422" s="189">
        <f t="shared" si="330"/>
        <v>-0.04</v>
      </c>
      <c r="W422" s="189">
        <f>5.5*0.3</f>
        <v>1.65</v>
      </c>
      <c r="X422" s="188">
        <f t="shared" si="324"/>
        <v>4.9224999999999994</v>
      </c>
      <c r="Y422" s="183">
        <f t="shared" si="290"/>
        <v>8</v>
      </c>
      <c r="Z422" s="188">
        <f t="shared" si="291"/>
        <v>0.3</v>
      </c>
      <c r="AA422" s="183">
        <f t="shared" si="292"/>
        <v>10</v>
      </c>
      <c r="AB422" s="189">
        <f t="shared" si="293"/>
        <v>5.2499999999999998E-2</v>
      </c>
      <c r="AC422" s="189">
        <f>0.36+0.3</f>
        <v>0.65999999999999992</v>
      </c>
      <c r="AD422" s="189">
        <f t="shared" si="331"/>
        <v>-0.04</v>
      </c>
      <c r="AE422" s="189">
        <f>2.75*0.3</f>
        <v>0.82499999999999996</v>
      </c>
      <c r="AF422" s="188">
        <f t="shared" si="321"/>
        <v>3.3975</v>
      </c>
      <c r="AG422" s="183">
        <f t="shared" si="295"/>
        <v>8</v>
      </c>
      <c r="AH422" s="182">
        <f t="shared" si="296"/>
        <v>0.3</v>
      </c>
      <c r="AI422" s="183">
        <f t="shared" si="297"/>
        <v>9</v>
      </c>
      <c r="AJ422" s="189">
        <f t="shared" si="298"/>
        <v>5.2499999999999998E-2</v>
      </c>
      <c r="AK422" s="189">
        <f>0.36+0.3</f>
        <v>0.65999999999999992</v>
      </c>
      <c r="AL422" s="189">
        <f t="shared" si="332"/>
        <v>-0.04</v>
      </c>
      <c r="AM422" s="189">
        <f>4.12*0.3</f>
        <v>1.236</v>
      </c>
      <c r="AN422" s="188">
        <f t="shared" si="322"/>
        <v>3.8084999999999996</v>
      </c>
      <c r="AO422" s="183">
        <v>0</v>
      </c>
      <c r="AP422" s="182">
        <f t="shared" si="300"/>
        <v>6</v>
      </c>
      <c r="AQ422" s="182">
        <v>1.5</v>
      </c>
      <c r="AR422" s="187">
        <f t="shared" si="310"/>
        <v>77.040499999999994</v>
      </c>
      <c r="AS422" s="187">
        <f t="shared" si="311"/>
        <v>0</v>
      </c>
      <c r="AT422" s="187">
        <f t="shared" si="312"/>
        <v>0</v>
      </c>
      <c r="AU422" s="187">
        <f t="shared" si="313"/>
        <v>68.251499999999993</v>
      </c>
      <c r="AV422" s="187">
        <f t="shared" si="314"/>
        <v>0</v>
      </c>
      <c r="AW422" s="187">
        <f t="shared" si="306"/>
        <v>0</v>
      </c>
      <c r="AX422" s="187">
        <f t="shared" si="307"/>
        <v>9</v>
      </c>
      <c r="AY422" s="388"/>
      <c r="AZ422" s="436"/>
      <c r="BA422" s="428"/>
      <c r="BF422" s="403"/>
      <c r="BG422" s="403"/>
      <c r="BK422" s="443"/>
      <c r="BL422" s="443"/>
      <c r="BN422" s="443"/>
      <c r="BO422" s="443"/>
      <c r="BQ422" s="443"/>
      <c r="BR422" s="443"/>
      <c r="BT422" s="443"/>
      <c r="BU422" s="443"/>
      <c r="BW422" s="443"/>
      <c r="BX422" s="443"/>
      <c r="BZ422" s="443"/>
      <c r="CA422" s="443"/>
      <c r="CC422" s="443"/>
      <c r="CD422" s="443"/>
      <c r="CF422" s="443"/>
      <c r="CG422" s="443"/>
    </row>
    <row r="423" spans="1:85" s="395" customFormat="1" x14ac:dyDescent="0.3">
      <c r="A423" s="182" t="s">
        <v>227</v>
      </c>
      <c r="B423" s="183">
        <v>1</v>
      </c>
      <c r="C423" s="184" t="s">
        <v>515</v>
      </c>
      <c r="D423" s="187">
        <v>5.5</v>
      </c>
      <c r="E423" s="187">
        <v>2.0015999999999998</v>
      </c>
      <c r="F423" s="186">
        <v>0.125</v>
      </c>
      <c r="G423" s="187">
        <f t="shared" si="325"/>
        <v>1.3760999999999999</v>
      </c>
      <c r="H423" s="188">
        <f t="shared" si="326"/>
        <v>11.008799999999999</v>
      </c>
      <c r="I423" s="183">
        <f t="shared" si="280"/>
        <v>8</v>
      </c>
      <c r="J423" s="188">
        <f t="shared" si="281"/>
        <v>0.2</v>
      </c>
      <c r="K423" s="183">
        <f t="shared" si="282"/>
        <v>11</v>
      </c>
      <c r="L423" s="189">
        <f t="shared" si="283"/>
        <v>5.2499999999999998E-2</v>
      </c>
      <c r="M423" s="189">
        <f>0.23+0.38</f>
        <v>0.61</v>
      </c>
      <c r="N423" s="189">
        <f t="shared" si="328"/>
        <v>-0.04</v>
      </c>
      <c r="O423" s="189">
        <f>2.79*0.3</f>
        <v>0.83699999999999997</v>
      </c>
      <c r="P423" s="188">
        <f t="shared" si="329"/>
        <v>6.9595000000000002</v>
      </c>
      <c r="Q423" s="183">
        <f t="shared" si="285"/>
        <v>8</v>
      </c>
      <c r="R423" s="188">
        <f t="shared" si="286"/>
        <v>0.2</v>
      </c>
      <c r="S423" s="183">
        <f t="shared" si="287"/>
        <v>10</v>
      </c>
      <c r="T423" s="189">
        <f t="shared" si="288"/>
        <v>5.2499999999999998E-2</v>
      </c>
      <c r="U423" s="189">
        <f>0.23+0.38</f>
        <v>0.61</v>
      </c>
      <c r="V423" s="189">
        <f t="shared" si="330"/>
        <v>-0.04</v>
      </c>
      <c r="W423" s="189">
        <v>0</v>
      </c>
      <c r="X423" s="188">
        <f t="shared" si="324"/>
        <v>6.1224999999999996</v>
      </c>
      <c r="Y423" s="183">
        <f t="shared" si="290"/>
        <v>8</v>
      </c>
      <c r="Z423" s="188">
        <f t="shared" si="291"/>
        <v>0.2</v>
      </c>
      <c r="AA423" s="183">
        <f t="shared" si="292"/>
        <v>29</v>
      </c>
      <c r="AB423" s="189">
        <f t="shared" si="293"/>
        <v>5.2499999999999998E-2</v>
      </c>
      <c r="AC423" s="189">
        <f>0.23+0.44</f>
        <v>0.67</v>
      </c>
      <c r="AD423" s="189">
        <f t="shared" si="331"/>
        <v>-0.04</v>
      </c>
      <c r="AE423" s="189">
        <f>2.8*0.3</f>
        <v>0.84</v>
      </c>
      <c r="AF423" s="188">
        <f t="shared" si="321"/>
        <v>3.5240999999999998</v>
      </c>
      <c r="AG423" s="183">
        <f t="shared" si="295"/>
        <v>8</v>
      </c>
      <c r="AH423" s="182">
        <f t="shared" si="296"/>
        <v>0.2</v>
      </c>
      <c r="AI423" s="183">
        <f t="shared" si="297"/>
        <v>28</v>
      </c>
      <c r="AJ423" s="189">
        <f t="shared" si="298"/>
        <v>5.2499999999999998E-2</v>
      </c>
      <c r="AK423" s="189">
        <f>0.23+0.44</f>
        <v>0.67</v>
      </c>
      <c r="AL423" s="189">
        <f t="shared" si="332"/>
        <v>-0.04</v>
      </c>
      <c r="AM423" s="189">
        <f>4.25*0.3</f>
        <v>1.2749999999999999</v>
      </c>
      <c r="AN423" s="188">
        <f t="shared" si="322"/>
        <v>3.9590999999999998</v>
      </c>
      <c r="AO423" s="183">
        <v>0</v>
      </c>
      <c r="AP423" s="182">
        <f t="shared" si="300"/>
        <v>10</v>
      </c>
      <c r="AQ423" s="182">
        <v>1.5</v>
      </c>
      <c r="AR423" s="187">
        <f t="shared" si="310"/>
        <v>137.77949999999998</v>
      </c>
      <c r="AS423" s="187">
        <f t="shared" si="311"/>
        <v>0</v>
      </c>
      <c r="AT423" s="187">
        <f t="shared" si="312"/>
        <v>0</v>
      </c>
      <c r="AU423" s="187">
        <f t="shared" si="313"/>
        <v>213.05369999999999</v>
      </c>
      <c r="AV423" s="187">
        <f t="shared" si="314"/>
        <v>0</v>
      </c>
      <c r="AW423" s="187">
        <f t="shared" si="306"/>
        <v>0</v>
      </c>
      <c r="AX423" s="187">
        <f t="shared" si="307"/>
        <v>15</v>
      </c>
      <c r="AY423" s="388"/>
      <c r="AZ423" s="436"/>
      <c r="BA423" s="428"/>
      <c r="BF423" s="403"/>
      <c r="BG423" s="403"/>
      <c r="BK423" s="443"/>
      <c r="BL423" s="443"/>
      <c r="BN423" s="443"/>
      <c r="BO423" s="443"/>
      <c r="BQ423" s="443"/>
      <c r="BR423" s="443"/>
      <c r="BT423" s="443"/>
      <c r="BU423" s="443"/>
      <c r="BW423" s="443"/>
      <c r="BX423" s="443"/>
      <c r="BZ423" s="443"/>
      <c r="CA423" s="443"/>
      <c r="CC423" s="443"/>
      <c r="CD423" s="443"/>
      <c r="CF423" s="443"/>
      <c r="CG423" s="443"/>
    </row>
    <row r="424" spans="1:85" s="395" customFormat="1" x14ac:dyDescent="0.3">
      <c r="A424" s="182" t="s">
        <v>239</v>
      </c>
      <c r="B424" s="183">
        <v>1</v>
      </c>
      <c r="C424" s="184" t="s">
        <v>327</v>
      </c>
      <c r="D424" s="187">
        <v>2.29</v>
      </c>
      <c r="E424" s="187">
        <v>2.5</v>
      </c>
      <c r="F424" s="186">
        <v>0.125</v>
      </c>
      <c r="G424" s="187">
        <f t="shared" si="325"/>
        <v>0.71562499999999996</v>
      </c>
      <c r="H424" s="188">
        <f t="shared" si="326"/>
        <v>5.7249999999999996</v>
      </c>
      <c r="I424" s="183">
        <f t="shared" si="280"/>
        <v>8</v>
      </c>
      <c r="J424" s="188">
        <f t="shared" si="281"/>
        <v>0.23</v>
      </c>
      <c r="K424" s="183">
        <f t="shared" si="282"/>
        <v>12</v>
      </c>
      <c r="L424" s="189">
        <f t="shared" si="283"/>
        <v>5.2499999999999998E-2</v>
      </c>
      <c r="M424" s="189">
        <f>0.23*2</f>
        <v>0.46</v>
      </c>
      <c r="N424" s="189">
        <f t="shared" si="328"/>
        <v>-0.04</v>
      </c>
      <c r="O424" s="189">
        <v>0</v>
      </c>
      <c r="P424" s="188">
        <f t="shared" si="329"/>
        <v>2.7625000000000002</v>
      </c>
      <c r="Q424" s="183">
        <f t="shared" si="285"/>
        <v>8</v>
      </c>
      <c r="R424" s="188">
        <f t="shared" si="286"/>
        <v>0.23</v>
      </c>
      <c r="S424" s="183">
        <f t="shared" si="287"/>
        <v>11</v>
      </c>
      <c r="T424" s="189">
        <f t="shared" si="288"/>
        <v>5.2499999999999998E-2</v>
      </c>
      <c r="U424" s="189">
        <f>0.23*2</f>
        <v>0.46</v>
      </c>
      <c r="V424" s="189">
        <f t="shared" si="330"/>
        <v>-0.04</v>
      </c>
      <c r="W424" s="189">
        <v>0</v>
      </c>
      <c r="X424" s="188">
        <f t="shared" si="324"/>
        <v>2.7625000000000002</v>
      </c>
      <c r="Y424" s="183">
        <f t="shared" si="290"/>
        <v>8</v>
      </c>
      <c r="Z424" s="188">
        <f t="shared" si="291"/>
        <v>0.3</v>
      </c>
      <c r="AA424" s="183">
        <f t="shared" si="292"/>
        <v>9</v>
      </c>
      <c r="AB424" s="189">
        <f t="shared" si="293"/>
        <v>5.2499999999999998E-2</v>
      </c>
      <c r="AC424" s="189">
        <f>0.23*2</f>
        <v>0.46</v>
      </c>
      <c r="AD424" s="189">
        <f t="shared" si="331"/>
        <v>-0.04</v>
      </c>
      <c r="AE424" s="189">
        <f>3.93*0.3</f>
        <v>1.179</v>
      </c>
      <c r="AF424" s="188">
        <f t="shared" si="321"/>
        <v>4.1515000000000004</v>
      </c>
      <c r="AG424" s="183">
        <f t="shared" si="295"/>
        <v>8</v>
      </c>
      <c r="AH424" s="182">
        <f t="shared" si="296"/>
        <v>0.3</v>
      </c>
      <c r="AI424" s="183">
        <f t="shared" si="297"/>
        <v>8</v>
      </c>
      <c r="AJ424" s="189">
        <f t="shared" si="298"/>
        <v>5.2499999999999998E-2</v>
      </c>
      <c r="AK424" s="189">
        <f>0.23*2</f>
        <v>0.46</v>
      </c>
      <c r="AL424" s="189">
        <f t="shared" si="332"/>
        <v>-0.04</v>
      </c>
      <c r="AM424" s="189">
        <f>2.29*0.3</f>
        <v>0.68699999999999994</v>
      </c>
      <c r="AN424" s="188">
        <f t="shared" si="322"/>
        <v>3.6595</v>
      </c>
      <c r="AO424" s="183">
        <v>0</v>
      </c>
      <c r="AP424" s="182">
        <f t="shared" si="300"/>
        <v>8</v>
      </c>
      <c r="AQ424" s="182">
        <v>1.5</v>
      </c>
      <c r="AR424" s="187">
        <f t="shared" si="310"/>
        <v>63.537500000000009</v>
      </c>
      <c r="AS424" s="187">
        <f t="shared" si="311"/>
        <v>0</v>
      </c>
      <c r="AT424" s="187">
        <f t="shared" si="312"/>
        <v>0</v>
      </c>
      <c r="AU424" s="187">
        <f t="shared" si="313"/>
        <v>66.639499999999998</v>
      </c>
      <c r="AV424" s="187">
        <f t="shared" si="314"/>
        <v>0</v>
      </c>
      <c r="AW424" s="187">
        <f t="shared" si="306"/>
        <v>0</v>
      </c>
      <c r="AX424" s="187">
        <f t="shared" si="307"/>
        <v>12</v>
      </c>
      <c r="AY424" s="388"/>
      <c r="AZ424" s="436"/>
      <c r="BA424" s="428"/>
      <c r="BF424" s="403"/>
      <c r="BG424" s="403"/>
      <c r="BK424" s="443"/>
      <c r="BL424" s="443"/>
      <c r="BN424" s="443"/>
      <c r="BO424" s="443"/>
      <c r="BQ424" s="443"/>
      <c r="BR424" s="443"/>
      <c r="BT424" s="443"/>
      <c r="BU424" s="443"/>
      <c r="BW424" s="443"/>
      <c r="BX424" s="443"/>
      <c r="BZ424" s="443"/>
      <c r="CA424" s="443"/>
      <c r="CC424" s="443"/>
      <c r="CD424" s="443"/>
      <c r="CF424" s="443"/>
      <c r="CG424" s="443"/>
    </row>
    <row r="425" spans="1:85" s="395" customFormat="1" x14ac:dyDescent="0.3">
      <c r="A425" s="182" t="s">
        <v>254</v>
      </c>
      <c r="B425" s="183">
        <v>1</v>
      </c>
      <c r="C425" s="184" t="s">
        <v>336</v>
      </c>
      <c r="D425" s="187">
        <v>5.45</v>
      </c>
      <c r="E425" s="187">
        <v>2.56</v>
      </c>
      <c r="F425" s="186">
        <v>0.15</v>
      </c>
      <c r="G425" s="187">
        <f t="shared" si="325"/>
        <v>2.0928</v>
      </c>
      <c r="H425" s="188">
        <f t="shared" si="326"/>
        <v>13.952</v>
      </c>
      <c r="I425" s="183">
        <f t="shared" ref="I425:I477" si="333">GETPIVOTDATA($BN$20,A425)</f>
        <v>10</v>
      </c>
      <c r="J425" s="188">
        <f t="shared" ref="J425:J477" si="334">GETPIVOTDATA($BQ$20,A425)*2</f>
        <v>0.18</v>
      </c>
      <c r="K425" s="183">
        <f t="shared" ref="K425:K477" si="335">(ROUND(E425/J425,0)+1)*GETPIVOTDATA($CF$20,A425)</f>
        <v>15</v>
      </c>
      <c r="L425" s="189">
        <f t="shared" ref="L425:L477" si="336">GETPIVOTDATA($BT$20,A425)</f>
        <v>6.3E-2</v>
      </c>
      <c r="M425" s="189">
        <f>0.38+0.23</f>
        <v>0.61</v>
      </c>
      <c r="N425" s="189">
        <f t="shared" si="328"/>
        <v>-0.04</v>
      </c>
      <c r="O425" s="189">
        <v>0</v>
      </c>
      <c r="P425" s="188">
        <f t="shared" si="329"/>
        <v>6.0830000000000002</v>
      </c>
      <c r="Q425" s="183">
        <f t="shared" ref="Q425:Q477" si="337">GETPIVOTDATA($BN$20,A425)</f>
        <v>10</v>
      </c>
      <c r="R425" s="188">
        <f t="shared" ref="R425:R477" si="338">GETPIVOTDATA($BQ$20,A425)*2</f>
        <v>0.18</v>
      </c>
      <c r="S425" s="183">
        <f t="shared" ref="S425:S477" si="339">(ROUND(E425/R425,0))*GETPIVOTDATA($CF$20,A425)</f>
        <v>14</v>
      </c>
      <c r="T425" s="189">
        <f t="shared" ref="T425:T477" si="340">GETPIVOTDATA($BT$20,A425)</f>
        <v>6.3E-2</v>
      </c>
      <c r="U425" s="189">
        <f>0.38+0.23</f>
        <v>0.61</v>
      </c>
      <c r="V425" s="189">
        <f t="shared" si="330"/>
        <v>-0.04</v>
      </c>
      <c r="W425" s="189">
        <f>2.8*0.3</f>
        <v>0.84</v>
      </c>
      <c r="X425" s="188">
        <f t="shared" si="324"/>
        <v>6.923</v>
      </c>
      <c r="Y425" s="183">
        <f t="shared" ref="Y425:Y477" si="341">GETPIVOTDATA($BW$20,A425)</f>
        <v>8</v>
      </c>
      <c r="Z425" s="188">
        <f t="shared" ref="Z425:Z477" si="342">GETPIVOTDATA($CC$20,A425)*2</f>
        <v>0.2</v>
      </c>
      <c r="AA425" s="183">
        <f t="shared" ref="AA425:AA477" si="343">(ROUND(D425/Z425,0)+1)*GETPIVOTDATA($CF$20,A425)</f>
        <v>28</v>
      </c>
      <c r="AB425" s="189">
        <f t="shared" ref="AB425:AB477" si="344">GETPIVOTDATA($BZ$20,A425)</f>
        <v>6.3E-2</v>
      </c>
      <c r="AC425" s="189">
        <f>0.6*2</f>
        <v>1.2</v>
      </c>
      <c r="AD425" s="189">
        <f t="shared" si="331"/>
        <v>-0.04</v>
      </c>
      <c r="AE425" s="189">
        <f>2.87*0.3</f>
        <v>0.86099999999999999</v>
      </c>
      <c r="AF425" s="188">
        <f t="shared" si="321"/>
        <v>4.6440000000000001</v>
      </c>
      <c r="AG425" s="183">
        <f t="shared" ref="AG425:AG477" si="345">GETPIVOTDATA($BW$20,A425)</f>
        <v>8</v>
      </c>
      <c r="AH425" s="182">
        <f t="shared" ref="AH425:AH477" si="346">GETPIVOTDATA($CC$20,A425)*2</f>
        <v>0.2</v>
      </c>
      <c r="AI425" s="183">
        <f t="shared" ref="AI425:AI477" si="347">(ROUND(D425/AH425,0))*GETPIVOTDATA($CF$20,A425)</f>
        <v>27</v>
      </c>
      <c r="AJ425" s="189">
        <f t="shared" ref="AJ425:AJ477" si="348">GETPIVOTDATA($BZ$20,A425)</f>
        <v>6.3E-2</v>
      </c>
      <c r="AK425" s="189">
        <f>0.6*2</f>
        <v>1.2</v>
      </c>
      <c r="AL425" s="189">
        <f t="shared" si="332"/>
        <v>-0.04</v>
      </c>
      <c r="AM425" s="189">
        <f>2.29*0.3</f>
        <v>0.68699999999999994</v>
      </c>
      <c r="AN425" s="188">
        <f t="shared" si="322"/>
        <v>4.47</v>
      </c>
      <c r="AO425" s="183">
        <v>0</v>
      </c>
      <c r="AP425" s="182">
        <f t="shared" si="300"/>
        <v>12</v>
      </c>
      <c r="AQ425" s="182">
        <v>1.5</v>
      </c>
      <c r="AR425" s="187">
        <f t="shared" si="310"/>
        <v>0</v>
      </c>
      <c r="AS425" s="187">
        <f t="shared" si="311"/>
        <v>188.167</v>
      </c>
      <c r="AT425" s="187">
        <f t="shared" si="312"/>
        <v>0</v>
      </c>
      <c r="AU425" s="187">
        <f t="shared" si="313"/>
        <v>250.72200000000001</v>
      </c>
      <c r="AV425" s="187">
        <f t="shared" si="314"/>
        <v>0</v>
      </c>
      <c r="AW425" s="187">
        <f t="shared" si="306"/>
        <v>0</v>
      </c>
      <c r="AX425" s="187">
        <f t="shared" si="307"/>
        <v>18</v>
      </c>
      <c r="AY425" s="388"/>
      <c r="AZ425" s="436"/>
      <c r="BA425" s="428"/>
      <c r="BF425" s="403"/>
      <c r="BG425" s="403"/>
      <c r="BK425" s="443"/>
      <c r="BL425" s="443"/>
      <c r="BN425" s="443"/>
      <c r="BO425" s="443"/>
      <c r="BQ425" s="443"/>
      <c r="BR425" s="443"/>
      <c r="BT425" s="443"/>
      <c r="BU425" s="443"/>
      <c r="BW425" s="443"/>
      <c r="BX425" s="443"/>
      <c r="BZ425" s="443"/>
      <c r="CA425" s="443"/>
      <c r="CC425" s="443"/>
      <c r="CD425" s="443"/>
      <c r="CF425" s="443"/>
      <c r="CG425" s="443"/>
    </row>
    <row r="426" spans="1:85" s="395" customFormat="1" x14ac:dyDescent="0.3">
      <c r="A426" s="182" t="s">
        <v>239</v>
      </c>
      <c r="B426" s="183">
        <v>1</v>
      </c>
      <c r="C426" s="184" t="s">
        <v>516</v>
      </c>
      <c r="D426" s="187">
        <v>3.04</v>
      </c>
      <c r="E426" s="187">
        <v>2.11</v>
      </c>
      <c r="F426" s="186">
        <v>0.125</v>
      </c>
      <c r="G426" s="187">
        <f t="shared" si="325"/>
        <v>0.80179999999999996</v>
      </c>
      <c r="H426" s="188">
        <f t="shared" si="326"/>
        <v>6.4143999999999997</v>
      </c>
      <c r="I426" s="183">
        <f t="shared" si="333"/>
        <v>8</v>
      </c>
      <c r="J426" s="188">
        <f t="shared" si="334"/>
        <v>0.23</v>
      </c>
      <c r="K426" s="183">
        <f t="shared" si="335"/>
        <v>10</v>
      </c>
      <c r="L426" s="189">
        <f t="shared" si="336"/>
        <v>5.2499999999999998E-2</v>
      </c>
      <c r="M426" s="189">
        <f>0.23*2</f>
        <v>0.46</v>
      </c>
      <c r="N426" s="189">
        <f t="shared" si="328"/>
        <v>-0.04</v>
      </c>
      <c r="O426" s="189">
        <f>2.8*0.3</f>
        <v>0.84</v>
      </c>
      <c r="P426" s="188">
        <f t="shared" si="329"/>
        <v>4.3525</v>
      </c>
      <c r="Q426" s="183">
        <f t="shared" si="337"/>
        <v>8</v>
      </c>
      <c r="R426" s="188">
        <f t="shared" si="338"/>
        <v>0.23</v>
      </c>
      <c r="S426" s="183">
        <f t="shared" si="339"/>
        <v>9</v>
      </c>
      <c r="T426" s="189">
        <f t="shared" si="340"/>
        <v>5.2499999999999998E-2</v>
      </c>
      <c r="U426" s="189">
        <f>0.23*2</f>
        <v>0.46</v>
      </c>
      <c r="V426" s="189">
        <f t="shared" si="330"/>
        <v>-0.04</v>
      </c>
      <c r="W426" s="189">
        <f>F426-2*0.02</f>
        <v>8.4999999999999992E-2</v>
      </c>
      <c r="X426" s="188">
        <f t="shared" si="324"/>
        <v>3.5975000000000001</v>
      </c>
      <c r="Y426" s="183">
        <f t="shared" si="341"/>
        <v>8</v>
      </c>
      <c r="Z426" s="188">
        <f t="shared" si="342"/>
        <v>0.3</v>
      </c>
      <c r="AA426" s="183">
        <f t="shared" si="343"/>
        <v>11</v>
      </c>
      <c r="AB426" s="189">
        <f t="shared" si="344"/>
        <v>5.2499999999999998E-2</v>
      </c>
      <c r="AC426" s="189">
        <f>0.23+0.3</f>
        <v>0.53</v>
      </c>
      <c r="AD426" s="189">
        <f t="shared" si="331"/>
        <v>-0.04</v>
      </c>
      <c r="AE426" s="189">
        <f>2.01*0.3</f>
        <v>0.60299999999999987</v>
      </c>
      <c r="AF426" s="188">
        <f t="shared" si="321"/>
        <v>3.2554999999999996</v>
      </c>
      <c r="AG426" s="183">
        <f t="shared" si="345"/>
        <v>8</v>
      </c>
      <c r="AH426" s="182">
        <f t="shared" si="346"/>
        <v>0.3</v>
      </c>
      <c r="AI426" s="183">
        <f t="shared" si="347"/>
        <v>10</v>
      </c>
      <c r="AJ426" s="189">
        <f t="shared" si="348"/>
        <v>5.2499999999999998E-2</v>
      </c>
      <c r="AK426" s="189">
        <f>0.23+0.3</f>
        <v>0.53</v>
      </c>
      <c r="AL426" s="189">
        <f t="shared" si="332"/>
        <v>-0.04</v>
      </c>
      <c r="AM426" s="189">
        <v>0</v>
      </c>
      <c r="AN426" s="188">
        <f t="shared" si="322"/>
        <v>2.6524999999999999</v>
      </c>
      <c r="AO426" s="183">
        <v>0</v>
      </c>
      <c r="AP426" s="182">
        <f t="shared" ref="AP426:AP477" si="349">(ROUND(D426/1.5,0)+ROUND(E426/1.5,0))*2</f>
        <v>6</v>
      </c>
      <c r="AQ426" s="182">
        <v>1.5</v>
      </c>
      <c r="AR426" s="187">
        <f t="shared" si="310"/>
        <v>75.902500000000003</v>
      </c>
      <c r="AS426" s="187">
        <f t="shared" si="311"/>
        <v>0</v>
      </c>
      <c r="AT426" s="187">
        <f t="shared" si="312"/>
        <v>0</v>
      </c>
      <c r="AU426" s="187">
        <f t="shared" si="313"/>
        <v>62.335499999999996</v>
      </c>
      <c r="AV426" s="187">
        <f t="shared" si="314"/>
        <v>0</v>
      </c>
      <c r="AW426" s="187">
        <f t="shared" ref="AW426:AW477" si="350">IF(AG426=12,AI426*AN426*B426,0)+IF(Y426=12,B426*AA426*AF426,0)</f>
        <v>0</v>
      </c>
      <c r="AX426" s="187">
        <f t="shared" ref="AX426:AX477" si="351">AP426*AQ426*B426</f>
        <v>9</v>
      </c>
      <c r="AY426" s="388"/>
      <c r="AZ426" s="436"/>
      <c r="BA426" s="428"/>
      <c r="BF426" s="403"/>
      <c r="BG426" s="403"/>
      <c r="BK426" s="443"/>
      <c r="BL426" s="443"/>
      <c r="BN426" s="443"/>
      <c r="BO426" s="443"/>
      <c r="BQ426" s="443"/>
      <c r="BR426" s="443"/>
      <c r="BT426" s="443"/>
      <c r="BU426" s="443"/>
      <c r="BW426" s="443"/>
      <c r="BX426" s="443"/>
      <c r="BZ426" s="443"/>
      <c r="CA426" s="443"/>
      <c r="CC426" s="443"/>
      <c r="CD426" s="443"/>
      <c r="CF426" s="443"/>
      <c r="CG426" s="443"/>
    </row>
    <row r="427" spans="1:85" s="395" customFormat="1" x14ac:dyDescent="0.3">
      <c r="A427" s="182" t="s">
        <v>239</v>
      </c>
      <c r="B427" s="183">
        <v>1</v>
      </c>
      <c r="C427" s="184" t="s">
        <v>517</v>
      </c>
      <c r="D427" s="187">
        <v>2.9</v>
      </c>
      <c r="E427" s="187">
        <v>1.65</v>
      </c>
      <c r="F427" s="186">
        <v>0.125</v>
      </c>
      <c r="G427" s="187">
        <f t="shared" si="325"/>
        <v>0.59812499999999991</v>
      </c>
      <c r="H427" s="188">
        <f t="shared" si="326"/>
        <v>4.7849999999999993</v>
      </c>
      <c r="I427" s="183">
        <f t="shared" si="333"/>
        <v>8</v>
      </c>
      <c r="J427" s="188">
        <f t="shared" si="334"/>
        <v>0.23</v>
      </c>
      <c r="K427" s="183">
        <f t="shared" si="335"/>
        <v>8</v>
      </c>
      <c r="L427" s="189">
        <f t="shared" si="336"/>
        <v>5.2499999999999998E-2</v>
      </c>
      <c r="M427" s="189">
        <f>0.23+0.3</f>
        <v>0.53</v>
      </c>
      <c r="N427" s="189">
        <f t="shared" si="328"/>
        <v>-0.04</v>
      </c>
      <c r="O427" s="189">
        <f>F427-2*0.02</f>
        <v>8.4999999999999992E-2</v>
      </c>
      <c r="P427" s="188">
        <f t="shared" si="329"/>
        <v>3.5274999999999999</v>
      </c>
      <c r="Q427" s="183">
        <f t="shared" si="337"/>
        <v>8</v>
      </c>
      <c r="R427" s="188">
        <f t="shared" si="338"/>
        <v>0.23</v>
      </c>
      <c r="S427" s="183">
        <f t="shared" si="339"/>
        <v>7</v>
      </c>
      <c r="T427" s="189">
        <f t="shared" si="340"/>
        <v>5.2499999999999998E-2</v>
      </c>
      <c r="U427" s="189">
        <f>0.23+0.3</f>
        <v>0.53</v>
      </c>
      <c r="V427" s="189">
        <f t="shared" si="330"/>
        <v>-0.04</v>
      </c>
      <c r="W427" s="189">
        <f>2.75*0.3</f>
        <v>0.82499999999999996</v>
      </c>
      <c r="X427" s="188">
        <f t="shared" si="324"/>
        <v>4.2675000000000001</v>
      </c>
      <c r="Y427" s="183">
        <f t="shared" si="341"/>
        <v>8</v>
      </c>
      <c r="Z427" s="188">
        <f t="shared" si="342"/>
        <v>0.3</v>
      </c>
      <c r="AA427" s="183">
        <f t="shared" si="343"/>
        <v>11</v>
      </c>
      <c r="AB427" s="189">
        <f t="shared" si="344"/>
        <v>5.2499999999999998E-2</v>
      </c>
      <c r="AC427" s="189">
        <f>0.3*2</f>
        <v>0.6</v>
      </c>
      <c r="AD427" s="189">
        <f t="shared" si="331"/>
        <v>-0.04</v>
      </c>
      <c r="AE427" s="189">
        <f>7.48*0.3</f>
        <v>2.2440000000000002</v>
      </c>
      <c r="AF427" s="188">
        <f t="shared" si="321"/>
        <v>4.5065</v>
      </c>
      <c r="AG427" s="183">
        <f t="shared" si="345"/>
        <v>8</v>
      </c>
      <c r="AH427" s="182">
        <f t="shared" si="346"/>
        <v>0.3</v>
      </c>
      <c r="AI427" s="183">
        <f t="shared" si="347"/>
        <v>10</v>
      </c>
      <c r="AJ427" s="189">
        <f t="shared" si="348"/>
        <v>5.2499999999999998E-2</v>
      </c>
      <c r="AK427" s="189">
        <f>0.3*2</f>
        <v>0.6</v>
      </c>
      <c r="AL427" s="189">
        <f t="shared" si="332"/>
        <v>-0.04</v>
      </c>
      <c r="AM427" s="189">
        <f>2.11*0.3</f>
        <v>0.6329999999999999</v>
      </c>
      <c r="AN427" s="188">
        <f t="shared" si="322"/>
        <v>2.8954999999999997</v>
      </c>
      <c r="AO427" s="183">
        <v>0</v>
      </c>
      <c r="AP427" s="182">
        <f t="shared" si="349"/>
        <v>6</v>
      </c>
      <c r="AQ427" s="182">
        <v>1.5</v>
      </c>
      <c r="AR427" s="187">
        <f t="shared" si="310"/>
        <v>58.092500000000001</v>
      </c>
      <c r="AS427" s="187">
        <f t="shared" si="311"/>
        <v>0</v>
      </c>
      <c r="AT427" s="187">
        <f t="shared" si="312"/>
        <v>0</v>
      </c>
      <c r="AU427" s="187">
        <f t="shared" si="313"/>
        <v>78.526499999999999</v>
      </c>
      <c r="AV427" s="187">
        <f t="shared" si="314"/>
        <v>0</v>
      </c>
      <c r="AW427" s="187">
        <f t="shared" si="350"/>
        <v>0</v>
      </c>
      <c r="AX427" s="187">
        <f t="shared" si="351"/>
        <v>9</v>
      </c>
      <c r="AY427" s="388"/>
      <c r="AZ427" s="436"/>
      <c r="BA427" s="428"/>
      <c r="BF427" s="403"/>
      <c r="BG427" s="403"/>
      <c r="BK427" s="443"/>
      <c r="BL427" s="443"/>
      <c r="BN427" s="443"/>
      <c r="BO427" s="443"/>
      <c r="BQ427" s="443"/>
      <c r="BR427" s="443"/>
      <c r="BT427" s="443"/>
      <c r="BU427" s="443"/>
      <c r="BW427" s="443"/>
      <c r="BX427" s="443"/>
      <c r="BZ427" s="443"/>
      <c r="CA427" s="443"/>
      <c r="CC427" s="443"/>
      <c r="CD427" s="443"/>
      <c r="CF427" s="443"/>
      <c r="CG427" s="443"/>
    </row>
    <row r="428" spans="1:85" s="395" customFormat="1" x14ac:dyDescent="0.3">
      <c r="A428" s="182" t="s">
        <v>239</v>
      </c>
      <c r="B428" s="183">
        <v>1</v>
      </c>
      <c r="C428" s="184" t="s">
        <v>518</v>
      </c>
      <c r="D428" s="187">
        <v>2.75</v>
      </c>
      <c r="E428" s="187">
        <v>2.75</v>
      </c>
      <c r="F428" s="186">
        <v>0.125</v>
      </c>
      <c r="G428" s="187">
        <f t="shared" si="325"/>
        <v>0.9453125</v>
      </c>
      <c r="H428" s="188">
        <f t="shared" si="326"/>
        <v>7.5625</v>
      </c>
      <c r="I428" s="183">
        <f t="shared" si="333"/>
        <v>8</v>
      </c>
      <c r="J428" s="188">
        <f t="shared" si="334"/>
        <v>0.23</v>
      </c>
      <c r="K428" s="183">
        <f t="shared" si="335"/>
        <v>13</v>
      </c>
      <c r="L428" s="189">
        <f t="shared" si="336"/>
        <v>5.2499999999999998E-2</v>
      </c>
      <c r="M428" s="189">
        <f>0.23+0.3</f>
        <v>0.53</v>
      </c>
      <c r="N428" s="189">
        <f t="shared" si="328"/>
        <v>-0.04</v>
      </c>
      <c r="O428" s="189">
        <f>2.9*0.3</f>
        <v>0.87</v>
      </c>
      <c r="P428" s="188">
        <f t="shared" si="329"/>
        <v>4.1624999999999996</v>
      </c>
      <c r="Q428" s="183">
        <f t="shared" si="337"/>
        <v>8</v>
      </c>
      <c r="R428" s="188">
        <f t="shared" si="338"/>
        <v>0.23</v>
      </c>
      <c r="S428" s="183">
        <f t="shared" si="339"/>
        <v>12</v>
      </c>
      <c r="T428" s="189">
        <f t="shared" si="340"/>
        <v>5.2499999999999998E-2</v>
      </c>
      <c r="U428" s="189">
        <f>0.23+0.3</f>
        <v>0.53</v>
      </c>
      <c r="V428" s="189">
        <f t="shared" si="330"/>
        <v>-0.04</v>
      </c>
      <c r="W428" s="189">
        <f>5.4*0.3</f>
        <v>1.62</v>
      </c>
      <c r="X428" s="188">
        <f t="shared" si="324"/>
        <v>4.9124999999999996</v>
      </c>
      <c r="Y428" s="183">
        <f t="shared" si="341"/>
        <v>8</v>
      </c>
      <c r="Z428" s="188">
        <f t="shared" si="342"/>
        <v>0.3</v>
      </c>
      <c r="AA428" s="183">
        <f t="shared" si="343"/>
        <v>10</v>
      </c>
      <c r="AB428" s="189">
        <f t="shared" si="344"/>
        <v>5.2499999999999998E-2</v>
      </c>
      <c r="AC428" s="189">
        <f>0.3*2</f>
        <v>0.6</v>
      </c>
      <c r="AD428" s="189">
        <f t="shared" si="331"/>
        <v>-0.04</v>
      </c>
      <c r="AE428" s="189">
        <f>6.62*0.3</f>
        <v>1.986</v>
      </c>
      <c r="AF428" s="188">
        <f t="shared" si="321"/>
        <v>5.3484999999999996</v>
      </c>
      <c r="AG428" s="183">
        <f t="shared" si="345"/>
        <v>8</v>
      </c>
      <c r="AH428" s="182">
        <f t="shared" si="346"/>
        <v>0.3</v>
      </c>
      <c r="AI428" s="183">
        <f t="shared" si="347"/>
        <v>9</v>
      </c>
      <c r="AJ428" s="189">
        <f t="shared" si="348"/>
        <v>5.2499999999999998E-2</v>
      </c>
      <c r="AK428" s="189">
        <f>0.3*2</f>
        <v>0.6</v>
      </c>
      <c r="AL428" s="189">
        <f t="shared" si="332"/>
        <v>-0.04</v>
      </c>
      <c r="AM428" s="189">
        <f>1.87*0.3</f>
        <v>0.56100000000000005</v>
      </c>
      <c r="AN428" s="188">
        <f t="shared" si="322"/>
        <v>3.9234999999999998</v>
      </c>
      <c r="AO428" s="183">
        <v>0</v>
      </c>
      <c r="AP428" s="182">
        <f t="shared" si="349"/>
        <v>8</v>
      </c>
      <c r="AQ428" s="182">
        <v>1.5</v>
      </c>
      <c r="AR428" s="187">
        <f t="shared" ref="AR428:AR477" si="352">IF(I428=8,K428*P428*B428,0)+IF(Q428=8,S428*X428*B428,0)</f>
        <v>113.0625</v>
      </c>
      <c r="AS428" s="187">
        <f t="shared" ref="AS428:AS477" si="353">IF(I428=10,K428*P428*B428,0)+IF(Q428=10,S428*X428*B428,0)</f>
        <v>0</v>
      </c>
      <c r="AT428" s="187">
        <f t="shared" ref="AT428:AT477" si="354">IF(I428=12,K428*P428*B428,0)+IF(Q428=12,S428*X428*B428,0)</f>
        <v>0</v>
      </c>
      <c r="AU428" s="187">
        <f t="shared" ref="AU428:AU477" si="355">IF(AG428=8,AI428*AN428*B428,0)+IF(Y428=8,B428*AA428*AF428,0)</f>
        <v>88.796499999999995</v>
      </c>
      <c r="AV428" s="187">
        <f t="shared" ref="AV428:AV477" si="356">IF(AG428=10,AI428*AN428*B428,0)+IF(Y428=10,B428*AA428*AF428,0)</f>
        <v>0</v>
      </c>
      <c r="AW428" s="187">
        <f t="shared" si="350"/>
        <v>0</v>
      </c>
      <c r="AX428" s="187">
        <f t="shared" si="351"/>
        <v>12</v>
      </c>
      <c r="AY428" s="388"/>
      <c r="AZ428" s="436"/>
      <c r="BA428" s="428"/>
      <c r="BF428" s="403"/>
      <c r="BG428" s="403"/>
      <c r="BK428" s="443"/>
      <c r="BL428" s="443"/>
      <c r="BN428" s="443"/>
      <c r="BO428" s="443"/>
      <c r="BQ428" s="443"/>
      <c r="BR428" s="443"/>
      <c r="BT428" s="443"/>
      <c r="BU428" s="443"/>
      <c r="BW428" s="443"/>
      <c r="BX428" s="443"/>
      <c r="BZ428" s="443"/>
      <c r="CA428" s="443"/>
      <c r="CC428" s="443"/>
      <c r="CD428" s="443"/>
      <c r="CF428" s="443"/>
      <c r="CG428" s="443"/>
    </row>
    <row r="429" spans="1:85" s="395" customFormat="1" x14ac:dyDescent="0.3">
      <c r="A429" s="182" t="s">
        <v>236</v>
      </c>
      <c r="B429" s="183">
        <v>1</v>
      </c>
      <c r="C429" s="184" t="s">
        <v>519</v>
      </c>
      <c r="D429" s="187">
        <v>5.4</v>
      </c>
      <c r="E429" s="187">
        <v>2.8</v>
      </c>
      <c r="F429" s="186">
        <v>0.16500000000000001</v>
      </c>
      <c r="G429" s="187">
        <f t="shared" si="325"/>
        <v>2.4948000000000001</v>
      </c>
      <c r="H429" s="188">
        <f t="shared" si="326"/>
        <v>15.12</v>
      </c>
      <c r="I429" s="183">
        <f t="shared" si="333"/>
        <v>10</v>
      </c>
      <c r="J429" s="188">
        <f t="shared" si="334"/>
        <v>0.19</v>
      </c>
      <c r="K429" s="183">
        <f t="shared" si="335"/>
        <v>16</v>
      </c>
      <c r="L429" s="189">
        <f t="shared" si="336"/>
        <v>6.93E-2</v>
      </c>
      <c r="M429" s="189">
        <f>0.3*2</f>
        <v>0.6</v>
      </c>
      <c r="N429" s="189">
        <f t="shared" si="328"/>
        <v>-0.04</v>
      </c>
      <c r="O429" s="189">
        <f>2.75*0.3</f>
        <v>0.82499999999999996</v>
      </c>
      <c r="P429" s="188">
        <f t="shared" si="329"/>
        <v>6.8543000000000003</v>
      </c>
      <c r="Q429" s="183">
        <f t="shared" si="337"/>
        <v>10</v>
      </c>
      <c r="R429" s="188">
        <f t="shared" si="338"/>
        <v>0.19</v>
      </c>
      <c r="S429" s="183">
        <f t="shared" si="339"/>
        <v>15</v>
      </c>
      <c r="T429" s="189">
        <f t="shared" si="340"/>
        <v>6.93E-2</v>
      </c>
      <c r="U429" s="189">
        <f>0.3*2</f>
        <v>0.6</v>
      </c>
      <c r="V429" s="189">
        <f t="shared" si="330"/>
        <v>-0.04</v>
      </c>
      <c r="W429" s="189">
        <f>2.35*0.3</f>
        <v>0.70499999999999996</v>
      </c>
      <c r="X429" s="188">
        <f t="shared" si="324"/>
        <v>6.7343000000000002</v>
      </c>
      <c r="Y429" s="183">
        <f t="shared" si="341"/>
        <v>8</v>
      </c>
      <c r="Z429" s="188">
        <f t="shared" si="342"/>
        <v>0.2</v>
      </c>
      <c r="AA429" s="183">
        <f t="shared" si="343"/>
        <v>28</v>
      </c>
      <c r="AB429" s="189">
        <f t="shared" si="344"/>
        <v>6.93E-2</v>
      </c>
      <c r="AC429" s="189">
        <f>0.35+0.44</f>
        <v>0.79</v>
      </c>
      <c r="AD429" s="189">
        <f t="shared" si="331"/>
        <v>-0.04</v>
      </c>
      <c r="AE429" s="189">
        <f>3.306*0.3</f>
        <v>0.99180000000000001</v>
      </c>
      <c r="AF429" s="188">
        <f t="shared" si="321"/>
        <v>4.6111000000000004</v>
      </c>
      <c r="AG429" s="183">
        <f t="shared" si="345"/>
        <v>8</v>
      </c>
      <c r="AH429" s="182">
        <f t="shared" si="346"/>
        <v>0.2</v>
      </c>
      <c r="AI429" s="183">
        <f t="shared" si="347"/>
        <v>27</v>
      </c>
      <c r="AJ429" s="189">
        <f t="shared" si="348"/>
        <v>6.93E-2</v>
      </c>
      <c r="AK429" s="189">
        <f>0.35+0.44</f>
        <v>0.79</v>
      </c>
      <c r="AL429" s="189">
        <f t="shared" si="332"/>
        <v>-0.04</v>
      </c>
      <c r="AM429" s="189">
        <f>2.0016*0.3</f>
        <v>0.6004799999999999</v>
      </c>
      <c r="AN429" s="188">
        <f t="shared" si="322"/>
        <v>4.2197800000000001</v>
      </c>
      <c r="AO429" s="183">
        <v>0</v>
      </c>
      <c r="AP429" s="182">
        <f t="shared" si="349"/>
        <v>12</v>
      </c>
      <c r="AQ429" s="182">
        <v>1.5</v>
      </c>
      <c r="AR429" s="187">
        <f t="shared" si="352"/>
        <v>0</v>
      </c>
      <c r="AS429" s="187">
        <f t="shared" si="353"/>
        <v>210.6833</v>
      </c>
      <c r="AT429" s="187">
        <f t="shared" si="354"/>
        <v>0</v>
      </c>
      <c r="AU429" s="187">
        <f t="shared" si="355"/>
        <v>243.04486000000003</v>
      </c>
      <c r="AV429" s="187">
        <f t="shared" si="356"/>
        <v>0</v>
      </c>
      <c r="AW429" s="187">
        <f t="shared" si="350"/>
        <v>0</v>
      </c>
      <c r="AX429" s="187">
        <f t="shared" si="351"/>
        <v>18</v>
      </c>
      <c r="AY429" s="388"/>
      <c r="AZ429" s="436"/>
      <c r="BA429" s="428"/>
      <c r="BF429" s="403"/>
      <c r="BG429" s="403"/>
      <c r="BK429" s="443"/>
      <c r="BL429" s="443"/>
      <c r="BN429" s="443"/>
      <c r="BO429" s="443"/>
      <c r="BQ429" s="443"/>
      <c r="BR429" s="443"/>
      <c r="BT429" s="443"/>
      <c r="BU429" s="443"/>
      <c r="BW429" s="443"/>
      <c r="BX429" s="443"/>
      <c r="BZ429" s="443"/>
      <c r="CA429" s="443"/>
      <c r="CC429" s="443"/>
      <c r="CD429" s="443"/>
      <c r="CF429" s="443"/>
      <c r="CG429" s="443"/>
    </row>
    <row r="430" spans="1:85" s="395" customFormat="1" x14ac:dyDescent="0.3">
      <c r="A430" s="182" t="s">
        <v>242</v>
      </c>
      <c r="B430" s="183">
        <v>1</v>
      </c>
      <c r="C430" s="184" t="s">
        <v>520</v>
      </c>
      <c r="D430" s="187">
        <v>2.35</v>
      </c>
      <c r="E430" s="187">
        <v>3.83</v>
      </c>
      <c r="F430" s="186">
        <v>0.14000000000000001</v>
      </c>
      <c r="G430" s="187">
        <f t="shared" si="325"/>
        <v>1.2600700000000002</v>
      </c>
      <c r="H430" s="188">
        <f t="shared" si="326"/>
        <v>9.0005000000000006</v>
      </c>
      <c r="I430" s="183">
        <f t="shared" si="333"/>
        <v>10</v>
      </c>
      <c r="J430" s="188">
        <f t="shared" si="334"/>
        <v>0.2</v>
      </c>
      <c r="K430" s="183">
        <f t="shared" si="335"/>
        <v>20</v>
      </c>
      <c r="L430" s="189">
        <f t="shared" si="336"/>
        <v>5.8800000000000005E-2</v>
      </c>
      <c r="M430" s="189">
        <f>0.23+0.3</f>
        <v>0.53</v>
      </c>
      <c r="N430" s="189">
        <f t="shared" si="328"/>
        <v>-0.04</v>
      </c>
      <c r="O430" s="189">
        <f>5.4*0.3</f>
        <v>1.62</v>
      </c>
      <c r="P430" s="188">
        <f t="shared" si="329"/>
        <v>4.5188000000000006</v>
      </c>
      <c r="Q430" s="183">
        <f t="shared" si="337"/>
        <v>10</v>
      </c>
      <c r="R430" s="188">
        <f t="shared" si="338"/>
        <v>0.2</v>
      </c>
      <c r="S430" s="183">
        <f t="shared" si="339"/>
        <v>19</v>
      </c>
      <c r="T430" s="189">
        <f t="shared" si="340"/>
        <v>5.8800000000000005E-2</v>
      </c>
      <c r="U430" s="189">
        <f>0.23+0.3</f>
        <v>0.53</v>
      </c>
      <c r="V430" s="189">
        <f t="shared" si="330"/>
        <v>-0.04</v>
      </c>
      <c r="W430" s="189">
        <f>2.5*0.3</f>
        <v>0.75</v>
      </c>
      <c r="X430" s="188">
        <f t="shared" si="324"/>
        <v>3.6488</v>
      </c>
      <c r="Y430" s="183">
        <f t="shared" si="341"/>
        <v>8</v>
      </c>
      <c r="Z430" s="188">
        <f t="shared" si="342"/>
        <v>0.3</v>
      </c>
      <c r="AA430" s="183">
        <f t="shared" si="343"/>
        <v>9</v>
      </c>
      <c r="AB430" s="189">
        <f t="shared" si="344"/>
        <v>5.8800000000000005E-2</v>
      </c>
      <c r="AC430" s="189">
        <f>0.3+0.37</f>
        <v>0.66999999999999993</v>
      </c>
      <c r="AD430" s="189">
        <f t="shared" si="331"/>
        <v>-0.04</v>
      </c>
      <c r="AE430" s="189">
        <f>3.2*0.3</f>
        <v>0.96</v>
      </c>
      <c r="AF430" s="188">
        <f t="shared" si="321"/>
        <v>5.4787999999999997</v>
      </c>
      <c r="AG430" s="183">
        <f t="shared" si="345"/>
        <v>8</v>
      </c>
      <c r="AH430" s="182">
        <f t="shared" si="346"/>
        <v>0.3</v>
      </c>
      <c r="AI430" s="183">
        <f t="shared" si="347"/>
        <v>8</v>
      </c>
      <c r="AJ430" s="189">
        <f t="shared" si="348"/>
        <v>5.8800000000000005E-2</v>
      </c>
      <c r="AK430" s="189">
        <f>0.3+0.37</f>
        <v>0.66999999999999993</v>
      </c>
      <c r="AL430" s="189">
        <f t="shared" si="332"/>
        <v>-0.04</v>
      </c>
      <c r="AM430" s="189">
        <v>0</v>
      </c>
      <c r="AN430" s="188">
        <f t="shared" si="322"/>
        <v>4.5187999999999997</v>
      </c>
      <c r="AO430" s="183">
        <v>0</v>
      </c>
      <c r="AP430" s="182">
        <f t="shared" si="349"/>
        <v>10</v>
      </c>
      <c r="AQ430" s="182">
        <v>1.5</v>
      </c>
      <c r="AR430" s="187">
        <f t="shared" si="352"/>
        <v>0</v>
      </c>
      <c r="AS430" s="187">
        <f t="shared" si="353"/>
        <v>159.70320000000001</v>
      </c>
      <c r="AT430" s="187">
        <f t="shared" si="354"/>
        <v>0</v>
      </c>
      <c r="AU430" s="187">
        <f t="shared" si="355"/>
        <v>85.459599999999995</v>
      </c>
      <c r="AV430" s="187">
        <f t="shared" si="356"/>
        <v>0</v>
      </c>
      <c r="AW430" s="187">
        <f t="shared" si="350"/>
        <v>0</v>
      </c>
      <c r="AX430" s="187">
        <f t="shared" si="351"/>
        <v>15</v>
      </c>
      <c r="AY430" s="388"/>
      <c r="AZ430" s="436"/>
      <c r="BA430" s="428"/>
      <c r="BF430" s="403"/>
      <c r="BG430" s="403"/>
      <c r="BK430" s="443"/>
      <c r="BL430" s="443"/>
      <c r="BN430" s="443"/>
      <c r="BO430" s="443"/>
      <c r="BQ430" s="443"/>
      <c r="BR430" s="443"/>
      <c r="BT430" s="443"/>
      <c r="BU430" s="443"/>
      <c r="BW430" s="443"/>
      <c r="BX430" s="443"/>
      <c r="BZ430" s="443"/>
      <c r="CA430" s="443"/>
      <c r="CC430" s="443"/>
      <c r="CD430" s="443"/>
      <c r="CF430" s="443"/>
      <c r="CG430" s="443"/>
    </row>
    <row r="431" spans="1:85" s="395" customFormat="1" x14ac:dyDescent="0.3">
      <c r="A431" s="182" t="s">
        <v>242</v>
      </c>
      <c r="B431" s="183">
        <v>1</v>
      </c>
      <c r="C431" s="184" t="s">
        <v>521</v>
      </c>
      <c r="D431" s="187">
        <v>2.5</v>
      </c>
      <c r="E431" s="187">
        <v>3.93</v>
      </c>
      <c r="F431" s="186">
        <v>0.14000000000000001</v>
      </c>
      <c r="G431" s="187">
        <f t="shared" si="325"/>
        <v>1.3755000000000004</v>
      </c>
      <c r="H431" s="188">
        <f t="shared" si="326"/>
        <v>9.8250000000000011</v>
      </c>
      <c r="I431" s="183">
        <f t="shared" si="333"/>
        <v>10</v>
      </c>
      <c r="J431" s="188">
        <f t="shared" si="334"/>
        <v>0.2</v>
      </c>
      <c r="K431" s="183">
        <f t="shared" si="335"/>
        <v>21</v>
      </c>
      <c r="L431" s="189">
        <f t="shared" si="336"/>
        <v>5.8800000000000005E-2</v>
      </c>
      <c r="M431" s="189">
        <f>0.23*2</f>
        <v>0.46</v>
      </c>
      <c r="N431" s="189">
        <f t="shared" si="328"/>
        <v>-0.04</v>
      </c>
      <c r="O431" s="189">
        <f>2.35*0.3</f>
        <v>0.70499999999999996</v>
      </c>
      <c r="P431" s="188">
        <f t="shared" si="329"/>
        <v>3.6837999999999997</v>
      </c>
      <c r="Q431" s="183">
        <f t="shared" si="337"/>
        <v>10</v>
      </c>
      <c r="R431" s="188">
        <f t="shared" si="338"/>
        <v>0.2</v>
      </c>
      <c r="S431" s="183">
        <f t="shared" si="339"/>
        <v>20</v>
      </c>
      <c r="T431" s="189">
        <f t="shared" si="340"/>
        <v>5.8800000000000005E-2</v>
      </c>
      <c r="U431" s="189">
        <f>0.23*2</f>
        <v>0.46</v>
      </c>
      <c r="V431" s="189">
        <f t="shared" si="330"/>
        <v>-0.04</v>
      </c>
      <c r="W431" s="189">
        <f>2.29*0.3</f>
        <v>0.68699999999999994</v>
      </c>
      <c r="X431" s="188">
        <f t="shared" si="324"/>
        <v>3.6657999999999999</v>
      </c>
      <c r="Y431" s="183">
        <f t="shared" si="341"/>
        <v>8</v>
      </c>
      <c r="Z431" s="188">
        <f t="shared" si="342"/>
        <v>0.3</v>
      </c>
      <c r="AA431" s="183">
        <f t="shared" si="343"/>
        <v>9</v>
      </c>
      <c r="AB431" s="189">
        <f t="shared" si="344"/>
        <v>5.8800000000000005E-2</v>
      </c>
      <c r="AC431" s="189">
        <f>0.23+0.3</f>
        <v>0.53</v>
      </c>
      <c r="AD431" s="189">
        <f t="shared" si="331"/>
        <v>-0.04</v>
      </c>
      <c r="AE431" s="189">
        <f>3.05*0.3</f>
        <v>0.91499999999999992</v>
      </c>
      <c r="AF431" s="188">
        <f t="shared" si="321"/>
        <v>5.3938000000000006</v>
      </c>
      <c r="AG431" s="183">
        <f t="shared" si="345"/>
        <v>8</v>
      </c>
      <c r="AH431" s="182">
        <f t="shared" si="346"/>
        <v>0.3</v>
      </c>
      <c r="AI431" s="183">
        <f t="shared" si="347"/>
        <v>8</v>
      </c>
      <c r="AJ431" s="189">
        <f t="shared" si="348"/>
        <v>5.8800000000000005E-2</v>
      </c>
      <c r="AK431" s="189">
        <f>0.23+0.3</f>
        <v>0.53</v>
      </c>
      <c r="AL431" s="189">
        <f t="shared" si="332"/>
        <v>-0.04</v>
      </c>
      <c r="AM431" s="189">
        <v>0</v>
      </c>
      <c r="AN431" s="188">
        <f t="shared" si="322"/>
        <v>4.4787999999999997</v>
      </c>
      <c r="AO431" s="183">
        <v>0</v>
      </c>
      <c r="AP431" s="182">
        <f t="shared" si="349"/>
        <v>10</v>
      </c>
      <c r="AQ431" s="182">
        <v>1.5</v>
      </c>
      <c r="AR431" s="187">
        <f t="shared" si="352"/>
        <v>0</v>
      </c>
      <c r="AS431" s="187">
        <f t="shared" si="353"/>
        <v>150.67579999999998</v>
      </c>
      <c r="AT431" s="187">
        <f t="shared" si="354"/>
        <v>0</v>
      </c>
      <c r="AU431" s="187">
        <f t="shared" si="355"/>
        <v>84.374600000000001</v>
      </c>
      <c r="AV431" s="187">
        <f t="shared" si="356"/>
        <v>0</v>
      </c>
      <c r="AW431" s="187">
        <f t="shared" si="350"/>
        <v>0</v>
      </c>
      <c r="AX431" s="187">
        <f t="shared" si="351"/>
        <v>15</v>
      </c>
      <c r="AY431" s="388"/>
      <c r="AZ431" s="436"/>
      <c r="BA431" s="428"/>
      <c r="BF431" s="403"/>
      <c r="BG431" s="403"/>
      <c r="BK431" s="443"/>
      <c r="BL431" s="443"/>
      <c r="BN431" s="443"/>
      <c r="BO431" s="443"/>
      <c r="BQ431" s="443"/>
      <c r="BR431" s="443"/>
      <c r="BT431" s="443"/>
      <c r="BU431" s="443"/>
      <c r="BW431" s="443"/>
      <c r="BX431" s="443"/>
      <c r="BZ431" s="443"/>
      <c r="CA431" s="443"/>
      <c r="CC431" s="443"/>
      <c r="CD431" s="443"/>
      <c r="CF431" s="443"/>
      <c r="CG431" s="443"/>
    </row>
    <row r="432" spans="1:85" s="395" customFormat="1" x14ac:dyDescent="0.3">
      <c r="A432" s="182" t="s">
        <v>223</v>
      </c>
      <c r="B432" s="183">
        <v>1</v>
      </c>
      <c r="C432" s="184" t="s">
        <v>346</v>
      </c>
      <c r="D432" s="187">
        <v>2.29</v>
      </c>
      <c r="E432" s="187">
        <v>3.93</v>
      </c>
      <c r="F432" s="186">
        <v>0.13</v>
      </c>
      <c r="G432" s="187">
        <f t="shared" si="325"/>
        <v>1.169961</v>
      </c>
      <c r="H432" s="188">
        <f t="shared" si="326"/>
        <v>8.9997000000000007</v>
      </c>
      <c r="I432" s="183">
        <f t="shared" si="333"/>
        <v>8</v>
      </c>
      <c r="J432" s="188">
        <f t="shared" si="334"/>
        <v>0.2</v>
      </c>
      <c r="K432" s="183">
        <f t="shared" si="335"/>
        <v>21</v>
      </c>
      <c r="L432" s="189">
        <f t="shared" si="336"/>
        <v>5.4600000000000003E-2</v>
      </c>
      <c r="M432" s="189">
        <f>0.23*2</f>
        <v>0.46</v>
      </c>
      <c r="N432" s="189">
        <f t="shared" si="328"/>
        <v>-0.04</v>
      </c>
      <c r="O432" s="189">
        <f>2.5*0.3</f>
        <v>0.75</v>
      </c>
      <c r="P432" s="188">
        <f t="shared" si="329"/>
        <v>3.5146000000000002</v>
      </c>
      <c r="Q432" s="183">
        <f t="shared" si="337"/>
        <v>8</v>
      </c>
      <c r="R432" s="188">
        <f t="shared" si="338"/>
        <v>0.2</v>
      </c>
      <c r="S432" s="183">
        <f t="shared" si="339"/>
        <v>20</v>
      </c>
      <c r="T432" s="189">
        <f t="shared" si="340"/>
        <v>5.4600000000000003E-2</v>
      </c>
      <c r="U432" s="189">
        <f>0.23*2</f>
        <v>0.46</v>
      </c>
      <c r="V432" s="189">
        <f t="shared" si="330"/>
        <v>-0.04</v>
      </c>
      <c r="W432" s="189">
        <f>2.5*0.3</f>
        <v>0.75</v>
      </c>
      <c r="X432" s="188">
        <f t="shared" si="324"/>
        <v>3.5146000000000002</v>
      </c>
      <c r="Y432" s="183">
        <f t="shared" si="341"/>
        <v>8</v>
      </c>
      <c r="Z432" s="188">
        <f t="shared" si="342"/>
        <v>0.36</v>
      </c>
      <c r="AA432" s="183">
        <f t="shared" si="343"/>
        <v>7</v>
      </c>
      <c r="AB432" s="189">
        <f t="shared" si="344"/>
        <v>5.4600000000000003E-2</v>
      </c>
      <c r="AC432" s="189">
        <f>0.23*2</f>
        <v>0.46</v>
      </c>
      <c r="AD432" s="189">
        <f t="shared" si="331"/>
        <v>-0.04</v>
      </c>
      <c r="AE432" s="189">
        <f>4.19*0.3</f>
        <v>1.2570000000000001</v>
      </c>
      <c r="AF432" s="188">
        <f t="shared" si="321"/>
        <v>5.6616</v>
      </c>
      <c r="AG432" s="183">
        <f t="shared" si="345"/>
        <v>8</v>
      </c>
      <c r="AH432" s="182">
        <f t="shared" si="346"/>
        <v>0.36</v>
      </c>
      <c r="AI432" s="183">
        <f t="shared" si="347"/>
        <v>6</v>
      </c>
      <c r="AJ432" s="189">
        <f t="shared" si="348"/>
        <v>5.4600000000000003E-2</v>
      </c>
      <c r="AK432" s="189">
        <f>0.23*2</f>
        <v>0.46</v>
      </c>
      <c r="AL432" s="189">
        <f t="shared" si="332"/>
        <v>-0.04</v>
      </c>
      <c r="AM432" s="189">
        <f>2.5*0.3</f>
        <v>0.75</v>
      </c>
      <c r="AN432" s="188">
        <f t="shared" si="322"/>
        <v>5.1546000000000003</v>
      </c>
      <c r="AO432" s="183">
        <v>0</v>
      </c>
      <c r="AP432" s="182">
        <f t="shared" si="349"/>
        <v>10</v>
      </c>
      <c r="AQ432" s="182">
        <v>1.5</v>
      </c>
      <c r="AR432" s="187">
        <f t="shared" si="352"/>
        <v>144.0986</v>
      </c>
      <c r="AS432" s="187">
        <f t="shared" si="353"/>
        <v>0</v>
      </c>
      <c r="AT432" s="187">
        <f t="shared" si="354"/>
        <v>0</v>
      </c>
      <c r="AU432" s="187">
        <f t="shared" si="355"/>
        <v>70.558800000000005</v>
      </c>
      <c r="AV432" s="187">
        <f t="shared" si="356"/>
        <v>0</v>
      </c>
      <c r="AW432" s="187">
        <f t="shared" si="350"/>
        <v>0</v>
      </c>
      <c r="AX432" s="187">
        <f t="shared" si="351"/>
        <v>15</v>
      </c>
      <c r="AY432" s="388"/>
      <c r="AZ432" s="436"/>
      <c r="BA432" s="428"/>
      <c r="BF432" s="403"/>
      <c r="BG432" s="403"/>
      <c r="BK432" s="443"/>
      <c r="BL432" s="443"/>
      <c r="BN432" s="443"/>
      <c r="BO432" s="443"/>
      <c r="BQ432" s="443"/>
      <c r="BR432" s="443"/>
      <c r="BT432" s="443"/>
      <c r="BU432" s="443"/>
      <c r="BW432" s="443"/>
      <c r="BX432" s="443"/>
      <c r="BZ432" s="443"/>
      <c r="CA432" s="443"/>
      <c r="CC432" s="443"/>
      <c r="CD432" s="443"/>
      <c r="CF432" s="443"/>
      <c r="CG432" s="443"/>
    </row>
    <row r="433" spans="1:85" s="395" customFormat="1" x14ac:dyDescent="0.3">
      <c r="A433" s="182" t="s">
        <v>229</v>
      </c>
      <c r="B433" s="183">
        <v>1</v>
      </c>
      <c r="C433" s="184" t="s">
        <v>345</v>
      </c>
      <c r="D433" s="187">
        <v>2.5</v>
      </c>
      <c r="E433" s="187">
        <v>3.43</v>
      </c>
      <c r="F433" s="186">
        <v>0.13</v>
      </c>
      <c r="G433" s="187">
        <f t="shared" si="325"/>
        <v>1.1147500000000001</v>
      </c>
      <c r="H433" s="188">
        <f t="shared" si="326"/>
        <v>8.5750000000000011</v>
      </c>
      <c r="I433" s="183">
        <f t="shared" si="333"/>
        <v>8</v>
      </c>
      <c r="J433" s="188">
        <f t="shared" si="334"/>
        <v>0.17</v>
      </c>
      <c r="K433" s="183">
        <f t="shared" si="335"/>
        <v>21</v>
      </c>
      <c r="L433" s="189">
        <f t="shared" si="336"/>
        <v>5.4600000000000003E-2</v>
      </c>
      <c r="M433" s="189">
        <f>0.23*2</f>
        <v>0.46</v>
      </c>
      <c r="N433" s="189">
        <f t="shared" si="328"/>
        <v>-0.04</v>
      </c>
      <c r="O433" s="189">
        <f>2.29*0.3</f>
        <v>0.68699999999999994</v>
      </c>
      <c r="P433" s="188">
        <f t="shared" si="329"/>
        <v>3.6616</v>
      </c>
      <c r="Q433" s="183">
        <f t="shared" si="337"/>
        <v>8</v>
      </c>
      <c r="R433" s="188">
        <f t="shared" si="338"/>
        <v>0.17</v>
      </c>
      <c r="S433" s="183">
        <f t="shared" si="339"/>
        <v>20</v>
      </c>
      <c r="T433" s="189">
        <f t="shared" si="340"/>
        <v>5.4600000000000003E-2</v>
      </c>
      <c r="U433" s="189">
        <f>0.23*2</f>
        <v>0.46</v>
      </c>
      <c r="V433" s="189">
        <f t="shared" si="330"/>
        <v>-0.04</v>
      </c>
      <c r="W433" s="189">
        <f>2.94*0.3</f>
        <v>0.88200000000000001</v>
      </c>
      <c r="X433" s="188">
        <f t="shared" si="324"/>
        <v>3.8566000000000003</v>
      </c>
      <c r="Y433" s="183">
        <f t="shared" si="341"/>
        <v>8</v>
      </c>
      <c r="Z433" s="188">
        <f t="shared" si="342"/>
        <v>0.24</v>
      </c>
      <c r="AA433" s="183">
        <f t="shared" si="343"/>
        <v>11</v>
      </c>
      <c r="AB433" s="189">
        <f t="shared" si="344"/>
        <v>5.4600000000000003E-2</v>
      </c>
      <c r="AC433" s="189">
        <f>0.23+0.3</f>
        <v>0.53</v>
      </c>
      <c r="AD433" s="189">
        <f t="shared" si="331"/>
        <v>-0.04</v>
      </c>
      <c r="AE433" s="189">
        <f>3.05*0.3</f>
        <v>0.91499999999999992</v>
      </c>
      <c r="AF433" s="188">
        <f t="shared" si="321"/>
        <v>4.8895999999999997</v>
      </c>
      <c r="AG433" s="183">
        <f t="shared" si="345"/>
        <v>8</v>
      </c>
      <c r="AH433" s="182">
        <f t="shared" si="346"/>
        <v>0.24</v>
      </c>
      <c r="AI433" s="183">
        <f t="shared" si="347"/>
        <v>10</v>
      </c>
      <c r="AJ433" s="189">
        <f t="shared" si="348"/>
        <v>5.4600000000000003E-2</v>
      </c>
      <c r="AK433" s="189">
        <f>0.23+0.3</f>
        <v>0.53</v>
      </c>
      <c r="AL433" s="189">
        <f t="shared" si="332"/>
        <v>-0.04</v>
      </c>
      <c r="AM433" s="189">
        <v>0</v>
      </c>
      <c r="AN433" s="188">
        <f t="shared" si="322"/>
        <v>3.9746000000000001</v>
      </c>
      <c r="AO433" s="183">
        <v>0</v>
      </c>
      <c r="AP433" s="182">
        <f t="shared" si="349"/>
        <v>8</v>
      </c>
      <c r="AQ433" s="182">
        <v>1.5</v>
      </c>
      <c r="AR433" s="187">
        <f t="shared" si="352"/>
        <v>154.0256</v>
      </c>
      <c r="AS433" s="187">
        <f t="shared" si="353"/>
        <v>0</v>
      </c>
      <c r="AT433" s="187">
        <f t="shared" si="354"/>
        <v>0</v>
      </c>
      <c r="AU433" s="187">
        <f t="shared" si="355"/>
        <v>93.531599999999997</v>
      </c>
      <c r="AV433" s="187">
        <f t="shared" si="356"/>
        <v>0</v>
      </c>
      <c r="AW433" s="187">
        <f t="shared" si="350"/>
        <v>0</v>
      </c>
      <c r="AX433" s="187">
        <f t="shared" si="351"/>
        <v>12</v>
      </c>
      <c r="AY433" s="388"/>
      <c r="AZ433" s="436"/>
      <c r="BA433" s="428"/>
      <c r="BF433" s="403"/>
      <c r="BG433" s="403"/>
      <c r="BK433" s="443"/>
      <c r="BL433" s="443"/>
      <c r="BN433" s="443"/>
      <c r="BO433" s="443"/>
      <c r="BQ433" s="443"/>
      <c r="BR433" s="443"/>
      <c r="BT433" s="443"/>
      <c r="BU433" s="443"/>
      <c r="BW433" s="443"/>
      <c r="BX433" s="443"/>
      <c r="BZ433" s="443"/>
      <c r="CA433" s="443"/>
      <c r="CC433" s="443"/>
      <c r="CD433" s="443"/>
      <c r="CF433" s="443"/>
      <c r="CG433" s="443"/>
    </row>
    <row r="434" spans="1:85" s="395" customFormat="1" x14ac:dyDescent="0.3">
      <c r="A434" s="182" t="s">
        <v>239</v>
      </c>
      <c r="B434" s="183">
        <v>1</v>
      </c>
      <c r="C434" s="184" t="s">
        <v>344</v>
      </c>
      <c r="D434" s="187">
        <v>2.94</v>
      </c>
      <c r="E434" s="187">
        <v>2.44</v>
      </c>
      <c r="F434" s="186">
        <v>0.125</v>
      </c>
      <c r="G434" s="187">
        <f t="shared" si="325"/>
        <v>0.89669999999999994</v>
      </c>
      <c r="H434" s="188">
        <f t="shared" si="326"/>
        <v>7.1735999999999995</v>
      </c>
      <c r="I434" s="183">
        <f t="shared" si="333"/>
        <v>8</v>
      </c>
      <c r="J434" s="188">
        <f t="shared" si="334"/>
        <v>0.23</v>
      </c>
      <c r="K434" s="183">
        <f t="shared" si="335"/>
        <v>12</v>
      </c>
      <c r="L434" s="189">
        <f t="shared" si="336"/>
        <v>5.2499999999999998E-2</v>
      </c>
      <c r="M434" s="189">
        <f>0.23+0.34</f>
        <v>0.57000000000000006</v>
      </c>
      <c r="N434" s="189">
        <f t="shared" si="328"/>
        <v>-0.04</v>
      </c>
      <c r="O434" s="189">
        <f>2.5*0.3</f>
        <v>0.75</v>
      </c>
      <c r="P434" s="188">
        <f t="shared" si="329"/>
        <v>4.2725</v>
      </c>
      <c r="Q434" s="183">
        <f t="shared" si="337"/>
        <v>8</v>
      </c>
      <c r="R434" s="188">
        <f t="shared" si="338"/>
        <v>0.23</v>
      </c>
      <c r="S434" s="183">
        <f t="shared" si="339"/>
        <v>11</v>
      </c>
      <c r="T434" s="189">
        <f t="shared" si="340"/>
        <v>5.2499999999999998E-2</v>
      </c>
      <c r="U434" s="189">
        <f>0.23+0.34</f>
        <v>0.57000000000000006</v>
      </c>
      <c r="V434" s="189">
        <f t="shared" si="330"/>
        <v>-0.04</v>
      </c>
      <c r="W434" s="189">
        <f>5.45*0.3</f>
        <v>1.635</v>
      </c>
      <c r="X434" s="188">
        <f t="shared" si="324"/>
        <v>5.1575000000000006</v>
      </c>
      <c r="Y434" s="183">
        <f t="shared" si="341"/>
        <v>8</v>
      </c>
      <c r="Z434" s="188">
        <f t="shared" si="342"/>
        <v>0.3</v>
      </c>
      <c r="AA434" s="183">
        <f t="shared" si="343"/>
        <v>11</v>
      </c>
      <c r="AB434" s="189">
        <f t="shared" si="344"/>
        <v>5.2499999999999998E-2</v>
      </c>
      <c r="AC434" s="189">
        <f>0.23+0.3</f>
        <v>0.53</v>
      </c>
      <c r="AD434" s="189">
        <f t="shared" si="331"/>
        <v>-0.04</v>
      </c>
      <c r="AE434" s="189">
        <f>3.05*0.3</f>
        <v>0.91499999999999992</v>
      </c>
      <c r="AF434" s="188">
        <f t="shared" si="321"/>
        <v>3.8975</v>
      </c>
      <c r="AG434" s="183">
        <f t="shared" si="345"/>
        <v>8</v>
      </c>
      <c r="AH434" s="182">
        <f t="shared" si="346"/>
        <v>0.3</v>
      </c>
      <c r="AI434" s="183">
        <f t="shared" si="347"/>
        <v>10</v>
      </c>
      <c r="AJ434" s="189">
        <f t="shared" si="348"/>
        <v>5.2499999999999998E-2</v>
      </c>
      <c r="AK434" s="189">
        <f>0.23+0.3</f>
        <v>0.53</v>
      </c>
      <c r="AL434" s="189">
        <f t="shared" si="332"/>
        <v>-0.04</v>
      </c>
      <c r="AM434" s="189">
        <f>0.89*0.3</f>
        <v>0.26700000000000002</v>
      </c>
      <c r="AN434" s="188">
        <f t="shared" si="322"/>
        <v>3.2494999999999998</v>
      </c>
      <c r="AO434" s="183">
        <v>0</v>
      </c>
      <c r="AP434" s="182">
        <f t="shared" si="349"/>
        <v>8</v>
      </c>
      <c r="AQ434" s="182">
        <v>1.5</v>
      </c>
      <c r="AR434" s="187">
        <f t="shared" si="352"/>
        <v>108.0025</v>
      </c>
      <c r="AS434" s="187">
        <f t="shared" si="353"/>
        <v>0</v>
      </c>
      <c r="AT434" s="187">
        <f t="shared" si="354"/>
        <v>0</v>
      </c>
      <c r="AU434" s="187">
        <f t="shared" si="355"/>
        <v>75.367500000000007</v>
      </c>
      <c r="AV434" s="187">
        <f t="shared" si="356"/>
        <v>0</v>
      </c>
      <c r="AW434" s="187">
        <f t="shared" si="350"/>
        <v>0</v>
      </c>
      <c r="AX434" s="187">
        <f t="shared" si="351"/>
        <v>12</v>
      </c>
      <c r="AY434" s="388"/>
      <c r="AZ434" s="436"/>
      <c r="BA434" s="428"/>
      <c r="BF434" s="403"/>
      <c r="BG434" s="403"/>
      <c r="BK434" s="443"/>
      <c r="BL434" s="443"/>
      <c r="BN434" s="443"/>
      <c r="BO434" s="443"/>
      <c r="BQ434" s="443"/>
      <c r="BR434" s="443"/>
      <c r="BT434" s="443"/>
      <c r="BU434" s="443"/>
      <c r="BW434" s="443"/>
      <c r="BX434" s="443"/>
      <c r="BZ434" s="443"/>
      <c r="CA434" s="443"/>
      <c r="CC434" s="443"/>
      <c r="CD434" s="443"/>
      <c r="CF434" s="443"/>
      <c r="CG434" s="443"/>
    </row>
    <row r="435" spans="1:85" s="395" customFormat="1" x14ac:dyDescent="0.3">
      <c r="A435" s="182" t="s">
        <v>254</v>
      </c>
      <c r="B435" s="183">
        <v>1</v>
      </c>
      <c r="C435" s="184" t="s">
        <v>522</v>
      </c>
      <c r="D435" s="187">
        <v>5.45</v>
      </c>
      <c r="E435" s="187">
        <v>2.87</v>
      </c>
      <c r="F435" s="186">
        <v>0.15</v>
      </c>
      <c r="G435" s="187">
        <f t="shared" si="325"/>
        <v>2.346225</v>
      </c>
      <c r="H435" s="188">
        <f t="shared" si="326"/>
        <v>15.641500000000001</v>
      </c>
      <c r="I435" s="183">
        <f t="shared" si="333"/>
        <v>10</v>
      </c>
      <c r="J435" s="188">
        <f t="shared" si="334"/>
        <v>0.18</v>
      </c>
      <c r="K435" s="183">
        <f t="shared" si="335"/>
        <v>17</v>
      </c>
      <c r="L435" s="189">
        <f t="shared" si="336"/>
        <v>6.3E-2</v>
      </c>
      <c r="M435" s="189">
        <f>0.3+0.34</f>
        <v>0.64</v>
      </c>
      <c r="N435" s="189">
        <f t="shared" si="328"/>
        <v>-0.04</v>
      </c>
      <c r="O435" s="189">
        <f>2.94*0.3</f>
        <v>0.88200000000000001</v>
      </c>
      <c r="P435" s="188">
        <f t="shared" si="329"/>
        <v>6.9950000000000001</v>
      </c>
      <c r="Q435" s="183">
        <f t="shared" si="337"/>
        <v>10</v>
      </c>
      <c r="R435" s="188">
        <f t="shared" si="338"/>
        <v>0.18</v>
      </c>
      <c r="S435" s="183">
        <f t="shared" si="339"/>
        <v>16</v>
      </c>
      <c r="T435" s="189">
        <f t="shared" si="340"/>
        <v>6.3E-2</v>
      </c>
      <c r="U435" s="189">
        <f>0.3+0.34</f>
        <v>0.64</v>
      </c>
      <c r="V435" s="189">
        <f t="shared" si="330"/>
        <v>-0.04</v>
      </c>
      <c r="W435" s="189">
        <f>2.75*0.3</f>
        <v>0.82499999999999996</v>
      </c>
      <c r="X435" s="188">
        <f t="shared" si="324"/>
        <v>6.9380000000000006</v>
      </c>
      <c r="Y435" s="183">
        <f t="shared" si="341"/>
        <v>8</v>
      </c>
      <c r="Z435" s="188">
        <f t="shared" si="342"/>
        <v>0.2</v>
      </c>
      <c r="AA435" s="183">
        <f t="shared" si="343"/>
        <v>28</v>
      </c>
      <c r="AB435" s="189">
        <f t="shared" si="344"/>
        <v>6.3E-2</v>
      </c>
      <c r="AC435" s="189">
        <f>0.6+0.3</f>
        <v>0.89999999999999991</v>
      </c>
      <c r="AD435" s="189">
        <f t="shared" si="331"/>
        <v>-0.04</v>
      </c>
      <c r="AE435" s="189">
        <f>3.27*0.3</f>
        <v>0.98099999999999998</v>
      </c>
      <c r="AF435" s="188">
        <f t="shared" si="321"/>
        <v>4.774</v>
      </c>
      <c r="AG435" s="183">
        <f t="shared" si="345"/>
        <v>8</v>
      </c>
      <c r="AH435" s="182">
        <f t="shared" si="346"/>
        <v>0.2</v>
      </c>
      <c r="AI435" s="183">
        <f t="shared" si="347"/>
        <v>27</v>
      </c>
      <c r="AJ435" s="189">
        <f t="shared" si="348"/>
        <v>6.3E-2</v>
      </c>
      <c r="AK435" s="189">
        <f>0.6+0.3</f>
        <v>0.89999999999999991</v>
      </c>
      <c r="AL435" s="189">
        <f t="shared" si="332"/>
        <v>-0.04</v>
      </c>
      <c r="AM435" s="189">
        <f>2.56*0.3</f>
        <v>0.76800000000000002</v>
      </c>
      <c r="AN435" s="188">
        <f t="shared" si="322"/>
        <v>4.5609999999999999</v>
      </c>
      <c r="AO435" s="183">
        <v>0</v>
      </c>
      <c r="AP435" s="182">
        <f t="shared" si="349"/>
        <v>12</v>
      </c>
      <c r="AQ435" s="182">
        <v>1.5</v>
      </c>
      <c r="AR435" s="187">
        <f t="shared" si="352"/>
        <v>0</v>
      </c>
      <c r="AS435" s="187">
        <f t="shared" si="353"/>
        <v>229.923</v>
      </c>
      <c r="AT435" s="187">
        <f t="shared" si="354"/>
        <v>0</v>
      </c>
      <c r="AU435" s="187">
        <f t="shared" si="355"/>
        <v>256.81899999999996</v>
      </c>
      <c r="AV435" s="187">
        <f t="shared" si="356"/>
        <v>0</v>
      </c>
      <c r="AW435" s="187">
        <f t="shared" si="350"/>
        <v>0</v>
      </c>
      <c r="AX435" s="187">
        <f t="shared" si="351"/>
        <v>18</v>
      </c>
      <c r="AY435" s="388"/>
      <c r="AZ435" s="436"/>
      <c r="BA435" s="428"/>
      <c r="BF435" s="403"/>
      <c r="BG435" s="403"/>
      <c r="BK435" s="443"/>
      <c r="BL435" s="443"/>
      <c r="BN435" s="443"/>
      <c r="BO435" s="443"/>
      <c r="BQ435" s="443"/>
      <c r="BR435" s="443"/>
      <c r="BT435" s="443"/>
      <c r="BU435" s="443"/>
      <c r="BW435" s="443"/>
      <c r="BX435" s="443"/>
      <c r="BZ435" s="443"/>
      <c r="CA435" s="443"/>
      <c r="CC435" s="443"/>
      <c r="CD435" s="443"/>
      <c r="CF435" s="443"/>
      <c r="CG435" s="443"/>
    </row>
    <row r="436" spans="1:85" s="395" customFormat="1" x14ac:dyDescent="0.3">
      <c r="A436" s="182" t="s">
        <v>239</v>
      </c>
      <c r="B436" s="183">
        <v>1</v>
      </c>
      <c r="C436" s="184" t="s">
        <v>523</v>
      </c>
      <c r="D436" s="187">
        <v>2.75</v>
      </c>
      <c r="E436" s="187">
        <v>3.25</v>
      </c>
      <c r="F436" s="186">
        <v>0.125</v>
      </c>
      <c r="G436" s="187">
        <f t="shared" si="325"/>
        <v>1.1171875</v>
      </c>
      <c r="H436" s="188">
        <f t="shared" si="326"/>
        <v>8.9375</v>
      </c>
      <c r="I436" s="183">
        <f t="shared" si="333"/>
        <v>8</v>
      </c>
      <c r="J436" s="188">
        <f t="shared" si="334"/>
        <v>0.23</v>
      </c>
      <c r="K436" s="183">
        <f t="shared" si="335"/>
        <v>15</v>
      </c>
      <c r="L436" s="189">
        <f t="shared" si="336"/>
        <v>5.2499999999999998E-2</v>
      </c>
      <c r="M436" s="189">
        <f>0.3*2</f>
        <v>0.6</v>
      </c>
      <c r="N436" s="189">
        <f t="shared" si="328"/>
        <v>-0.04</v>
      </c>
      <c r="O436" s="189">
        <f>5.45*0.3</f>
        <v>1.635</v>
      </c>
      <c r="P436" s="188">
        <f t="shared" si="329"/>
        <v>4.9975000000000005</v>
      </c>
      <c r="Q436" s="183">
        <f t="shared" si="337"/>
        <v>8</v>
      </c>
      <c r="R436" s="188">
        <f t="shared" si="338"/>
        <v>0.23</v>
      </c>
      <c r="S436" s="183">
        <f t="shared" si="339"/>
        <v>14</v>
      </c>
      <c r="T436" s="189">
        <f t="shared" si="340"/>
        <v>5.2499999999999998E-2</v>
      </c>
      <c r="U436" s="189">
        <f>0.3*2</f>
        <v>0.6</v>
      </c>
      <c r="V436" s="189">
        <f t="shared" si="330"/>
        <v>-0.04</v>
      </c>
      <c r="W436" s="189">
        <f>2.9*0.3</f>
        <v>0.87</v>
      </c>
      <c r="X436" s="188">
        <f t="shared" si="324"/>
        <v>4.2324999999999999</v>
      </c>
      <c r="Y436" s="183">
        <f t="shared" si="341"/>
        <v>8</v>
      </c>
      <c r="Z436" s="188">
        <f t="shared" si="342"/>
        <v>0.3</v>
      </c>
      <c r="AA436" s="183">
        <f t="shared" si="343"/>
        <v>10</v>
      </c>
      <c r="AB436" s="189">
        <f t="shared" si="344"/>
        <v>5.2499999999999998E-2</v>
      </c>
      <c r="AC436" s="189">
        <f>0.3*2</f>
        <v>0.6</v>
      </c>
      <c r="AD436" s="189">
        <f t="shared" si="331"/>
        <v>-0.04</v>
      </c>
      <c r="AE436" s="189">
        <f>11.82*0.3</f>
        <v>3.5459999999999998</v>
      </c>
      <c r="AF436" s="188">
        <f t="shared" si="321"/>
        <v>7.4085000000000001</v>
      </c>
      <c r="AG436" s="183">
        <f t="shared" si="345"/>
        <v>8</v>
      </c>
      <c r="AH436" s="182">
        <f t="shared" si="346"/>
        <v>0.3</v>
      </c>
      <c r="AI436" s="183">
        <f t="shared" si="347"/>
        <v>9</v>
      </c>
      <c r="AJ436" s="189">
        <f t="shared" si="348"/>
        <v>5.2499999999999998E-2</v>
      </c>
      <c r="AK436" s="189">
        <f>0.3*2</f>
        <v>0.6</v>
      </c>
      <c r="AL436" s="189">
        <f t="shared" si="332"/>
        <v>-0.04</v>
      </c>
      <c r="AM436" s="189">
        <f>1.87*0.3</f>
        <v>0.56100000000000005</v>
      </c>
      <c r="AN436" s="188">
        <f t="shared" si="322"/>
        <v>4.4234999999999998</v>
      </c>
      <c r="AO436" s="183">
        <v>0</v>
      </c>
      <c r="AP436" s="182">
        <f t="shared" si="349"/>
        <v>8</v>
      </c>
      <c r="AQ436" s="182">
        <v>1.5</v>
      </c>
      <c r="AR436" s="187">
        <f t="shared" si="352"/>
        <v>134.2175</v>
      </c>
      <c r="AS436" s="187">
        <f t="shared" si="353"/>
        <v>0</v>
      </c>
      <c r="AT436" s="187">
        <f t="shared" si="354"/>
        <v>0</v>
      </c>
      <c r="AU436" s="187">
        <f t="shared" si="355"/>
        <v>113.8965</v>
      </c>
      <c r="AV436" s="187">
        <f t="shared" si="356"/>
        <v>0</v>
      </c>
      <c r="AW436" s="187">
        <f t="shared" si="350"/>
        <v>0</v>
      </c>
      <c r="AX436" s="187">
        <f t="shared" si="351"/>
        <v>12</v>
      </c>
      <c r="AY436" s="388"/>
      <c r="AZ436" s="436"/>
      <c r="BA436" s="428"/>
      <c r="BF436" s="403"/>
      <c r="BG436" s="403"/>
      <c r="BK436" s="443"/>
      <c r="BL436" s="443"/>
      <c r="BN436" s="443"/>
      <c r="BO436" s="443"/>
      <c r="BQ436" s="443"/>
      <c r="BR436" s="443"/>
      <c r="BT436" s="443"/>
      <c r="BU436" s="443"/>
      <c r="BW436" s="443"/>
      <c r="BX436" s="443"/>
      <c r="BZ436" s="443"/>
      <c r="CA436" s="443"/>
      <c r="CC436" s="443"/>
      <c r="CD436" s="443"/>
      <c r="CF436" s="443"/>
      <c r="CG436" s="443"/>
    </row>
    <row r="437" spans="1:85" s="395" customFormat="1" x14ac:dyDescent="0.3">
      <c r="A437" s="182" t="s">
        <v>239</v>
      </c>
      <c r="B437" s="183">
        <v>1</v>
      </c>
      <c r="C437" s="184" t="s">
        <v>524</v>
      </c>
      <c r="D437" s="187">
        <v>2.9</v>
      </c>
      <c r="E437" s="187">
        <v>2.0099999999999998</v>
      </c>
      <c r="F437" s="186">
        <v>0.125</v>
      </c>
      <c r="G437" s="187">
        <f t="shared" si="325"/>
        <v>0.72862499999999986</v>
      </c>
      <c r="H437" s="188">
        <f t="shared" si="326"/>
        <v>5.8289999999999988</v>
      </c>
      <c r="I437" s="183">
        <f t="shared" si="333"/>
        <v>8</v>
      </c>
      <c r="J437" s="188">
        <f t="shared" si="334"/>
        <v>0.23</v>
      </c>
      <c r="K437" s="183">
        <f t="shared" si="335"/>
        <v>10</v>
      </c>
      <c r="L437" s="189">
        <f t="shared" si="336"/>
        <v>5.2499999999999998E-2</v>
      </c>
      <c r="M437" s="189">
        <f>0.3*2</f>
        <v>0.6</v>
      </c>
      <c r="N437" s="189">
        <f t="shared" si="328"/>
        <v>-0.04</v>
      </c>
      <c r="O437" s="189">
        <f>2.75*0.3</f>
        <v>0.82499999999999996</v>
      </c>
      <c r="P437" s="188">
        <f t="shared" si="329"/>
        <v>4.3375000000000004</v>
      </c>
      <c r="Q437" s="183">
        <f t="shared" si="337"/>
        <v>8</v>
      </c>
      <c r="R437" s="188">
        <f t="shared" si="338"/>
        <v>0.23</v>
      </c>
      <c r="S437" s="183">
        <f t="shared" si="339"/>
        <v>9</v>
      </c>
      <c r="T437" s="189">
        <f t="shared" si="340"/>
        <v>5.2499999999999998E-2</v>
      </c>
      <c r="U437" s="189">
        <f>0.3*2</f>
        <v>0.6</v>
      </c>
      <c r="V437" s="189">
        <f t="shared" si="330"/>
        <v>-0.04</v>
      </c>
      <c r="W437" s="189">
        <f>F437-2*0.02</f>
        <v>8.4999999999999992E-2</v>
      </c>
      <c r="X437" s="188">
        <f t="shared" si="324"/>
        <v>3.5974999999999997</v>
      </c>
      <c r="Y437" s="183">
        <f t="shared" si="341"/>
        <v>8</v>
      </c>
      <c r="Z437" s="188">
        <f t="shared" si="342"/>
        <v>0.3</v>
      </c>
      <c r="AA437" s="183">
        <f t="shared" si="343"/>
        <v>11</v>
      </c>
      <c r="AB437" s="189">
        <f t="shared" si="344"/>
        <v>5.2499999999999998E-2</v>
      </c>
      <c r="AC437" s="189">
        <f>0.3*2</f>
        <v>0.6</v>
      </c>
      <c r="AD437" s="189">
        <f t="shared" si="331"/>
        <v>-0.04</v>
      </c>
      <c r="AE437" s="189">
        <f>12.82*0.3</f>
        <v>3.8460000000000001</v>
      </c>
      <c r="AF437" s="188">
        <f t="shared" si="321"/>
        <v>6.4684999999999997</v>
      </c>
      <c r="AG437" s="183">
        <f t="shared" si="345"/>
        <v>8</v>
      </c>
      <c r="AH437" s="182">
        <f t="shared" si="346"/>
        <v>0.3</v>
      </c>
      <c r="AI437" s="183">
        <f t="shared" si="347"/>
        <v>10</v>
      </c>
      <c r="AJ437" s="189">
        <f t="shared" si="348"/>
        <v>5.2499999999999998E-2</v>
      </c>
      <c r="AK437" s="189">
        <f>0.3*2</f>
        <v>0.6</v>
      </c>
      <c r="AL437" s="189">
        <f t="shared" si="332"/>
        <v>-0.04</v>
      </c>
      <c r="AM437" s="189">
        <f>2.11*0.3</f>
        <v>0.6329999999999999</v>
      </c>
      <c r="AN437" s="188">
        <f t="shared" si="322"/>
        <v>3.2554999999999996</v>
      </c>
      <c r="AO437" s="183">
        <v>0</v>
      </c>
      <c r="AP437" s="182">
        <f t="shared" si="349"/>
        <v>6</v>
      </c>
      <c r="AQ437" s="182">
        <v>1.5</v>
      </c>
      <c r="AR437" s="187">
        <f t="shared" si="352"/>
        <v>75.752499999999998</v>
      </c>
      <c r="AS437" s="187">
        <f t="shared" si="353"/>
        <v>0</v>
      </c>
      <c r="AT437" s="187">
        <f t="shared" si="354"/>
        <v>0</v>
      </c>
      <c r="AU437" s="187">
        <f t="shared" si="355"/>
        <v>103.70849999999999</v>
      </c>
      <c r="AV437" s="187">
        <f t="shared" si="356"/>
        <v>0</v>
      </c>
      <c r="AW437" s="187">
        <f t="shared" si="350"/>
        <v>0</v>
      </c>
      <c r="AX437" s="187">
        <f t="shared" si="351"/>
        <v>9</v>
      </c>
      <c r="AY437" s="388"/>
      <c r="AZ437" s="436"/>
      <c r="BA437" s="428"/>
      <c r="BF437" s="403"/>
      <c r="BG437" s="403"/>
      <c r="BK437" s="443"/>
      <c r="BL437" s="443"/>
      <c r="BN437" s="443"/>
      <c r="BO437" s="443"/>
      <c r="BQ437" s="443"/>
      <c r="BR437" s="443"/>
      <c r="BT437" s="443"/>
      <c r="BU437" s="443"/>
      <c r="BW437" s="443"/>
      <c r="BX437" s="443"/>
      <c r="BZ437" s="443"/>
      <c r="CA437" s="443"/>
      <c r="CC437" s="443"/>
      <c r="CD437" s="443"/>
      <c r="CF437" s="443"/>
      <c r="CG437" s="443"/>
    </row>
    <row r="438" spans="1:85" s="395" customFormat="1" x14ac:dyDescent="0.3">
      <c r="A438" s="182" t="s">
        <v>242</v>
      </c>
      <c r="B438" s="183">
        <v>1</v>
      </c>
      <c r="C438" s="184" t="s">
        <v>525</v>
      </c>
      <c r="D438" s="187">
        <v>2.94</v>
      </c>
      <c r="E438" s="187">
        <v>7.48</v>
      </c>
      <c r="F438" s="186">
        <v>0.14000000000000001</v>
      </c>
      <c r="G438" s="187">
        <f t="shared" si="325"/>
        <v>3.0787680000000002</v>
      </c>
      <c r="H438" s="188">
        <f t="shared" si="326"/>
        <v>21.991199999999999</v>
      </c>
      <c r="I438" s="183">
        <f t="shared" si="333"/>
        <v>10</v>
      </c>
      <c r="J438" s="188">
        <f t="shared" si="334"/>
        <v>0.2</v>
      </c>
      <c r="K438" s="183">
        <f t="shared" si="335"/>
        <v>38</v>
      </c>
      <c r="L438" s="189">
        <f t="shared" si="336"/>
        <v>5.8800000000000005E-2</v>
      </c>
      <c r="M438" s="189">
        <f>0.3*2</f>
        <v>0.6</v>
      </c>
      <c r="N438" s="189">
        <f t="shared" si="328"/>
        <v>-0.04</v>
      </c>
      <c r="O438" s="189">
        <f>F438-2*0.02</f>
        <v>0.1</v>
      </c>
      <c r="P438" s="188">
        <f t="shared" si="329"/>
        <v>3.6587999999999998</v>
      </c>
      <c r="Q438" s="183">
        <f t="shared" si="337"/>
        <v>10</v>
      </c>
      <c r="R438" s="188">
        <f t="shared" si="338"/>
        <v>0.2</v>
      </c>
      <c r="S438" s="183">
        <f t="shared" si="339"/>
        <v>37</v>
      </c>
      <c r="T438" s="189">
        <f t="shared" si="340"/>
        <v>5.8800000000000005E-2</v>
      </c>
      <c r="U438" s="189">
        <f>0.3*2</f>
        <v>0.6</v>
      </c>
      <c r="V438" s="189">
        <f t="shared" si="330"/>
        <v>-0.04</v>
      </c>
      <c r="W438" s="189">
        <f>2.67*0.3</f>
        <v>0.80099999999999993</v>
      </c>
      <c r="X438" s="188">
        <f t="shared" si="324"/>
        <v>4.3597999999999999</v>
      </c>
      <c r="Y438" s="183">
        <f t="shared" si="341"/>
        <v>8</v>
      </c>
      <c r="Z438" s="188">
        <f t="shared" si="342"/>
        <v>0.3</v>
      </c>
      <c r="AA438" s="183">
        <f t="shared" si="343"/>
        <v>11</v>
      </c>
      <c r="AB438" s="189">
        <f t="shared" si="344"/>
        <v>5.8800000000000005E-2</v>
      </c>
      <c r="AC438" s="189">
        <f>0.3*2</f>
        <v>0.6</v>
      </c>
      <c r="AD438" s="189">
        <f t="shared" si="331"/>
        <v>-0.04</v>
      </c>
      <c r="AE438" s="189">
        <f>5.4*0.3</f>
        <v>1.62</v>
      </c>
      <c r="AF438" s="188">
        <f t="shared" si="321"/>
        <v>9.7187999999999999</v>
      </c>
      <c r="AG438" s="183">
        <f t="shared" si="345"/>
        <v>8</v>
      </c>
      <c r="AH438" s="182">
        <f t="shared" si="346"/>
        <v>0.3</v>
      </c>
      <c r="AI438" s="183">
        <f t="shared" si="347"/>
        <v>10</v>
      </c>
      <c r="AJ438" s="189">
        <f t="shared" si="348"/>
        <v>5.8800000000000005E-2</v>
      </c>
      <c r="AK438" s="189">
        <f>0.3*2</f>
        <v>0.6</v>
      </c>
      <c r="AL438" s="189">
        <f t="shared" si="332"/>
        <v>-0.04</v>
      </c>
      <c r="AM438" s="189">
        <f>1.65*0.3</f>
        <v>0.49499999999999994</v>
      </c>
      <c r="AN438" s="188">
        <f t="shared" si="322"/>
        <v>8.5937999999999999</v>
      </c>
      <c r="AO438" s="183">
        <v>0</v>
      </c>
      <c r="AP438" s="182">
        <f t="shared" si="349"/>
        <v>14</v>
      </c>
      <c r="AQ438" s="182">
        <v>1.5</v>
      </c>
      <c r="AR438" s="187">
        <f t="shared" si="352"/>
        <v>0</v>
      </c>
      <c r="AS438" s="187">
        <f t="shared" si="353"/>
        <v>300.34699999999998</v>
      </c>
      <c r="AT438" s="187">
        <f t="shared" si="354"/>
        <v>0</v>
      </c>
      <c r="AU438" s="187">
        <f t="shared" si="355"/>
        <v>192.84480000000002</v>
      </c>
      <c r="AV438" s="187">
        <f t="shared" si="356"/>
        <v>0</v>
      </c>
      <c r="AW438" s="187">
        <f t="shared" si="350"/>
        <v>0</v>
      </c>
      <c r="AX438" s="187">
        <f t="shared" si="351"/>
        <v>21</v>
      </c>
      <c r="AY438" s="388"/>
      <c r="AZ438" s="436"/>
      <c r="BA438" s="428"/>
      <c r="BF438" s="403"/>
      <c r="BG438" s="403"/>
      <c r="BK438" s="443"/>
      <c r="BL438" s="443"/>
      <c r="BN438" s="443"/>
      <c r="BO438" s="443"/>
      <c r="BQ438" s="443"/>
      <c r="BR438" s="443"/>
      <c r="BT438" s="443"/>
      <c r="BU438" s="443"/>
      <c r="BW438" s="443"/>
      <c r="BX438" s="443"/>
      <c r="BZ438" s="443"/>
      <c r="CA438" s="443"/>
      <c r="CC438" s="443"/>
      <c r="CD438" s="443"/>
      <c r="CF438" s="443"/>
      <c r="CG438" s="443"/>
    </row>
    <row r="439" spans="1:85" s="395" customFormat="1" x14ac:dyDescent="0.3">
      <c r="A439" s="182" t="s">
        <v>242</v>
      </c>
      <c r="B439" s="183">
        <v>1</v>
      </c>
      <c r="C439" s="184" t="s">
        <v>526</v>
      </c>
      <c r="D439" s="187">
        <v>2.67</v>
      </c>
      <c r="E439" s="187">
        <v>6.62</v>
      </c>
      <c r="F439" s="186">
        <v>0.14000000000000001</v>
      </c>
      <c r="G439" s="187">
        <f t="shared" si="325"/>
        <v>2.4745560000000002</v>
      </c>
      <c r="H439" s="188">
        <f t="shared" si="326"/>
        <v>17.6754</v>
      </c>
      <c r="I439" s="183">
        <f t="shared" si="333"/>
        <v>10</v>
      </c>
      <c r="J439" s="188">
        <f t="shared" si="334"/>
        <v>0.2</v>
      </c>
      <c r="K439" s="183">
        <f t="shared" si="335"/>
        <v>34</v>
      </c>
      <c r="L439" s="189">
        <f t="shared" si="336"/>
        <v>5.8800000000000005E-2</v>
      </c>
      <c r="M439" s="189">
        <f>0.3+0.38</f>
        <v>0.67999999999999994</v>
      </c>
      <c r="N439" s="189">
        <f t="shared" si="328"/>
        <v>-0.04</v>
      </c>
      <c r="O439" s="189">
        <f>2.94*0.3</f>
        <v>0.88200000000000001</v>
      </c>
      <c r="P439" s="188">
        <f t="shared" si="329"/>
        <v>4.2507999999999999</v>
      </c>
      <c r="Q439" s="183">
        <f t="shared" si="337"/>
        <v>10</v>
      </c>
      <c r="R439" s="188">
        <f t="shared" si="338"/>
        <v>0.2</v>
      </c>
      <c r="S439" s="183">
        <f t="shared" si="339"/>
        <v>33</v>
      </c>
      <c r="T439" s="189">
        <f t="shared" si="340"/>
        <v>5.8800000000000005E-2</v>
      </c>
      <c r="U439" s="189">
        <f>0.3+0.38</f>
        <v>0.67999999999999994</v>
      </c>
      <c r="V439" s="189">
        <f t="shared" si="330"/>
        <v>-0.04</v>
      </c>
      <c r="W439" s="189">
        <f>5.24*0.3</f>
        <v>1.5720000000000001</v>
      </c>
      <c r="X439" s="188">
        <f t="shared" si="324"/>
        <v>4.9407999999999994</v>
      </c>
      <c r="Y439" s="183">
        <f t="shared" si="341"/>
        <v>8</v>
      </c>
      <c r="Z439" s="188">
        <f t="shared" si="342"/>
        <v>0.3</v>
      </c>
      <c r="AA439" s="183">
        <f t="shared" si="343"/>
        <v>10</v>
      </c>
      <c r="AB439" s="189">
        <f t="shared" si="344"/>
        <v>5.8800000000000005E-2</v>
      </c>
      <c r="AC439" s="189">
        <f>0.3*2</f>
        <v>0.6</v>
      </c>
      <c r="AD439" s="189">
        <f t="shared" si="331"/>
        <v>-0.04</v>
      </c>
      <c r="AE439" s="189">
        <f>5.4*0.3</f>
        <v>1.62</v>
      </c>
      <c r="AF439" s="188">
        <f t="shared" si="321"/>
        <v>8.8588000000000005</v>
      </c>
      <c r="AG439" s="183">
        <f t="shared" si="345"/>
        <v>8</v>
      </c>
      <c r="AH439" s="182">
        <f t="shared" si="346"/>
        <v>0.3</v>
      </c>
      <c r="AI439" s="183">
        <f t="shared" si="347"/>
        <v>9</v>
      </c>
      <c r="AJ439" s="189">
        <f t="shared" si="348"/>
        <v>5.8800000000000005E-2</v>
      </c>
      <c r="AK439" s="189">
        <f>0.3*2</f>
        <v>0.6</v>
      </c>
      <c r="AL439" s="189">
        <f t="shared" si="332"/>
        <v>-0.04</v>
      </c>
      <c r="AM439" s="189">
        <f>2.75*0.3</f>
        <v>0.82499999999999996</v>
      </c>
      <c r="AN439" s="188">
        <f t="shared" si="322"/>
        <v>8.0638000000000005</v>
      </c>
      <c r="AO439" s="183">
        <v>0</v>
      </c>
      <c r="AP439" s="182">
        <f t="shared" si="349"/>
        <v>12</v>
      </c>
      <c r="AQ439" s="182">
        <v>1.5</v>
      </c>
      <c r="AR439" s="187">
        <f t="shared" si="352"/>
        <v>0</v>
      </c>
      <c r="AS439" s="187">
        <f t="shared" si="353"/>
        <v>307.57359999999994</v>
      </c>
      <c r="AT439" s="187">
        <f t="shared" si="354"/>
        <v>0</v>
      </c>
      <c r="AU439" s="187">
        <f t="shared" si="355"/>
        <v>161.16220000000001</v>
      </c>
      <c r="AV439" s="187">
        <f t="shared" si="356"/>
        <v>0</v>
      </c>
      <c r="AW439" s="187">
        <f t="shared" si="350"/>
        <v>0</v>
      </c>
      <c r="AX439" s="187">
        <f t="shared" si="351"/>
        <v>18</v>
      </c>
      <c r="AY439" s="388"/>
      <c r="AZ439" s="436"/>
      <c r="BA439" s="428"/>
      <c r="BF439" s="403"/>
      <c r="BG439" s="403"/>
      <c r="BK439" s="443"/>
      <c r="BL439" s="443"/>
      <c r="BN439" s="443"/>
      <c r="BO439" s="443"/>
      <c r="BQ439" s="443"/>
      <c r="BR439" s="443"/>
      <c r="BT439" s="443"/>
      <c r="BU439" s="443"/>
      <c r="BW439" s="443"/>
      <c r="BX439" s="443"/>
      <c r="BZ439" s="443"/>
      <c r="CA439" s="443"/>
      <c r="CC439" s="443"/>
      <c r="CD439" s="443"/>
      <c r="CF439" s="443"/>
      <c r="CG439" s="443"/>
    </row>
    <row r="440" spans="1:85" s="395" customFormat="1" x14ac:dyDescent="0.3">
      <c r="A440" s="182" t="s">
        <v>254</v>
      </c>
      <c r="B440" s="183">
        <v>1</v>
      </c>
      <c r="C440" s="184" t="s">
        <v>527</v>
      </c>
      <c r="D440" s="187">
        <v>5.24</v>
      </c>
      <c r="E440" s="187">
        <v>3.306</v>
      </c>
      <c r="F440" s="186">
        <v>0.15</v>
      </c>
      <c r="G440" s="187">
        <f t="shared" si="325"/>
        <v>2.598516</v>
      </c>
      <c r="H440" s="188">
        <f t="shared" si="326"/>
        <v>17.323440000000002</v>
      </c>
      <c r="I440" s="183">
        <f t="shared" si="333"/>
        <v>10</v>
      </c>
      <c r="J440" s="188">
        <f t="shared" si="334"/>
        <v>0.18</v>
      </c>
      <c r="K440" s="183">
        <f t="shared" si="335"/>
        <v>19</v>
      </c>
      <c r="L440" s="189">
        <f t="shared" si="336"/>
        <v>6.3E-2</v>
      </c>
      <c r="M440" s="189">
        <f>0.38+0.3</f>
        <v>0.67999999999999994</v>
      </c>
      <c r="N440" s="189">
        <f t="shared" si="328"/>
        <v>-0.04</v>
      </c>
      <c r="O440" s="189">
        <f>2.67*0.3</f>
        <v>0.80099999999999993</v>
      </c>
      <c r="P440" s="188">
        <f t="shared" si="329"/>
        <v>6.7439999999999998</v>
      </c>
      <c r="Q440" s="183">
        <f t="shared" si="337"/>
        <v>10</v>
      </c>
      <c r="R440" s="188">
        <f t="shared" si="338"/>
        <v>0.18</v>
      </c>
      <c r="S440" s="183">
        <f t="shared" si="339"/>
        <v>18</v>
      </c>
      <c r="T440" s="189">
        <f t="shared" si="340"/>
        <v>6.3E-2</v>
      </c>
      <c r="U440" s="189">
        <f>0.38+0.3</f>
        <v>0.67999999999999994</v>
      </c>
      <c r="V440" s="189">
        <f t="shared" si="330"/>
        <v>-0.04</v>
      </c>
      <c r="W440" s="189">
        <f>1.72*0.3</f>
        <v>0.51600000000000001</v>
      </c>
      <c r="X440" s="188">
        <f t="shared" si="324"/>
        <v>6.4589999999999996</v>
      </c>
      <c r="Y440" s="183">
        <f t="shared" si="341"/>
        <v>8</v>
      </c>
      <c r="Z440" s="188">
        <f t="shared" si="342"/>
        <v>0.2</v>
      </c>
      <c r="AA440" s="183">
        <f t="shared" si="343"/>
        <v>27</v>
      </c>
      <c r="AB440" s="189">
        <f t="shared" si="344"/>
        <v>6.3E-2</v>
      </c>
      <c r="AC440" s="189">
        <f>0.35+0.6</f>
        <v>0.95</v>
      </c>
      <c r="AD440" s="189">
        <f t="shared" si="331"/>
        <v>-0.04</v>
      </c>
      <c r="AE440" s="189">
        <f>2.43*0.3</f>
        <v>0.72899999999999998</v>
      </c>
      <c r="AF440" s="188">
        <f t="shared" si="321"/>
        <v>5.008</v>
      </c>
      <c r="AG440" s="183">
        <f t="shared" si="345"/>
        <v>8</v>
      </c>
      <c r="AH440" s="182">
        <f t="shared" si="346"/>
        <v>0.2</v>
      </c>
      <c r="AI440" s="183">
        <f t="shared" si="347"/>
        <v>26</v>
      </c>
      <c r="AJ440" s="189">
        <f t="shared" si="348"/>
        <v>6.3E-2</v>
      </c>
      <c r="AK440" s="189">
        <f>0.35+0.6</f>
        <v>0.95</v>
      </c>
      <c r="AL440" s="189">
        <f t="shared" si="332"/>
        <v>-0.04</v>
      </c>
      <c r="AM440" s="189">
        <f>2.8*0.3</f>
        <v>0.84</v>
      </c>
      <c r="AN440" s="188">
        <f t="shared" si="322"/>
        <v>5.1189999999999998</v>
      </c>
      <c r="AO440" s="183">
        <v>0</v>
      </c>
      <c r="AP440" s="182">
        <f t="shared" si="349"/>
        <v>10</v>
      </c>
      <c r="AQ440" s="182">
        <v>1.5</v>
      </c>
      <c r="AR440" s="187">
        <f t="shared" si="352"/>
        <v>0</v>
      </c>
      <c r="AS440" s="187">
        <f t="shared" si="353"/>
        <v>244.398</v>
      </c>
      <c r="AT440" s="187">
        <f t="shared" si="354"/>
        <v>0</v>
      </c>
      <c r="AU440" s="187">
        <f t="shared" si="355"/>
        <v>268.31</v>
      </c>
      <c r="AV440" s="187">
        <f t="shared" si="356"/>
        <v>0</v>
      </c>
      <c r="AW440" s="187">
        <f t="shared" si="350"/>
        <v>0</v>
      </c>
      <c r="AX440" s="187">
        <f t="shared" si="351"/>
        <v>15</v>
      </c>
      <c r="AY440" s="388"/>
      <c r="AZ440" s="436"/>
      <c r="BA440" s="428"/>
      <c r="BF440" s="403"/>
      <c r="BG440" s="403"/>
      <c r="BK440" s="443"/>
      <c r="BL440" s="443"/>
      <c r="BN440" s="443"/>
      <c r="BO440" s="443"/>
      <c r="BQ440" s="443"/>
      <c r="BR440" s="443"/>
      <c r="BT440" s="443"/>
      <c r="BU440" s="443"/>
      <c r="BW440" s="443"/>
      <c r="BX440" s="443"/>
      <c r="BZ440" s="443"/>
      <c r="CA440" s="443"/>
      <c r="CC440" s="443"/>
      <c r="CD440" s="443"/>
      <c r="CF440" s="443"/>
      <c r="CG440" s="443"/>
    </row>
    <row r="441" spans="1:85" s="395" customFormat="1" x14ac:dyDescent="0.3">
      <c r="A441" s="182" t="s">
        <v>239</v>
      </c>
      <c r="B441" s="183">
        <v>1</v>
      </c>
      <c r="C441" s="184" t="s">
        <v>528</v>
      </c>
      <c r="D441" s="187">
        <v>1.72</v>
      </c>
      <c r="E441" s="187">
        <v>3.15</v>
      </c>
      <c r="F441" s="186">
        <v>0.125</v>
      </c>
      <c r="G441" s="187">
        <f t="shared" si="325"/>
        <v>0.67725000000000002</v>
      </c>
      <c r="H441" s="188">
        <f t="shared" si="326"/>
        <v>5.4180000000000001</v>
      </c>
      <c r="I441" s="183">
        <f t="shared" si="333"/>
        <v>8</v>
      </c>
      <c r="J441" s="188">
        <f t="shared" si="334"/>
        <v>0.23</v>
      </c>
      <c r="K441" s="183">
        <f t="shared" si="335"/>
        <v>15</v>
      </c>
      <c r="L441" s="189">
        <f t="shared" si="336"/>
        <v>5.2499999999999998E-2</v>
      </c>
      <c r="M441" s="189">
        <f>0.3+0.23</f>
        <v>0.53</v>
      </c>
      <c r="N441" s="189">
        <f t="shared" si="328"/>
        <v>-0.04</v>
      </c>
      <c r="O441" s="189">
        <f>5.24*0.3</f>
        <v>1.5720000000000001</v>
      </c>
      <c r="P441" s="188">
        <f t="shared" si="329"/>
        <v>3.8345000000000002</v>
      </c>
      <c r="Q441" s="183">
        <f t="shared" si="337"/>
        <v>8</v>
      </c>
      <c r="R441" s="188">
        <f t="shared" si="338"/>
        <v>0.23</v>
      </c>
      <c r="S441" s="183">
        <f t="shared" si="339"/>
        <v>14</v>
      </c>
      <c r="T441" s="189">
        <f t="shared" si="340"/>
        <v>5.2499999999999998E-2</v>
      </c>
      <c r="U441" s="189">
        <f>0.3+0.23</f>
        <v>0.53</v>
      </c>
      <c r="V441" s="189">
        <f t="shared" si="330"/>
        <v>-0.04</v>
      </c>
      <c r="W441" s="189">
        <f>2.37*0.3</f>
        <v>0.71099999999999997</v>
      </c>
      <c r="X441" s="188">
        <f t="shared" si="324"/>
        <v>2.9734999999999996</v>
      </c>
      <c r="Y441" s="183">
        <f t="shared" si="341"/>
        <v>8</v>
      </c>
      <c r="Z441" s="188">
        <f t="shared" si="342"/>
        <v>0.3</v>
      </c>
      <c r="AA441" s="183">
        <f t="shared" si="343"/>
        <v>7</v>
      </c>
      <c r="AB441" s="189">
        <f t="shared" si="344"/>
        <v>5.2499999999999998E-2</v>
      </c>
      <c r="AC441" s="189">
        <f>0.3+0.37</f>
        <v>0.66999999999999993</v>
      </c>
      <c r="AD441" s="189">
        <f t="shared" si="331"/>
        <v>-0.04</v>
      </c>
      <c r="AE441" s="189">
        <f>2.6*0.3</f>
        <v>0.78</v>
      </c>
      <c r="AF441" s="188">
        <f t="shared" si="321"/>
        <v>4.6124999999999998</v>
      </c>
      <c r="AG441" s="183">
        <f t="shared" si="345"/>
        <v>8</v>
      </c>
      <c r="AH441" s="182">
        <f t="shared" si="346"/>
        <v>0.3</v>
      </c>
      <c r="AI441" s="183">
        <f t="shared" si="347"/>
        <v>6</v>
      </c>
      <c r="AJ441" s="189">
        <f t="shared" si="348"/>
        <v>5.2499999999999998E-2</v>
      </c>
      <c r="AK441" s="189">
        <f>0.3+0.37</f>
        <v>0.66999999999999993</v>
      </c>
      <c r="AL441" s="189">
        <f t="shared" si="332"/>
        <v>-0.04</v>
      </c>
      <c r="AM441" s="189">
        <f>3.83*0.3</f>
        <v>1.149</v>
      </c>
      <c r="AN441" s="188">
        <f t="shared" si="322"/>
        <v>4.9814999999999996</v>
      </c>
      <c r="AO441" s="183">
        <v>0</v>
      </c>
      <c r="AP441" s="182">
        <f t="shared" si="349"/>
        <v>6</v>
      </c>
      <c r="AQ441" s="182">
        <v>1.5</v>
      </c>
      <c r="AR441" s="187">
        <f t="shared" si="352"/>
        <v>99.146500000000003</v>
      </c>
      <c r="AS441" s="187">
        <f t="shared" si="353"/>
        <v>0</v>
      </c>
      <c r="AT441" s="187">
        <f t="shared" si="354"/>
        <v>0</v>
      </c>
      <c r="AU441" s="187">
        <f t="shared" si="355"/>
        <v>62.176499999999997</v>
      </c>
      <c r="AV441" s="187">
        <f t="shared" si="356"/>
        <v>0</v>
      </c>
      <c r="AW441" s="187">
        <f t="shared" si="350"/>
        <v>0</v>
      </c>
      <c r="AX441" s="187">
        <f t="shared" si="351"/>
        <v>9</v>
      </c>
      <c r="AY441" s="388"/>
      <c r="AZ441" s="436"/>
      <c r="BA441" s="428"/>
      <c r="BF441" s="403"/>
      <c r="BG441" s="403"/>
      <c r="BK441" s="443"/>
      <c r="BL441" s="443"/>
      <c r="BN441" s="443"/>
      <c r="BO441" s="443"/>
      <c r="BQ441" s="443"/>
      <c r="BR441" s="443"/>
      <c r="BT441" s="443"/>
      <c r="BU441" s="443"/>
      <c r="BW441" s="443"/>
      <c r="BX441" s="443"/>
      <c r="BZ441" s="443"/>
      <c r="CA441" s="443"/>
      <c r="CC441" s="443"/>
      <c r="CD441" s="443"/>
      <c r="CF441" s="443"/>
      <c r="CG441" s="443"/>
    </row>
    <row r="442" spans="1:85" s="395" customFormat="1" x14ac:dyDescent="0.3">
      <c r="A442" s="182" t="s">
        <v>232</v>
      </c>
      <c r="B442" s="183">
        <v>1</v>
      </c>
      <c r="C442" s="184" t="s">
        <v>529</v>
      </c>
      <c r="D442" s="187">
        <v>2.37</v>
      </c>
      <c r="E442" s="187">
        <v>3.05</v>
      </c>
      <c r="F442" s="186">
        <v>0.13</v>
      </c>
      <c r="G442" s="187">
        <f t="shared" si="325"/>
        <v>0.93970500000000001</v>
      </c>
      <c r="H442" s="188">
        <f t="shared" si="326"/>
        <v>7.2284999999999995</v>
      </c>
      <c r="I442" s="183">
        <f t="shared" si="333"/>
        <v>8</v>
      </c>
      <c r="J442" s="188">
        <f t="shared" si="334"/>
        <v>0.2</v>
      </c>
      <c r="K442" s="183">
        <f t="shared" si="335"/>
        <v>16</v>
      </c>
      <c r="L442" s="189">
        <f t="shared" si="336"/>
        <v>5.4600000000000003E-2</v>
      </c>
      <c r="M442" s="189">
        <f>0.23*2</f>
        <v>0.46</v>
      </c>
      <c r="N442" s="189">
        <f t="shared" si="328"/>
        <v>-0.04</v>
      </c>
      <c r="O442" s="189">
        <f>1.72*0.3</f>
        <v>0.51600000000000001</v>
      </c>
      <c r="P442" s="188">
        <f t="shared" si="329"/>
        <v>3.3606000000000003</v>
      </c>
      <c r="Q442" s="183">
        <f t="shared" si="337"/>
        <v>8</v>
      </c>
      <c r="R442" s="188">
        <f t="shared" si="338"/>
        <v>0.2</v>
      </c>
      <c r="S442" s="183">
        <f t="shared" si="339"/>
        <v>15</v>
      </c>
      <c r="T442" s="189">
        <f t="shared" si="340"/>
        <v>5.4600000000000003E-2</v>
      </c>
      <c r="U442" s="189">
        <f>0.23*2</f>
        <v>0.46</v>
      </c>
      <c r="V442" s="189">
        <f t="shared" si="330"/>
        <v>-0.04</v>
      </c>
      <c r="W442" s="189">
        <f>3.95*0.3</f>
        <v>1.1850000000000001</v>
      </c>
      <c r="X442" s="188">
        <f t="shared" si="324"/>
        <v>4.0296000000000003</v>
      </c>
      <c r="Y442" s="183">
        <f t="shared" si="341"/>
        <v>8</v>
      </c>
      <c r="Z442" s="188">
        <f t="shared" si="342"/>
        <v>0.24</v>
      </c>
      <c r="AA442" s="183">
        <f t="shared" si="343"/>
        <v>11</v>
      </c>
      <c r="AB442" s="189">
        <f t="shared" si="344"/>
        <v>5.4600000000000003E-2</v>
      </c>
      <c r="AC442" s="189">
        <f>0.3*2</f>
        <v>0.6</v>
      </c>
      <c r="AD442" s="189">
        <f t="shared" si="331"/>
        <v>-0.04</v>
      </c>
      <c r="AE442" s="189">
        <f>2.6*0.3</f>
        <v>0.78</v>
      </c>
      <c r="AF442" s="188">
        <f t="shared" si="321"/>
        <v>4.4445999999999994</v>
      </c>
      <c r="AG442" s="183">
        <f t="shared" si="345"/>
        <v>8</v>
      </c>
      <c r="AH442" s="182">
        <f t="shared" si="346"/>
        <v>0.24</v>
      </c>
      <c r="AI442" s="183">
        <f t="shared" si="347"/>
        <v>10</v>
      </c>
      <c r="AJ442" s="189">
        <f t="shared" si="348"/>
        <v>5.4600000000000003E-2</v>
      </c>
      <c r="AK442" s="189">
        <f>0.3*2</f>
        <v>0.6</v>
      </c>
      <c r="AL442" s="189">
        <f t="shared" si="332"/>
        <v>-0.04</v>
      </c>
      <c r="AM442" s="189">
        <f>3.93*0.3</f>
        <v>1.179</v>
      </c>
      <c r="AN442" s="188">
        <f t="shared" si="322"/>
        <v>4.8436000000000003</v>
      </c>
      <c r="AO442" s="183">
        <v>0</v>
      </c>
      <c r="AP442" s="182">
        <f t="shared" si="349"/>
        <v>8</v>
      </c>
      <c r="AQ442" s="182">
        <v>1.5</v>
      </c>
      <c r="AR442" s="187">
        <f t="shared" si="352"/>
        <v>114.21360000000001</v>
      </c>
      <c r="AS442" s="187">
        <f t="shared" si="353"/>
        <v>0</v>
      </c>
      <c r="AT442" s="187">
        <f t="shared" si="354"/>
        <v>0</v>
      </c>
      <c r="AU442" s="187">
        <f t="shared" si="355"/>
        <v>97.326599999999999</v>
      </c>
      <c r="AV442" s="187">
        <f t="shared" si="356"/>
        <v>0</v>
      </c>
      <c r="AW442" s="187">
        <f t="shared" si="350"/>
        <v>0</v>
      </c>
      <c r="AX442" s="187">
        <f t="shared" si="351"/>
        <v>12</v>
      </c>
      <c r="AY442" s="388"/>
      <c r="AZ442" s="436"/>
      <c r="BA442" s="428"/>
      <c r="BF442" s="403"/>
      <c r="BG442" s="403"/>
      <c r="BK442" s="443"/>
      <c r="BL442" s="443"/>
      <c r="BN442" s="443"/>
      <c r="BO442" s="443"/>
      <c r="BQ442" s="443"/>
      <c r="BR442" s="443"/>
      <c r="BT442" s="443"/>
      <c r="BU442" s="443"/>
      <c r="BW442" s="443"/>
      <c r="BX442" s="443"/>
      <c r="BZ442" s="443"/>
      <c r="CA442" s="443"/>
      <c r="CC442" s="443"/>
      <c r="CD442" s="443"/>
      <c r="CF442" s="443"/>
      <c r="CG442" s="443"/>
    </row>
    <row r="443" spans="1:85" s="395" customFormat="1" x14ac:dyDescent="0.3">
      <c r="A443" s="182" t="s">
        <v>240</v>
      </c>
      <c r="B443" s="183">
        <v>1</v>
      </c>
      <c r="C443" s="184" t="s">
        <v>530</v>
      </c>
      <c r="D443" s="187">
        <v>3.95</v>
      </c>
      <c r="E443" s="187">
        <v>4.1900000000000004</v>
      </c>
      <c r="F443" s="186">
        <v>0.16</v>
      </c>
      <c r="G443" s="187">
        <f t="shared" si="325"/>
        <v>2.6480800000000007</v>
      </c>
      <c r="H443" s="188">
        <f t="shared" si="326"/>
        <v>16.550500000000003</v>
      </c>
      <c r="I443" s="183">
        <f t="shared" si="333"/>
        <v>10</v>
      </c>
      <c r="J443" s="188">
        <f t="shared" si="334"/>
        <v>0.2</v>
      </c>
      <c r="K443" s="183">
        <f t="shared" si="335"/>
        <v>22</v>
      </c>
      <c r="L443" s="189">
        <f t="shared" si="336"/>
        <v>6.7199999999999996E-2</v>
      </c>
      <c r="M443" s="189">
        <f>0.23*2</f>
        <v>0.46</v>
      </c>
      <c r="N443" s="189">
        <f t="shared" si="328"/>
        <v>-0.04</v>
      </c>
      <c r="O443" s="189">
        <f>2.37*0.3</f>
        <v>0.71099999999999997</v>
      </c>
      <c r="P443" s="188">
        <f t="shared" si="329"/>
        <v>5.1482000000000001</v>
      </c>
      <c r="Q443" s="183">
        <f t="shared" si="337"/>
        <v>10</v>
      </c>
      <c r="R443" s="188">
        <f t="shared" si="338"/>
        <v>0.2</v>
      </c>
      <c r="S443" s="183">
        <f t="shared" si="339"/>
        <v>21</v>
      </c>
      <c r="T443" s="189">
        <f t="shared" si="340"/>
        <v>6.7199999999999996E-2</v>
      </c>
      <c r="U443" s="189">
        <f>0.23*2</f>
        <v>0.46</v>
      </c>
      <c r="V443" s="189">
        <f t="shared" si="330"/>
        <v>-0.04</v>
      </c>
      <c r="W443" s="189">
        <f>2.37*0.3</f>
        <v>0.71099999999999997</v>
      </c>
      <c r="X443" s="188">
        <f t="shared" si="324"/>
        <v>5.1482000000000001</v>
      </c>
      <c r="Y443" s="183">
        <f t="shared" si="341"/>
        <v>10</v>
      </c>
      <c r="Z443" s="188">
        <f t="shared" si="342"/>
        <v>0.2</v>
      </c>
      <c r="AA443" s="183">
        <f t="shared" si="343"/>
        <v>21</v>
      </c>
      <c r="AB443" s="189">
        <f t="shared" si="344"/>
        <v>6.7199999999999996E-2</v>
      </c>
      <c r="AC443" s="189">
        <f>0.3+0.23</f>
        <v>0.53</v>
      </c>
      <c r="AD443" s="189">
        <f t="shared" si="331"/>
        <v>-0.04</v>
      </c>
      <c r="AE443" s="189">
        <f>1.29*0.3</f>
        <v>0.38700000000000001</v>
      </c>
      <c r="AF443" s="188">
        <f t="shared" si="321"/>
        <v>5.1342000000000008</v>
      </c>
      <c r="AG443" s="183">
        <f t="shared" si="345"/>
        <v>10</v>
      </c>
      <c r="AH443" s="182">
        <f t="shared" si="346"/>
        <v>0.2</v>
      </c>
      <c r="AI443" s="183">
        <f t="shared" si="347"/>
        <v>20</v>
      </c>
      <c r="AJ443" s="189">
        <f t="shared" si="348"/>
        <v>6.7199999999999996E-2</v>
      </c>
      <c r="AK443" s="189">
        <f>0.3+0.23</f>
        <v>0.53</v>
      </c>
      <c r="AL443" s="189">
        <f t="shared" si="332"/>
        <v>-0.04</v>
      </c>
      <c r="AM443" s="189">
        <f>3.93*0.3</f>
        <v>1.179</v>
      </c>
      <c r="AN443" s="188">
        <f t="shared" si="322"/>
        <v>5.9262000000000006</v>
      </c>
      <c r="AO443" s="183">
        <v>0</v>
      </c>
      <c r="AP443" s="182">
        <f t="shared" si="349"/>
        <v>12</v>
      </c>
      <c r="AQ443" s="182">
        <v>1.5</v>
      </c>
      <c r="AR443" s="187">
        <f t="shared" si="352"/>
        <v>0</v>
      </c>
      <c r="AS443" s="187">
        <f t="shared" si="353"/>
        <v>221.37260000000001</v>
      </c>
      <c r="AT443" s="187">
        <f t="shared" si="354"/>
        <v>0</v>
      </c>
      <c r="AU443" s="187">
        <f t="shared" si="355"/>
        <v>0</v>
      </c>
      <c r="AV443" s="187">
        <f t="shared" si="356"/>
        <v>226.34220000000005</v>
      </c>
      <c r="AW443" s="187">
        <f t="shared" si="350"/>
        <v>0</v>
      </c>
      <c r="AX443" s="187">
        <f t="shared" si="351"/>
        <v>18</v>
      </c>
      <c r="AY443" s="388"/>
      <c r="AZ443" s="436"/>
      <c r="BA443" s="428"/>
      <c r="BF443" s="403"/>
      <c r="BG443" s="403"/>
      <c r="BK443" s="443"/>
      <c r="BL443" s="443"/>
      <c r="BN443" s="443"/>
      <c r="BO443" s="443"/>
      <c r="BQ443" s="443"/>
      <c r="BR443" s="443"/>
      <c r="BT443" s="443"/>
      <c r="BU443" s="443"/>
      <c r="BW443" s="443"/>
      <c r="BX443" s="443"/>
      <c r="BZ443" s="443"/>
      <c r="CA443" s="443"/>
      <c r="CC443" s="443"/>
      <c r="CD443" s="443"/>
      <c r="CF443" s="443"/>
      <c r="CG443" s="443"/>
    </row>
    <row r="444" spans="1:85" s="395" customFormat="1" x14ac:dyDescent="0.3">
      <c r="A444" s="182" t="s">
        <v>239</v>
      </c>
      <c r="B444" s="183">
        <v>1</v>
      </c>
      <c r="C444" s="184" t="s">
        <v>360</v>
      </c>
      <c r="D444" s="187">
        <v>2.37</v>
      </c>
      <c r="E444" s="187">
        <v>3.05</v>
      </c>
      <c r="F444" s="186">
        <v>0.125</v>
      </c>
      <c r="G444" s="187">
        <f t="shared" si="325"/>
        <v>0.90356249999999994</v>
      </c>
      <c r="H444" s="188">
        <f t="shared" si="326"/>
        <v>7.2284999999999995</v>
      </c>
      <c r="I444" s="183">
        <f t="shared" si="333"/>
        <v>8</v>
      </c>
      <c r="J444" s="188">
        <f t="shared" si="334"/>
        <v>0.23</v>
      </c>
      <c r="K444" s="183">
        <f t="shared" si="335"/>
        <v>14</v>
      </c>
      <c r="L444" s="189">
        <f t="shared" si="336"/>
        <v>5.2499999999999998E-2</v>
      </c>
      <c r="M444" s="189">
        <f>0.23*2</f>
        <v>0.46</v>
      </c>
      <c r="N444" s="189">
        <f t="shared" si="328"/>
        <v>-0.04</v>
      </c>
      <c r="O444" s="189">
        <f>3.95*0.3</f>
        <v>1.1850000000000001</v>
      </c>
      <c r="P444" s="188">
        <f t="shared" si="329"/>
        <v>4.0274999999999999</v>
      </c>
      <c r="Q444" s="183">
        <f t="shared" si="337"/>
        <v>8</v>
      </c>
      <c r="R444" s="188">
        <f t="shared" si="338"/>
        <v>0.23</v>
      </c>
      <c r="S444" s="183">
        <f t="shared" si="339"/>
        <v>13</v>
      </c>
      <c r="T444" s="189">
        <f t="shared" si="340"/>
        <v>5.2499999999999998E-2</v>
      </c>
      <c r="U444" s="189">
        <f>0.23*2</f>
        <v>0.46</v>
      </c>
      <c r="V444" s="189">
        <f t="shared" si="330"/>
        <v>-0.04</v>
      </c>
      <c r="W444" s="189">
        <f>2.24*0.3</f>
        <v>0.67200000000000004</v>
      </c>
      <c r="X444" s="188">
        <f t="shared" si="324"/>
        <v>3.5145</v>
      </c>
      <c r="Y444" s="183">
        <f t="shared" si="341"/>
        <v>8</v>
      </c>
      <c r="Z444" s="188">
        <f t="shared" si="342"/>
        <v>0.3</v>
      </c>
      <c r="AA444" s="183">
        <f t="shared" si="343"/>
        <v>9</v>
      </c>
      <c r="AB444" s="189">
        <f t="shared" si="344"/>
        <v>5.2499999999999998E-2</v>
      </c>
      <c r="AC444" s="189">
        <f>0.3*2</f>
        <v>0.6</v>
      </c>
      <c r="AD444" s="189">
        <f t="shared" si="331"/>
        <v>-0.04</v>
      </c>
      <c r="AE444" s="189">
        <f>2.6*0.3</f>
        <v>0.78</v>
      </c>
      <c r="AF444" s="188">
        <f t="shared" si="321"/>
        <v>4.4424999999999999</v>
      </c>
      <c r="AG444" s="183">
        <f t="shared" si="345"/>
        <v>8</v>
      </c>
      <c r="AH444" s="182">
        <f t="shared" si="346"/>
        <v>0.3</v>
      </c>
      <c r="AI444" s="183">
        <f t="shared" si="347"/>
        <v>8</v>
      </c>
      <c r="AJ444" s="189">
        <f t="shared" si="348"/>
        <v>5.2499999999999998E-2</v>
      </c>
      <c r="AK444" s="189">
        <f>0.3*2</f>
        <v>0.6</v>
      </c>
      <c r="AL444" s="189">
        <f t="shared" si="332"/>
        <v>-0.04</v>
      </c>
      <c r="AM444" s="189">
        <f>3.43*0.3</f>
        <v>1.0289999999999999</v>
      </c>
      <c r="AN444" s="188">
        <f t="shared" si="322"/>
        <v>4.6914999999999996</v>
      </c>
      <c r="AO444" s="183">
        <v>0</v>
      </c>
      <c r="AP444" s="182">
        <f t="shared" si="349"/>
        <v>8</v>
      </c>
      <c r="AQ444" s="182">
        <v>1.5</v>
      </c>
      <c r="AR444" s="187">
        <f t="shared" si="352"/>
        <v>102.0735</v>
      </c>
      <c r="AS444" s="187">
        <f t="shared" si="353"/>
        <v>0</v>
      </c>
      <c r="AT444" s="187">
        <f t="shared" si="354"/>
        <v>0</v>
      </c>
      <c r="AU444" s="187">
        <f t="shared" si="355"/>
        <v>77.514499999999998</v>
      </c>
      <c r="AV444" s="187">
        <f t="shared" si="356"/>
        <v>0</v>
      </c>
      <c r="AW444" s="187">
        <f t="shared" si="350"/>
        <v>0</v>
      </c>
      <c r="AX444" s="187">
        <f t="shared" si="351"/>
        <v>12</v>
      </c>
      <c r="AY444" s="388"/>
      <c r="AZ444" s="436"/>
      <c r="BA444" s="428"/>
      <c r="BF444" s="403"/>
      <c r="BG444" s="403"/>
      <c r="BK444" s="443"/>
      <c r="BL444" s="443"/>
      <c r="BN444" s="443"/>
      <c r="BO444" s="443"/>
      <c r="BQ444" s="443"/>
      <c r="BR444" s="443"/>
      <c r="BT444" s="443"/>
      <c r="BU444" s="443"/>
      <c r="BW444" s="443"/>
      <c r="BX444" s="443"/>
      <c r="BZ444" s="443"/>
      <c r="CA444" s="443"/>
      <c r="CC444" s="443"/>
      <c r="CD444" s="443"/>
      <c r="CF444" s="443"/>
      <c r="CG444" s="443"/>
    </row>
    <row r="445" spans="1:85" s="395" customFormat="1" x14ac:dyDescent="0.3">
      <c r="A445" s="182" t="s">
        <v>229</v>
      </c>
      <c r="B445" s="183">
        <v>1</v>
      </c>
      <c r="C445" s="184" t="s">
        <v>531</v>
      </c>
      <c r="D445" s="187">
        <v>2.2400000000000002</v>
      </c>
      <c r="E445" s="187">
        <v>3.05</v>
      </c>
      <c r="F445" s="186">
        <v>0.13</v>
      </c>
      <c r="G445" s="187">
        <f>D445*E445*F445*B445</f>
        <v>0.88816000000000006</v>
      </c>
      <c r="H445" s="188">
        <f t="shared" si="326"/>
        <v>6.8319999999999999</v>
      </c>
      <c r="I445" s="183">
        <f t="shared" si="333"/>
        <v>8</v>
      </c>
      <c r="J445" s="188">
        <f t="shared" si="334"/>
        <v>0.17</v>
      </c>
      <c r="K445" s="183">
        <f t="shared" si="335"/>
        <v>19</v>
      </c>
      <c r="L445" s="189">
        <f t="shared" si="336"/>
        <v>5.4600000000000003E-2</v>
      </c>
      <c r="M445" s="189">
        <f>0.23+0.34</f>
        <v>0.57000000000000006</v>
      </c>
      <c r="N445" s="189">
        <f t="shared" si="328"/>
        <v>-0.04</v>
      </c>
      <c r="O445" s="189">
        <f>2.37*0.3</f>
        <v>0.71099999999999997</v>
      </c>
      <c r="P445" s="188">
        <f t="shared" si="329"/>
        <v>3.5356000000000001</v>
      </c>
      <c r="Q445" s="183">
        <f t="shared" si="337"/>
        <v>8</v>
      </c>
      <c r="R445" s="188">
        <f t="shared" si="338"/>
        <v>0.17</v>
      </c>
      <c r="S445" s="183">
        <f t="shared" si="339"/>
        <v>18</v>
      </c>
      <c r="T445" s="189">
        <f t="shared" si="340"/>
        <v>5.4600000000000003E-2</v>
      </c>
      <c r="U445" s="189">
        <f>0.23+0.34</f>
        <v>0.57000000000000006</v>
      </c>
      <c r="V445" s="189">
        <f t="shared" si="330"/>
        <v>-0.04</v>
      </c>
      <c r="W445" s="189">
        <f>5.38*0.3</f>
        <v>1.6139999999999999</v>
      </c>
      <c r="X445" s="188">
        <f t="shared" si="324"/>
        <v>4.4386000000000001</v>
      </c>
      <c r="Y445" s="183">
        <f t="shared" si="341"/>
        <v>8</v>
      </c>
      <c r="Z445" s="188">
        <f t="shared" si="342"/>
        <v>0.24</v>
      </c>
      <c r="AA445" s="183">
        <f t="shared" si="343"/>
        <v>10</v>
      </c>
      <c r="AB445" s="189">
        <f t="shared" si="344"/>
        <v>5.4600000000000003E-2</v>
      </c>
      <c r="AC445" s="189">
        <f>0.3*2</f>
        <v>0.6</v>
      </c>
      <c r="AD445" s="189">
        <f t="shared" si="331"/>
        <v>-0.04</v>
      </c>
      <c r="AE445" s="189">
        <f>2.67*0.3</f>
        <v>0.80099999999999993</v>
      </c>
      <c r="AF445" s="188">
        <f t="shared" ref="AF445:AF446" si="357">+E445+SUM(AB445:AE445)</f>
        <v>4.4656000000000002</v>
      </c>
      <c r="AG445" s="183">
        <f t="shared" si="345"/>
        <v>8</v>
      </c>
      <c r="AH445" s="182">
        <f t="shared" si="346"/>
        <v>0.24</v>
      </c>
      <c r="AI445" s="183">
        <f t="shared" si="347"/>
        <v>9</v>
      </c>
      <c r="AJ445" s="189">
        <f t="shared" si="348"/>
        <v>5.4600000000000003E-2</v>
      </c>
      <c r="AK445" s="189">
        <f>0.3*2</f>
        <v>0.6</v>
      </c>
      <c r="AL445" s="189">
        <f t="shared" si="332"/>
        <v>-0.04</v>
      </c>
      <c r="AM445" s="189">
        <f>2.44*0.3</f>
        <v>0.73199999999999998</v>
      </c>
      <c r="AN445" s="188">
        <f t="shared" ref="AN445:AN446" si="358">+E445+SUM(AJ445:AM445)</f>
        <v>4.3965999999999994</v>
      </c>
      <c r="AO445" s="183">
        <v>0</v>
      </c>
      <c r="AP445" s="182">
        <f t="shared" si="349"/>
        <v>6</v>
      </c>
      <c r="AQ445" s="182">
        <v>1.5</v>
      </c>
      <c r="AR445" s="187">
        <f t="shared" si="352"/>
        <v>147.0712</v>
      </c>
      <c r="AS445" s="187">
        <f t="shared" si="353"/>
        <v>0</v>
      </c>
      <c r="AT445" s="187">
        <f t="shared" si="354"/>
        <v>0</v>
      </c>
      <c r="AU445" s="187">
        <f t="shared" si="355"/>
        <v>84.225400000000008</v>
      </c>
      <c r="AV445" s="187">
        <f t="shared" si="356"/>
        <v>0</v>
      </c>
      <c r="AW445" s="187">
        <f t="shared" si="350"/>
        <v>0</v>
      </c>
      <c r="AX445" s="187">
        <f t="shared" si="351"/>
        <v>9</v>
      </c>
      <c r="AY445" s="388"/>
      <c r="AZ445" s="436"/>
      <c r="BA445" s="428"/>
      <c r="BF445" s="403"/>
      <c r="BG445" s="403"/>
      <c r="BK445" s="443"/>
      <c r="BL445" s="443"/>
      <c r="BN445" s="443"/>
      <c r="BO445" s="443"/>
      <c r="BQ445" s="443"/>
      <c r="BR445" s="443"/>
      <c r="BT445" s="443"/>
      <c r="BU445" s="443"/>
      <c r="BW445" s="443"/>
      <c r="BX445" s="443"/>
      <c r="BZ445" s="443"/>
      <c r="CA445" s="443"/>
      <c r="CC445" s="443"/>
      <c r="CD445" s="443"/>
      <c r="CF445" s="443"/>
      <c r="CG445" s="443"/>
    </row>
    <row r="446" spans="1:85" s="395" customFormat="1" x14ac:dyDescent="0.3">
      <c r="A446" s="182" t="s">
        <v>254</v>
      </c>
      <c r="B446" s="183">
        <v>1</v>
      </c>
      <c r="C446" s="184" t="s">
        <v>532</v>
      </c>
      <c r="D446" s="187">
        <v>5.4</v>
      </c>
      <c r="E446" s="187">
        <v>3.27</v>
      </c>
      <c r="F446" s="186">
        <v>0.15</v>
      </c>
      <c r="G446" s="187">
        <f t="shared" ref="G446:G467" si="359">D446*E446*F446*B446</f>
        <v>2.6487000000000003</v>
      </c>
      <c r="H446" s="188">
        <f t="shared" si="326"/>
        <v>17.658000000000001</v>
      </c>
      <c r="I446" s="183">
        <f t="shared" si="333"/>
        <v>10</v>
      </c>
      <c r="J446" s="188">
        <f t="shared" si="334"/>
        <v>0.18</v>
      </c>
      <c r="K446" s="183">
        <f t="shared" si="335"/>
        <v>19</v>
      </c>
      <c r="L446" s="189">
        <f t="shared" si="336"/>
        <v>6.3E-2</v>
      </c>
      <c r="M446" s="189">
        <f>0.34+0.45</f>
        <v>0.79</v>
      </c>
      <c r="N446" s="189">
        <f t="shared" si="328"/>
        <v>-0.04</v>
      </c>
      <c r="O446" s="189">
        <f>2.24*0.3</f>
        <v>0.67200000000000004</v>
      </c>
      <c r="P446" s="188">
        <f t="shared" si="329"/>
        <v>6.8849999999999998</v>
      </c>
      <c r="Q446" s="183">
        <f t="shared" si="337"/>
        <v>10</v>
      </c>
      <c r="R446" s="188">
        <f t="shared" si="338"/>
        <v>0.18</v>
      </c>
      <c r="S446" s="183">
        <f t="shared" si="339"/>
        <v>18</v>
      </c>
      <c r="T446" s="189">
        <f t="shared" si="340"/>
        <v>6.3E-2</v>
      </c>
      <c r="U446" s="189">
        <f>0.34+0.45</f>
        <v>0.79</v>
      </c>
      <c r="V446" s="189">
        <f t="shared" si="330"/>
        <v>-0.04</v>
      </c>
      <c r="W446" s="189">
        <f>2.6*0.3</f>
        <v>0.78</v>
      </c>
      <c r="X446" s="188">
        <f t="shared" ref="X446:X477" si="360">+D446+SUM(T446:W446)</f>
        <v>6.9930000000000003</v>
      </c>
      <c r="Y446" s="183">
        <f t="shared" si="341"/>
        <v>8</v>
      </c>
      <c r="Z446" s="188">
        <f t="shared" si="342"/>
        <v>0.2</v>
      </c>
      <c r="AA446" s="183">
        <f t="shared" si="343"/>
        <v>28</v>
      </c>
      <c r="AB446" s="189">
        <f t="shared" si="344"/>
        <v>6.3E-2</v>
      </c>
      <c r="AC446" s="189">
        <f>0.3+0.38</f>
        <v>0.67999999999999994</v>
      </c>
      <c r="AD446" s="189">
        <f t="shared" si="331"/>
        <v>-0.04</v>
      </c>
      <c r="AE446" s="189">
        <f>2.56*0.3</f>
        <v>0.76800000000000002</v>
      </c>
      <c r="AF446" s="188">
        <f t="shared" si="357"/>
        <v>4.7409999999999997</v>
      </c>
      <c r="AG446" s="183">
        <f t="shared" si="345"/>
        <v>8</v>
      </c>
      <c r="AH446" s="182">
        <f t="shared" si="346"/>
        <v>0.2</v>
      </c>
      <c r="AI446" s="183">
        <f t="shared" si="347"/>
        <v>27</v>
      </c>
      <c r="AJ446" s="189">
        <f t="shared" si="348"/>
        <v>6.3E-2</v>
      </c>
      <c r="AK446" s="189">
        <f>0.3+0.38</f>
        <v>0.67999999999999994</v>
      </c>
      <c r="AL446" s="189">
        <f t="shared" si="332"/>
        <v>-0.04</v>
      </c>
      <c r="AM446" s="189">
        <f>2.87*0.3</f>
        <v>0.86099999999999999</v>
      </c>
      <c r="AN446" s="188">
        <f t="shared" si="358"/>
        <v>4.8339999999999996</v>
      </c>
      <c r="AO446" s="183">
        <v>0</v>
      </c>
      <c r="AP446" s="182">
        <f t="shared" si="349"/>
        <v>12</v>
      </c>
      <c r="AQ446" s="182">
        <v>1.5</v>
      </c>
      <c r="AR446" s="187">
        <f t="shared" si="352"/>
        <v>0</v>
      </c>
      <c r="AS446" s="187">
        <f t="shared" si="353"/>
        <v>256.68900000000002</v>
      </c>
      <c r="AT446" s="187">
        <f t="shared" si="354"/>
        <v>0</v>
      </c>
      <c r="AU446" s="187">
        <f t="shared" si="355"/>
        <v>263.26599999999996</v>
      </c>
      <c r="AV446" s="187">
        <f t="shared" si="356"/>
        <v>0</v>
      </c>
      <c r="AW446" s="187">
        <f t="shared" si="350"/>
        <v>0</v>
      </c>
      <c r="AX446" s="187">
        <f t="shared" si="351"/>
        <v>18</v>
      </c>
      <c r="AY446" s="388"/>
      <c r="AZ446" s="436"/>
      <c r="BA446" s="428"/>
      <c r="BF446" s="403"/>
      <c r="BG446" s="403"/>
      <c r="BK446" s="443"/>
      <c r="BL446" s="443"/>
      <c r="BN446" s="443"/>
      <c r="BO446" s="443"/>
      <c r="BQ446" s="443"/>
      <c r="BR446" s="443"/>
      <c r="BT446" s="443"/>
      <c r="BU446" s="443"/>
      <c r="BW446" s="443"/>
      <c r="BX446" s="443"/>
      <c r="BZ446" s="443"/>
      <c r="CA446" s="443"/>
      <c r="CC446" s="443"/>
      <c r="CD446" s="443"/>
      <c r="CF446" s="443"/>
      <c r="CG446" s="443"/>
    </row>
    <row r="447" spans="1:85" s="395" customFormat="1" x14ac:dyDescent="0.3">
      <c r="A447" s="182" t="s">
        <v>223</v>
      </c>
      <c r="B447" s="183">
        <v>1</v>
      </c>
      <c r="C447" s="184" t="s">
        <v>533</v>
      </c>
      <c r="D447" s="187">
        <v>2.6</v>
      </c>
      <c r="E447" s="187">
        <v>11.82</v>
      </c>
      <c r="F447" s="186">
        <v>0.13</v>
      </c>
      <c r="G447" s="187">
        <f t="shared" si="359"/>
        <v>3.9951600000000007</v>
      </c>
      <c r="H447" s="188">
        <f t="shared" si="326"/>
        <v>30.732000000000003</v>
      </c>
      <c r="I447" s="183">
        <f t="shared" si="333"/>
        <v>8</v>
      </c>
      <c r="J447" s="188">
        <f t="shared" si="334"/>
        <v>0.2</v>
      </c>
      <c r="K447" s="183">
        <f t="shared" si="335"/>
        <v>60</v>
      </c>
      <c r="L447" s="189">
        <f t="shared" si="336"/>
        <v>5.4600000000000003E-2</v>
      </c>
      <c r="M447" s="189">
        <f>0.45*2</f>
        <v>0.9</v>
      </c>
      <c r="N447" s="189">
        <f t="shared" si="328"/>
        <v>-0.04</v>
      </c>
      <c r="O447" s="189">
        <f>5.4*0.3</f>
        <v>1.62</v>
      </c>
      <c r="P447" s="188">
        <f t="shared" si="329"/>
        <v>5.1346000000000007</v>
      </c>
      <c r="Q447" s="183">
        <f t="shared" si="337"/>
        <v>8</v>
      </c>
      <c r="R447" s="188">
        <f t="shared" si="338"/>
        <v>0.2</v>
      </c>
      <c r="S447" s="183">
        <f t="shared" si="339"/>
        <v>59</v>
      </c>
      <c r="T447" s="189">
        <f t="shared" si="340"/>
        <v>5.4600000000000003E-2</v>
      </c>
      <c r="U447" s="189">
        <f>0.45*2</f>
        <v>0.9</v>
      </c>
      <c r="V447" s="189">
        <f t="shared" si="330"/>
        <v>-0.04</v>
      </c>
      <c r="W447" s="189">
        <f>2.8*0.3</f>
        <v>0.84</v>
      </c>
      <c r="X447" s="188">
        <f t="shared" si="360"/>
        <v>4.3545999999999996</v>
      </c>
      <c r="Y447" s="183">
        <f t="shared" si="341"/>
        <v>8</v>
      </c>
      <c r="Z447" s="188">
        <f t="shared" si="342"/>
        <v>0.36</v>
      </c>
      <c r="AA447" s="183">
        <f t="shared" si="343"/>
        <v>8</v>
      </c>
      <c r="AB447" s="189">
        <f t="shared" si="344"/>
        <v>5.4600000000000003E-2</v>
      </c>
      <c r="AC447" s="189">
        <f>0.3*2</f>
        <v>0.6</v>
      </c>
      <c r="AD447" s="189">
        <f t="shared" si="331"/>
        <v>-0.04</v>
      </c>
      <c r="AE447" s="189">
        <f>5.85*0.3</f>
        <v>1.7549999999999999</v>
      </c>
      <c r="AF447" s="188">
        <f t="shared" ref="AF447:AF477" si="361">+E447+SUM(AB447:AE447)</f>
        <v>14.1896</v>
      </c>
      <c r="AG447" s="183">
        <f t="shared" si="345"/>
        <v>8</v>
      </c>
      <c r="AH447" s="182">
        <f t="shared" si="346"/>
        <v>0.36</v>
      </c>
      <c r="AI447" s="183">
        <f t="shared" si="347"/>
        <v>7</v>
      </c>
      <c r="AJ447" s="189">
        <f t="shared" si="348"/>
        <v>5.4600000000000003E-2</v>
      </c>
      <c r="AK447" s="189">
        <f>0.3*2</f>
        <v>0.6</v>
      </c>
      <c r="AL447" s="189">
        <f t="shared" si="332"/>
        <v>-0.04</v>
      </c>
      <c r="AM447" s="189">
        <f>3.25*0.3</f>
        <v>0.97499999999999998</v>
      </c>
      <c r="AN447" s="188">
        <f t="shared" ref="AN447:AN477" si="362">+E447+SUM(AJ447:AM447)</f>
        <v>13.409600000000001</v>
      </c>
      <c r="AO447" s="183">
        <v>0</v>
      </c>
      <c r="AP447" s="182">
        <f t="shared" si="349"/>
        <v>20</v>
      </c>
      <c r="AQ447" s="182">
        <v>1.5</v>
      </c>
      <c r="AR447" s="187">
        <f t="shared" si="352"/>
        <v>564.99739999999997</v>
      </c>
      <c r="AS447" s="187">
        <f t="shared" si="353"/>
        <v>0</v>
      </c>
      <c r="AT447" s="187">
        <f t="shared" si="354"/>
        <v>0</v>
      </c>
      <c r="AU447" s="187">
        <f t="shared" si="355"/>
        <v>207.38400000000001</v>
      </c>
      <c r="AV447" s="187">
        <f t="shared" si="356"/>
        <v>0</v>
      </c>
      <c r="AW447" s="187">
        <f t="shared" si="350"/>
        <v>0</v>
      </c>
      <c r="AX447" s="187">
        <f t="shared" si="351"/>
        <v>30</v>
      </c>
      <c r="AY447" s="388"/>
      <c r="AZ447" s="436"/>
      <c r="BA447" s="428"/>
      <c r="BF447" s="403"/>
      <c r="BG447" s="403"/>
      <c r="BK447" s="443"/>
      <c r="BL447" s="443"/>
      <c r="BN447" s="443"/>
      <c r="BO447" s="443"/>
      <c r="BQ447" s="443"/>
      <c r="BR447" s="443"/>
      <c r="BT447" s="443"/>
      <c r="BU447" s="443"/>
      <c r="BW447" s="443"/>
      <c r="BX447" s="443"/>
      <c r="BZ447" s="443"/>
      <c r="CA447" s="443"/>
      <c r="CC447" s="443"/>
      <c r="CD447" s="443"/>
      <c r="CF447" s="443"/>
      <c r="CG447" s="443"/>
    </row>
    <row r="448" spans="1:85" s="395" customFormat="1" x14ac:dyDescent="0.3">
      <c r="A448" s="182" t="s">
        <v>223</v>
      </c>
      <c r="B448" s="183">
        <v>1</v>
      </c>
      <c r="C448" s="184" t="s">
        <v>534</v>
      </c>
      <c r="D448" s="187">
        <v>2.8</v>
      </c>
      <c r="E448" s="187">
        <v>12.82</v>
      </c>
      <c r="F448" s="186">
        <v>0.13</v>
      </c>
      <c r="G448" s="187">
        <f t="shared" si="359"/>
        <v>4.66648</v>
      </c>
      <c r="H448" s="188">
        <f t="shared" si="326"/>
        <v>35.896000000000001</v>
      </c>
      <c r="I448" s="183">
        <f t="shared" si="333"/>
        <v>8</v>
      </c>
      <c r="J448" s="188">
        <f t="shared" si="334"/>
        <v>0.2</v>
      </c>
      <c r="K448" s="183">
        <f t="shared" si="335"/>
        <v>65</v>
      </c>
      <c r="L448" s="189">
        <f t="shared" si="336"/>
        <v>5.4600000000000003E-2</v>
      </c>
      <c r="M448" s="189">
        <f>0.45+0.3</f>
        <v>0.75</v>
      </c>
      <c r="N448" s="189">
        <f t="shared" si="328"/>
        <v>-0.04</v>
      </c>
      <c r="O448" s="189">
        <f>2.6*0.3</f>
        <v>0.78</v>
      </c>
      <c r="P448" s="188">
        <f t="shared" si="329"/>
        <v>4.3445999999999998</v>
      </c>
      <c r="Q448" s="183">
        <f t="shared" si="337"/>
        <v>8</v>
      </c>
      <c r="R448" s="188">
        <f t="shared" si="338"/>
        <v>0.2</v>
      </c>
      <c r="S448" s="183">
        <f t="shared" si="339"/>
        <v>64</v>
      </c>
      <c r="T448" s="189">
        <f t="shared" si="340"/>
        <v>5.4600000000000003E-2</v>
      </c>
      <c r="U448" s="189">
        <f>0.45+0.3</f>
        <v>0.75</v>
      </c>
      <c r="V448" s="189">
        <f t="shared" si="330"/>
        <v>-0.04</v>
      </c>
      <c r="W448" s="189">
        <f>F448-2*0.02</f>
        <v>0.09</v>
      </c>
      <c r="X448" s="188">
        <f t="shared" si="360"/>
        <v>3.6545999999999998</v>
      </c>
      <c r="Y448" s="183">
        <f t="shared" si="341"/>
        <v>8</v>
      </c>
      <c r="Z448" s="188">
        <f t="shared" si="342"/>
        <v>0.36</v>
      </c>
      <c r="AA448" s="183">
        <f t="shared" si="343"/>
        <v>9</v>
      </c>
      <c r="AB448" s="189">
        <f t="shared" si="344"/>
        <v>5.4600000000000003E-2</v>
      </c>
      <c r="AC448" s="189">
        <f>0.3*2</f>
        <v>0.6</v>
      </c>
      <c r="AD448" s="189">
        <f t="shared" si="331"/>
        <v>-0.04</v>
      </c>
      <c r="AE448" s="189">
        <f>5.85*0.3</f>
        <v>1.7549999999999999</v>
      </c>
      <c r="AF448" s="188">
        <f t="shared" si="361"/>
        <v>15.1896</v>
      </c>
      <c r="AG448" s="183">
        <f t="shared" si="345"/>
        <v>8</v>
      </c>
      <c r="AH448" s="182">
        <f t="shared" si="346"/>
        <v>0.36</v>
      </c>
      <c r="AI448" s="183">
        <f t="shared" si="347"/>
        <v>8</v>
      </c>
      <c r="AJ448" s="189">
        <f t="shared" si="348"/>
        <v>5.4600000000000003E-2</v>
      </c>
      <c r="AK448" s="189">
        <f>0.3*2</f>
        <v>0.6</v>
      </c>
      <c r="AL448" s="189">
        <f t="shared" si="332"/>
        <v>-0.04</v>
      </c>
      <c r="AM448" s="189">
        <f>2.01*0.3</f>
        <v>0.60299999999999987</v>
      </c>
      <c r="AN448" s="188">
        <f t="shared" si="362"/>
        <v>14.037599999999999</v>
      </c>
      <c r="AO448" s="183">
        <v>0</v>
      </c>
      <c r="AP448" s="182">
        <f t="shared" si="349"/>
        <v>22</v>
      </c>
      <c r="AQ448" s="182">
        <v>1.5</v>
      </c>
      <c r="AR448" s="187">
        <f t="shared" si="352"/>
        <v>516.29340000000002</v>
      </c>
      <c r="AS448" s="187">
        <f t="shared" si="353"/>
        <v>0</v>
      </c>
      <c r="AT448" s="187">
        <f t="shared" si="354"/>
        <v>0</v>
      </c>
      <c r="AU448" s="187">
        <f t="shared" si="355"/>
        <v>249.00720000000001</v>
      </c>
      <c r="AV448" s="187">
        <f t="shared" si="356"/>
        <v>0</v>
      </c>
      <c r="AW448" s="187">
        <f t="shared" si="350"/>
        <v>0</v>
      </c>
      <c r="AX448" s="187">
        <f t="shared" si="351"/>
        <v>33</v>
      </c>
      <c r="AY448" s="388"/>
      <c r="AZ448" s="436"/>
      <c r="BA448" s="428"/>
      <c r="BF448" s="403"/>
      <c r="BG448" s="403"/>
      <c r="BK448" s="443"/>
      <c r="BL448" s="443"/>
      <c r="BN448" s="443"/>
      <c r="BO448" s="443"/>
      <c r="BQ448" s="443"/>
      <c r="BR448" s="443"/>
      <c r="BT448" s="443"/>
      <c r="BU448" s="443"/>
      <c r="BW448" s="443"/>
      <c r="BX448" s="443"/>
      <c r="BZ448" s="443"/>
      <c r="CA448" s="443"/>
      <c r="CC448" s="443"/>
      <c r="CD448" s="443"/>
      <c r="CF448" s="443"/>
      <c r="CG448" s="443"/>
    </row>
    <row r="449" spans="1:85" s="395" customFormat="1" x14ac:dyDescent="0.3">
      <c r="A449" s="182" t="s">
        <v>239</v>
      </c>
      <c r="B449" s="183">
        <v>1</v>
      </c>
      <c r="C449" s="184" t="s">
        <v>535</v>
      </c>
      <c r="D449" s="187">
        <v>1.85</v>
      </c>
      <c r="E449" s="187">
        <v>2.35</v>
      </c>
      <c r="F449" s="186">
        <v>0.125</v>
      </c>
      <c r="G449" s="187">
        <f t="shared" si="359"/>
        <v>0.54343750000000002</v>
      </c>
      <c r="H449" s="188">
        <f t="shared" si="326"/>
        <v>4.3475000000000001</v>
      </c>
      <c r="I449" s="183">
        <f t="shared" si="333"/>
        <v>8</v>
      </c>
      <c r="J449" s="188">
        <f t="shared" si="334"/>
        <v>0.23</v>
      </c>
      <c r="K449" s="183">
        <f t="shared" si="335"/>
        <v>11</v>
      </c>
      <c r="L449" s="189">
        <f t="shared" si="336"/>
        <v>5.2499999999999998E-2</v>
      </c>
      <c r="M449" s="189">
        <f>0.38+0.3</f>
        <v>0.67999999999999994</v>
      </c>
      <c r="N449" s="189">
        <f t="shared" si="328"/>
        <v>-0.04</v>
      </c>
      <c r="O449" s="189">
        <f>2.67*0.3</f>
        <v>0.80099999999999993</v>
      </c>
      <c r="P449" s="188">
        <f t="shared" si="329"/>
        <v>3.3434999999999997</v>
      </c>
      <c r="Q449" s="183">
        <f t="shared" si="337"/>
        <v>8</v>
      </c>
      <c r="R449" s="188">
        <f t="shared" si="338"/>
        <v>0.23</v>
      </c>
      <c r="S449" s="183">
        <f t="shared" si="339"/>
        <v>10</v>
      </c>
      <c r="T449" s="189">
        <f t="shared" si="340"/>
        <v>5.2499999999999998E-2</v>
      </c>
      <c r="U449" s="189">
        <f>0.38+0.3</f>
        <v>0.67999999999999994</v>
      </c>
      <c r="V449" s="189">
        <f t="shared" si="330"/>
        <v>-0.04</v>
      </c>
      <c r="W449" s="189">
        <f>2.98*0.3</f>
        <v>0.89400000000000002</v>
      </c>
      <c r="X449" s="188">
        <f t="shared" si="360"/>
        <v>3.4365000000000001</v>
      </c>
      <c r="Y449" s="183">
        <f t="shared" si="341"/>
        <v>8</v>
      </c>
      <c r="Z449" s="188">
        <f t="shared" si="342"/>
        <v>0.3</v>
      </c>
      <c r="AA449" s="183">
        <f t="shared" si="343"/>
        <v>7</v>
      </c>
      <c r="AB449" s="189">
        <f t="shared" si="344"/>
        <v>5.2499999999999998E-2</v>
      </c>
      <c r="AC449" s="189">
        <f>0.6+0.3</f>
        <v>0.89999999999999991</v>
      </c>
      <c r="AD449" s="189">
        <f t="shared" si="331"/>
        <v>-0.04</v>
      </c>
      <c r="AE449" s="189">
        <f>5.4*0.3</f>
        <v>1.62</v>
      </c>
      <c r="AF449" s="188">
        <f t="shared" si="361"/>
        <v>4.8825000000000003</v>
      </c>
      <c r="AG449" s="183">
        <f t="shared" si="345"/>
        <v>8</v>
      </c>
      <c r="AH449" s="182">
        <f t="shared" si="346"/>
        <v>0.3</v>
      </c>
      <c r="AI449" s="183">
        <f t="shared" si="347"/>
        <v>6</v>
      </c>
      <c r="AJ449" s="189">
        <f t="shared" si="348"/>
        <v>5.2499999999999998E-2</v>
      </c>
      <c r="AK449" s="189">
        <f>0.6+0.3</f>
        <v>0.89999999999999991</v>
      </c>
      <c r="AL449" s="189">
        <f t="shared" si="332"/>
        <v>-0.04</v>
      </c>
      <c r="AM449" s="189">
        <f>3.31*0.3</f>
        <v>0.99299999999999999</v>
      </c>
      <c r="AN449" s="188">
        <f t="shared" si="362"/>
        <v>4.2554999999999996</v>
      </c>
      <c r="AO449" s="183">
        <v>0</v>
      </c>
      <c r="AP449" s="182">
        <f t="shared" si="349"/>
        <v>6</v>
      </c>
      <c r="AQ449" s="182">
        <v>1.5</v>
      </c>
      <c r="AR449" s="187">
        <f t="shared" si="352"/>
        <v>71.143499999999989</v>
      </c>
      <c r="AS449" s="187">
        <f t="shared" si="353"/>
        <v>0</v>
      </c>
      <c r="AT449" s="187">
        <f t="shared" si="354"/>
        <v>0</v>
      </c>
      <c r="AU449" s="187">
        <f t="shared" si="355"/>
        <v>59.710499999999996</v>
      </c>
      <c r="AV449" s="187">
        <f t="shared" si="356"/>
        <v>0</v>
      </c>
      <c r="AW449" s="187">
        <f t="shared" si="350"/>
        <v>0</v>
      </c>
      <c r="AX449" s="187">
        <f t="shared" si="351"/>
        <v>9</v>
      </c>
      <c r="AY449" s="388"/>
      <c r="AZ449" s="436"/>
      <c r="BA449" s="428"/>
      <c r="BF449" s="403"/>
      <c r="BG449" s="403"/>
      <c r="BK449" s="443"/>
      <c r="BL449" s="443"/>
      <c r="BN449" s="443"/>
      <c r="BO449" s="443"/>
      <c r="BQ449" s="443"/>
      <c r="BR449" s="443"/>
      <c r="BT449" s="443"/>
      <c r="BU449" s="443"/>
      <c r="BW449" s="443"/>
      <c r="BX449" s="443"/>
      <c r="BZ449" s="443"/>
      <c r="CA449" s="443"/>
      <c r="CC449" s="443"/>
      <c r="CD449" s="443"/>
      <c r="CF449" s="443"/>
      <c r="CG449" s="443"/>
    </row>
    <row r="450" spans="1:85" s="395" customFormat="1" x14ac:dyDescent="0.3">
      <c r="A450" s="182" t="s">
        <v>239</v>
      </c>
      <c r="B450" s="183">
        <v>1</v>
      </c>
      <c r="C450" s="184" t="s">
        <v>536</v>
      </c>
      <c r="D450" s="187">
        <v>2.98</v>
      </c>
      <c r="E450" s="187">
        <v>2.4300000000000002</v>
      </c>
      <c r="F450" s="186">
        <v>0.125</v>
      </c>
      <c r="G450" s="187">
        <f t="shared" si="359"/>
        <v>0.90517500000000006</v>
      </c>
      <c r="H450" s="188">
        <f t="shared" ref="H450:H467" si="363">D450*E450*B450</f>
        <v>7.2414000000000005</v>
      </c>
      <c r="I450" s="183">
        <f t="shared" si="333"/>
        <v>8</v>
      </c>
      <c r="J450" s="188">
        <f t="shared" si="334"/>
        <v>0.23</v>
      </c>
      <c r="K450" s="183">
        <f t="shared" si="335"/>
        <v>12</v>
      </c>
      <c r="L450" s="189">
        <f t="shared" si="336"/>
        <v>5.2499999999999998E-2</v>
      </c>
      <c r="M450" s="189">
        <f>0.38+0.3</f>
        <v>0.67999999999999994</v>
      </c>
      <c r="N450" s="189">
        <f t="shared" si="328"/>
        <v>-0.04</v>
      </c>
      <c r="O450" s="189">
        <f>1.86*0.3</f>
        <v>0.55800000000000005</v>
      </c>
      <c r="P450" s="188">
        <f t="shared" si="329"/>
        <v>4.2305000000000001</v>
      </c>
      <c r="Q450" s="183">
        <f t="shared" si="337"/>
        <v>8</v>
      </c>
      <c r="R450" s="188">
        <f t="shared" si="338"/>
        <v>0.23</v>
      </c>
      <c r="S450" s="183">
        <f t="shared" si="339"/>
        <v>11</v>
      </c>
      <c r="T450" s="189">
        <f t="shared" si="340"/>
        <v>5.2499999999999998E-2</v>
      </c>
      <c r="U450" s="189">
        <f>0.38+0.3</f>
        <v>0.67999999999999994</v>
      </c>
      <c r="V450" s="189">
        <f t="shared" si="330"/>
        <v>-0.04</v>
      </c>
      <c r="W450" s="189">
        <f>2.32*0.3</f>
        <v>0.69599999999999995</v>
      </c>
      <c r="X450" s="188">
        <f t="shared" si="360"/>
        <v>4.3685</v>
      </c>
      <c r="Y450" s="183">
        <f t="shared" si="341"/>
        <v>8</v>
      </c>
      <c r="Z450" s="188">
        <f t="shared" si="342"/>
        <v>0.3</v>
      </c>
      <c r="AA450" s="183">
        <f t="shared" si="343"/>
        <v>11</v>
      </c>
      <c r="AB450" s="189">
        <f t="shared" si="344"/>
        <v>5.2499999999999998E-2</v>
      </c>
      <c r="AC450" s="189">
        <f>0.6+0.3</f>
        <v>0.89999999999999991</v>
      </c>
      <c r="AD450" s="189">
        <f t="shared" si="331"/>
        <v>-0.04</v>
      </c>
      <c r="AE450" s="189">
        <f>5.38*0.3</f>
        <v>1.6139999999999999</v>
      </c>
      <c r="AF450" s="188">
        <f t="shared" si="361"/>
        <v>4.9565000000000001</v>
      </c>
      <c r="AG450" s="183">
        <f t="shared" si="345"/>
        <v>8</v>
      </c>
      <c r="AH450" s="182">
        <f t="shared" si="346"/>
        <v>0.3</v>
      </c>
      <c r="AI450" s="183">
        <f t="shared" si="347"/>
        <v>10</v>
      </c>
      <c r="AJ450" s="189">
        <f t="shared" si="348"/>
        <v>5.2499999999999998E-2</v>
      </c>
      <c r="AK450" s="189">
        <f>0.6+0.3</f>
        <v>0.89999999999999991</v>
      </c>
      <c r="AL450" s="189">
        <f t="shared" si="332"/>
        <v>-0.04</v>
      </c>
      <c r="AM450" s="189">
        <f>3.306*0.3</f>
        <v>0.99180000000000001</v>
      </c>
      <c r="AN450" s="188">
        <f t="shared" si="362"/>
        <v>4.3342999999999998</v>
      </c>
      <c r="AO450" s="183">
        <v>0</v>
      </c>
      <c r="AP450" s="182">
        <f t="shared" si="349"/>
        <v>8</v>
      </c>
      <c r="AQ450" s="182">
        <v>1.5</v>
      </c>
      <c r="AR450" s="187">
        <f t="shared" si="352"/>
        <v>98.819500000000005</v>
      </c>
      <c r="AS450" s="187">
        <f t="shared" si="353"/>
        <v>0</v>
      </c>
      <c r="AT450" s="187">
        <f t="shared" si="354"/>
        <v>0</v>
      </c>
      <c r="AU450" s="187">
        <f t="shared" si="355"/>
        <v>97.864499999999992</v>
      </c>
      <c r="AV450" s="187">
        <f t="shared" si="356"/>
        <v>0</v>
      </c>
      <c r="AW450" s="187">
        <f t="shared" si="350"/>
        <v>0</v>
      </c>
      <c r="AX450" s="187">
        <f t="shared" si="351"/>
        <v>12</v>
      </c>
      <c r="AY450" s="388"/>
      <c r="AZ450" s="436"/>
      <c r="BA450" s="428"/>
      <c r="BF450" s="403"/>
      <c r="BG450" s="403"/>
      <c r="BK450" s="443"/>
      <c r="BL450" s="443"/>
      <c r="BN450" s="443"/>
      <c r="BO450" s="443"/>
      <c r="BQ450" s="443"/>
      <c r="BR450" s="443"/>
      <c r="BT450" s="443"/>
      <c r="BU450" s="443"/>
      <c r="BW450" s="443"/>
      <c r="BX450" s="443"/>
      <c r="BZ450" s="443"/>
      <c r="CA450" s="443"/>
      <c r="CC450" s="443"/>
      <c r="CD450" s="443"/>
      <c r="CF450" s="443"/>
      <c r="CG450" s="443"/>
    </row>
    <row r="451" spans="1:85" s="395" customFormat="1" x14ac:dyDescent="0.3">
      <c r="A451" s="182" t="s">
        <v>239</v>
      </c>
      <c r="B451" s="183">
        <v>1</v>
      </c>
      <c r="C451" s="184" t="s">
        <v>372</v>
      </c>
      <c r="D451" s="187">
        <v>2.3199999999999998</v>
      </c>
      <c r="E451" s="187">
        <v>2.6</v>
      </c>
      <c r="F451" s="186">
        <v>0.125</v>
      </c>
      <c r="G451" s="187">
        <f t="shared" si="359"/>
        <v>0.754</v>
      </c>
      <c r="H451" s="188">
        <f t="shared" si="363"/>
        <v>6.032</v>
      </c>
      <c r="I451" s="183">
        <f t="shared" si="333"/>
        <v>8</v>
      </c>
      <c r="J451" s="188">
        <f t="shared" si="334"/>
        <v>0.23</v>
      </c>
      <c r="K451" s="183">
        <f t="shared" si="335"/>
        <v>12</v>
      </c>
      <c r="L451" s="189">
        <f t="shared" si="336"/>
        <v>5.2499999999999998E-2</v>
      </c>
      <c r="M451" s="189">
        <f>0.23*2</f>
        <v>0.46</v>
      </c>
      <c r="N451" s="189">
        <f t="shared" si="328"/>
        <v>-0.04</v>
      </c>
      <c r="O451" s="189">
        <f>2.98*0.3</f>
        <v>0.89400000000000002</v>
      </c>
      <c r="P451" s="188">
        <f t="shared" si="329"/>
        <v>3.6864999999999997</v>
      </c>
      <c r="Q451" s="183">
        <f t="shared" si="337"/>
        <v>8</v>
      </c>
      <c r="R451" s="188">
        <f t="shared" si="338"/>
        <v>0.23</v>
      </c>
      <c r="S451" s="183">
        <f t="shared" si="339"/>
        <v>11</v>
      </c>
      <c r="T451" s="189">
        <f t="shared" si="340"/>
        <v>5.2499999999999998E-2</v>
      </c>
      <c r="U451" s="189">
        <f>0.23*2</f>
        <v>0.46</v>
      </c>
      <c r="V451" s="189">
        <f t="shared" si="330"/>
        <v>-0.04</v>
      </c>
      <c r="W451" s="189">
        <f>1.94*0.3</f>
        <v>0.58199999999999996</v>
      </c>
      <c r="X451" s="188">
        <f t="shared" si="360"/>
        <v>3.3744999999999998</v>
      </c>
      <c r="Y451" s="183">
        <f t="shared" si="341"/>
        <v>8</v>
      </c>
      <c r="Z451" s="188">
        <f t="shared" si="342"/>
        <v>0.3</v>
      </c>
      <c r="AA451" s="183">
        <f t="shared" si="343"/>
        <v>9</v>
      </c>
      <c r="AB451" s="189">
        <f t="shared" si="344"/>
        <v>5.2499999999999998E-2</v>
      </c>
      <c r="AC451" s="189">
        <f>0.23*2</f>
        <v>0.46</v>
      </c>
      <c r="AD451" s="189">
        <f t="shared" si="331"/>
        <v>-0.04</v>
      </c>
      <c r="AE451" s="189">
        <f>5.38*0.3</f>
        <v>1.6139999999999999</v>
      </c>
      <c r="AF451" s="188">
        <f t="shared" si="361"/>
        <v>4.6865000000000006</v>
      </c>
      <c r="AG451" s="183">
        <f t="shared" si="345"/>
        <v>8</v>
      </c>
      <c r="AH451" s="182">
        <f t="shared" si="346"/>
        <v>0.3</v>
      </c>
      <c r="AI451" s="183">
        <f t="shared" si="347"/>
        <v>8</v>
      </c>
      <c r="AJ451" s="189">
        <f t="shared" si="348"/>
        <v>5.2499999999999998E-2</v>
      </c>
      <c r="AK451" s="189">
        <f>0.23*2</f>
        <v>0.46</v>
      </c>
      <c r="AL451" s="189">
        <f t="shared" si="332"/>
        <v>-0.04</v>
      </c>
      <c r="AM451" s="189">
        <f>3.15*0.3</f>
        <v>0.94499999999999995</v>
      </c>
      <c r="AN451" s="188">
        <f t="shared" si="362"/>
        <v>4.0175000000000001</v>
      </c>
      <c r="AO451" s="183">
        <v>0</v>
      </c>
      <c r="AP451" s="182">
        <f t="shared" si="349"/>
        <v>8</v>
      </c>
      <c r="AQ451" s="182">
        <v>1.5</v>
      </c>
      <c r="AR451" s="187">
        <f t="shared" si="352"/>
        <v>81.357499999999987</v>
      </c>
      <c r="AS451" s="187">
        <f t="shared" si="353"/>
        <v>0</v>
      </c>
      <c r="AT451" s="187">
        <f t="shared" si="354"/>
        <v>0</v>
      </c>
      <c r="AU451" s="187">
        <f t="shared" si="355"/>
        <v>74.3185</v>
      </c>
      <c r="AV451" s="187">
        <f t="shared" si="356"/>
        <v>0</v>
      </c>
      <c r="AW451" s="187">
        <f t="shared" si="350"/>
        <v>0</v>
      </c>
      <c r="AX451" s="187">
        <f t="shared" si="351"/>
        <v>12</v>
      </c>
      <c r="AY451" s="388"/>
      <c r="AZ451" s="436"/>
      <c r="BA451" s="428"/>
      <c r="BF451" s="403"/>
      <c r="BG451" s="403"/>
      <c r="BK451" s="443"/>
      <c r="BL451" s="443"/>
      <c r="BN451" s="443"/>
      <c r="BO451" s="443"/>
      <c r="BQ451" s="443"/>
      <c r="BR451" s="443"/>
      <c r="BT451" s="443"/>
      <c r="BU451" s="443"/>
      <c r="BW451" s="443"/>
      <c r="BX451" s="443"/>
      <c r="BZ451" s="443"/>
      <c r="CA451" s="443"/>
      <c r="CC451" s="443"/>
      <c r="CD451" s="443"/>
      <c r="CF451" s="443"/>
      <c r="CG451" s="443"/>
    </row>
    <row r="452" spans="1:85" s="395" customFormat="1" x14ac:dyDescent="0.3">
      <c r="A452" s="182" t="s">
        <v>239</v>
      </c>
      <c r="B452" s="183">
        <v>1</v>
      </c>
      <c r="C452" s="184" t="s">
        <v>537</v>
      </c>
      <c r="D452" s="187">
        <v>1.94</v>
      </c>
      <c r="E452" s="187">
        <v>2.6</v>
      </c>
      <c r="F452" s="186">
        <v>0.125</v>
      </c>
      <c r="G452" s="187">
        <f t="shared" si="359"/>
        <v>0.63049999999999995</v>
      </c>
      <c r="H452" s="188">
        <f t="shared" si="363"/>
        <v>5.0439999999999996</v>
      </c>
      <c r="I452" s="183">
        <f t="shared" si="333"/>
        <v>8</v>
      </c>
      <c r="J452" s="188">
        <f t="shared" si="334"/>
        <v>0.23</v>
      </c>
      <c r="K452" s="183">
        <f t="shared" si="335"/>
        <v>12</v>
      </c>
      <c r="L452" s="189">
        <f t="shared" si="336"/>
        <v>5.2499999999999998E-2</v>
      </c>
      <c r="M452" s="189">
        <f>0.23*2</f>
        <v>0.46</v>
      </c>
      <c r="N452" s="189">
        <f t="shared" si="328"/>
        <v>-0.04</v>
      </c>
      <c r="O452" s="189">
        <f>2.32*0.3</f>
        <v>0.69599999999999995</v>
      </c>
      <c r="P452" s="188">
        <f t="shared" si="329"/>
        <v>3.1085000000000003</v>
      </c>
      <c r="Q452" s="183">
        <f t="shared" si="337"/>
        <v>8</v>
      </c>
      <c r="R452" s="188">
        <f t="shared" si="338"/>
        <v>0.23</v>
      </c>
      <c r="S452" s="183">
        <f t="shared" si="339"/>
        <v>11</v>
      </c>
      <c r="T452" s="189">
        <f t="shared" si="340"/>
        <v>5.2499999999999998E-2</v>
      </c>
      <c r="U452" s="189">
        <f>0.23*2</f>
        <v>0.46</v>
      </c>
      <c r="V452" s="189">
        <f t="shared" si="330"/>
        <v>-0.04</v>
      </c>
      <c r="W452" s="189">
        <f>3.95*0.3</f>
        <v>1.1850000000000001</v>
      </c>
      <c r="X452" s="188">
        <f t="shared" si="360"/>
        <v>3.5975000000000001</v>
      </c>
      <c r="Y452" s="183">
        <f t="shared" si="341"/>
        <v>8</v>
      </c>
      <c r="Z452" s="188">
        <f t="shared" si="342"/>
        <v>0.3</v>
      </c>
      <c r="AA452" s="183">
        <f t="shared" si="343"/>
        <v>7</v>
      </c>
      <c r="AB452" s="189">
        <f t="shared" si="344"/>
        <v>5.2499999999999998E-2</v>
      </c>
      <c r="AC452" s="189">
        <f>0.3*2</f>
        <v>0.6</v>
      </c>
      <c r="AD452" s="189">
        <f t="shared" si="331"/>
        <v>-0.04</v>
      </c>
      <c r="AE452" s="189">
        <f>5.38*0.3</f>
        <v>1.6139999999999999</v>
      </c>
      <c r="AF452" s="188">
        <f t="shared" si="361"/>
        <v>4.8264999999999993</v>
      </c>
      <c r="AG452" s="183">
        <f t="shared" si="345"/>
        <v>8</v>
      </c>
      <c r="AH452" s="182">
        <f t="shared" si="346"/>
        <v>0.3</v>
      </c>
      <c r="AI452" s="183">
        <f t="shared" si="347"/>
        <v>6</v>
      </c>
      <c r="AJ452" s="189">
        <f t="shared" si="348"/>
        <v>5.2499999999999998E-2</v>
      </c>
      <c r="AK452" s="189">
        <f>0.3*2</f>
        <v>0.6</v>
      </c>
      <c r="AL452" s="189">
        <f t="shared" si="332"/>
        <v>-0.04</v>
      </c>
      <c r="AM452" s="189">
        <f>3.05*0.3</f>
        <v>0.91499999999999992</v>
      </c>
      <c r="AN452" s="188">
        <f t="shared" si="362"/>
        <v>4.1274999999999995</v>
      </c>
      <c r="AO452" s="183">
        <v>0</v>
      </c>
      <c r="AP452" s="182">
        <f t="shared" si="349"/>
        <v>6</v>
      </c>
      <c r="AQ452" s="182">
        <v>1.5</v>
      </c>
      <c r="AR452" s="187">
        <f t="shared" si="352"/>
        <v>76.874500000000012</v>
      </c>
      <c r="AS452" s="187">
        <f t="shared" si="353"/>
        <v>0</v>
      </c>
      <c r="AT452" s="187">
        <f t="shared" si="354"/>
        <v>0</v>
      </c>
      <c r="AU452" s="187">
        <f t="shared" si="355"/>
        <v>58.5505</v>
      </c>
      <c r="AV452" s="187">
        <f t="shared" si="356"/>
        <v>0</v>
      </c>
      <c r="AW452" s="187">
        <f t="shared" si="350"/>
        <v>0</v>
      </c>
      <c r="AX452" s="187">
        <f t="shared" si="351"/>
        <v>9</v>
      </c>
      <c r="AY452" s="388"/>
      <c r="AZ452" s="436"/>
      <c r="BA452" s="428"/>
      <c r="BF452" s="403"/>
      <c r="BG452" s="403"/>
      <c r="BK452" s="443"/>
      <c r="BL452" s="443"/>
      <c r="BN452" s="443"/>
      <c r="BO452" s="443"/>
      <c r="BQ452" s="443"/>
      <c r="BR452" s="443"/>
      <c r="BT452" s="443"/>
      <c r="BU452" s="443"/>
      <c r="BW452" s="443"/>
      <c r="BX452" s="443"/>
      <c r="BZ452" s="443"/>
      <c r="CA452" s="443"/>
      <c r="CC452" s="443"/>
      <c r="CD452" s="443"/>
      <c r="CF452" s="443"/>
      <c r="CG452" s="443"/>
    </row>
    <row r="453" spans="1:85" s="395" customFormat="1" x14ac:dyDescent="0.3">
      <c r="A453" s="182" t="s">
        <v>245</v>
      </c>
      <c r="B453" s="183">
        <v>1</v>
      </c>
      <c r="C453" s="184" t="s">
        <v>538</v>
      </c>
      <c r="D453" s="187">
        <v>1.29</v>
      </c>
      <c r="E453" s="187">
        <v>3.81</v>
      </c>
      <c r="F453" s="186">
        <v>0.14000000000000001</v>
      </c>
      <c r="G453" s="187">
        <f t="shared" si="359"/>
        <v>0.68808600000000009</v>
      </c>
      <c r="H453" s="188">
        <f t="shared" si="363"/>
        <v>4.9149000000000003</v>
      </c>
      <c r="I453" s="183">
        <f t="shared" si="333"/>
        <v>10</v>
      </c>
      <c r="J453" s="188">
        <f t="shared" si="334"/>
        <v>0.2</v>
      </c>
      <c r="K453" s="183">
        <f t="shared" si="335"/>
        <v>20</v>
      </c>
      <c r="L453" s="189">
        <f t="shared" si="336"/>
        <v>5.8800000000000005E-2</v>
      </c>
      <c r="M453" s="189">
        <f>0.3+0.23</f>
        <v>0.53</v>
      </c>
      <c r="N453" s="189">
        <f t="shared" si="328"/>
        <v>-0.04</v>
      </c>
      <c r="O453" s="189">
        <f>2.05*0.3</f>
        <v>0.61499999999999988</v>
      </c>
      <c r="P453" s="188">
        <f t="shared" si="329"/>
        <v>2.4537999999999998</v>
      </c>
      <c r="Q453" s="183">
        <f t="shared" si="337"/>
        <v>10</v>
      </c>
      <c r="R453" s="188">
        <f t="shared" si="338"/>
        <v>0.2</v>
      </c>
      <c r="S453" s="183">
        <f t="shared" si="339"/>
        <v>19</v>
      </c>
      <c r="T453" s="189">
        <f t="shared" si="340"/>
        <v>5.8800000000000005E-2</v>
      </c>
      <c r="U453" s="189">
        <f>0.3+0.23</f>
        <v>0.53</v>
      </c>
      <c r="V453" s="189">
        <f t="shared" si="330"/>
        <v>-0.04</v>
      </c>
      <c r="W453" s="189">
        <f>4.19*0.3</f>
        <v>1.2570000000000001</v>
      </c>
      <c r="X453" s="188">
        <f t="shared" si="360"/>
        <v>3.0958000000000001</v>
      </c>
      <c r="Y453" s="183">
        <f t="shared" si="341"/>
        <v>10</v>
      </c>
      <c r="Z453" s="188">
        <f t="shared" si="342"/>
        <v>0.24</v>
      </c>
      <c r="AA453" s="183">
        <f t="shared" si="343"/>
        <v>6</v>
      </c>
      <c r="AB453" s="189">
        <f t="shared" si="344"/>
        <v>5.8800000000000005E-2</v>
      </c>
      <c r="AC453" s="189">
        <f>0.3*2</f>
        <v>0.6</v>
      </c>
      <c r="AD453" s="189">
        <f t="shared" si="331"/>
        <v>-0.04</v>
      </c>
      <c r="AE453" s="189">
        <v>0</v>
      </c>
      <c r="AF453" s="188">
        <f t="shared" si="361"/>
        <v>4.4287999999999998</v>
      </c>
      <c r="AG453" s="183">
        <f t="shared" si="345"/>
        <v>10</v>
      </c>
      <c r="AH453" s="182">
        <f t="shared" si="346"/>
        <v>0.24</v>
      </c>
      <c r="AI453" s="183">
        <f t="shared" si="347"/>
        <v>5</v>
      </c>
      <c r="AJ453" s="189">
        <f t="shared" si="348"/>
        <v>5.8800000000000005E-2</v>
      </c>
      <c r="AK453" s="189">
        <f>0.3*2</f>
        <v>0.6</v>
      </c>
      <c r="AL453" s="189">
        <f t="shared" si="332"/>
        <v>-0.04</v>
      </c>
      <c r="AM453" s="189">
        <v>0</v>
      </c>
      <c r="AN453" s="188">
        <f t="shared" si="362"/>
        <v>4.4287999999999998</v>
      </c>
      <c r="AO453" s="183">
        <v>0</v>
      </c>
      <c r="AP453" s="182">
        <f t="shared" si="349"/>
        <v>8</v>
      </c>
      <c r="AQ453" s="182">
        <v>1.5</v>
      </c>
      <c r="AR453" s="187">
        <f t="shared" si="352"/>
        <v>0</v>
      </c>
      <c r="AS453" s="187">
        <f t="shared" si="353"/>
        <v>107.89619999999999</v>
      </c>
      <c r="AT453" s="187">
        <f t="shared" si="354"/>
        <v>0</v>
      </c>
      <c r="AU453" s="187">
        <f t="shared" si="355"/>
        <v>0</v>
      </c>
      <c r="AV453" s="187">
        <f t="shared" si="356"/>
        <v>48.716799999999999</v>
      </c>
      <c r="AW453" s="187">
        <f t="shared" si="350"/>
        <v>0</v>
      </c>
      <c r="AX453" s="187">
        <f t="shared" si="351"/>
        <v>12</v>
      </c>
      <c r="AY453" s="388"/>
      <c r="AZ453" s="436"/>
      <c r="BA453" s="428"/>
      <c r="BF453" s="403"/>
      <c r="BG453" s="403"/>
      <c r="BK453" s="443"/>
      <c r="BL453" s="443"/>
      <c r="BN453" s="443"/>
      <c r="BO453" s="443"/>
      <c r="BQ453" s="443"/>
      <c r="BR453" s="443"/>
      <c r="BT453" s="443"/>
      <c r="BU453" s="443"/>
      <c r="BW453" s="443"/>
      <c r="BX453" s="443"/>
      <c r="BZ453" s="443"/>
      <c r="CA453" s="443"/>
      <c r="CC453" s="443"/>
      <c r="CD453" s="443"/>
      <c r="CF453" s="443"/>
      <c r="CG453" s="443"/>
    </row>
    <row r="454" spans="1:85" s="395" customFormat="1" x14ac:dyDescent="0.3">
      <c r="A454" s="182" t="s">
        <v>239</v>
      </c>
      <c r="B454" s="183">
        <v>1</v>
      </c>
      <c r="C454" s="184" t="s">
        <v>539</v>
      </c>
      <c r="D454" s="187">
        <v>1.94</v>
      </c>
      <c r="E454" s="187">
        <v>2.6</v>
      </c>
      <c r="F454" s="186">
        <v>0.125</v>
      </c>
      <c r="G454" s="187">
        <f t="shared" si="359"/>
        <v>0.63049999999999995</v>
      </c>
      <c r="H454" s="188">
        <f t="shared" si="363"/>
        <v>5.0439999999999996</v>
      </c>
      <c r="I454" s="183">
        <f t="shared" si="333"/>
        <v>8</v>
      </c>
      <c r="J454" s="188">
        <f t="shared" si="334"/>
        <v>0.23</v>
      </c>
      <c r="K454" s="183">
        <f t="shared" si="335"/>
        <v>12</v>
      </c>
      <c r="L454" s="189">
        <f t="shared" si="336"/>
        <v>5.2499999999999998E-2</v>
      </c>
      <c r="M454" s="189">
        <f>0.3+0.23</f>
        <v>0.53</v>
      </c>
      <c r="N454" s="189">
        <f t="shared" si="328"/>
        <v>-0.04</v>
      </c>
      <c r="O454" s="189">
        <v>0</v>
      </c>
      <c r="P454" s="188">
        <f t="shared" si="329"/>
        <v>2.4824999999999999</v>
      </c>
      <c r="Q454" s="183">
        <f t="shared" si="337"/>
        <v>8</v>
      </c>
      <c r="R454" s="188">
        <f t="shared" si="338"/>
        <v>0.23</v>
      </c>
      <c r="S454" s="183">
        <f t="shared" si="339"/>
        <v>11</v>
      </c>
      <c r="T454" s="189">
        <f t="shared" si="340"/>
        <v>5.2499999999999998E-2</v>
      </c>
      <c r="U454" s="189">
        <f>0.3+0.23</f>
        <v>0.53</v>
      </c>
      <c r="V454" s="189">
        <f t="shared" si="330"/>
        <v>-0.04</v>
      </c>
      <c r="W454" s="189">
        <f>2.71*0.3</f>
        <v>0.81299999999999994</v>
      </c>
      <c r="X454" s="188">
        <f t="shared" si="360"/>
        <v>3.2954999999999997</v>
      </c>
      <c r="Y454" s="183">
        <f t="shared" si="341"/>
        <v>8</v>
      </c>
      <c r="Z454" s="188">
        <f t="shared" si="342"/>
        <v>0.3</v>
      </c>
      <c r="AA454" s="183">
        <f t="shared" si="343"/>
        <v>7</v>
      </c>
      <c r="AB454" s="189">
        <f t="shared" si="344"/>
        <v>5.2499999999999998E-2</v>
      </c>
      <c r="AC454" s="189">
        <f>0.3*2</f>
        <v>0.6</v>
      </c>
      <c r="AD454" s="189">
        <f t="shared" si="331"/>
        <v>-0.04</v>
      </c>
      <c r="AE454" s="189">
        <f>5.31*0.3</f>
        <v>1.5929999999999997</v>
      </c>
      <c r="AF454" s="188">
        <f t="shared" si="361"/>
        <v>4.8055000000000003</v>
      </c>
      <c r="AG454" s="183">
        <f t="shared" si="345"/>
        <v>8</v>
      </c>
      <c r="AH454" s="182">
        <f t="shared" si="346"/>
        <v>0.3</v>
      </c>
      <c r="AI454" s="183">
        <f t="shared" si="347"/>
        <v>6</v>
      </c>
      <c r="AJ454" s="189">
        <f t="shared" si="348"/>
        <v>5.2499999999999998E-2</v>
      </c>
      <c r="AK454" s="189">
        <f>0.3*2</f>
        <v>0.6</v>
      </c>
      <c r="AL454" s="189">
        <f t="shared" si="332"/>
        <v>-0.04</v>
      </c>
      <c r="AM454" s="189">
        <f>3.05*0.3</f>
        <v>0.91499999999999992</v>
      </c>
      <c r="AN454" s="188">
        <f t="shared" si="362"/>
        <v>4.1274999999999995</v>
      </c>
      <c r="AO454" s="183">
        <v>0</v>
      </c>
      <c r="AP454" s="182">
        <f t="shared" si="349"/>
        <v>6</v>
      </c>
      <c r="AQ454" s="182">
        <v>1.5</v>
      </c>
      <c r="AR454" s="187">
        <f t="shared" si="352"/>
        <v>66.040499999999994</v>
      </c>
      <c r="AS454" s="187">
        <f t="shared" si="353"/>
        <v>0</v>
      </c>
      <c r="AT454" s="187">
        <f t="shared" si="354"/>
        <v>0</v>
      </c>
      <c r="AU454" s="187">
        <f t="shared" si="355"/>
        <v>58.403499999999994</v>
      </c>
      <c r="AV454" s="187">
        <f t="shared" si="356"/>
        <v>0</v>
      </c>
      <c r="AW454" s="187">
        <f t="shared" si="350"/>
        <v>0</v>
      </c>
      <c r="AX454" s="187">
        <f t="shared" si="351"/>
        <v>9</v>
      </c>
      <c r="AY454" s="388"/>
      <c r="AZ454" s="436"/>
      <c r="BA454" s="428"/>
      <c r="BF454" s="403"/>
      <c r="BG454" s="403"/>
      <c r="BK454" s="443"/>
      <c r="BL454" s="443"/>
      <c r="BN454" s="443"/>
      <c r="BO454" s="443"/>
      <c r="BQ454" s="443"/>
      <c r="BR454" s="443"/>
      <c r="BT454" s="443"/>
      <c r="BU454" s="443"/>
      <c r="BW454" s="443"/>
      <c r="BX454" s="443"/>
      <c r="BZ454" s="443"/>
      <c r="CA454" s="443"/>
      <c r="CC454" s="443"/>
      <c r="CD454" s="443"/>
      <c r="CF454" s="443"/>
      <c r="CG454" s="443"/>
    </row>
    <row r="455" spans="1:85" s="395" customFormat="1" x14ac:dyDescent="0.3">
      <c r="A455" s="182" t="s">
        <v>239</v>
      </c>
      <c r="B455" s="183">
        <v>1</v>
      </c>
      <c r="C455" s="184" t="s">
        <v>540</v>
      </c>
      <c r="D455" s="187">
        <v>2.71</v>
      </c>
      <c r="E455" s="187">
        <v>2.67</v>
      </c>
      <c r="F455" s="186">
        <v>0.125</v>
      </c>
      <c r="G455" s="187">
        <f t="shared" si="359"/>
        <v>0.90446249999999995</v>
      </c>
      <c r="H455" s="188">
        <f t="shared" si="363"/>
        <v>7.2356999999999996</v>
      </c>
      <c r="I455" s="183">
        <f t="shared" si="333"/>
        <v>8</v>
      </c>
      <c r="J455" s="188">
        <f t="shared" si="334"/>
        <v>0.23</v>
      </c>
      <c r="K455" s="183">
        <f t="shared" si="335"/>
        <v>13</v>
      </c>
      <c r="L455" s="189">
        <f t="shared" si="336"/>
        <v>5.2499999999999998E-2</v>
      </c>
      <c r="M455" s="189">
        <f>0.3+0.23</f>
        <v>0.53</v>
      </c>
      <c r="N455" s="189">
        <f t="shared" si="328"/>
        <v>-0.04</v>
      </c>
      <c r="O455" s="189">
        <f>1.94*0.3</f>
        <v>0.58199999999999996</v>
      </c>
      <c r="P455" s="188">
        <f t="shared" si="329"/>
        <v>3.8344999999999998</v>
      </c>
      <c r="Q455" s="183">
        <f t="shared" si="337"/>
        <v>8</v>
      </c>
      <c r="R455" s="188">
        <f t="shared" si="338"/>
        <v>0.23</v>
      </c>
      <c r="S455" s="183">
        <f t="shared" si="339"/>
        <v>12</v>
      </c>
      <c r="T455" s="189">
        <f t="shared" si="340"/>
        <v>5.2499999999999998E-2</v>
      </c>
      <c r="U455" s="189">
        <f>0.3+0.23</f>
        <v>0.53</v>
      </c>
      <c r="V455" s="189">
        <f t="shared" si="330"/>
        <v>-0.04</v>
      </c>
      <c r="W455" s="189">
        <f>5.38*0.3</f>
        <v>1.6139999999999999</v>
      </c>
      <c r="X455" s="188">
        <f t="shared" si="360"/>
        <v>4.8665000000000003</v>
      </c>
      <c r="Y455" s="183">
        <f t="shared" si="341"/>
        <v>8</v>
      </c>
      <c r="Z455" s="188">
        <f t="shared" si="342"/>
        <v>0.3</v>
      </c>
      <c r="AA455" s="183">
        <f t="shared" si="343"/>
        <v>10</v>
      </c>
      <c r="AB455" s="189">
        <f t="shared" si="344"/>
        <v>5.2499999999999998E-2</v>
      </c>
      <c r="AC455" s="189">
        <f>0.3*2</f>
        <v>0.6</v>
      </c>
      <c r="AD455" s="189">
        <f t="shared" si="331"/>
        <v>-0.04</v>
      </c>
      <c r="AE455" s="189">
        <f>5.31*0.3</f>
        <v>1.5929999999999997</v>
      </c>
      <c r="AF455" s="188">
        <f t="shared" si="361"/>
        <v>4.8754999999999997</v>
      </c>
      <c r="AG455" s="183">
        <f t="shared" si="345"/>
        <v>8</v>
      </c>
      <c r="AH455" s="182">
        <f t="shared" si="346"/>
        <v>0.3</v>
      </c>
      <c r="AI455" s="183">
        <f t="shared" si="347"/>
        <v>9</v>
      </c>
      <c r="AJ455" s="189">
        <f t="shared" si="348"/>
        <v>5.2499999999999998E-2</v>
      </c>
      <c r="AK455" s="189">
        <f>0.3*2</f>
        <v>0.6</v>
      </c>
      <c r="AL455" s="189">
        <f t="shared" si="332"/>
        <v>-0.04</v>
      </c>
      <c r="AM455" s="189">
        <f>3.05*0.3</f>
        <v>0.91499999999999992</v>
      </c>
      <c r="AN455" s="188">
        <f t="shared" si="362"/>
        <v>4.1974999999999998</v>
      </c>
      <c r="AO455" s="183">
        <v>0</v>
      </c>
      <c r="AP455" s="182">
        <f t="shared" si="349"/>
        <v>8</v>
      </c>
      <c r="AQ455" s="182">
        <v>1.5</v>
      </c>
      <c r="AR455" s="187">
        <f t="shared" si="352"/>
        <v>108.2465</v>
      </c>
      <c r="AS455" s="187">
        <f t="shared" si="353"/>
        <v>0</v>
      </c>
      <c r="AT455" s="187">
        <f t="shared" si="354"/>
        <v>0</v>
      </c>
      <c r="AU455" s="187">
        <f t="shared" si="355"/>
        <v>86.532499999999999</v>
      </c>
      <c r="AV455" s="187">
        <f t="shared" si="356"/>
        <v>0</v>
      </c>
      <c r="AW455" s="187">
        <f t="shared" si="350"/>
        <v>0</v>
      </c>
      <c r="AX455" s="187">
        <f t="shared" si="351"/>
        <v>12</v>
      </c>
      <c r="AY455" s="388"/>
      <c r="AZ455" s="436"/>
      <c r="BA455" s="428"/>
      <c r="BF455" s="403"/>
      <c r="BG455" s="403"/>
      <c r="BK455" s="443"/>
      <c r="BL455" s="443"/>
      <c r="BN455" s="443"/>
      <c r="BO455" s="443"/>
      <c r="BQ455" s="443"/>
      <c r="BR455" s="443"/>
      <c r="BT455" s="443"/>
      <c r="BU455" s="443"/>
      <c r="BW455" s="443"/>
      <c r="BX455" s="443"/>
      <c r="BZ455" s="443"/>
      <c r="CA455" s="443"/>
      <c r="CC455" s="443"/>
      <c r="CD455" s="443"/>
      <c r="CF455" s="443"/>
      <c r="CG455" s="443"/>
    </row>
    <row r="456" spans="1:85" s="395" customFormat="1" x14ac:dyDescent="0.3">
      <c r="A456" s="182" t="s">
        <v>242</v>
      </c>
      <c r="B456" s="183">
        <v>1</v>
      </c>
      <c r="C456" s="184" t="s">
        <v>367</v>
      </c>
      <c r="D456" s="187">
        <v>5.38</v>
      </c>
      <c r="E456" s="187">
        <v>2.56</v>
      </c>
      <c r="F456" s="186">
        <v>0.14000000000000001</v>
      </c>
      <c r="G456" s="187">
        <f t="shared" si="359"/>
        <v>1.9281920000000001</v>
      </c>
      <c r="H456" s="188">
        <f t="shared" si="363"/>
        <v>13.7728</v>
      </c>
      <c r="I456" s="183">
        <f t="shared" si="333"/>
        <v>10</v>
      </c>
      <c r="J456" s="188">
        <f t="shared" si="334"/>
        <v>0.2</v>
      </c>
      <c r="K456" s="183">
        <f t="shared" si="335"/>
        <v>14</v>
      </c>
      <c r="L456" s="189">
        <f t="shared" si="336"/>
        <v>5.8800000000000005E-2</v>
      </c>
      <c r="M456" s="189">
        <f>0.45+0.3</f>
        <v>0.75</v>
      </c>
      <c r="N456" s="189">
        <f t="shared" si="328"/>
        <v>-0.04</v>
      </c>
      <c r="O456" s="189">
        <f>2.71*0.3</f>
        <v>0.81299999999999994</v>
      </c>
      <c r="P456" s="188">
        <f t="shared" si="329"/>
        <v>6.9618000000000002</v>
      </c>
      <c r="Q456" s="183">
        <f t="shared" si="337"/>
        <v>10</v>
      </c>
      <c r="R456" s="188">
        <f t="shared" si="338"/>
        <v>0.2</v>
      </c>
      <c r="S456" s="183">
        <f t="shared" si="339"/>
        <v>13</v>
      </c>
      <c r="T456" s="189">
        <f t="shared" si="340"/>
        <v>5.8800000000000005E-2</v>
      </c>
      <c r="U456" s="189">
        <f>0.45+0.3</f>
        <v>0.75</v>
      </c>
      <c r="V456" s="189">
        <f t="shared" si="330"/>
        <v>-0.04</v>
      </c>
      <c r="W456" s="189">
        <f>2.6*0.3</f>
        <v>0.78</v>
      </c>
      <c r="X456" s="188">
        <f t="shared" si="360"/>
        <v>6.9287999999999998</v>
      </c>
      <c r="Y456" s="183">
        <f t="shared" si="341"/>
        <v>8</v>
      </c>
      <c r="Z456" s="188">
        <f t="shared" si="342"/>
        <v>0.3</v>
      </c>
      <c r="AA456" s="183">
        <f t="shared" si="343"/>
        <v>19</v>
      </c>
      <c r="AB456" s="189">
        <f t="shared" si="344"/>
        <v>5.8800000000000005E-2</v>
      </c>
      <c r="AC456" s="189">
        <f>0.38+0.3</f>
        <v>0.67999999999999994</v>
      </c>
      <c r="AD456" s="189">
        <f t="shared" si="331"/>
        <v>-0.04</v>
      </c>
      <c r="AE456" s="189">
        <f>5.31*0.3</f>
        <v>1.5929999999999997</v>
      </c>
      <c r="AF456" s="188">
        <f t="shared" si="361"/>
        <v>4.851799999999999</v>
      </c>
      <c r="AG456" s="183">
        <f t="shared" si="345"/>
        <v>8</v>
      </c>
      <c r="AH456" s="182">
        <f t="shared" si="346"/>
        <v>0.3</v>
      </c>
      <c r="AI456" s="183">
        <f t="shared" si="347"/>
        <v>18</v>
      </c>
      <c r="AJ456" s="189">
        <f t="shared" si="348"/>
        <v>5.8800000000000005E-2</v>
      </c>
      <c r="AK456" s="189">
        <f>0.38+0.3</f>
        <v>0.67999999999999994</v>
      </c>
      <c r="AL456" s="189">
        <f t="shared" si="332"/>
        <v>-0.04</v>
      </c>
      <c r="AM456" s="189">
        <f>3.27*0.3</f>
        <v>0.98099999999999998</v>
      </c>
      <c r="AN456" s="188">
        <f t="shared" si="362"/>
        <v>4.2397999999999998</v>
      </c>
      <c r="AO456" s="183">
        <v>0</v>
      </c>
      <c r="AP456" s="182">
        <f t="shared" si="349"/>
        <v>12</v>
      </c>
      <c r="AQ456" s="182">
        <v>1.5</v>
      </c>
      <c r="AR456" s="187">
        <f t="shared" si="352"/>
        <v>0</v>
      </c>
      <c r="AS456" s="187">
        <f t="shared" si="353"/>
        <v>187.53960000000001</v>
      </c>
      <c r="AT456" s="187">
        <f t="shared" si="354"/>
        <v>0</v>
      </c>
      <c r="AU456" s="187">
        <f t="shared" si="355"/>
        <v>168.50059999999996</v>
      </c>
      <c r="AV456" s="187">
        <f t="shared" si="356"/>
        <v>0</v>
      </c>
      <c r="AW456" s="187">
        <f t="shared" si="350"/>
        <v>0</v>
      </c>
      <c r="AX456" s="187">
        <f t="shared" si="351"/>
        <v>18</v>
      </c>
      <c r="AY456" s="388"/>
      <c r="AZ456" s="436"/>
      <c r="BA456" s="428"/>
      <c r="BF456" s="403"/>
      <c r="BG456" s="403"/>
      <c r="BK456" s="443"/>
      <c r="BL456" s="443"/>
      <c r="BN456" s="443"/>
      <c r="BO456" s="443"/>
      <c r="BQ456" s="443"/>
      <c r="BR456" s="443"/>
      <c r="BT456" s="443"/>
      <c r="BU456" s="443"/>
      <c r="BW456" s="443"/>
      <c r="BX456" s="443"/>
      <c r="BZ456" s="443"/>
      <c r="CA456" s="443"/>
      <c r="CC456" s="443"/>
      <c r="CD456" s="443"/>
      <c r="CF456" s="443"/>
      <c r="CG456" s="443"/>
    </row>
    <row r="457" spans="1:85" s="395" customFormat="1" x14ac:dyDescent="0.3">
      <c r="A457" s="182" t="s">
        <v>227</v>
      </c>
      <c r="B457" s="183">
        <v>1</v>
      </c>
      <c r="C457" s="184" t="s">
        <v>541</v>
      </c>
      <c r="D457" s="187">
        <v>3.81</v>
      </c>
      <c r="E457" s="187">
        <v>2.0499999999999998</v>
      </c>
      <c r="F457" s="186">
        <v>0.125</v>
      </c>
      <c r="G457" s="187">
        <f t="shared" si="359"/>
        <v>0.97631249999999992</v>
      </c>
      <c r="H457" s="188">
        <f t="shared" si="363"/>
        <v>7.8104999999999993</v>
      </c>
      <c r="I457" s="183">
        <f t="shared" si="333"/>
        <v>8</v>
      </c>
      <c r="J457" s="188">
        <f t="shared" si="334"/>
        <v>0.2</v>
      </c>
      <c r="K457" s="183">
        <f t="shared" si="335"/>
        <v>11</v>
      </c>
      <c r="L457" s="189">
        <f t="shared" si="336"/>
        <v>5.2499999999999998E-2</v>
      </c>
      <c r="M457" s="189">
        <f>0.3*2</f>
        <v>0.6</v>
      </c>
      <c r="N457" s="189">
        <f t="shared" si="328"/>
        <v>-0.04</v>
      </c>
      <c r="O457" s="189">
        <f>4.49*0.3</f>
        <v>1.347</v>
      </c>
      <c r="P457" s="188">
        <f t="shared" si="329"/>
        <v>5.7694999999999999</v>
      </c>
      <c r="Q457" s="183">
        <f t="shared" si="337"/>
        <v>8</v>
      </c>
      <c r="R457" s="188">
        <f t="shared" si="338"/>
        <v>0.2</v>
      </c>
      <c r="S457" s="183">
        <f t="shared" si="339"/>
        <v>10</v>
      </c>
      <c r="T457" s="189">
        <f t="shared" si="340"/>
        <v>5.2499999999999998E-2</v>
      </c>
      <c r="U457" s="189">
        <f>0.3*2</f>
        <v>0.6</v>
      </c>
      <c r="V457" s="189">
        <f t="shared" si="330"/>
        <v>-0.04</v>
      </c>
      <c r="W457" s="189">
        <f>4.42*0.3</f>
        <v>1.3259999999999998</v>
      </c>
      <c r="X457" s="188">
        <f t="shared" si="360"/>
        <v>5.7484999999999999</v>
      </c>
      <c r="Y457" s="183">
        <f t="shared" si="341"/>
        <v>8</v>
      </c>
      <c r="Z457" s="188">
        <f t="shared" si="342"/>
        <v>0.2</v>
      </c>
      <c r="AA457" s="183">
        <f t="shared" si="343"/>
        <v>20</v>
      </c>
      <c r="AB457" s="189">
        <f t="shared" si="344"/>
        <v>5.2499999999999998E-2</v>
      </c>
      <c r="AC457" s="189">
        <f>0.23*2</f>
        <v>0.46</v>
      </c>
      <c r="AD457" s="189">
        <f t="shared" si="331"/>
        <v>-0.04</v>
      </c>
      <c r="AE457" s="189">
        <f>3.34*0.3</f>
        <v>1.002</v>
      </c>
      <c r="AF457" s="188">
        <f t="shared" si="361"/>
        <v>3.5244999999999997</v>
      </c>
      <c r="AG457" s="183">
        <f t="shared" si="345"/>
        <v>8</v>
      </c>
      <c r="AH457" s="182">
        <f t="shared" si="346"/>
        <v>0.2</v>
      </c>
      <c r="AI457" s="183">
        <f t="shared" si="347"/>
        <v>19</v>
      </c>
      <c r="AJ457" s="189">
        <f t="shared" si="348"/>
        <v>5.2499999999999998E-2</v>
      </c>
      <c r="AK457" s="189">
        <f>0.23*2</f>
        <v>0.46</v>
      </c>
      <c r="AL457" s="189">
        <f t="shared" si="332"/>
        <v>-0.04</v>
      </c>
      <c r="AM457" s="189">
        <f>1.29*0.3</f>
        <v>0.38700000000000001</v>
      </c>
      <c r="AN457" s="188">
        <f t="shared" si="362"/>
        <v>2.9095</v>
      </c>
      <c r="AO457" s="183">
        <v>0</v>
      </c>
      <c r="AP457" s="182">
        <f t="shared" si="349"/>
        <v>8</v>
      </c>
      <c r="AQ457" s="182">
        <v>1.5</v>
      </c>
      <c r="AR457" s="187">
        <f t="shared" si="352"/>
        <v>120.9495</v>
      </c>
      <c r="AS457" s="187">
        <f t="shared" si="353"/>
        <v>0</v>
      </c>
      <c r="AT457" s="187">
        <f t="shared" si="354"/>
        <v>0</v>
      </c>
      <c r="AU457" s="187">
        <f t="shared" si="355"/>
        <v>125.7705</v>
      </c>
      <c r="AV457" s="187">
        <f t="shared" si="356"/>
        <v>0</v>
      </c>
      <c r="AW457" s="187">
        <f t="shared" si="350"/>
        <v>0</v>
      </c>
      <c r="AX457" s="187">
        <f t="shared" si="351"/>
        <v>12</v>
      </c>
      <c r="AY457" s="388"/>
      <c r="AZ457" s="436"/>
      <c r="BA457" s="428"/>
      <c r="BF457" s="403"/>
      <c r="BG457" s="403"/>
      <c r="BK457" s="443"/>
      <c r="BL457" s="443"/>
      <c r="BN457" s="443"/>
      <c r="BO457" s="443"/>
      <c r="BQ457" s="443"/>
      <c r="BR457" s="443"/>
      <c r="BT457" s="443"/>
      <c r="BU457" s="443"/>
      <c r="BW457" s="443"/>
      <c r="BX457" s="443"/>
      <c r="BZ457" s="443"/>
      <c r="CA457" s="443"/>
      <c r="CC457" s="443"/>
      <c r="CD457" s="443"/>
      <c r="CF457" s="443"/>
      <c r="CG457" s="443"/>
    </row>
    <row r="458" spans="1:85" s="395" customFormat="1" x14ac:dyDescent="0.3">
      <c r="A458" s="182" t="s">
        <v>259</v>
      </c>
      <c r="B458" s="183">
        <v>1</v>
      </c>
      <c r="C458" s="184" t="s">
        <v>542</v>
      </c>
      <c r="D458" s="187">
        <v>4.95</v>
      </c>
      <c r="E458" s="187">
        <v>5.4</v>
      </c>
      <c r="F458" s="186">
        <v>0.17499999999999999</v>
      </c>
      <c r="G458" s="187">
        <f t="shared" si="359"/>
        <v>4.6777500000000005</v>
      </c>
      <c r="H458" s="188">
        <f t="shared" si="363"/>
        <v>26.730000000000004</v>
      </c>
      <c r="I458" s="183">
        <f t="shared" si="333"/>
        <v>10</v>
      </c>
      <c r="J458" s="188">
        <f t="shared" si="334"/>
        <v>1.5</v>
      </c>
      <c r="K458" s="183">
        <f t="shared" si="335"/>
        <v>5</v>
      </c>
      <c r="L458" s="189">
        <f t="shared" si="336"/>
        <v>7.3499999999999996E-2</v>
      </c>
      <c r="M458" s="189">
        <f>0.3*2</f>
        <v>0.6</v>
      </c>
      <c r="N458" s="189">
        <f t="shared" si="328"/>
        <v>-0.04</v>
      </c>
      <c r="O458" s="189">
        <f>F458-2*0.02</f>
        <v>0.13499999999999998</v>
      </c>
      <c r="P458" s="188">
        <f t="shared" si="329"/>
        <v>5.7185000000000006</v>
      </c>
      <c r="Q458" s="183">
        <f t="shared" si="337"/>
        <v>10</v>
      </c>
      <c r="R458" s="188">
        <f t="shared" si="338"/>
        <v>1.5</v>
      </c>
      <c r="S458" s="183">
        <f t="shared" si="339"/>
        <v>4</v>
      </c>
      <c r="T458" s="189">
        <f t="shared" si="340"/>
        <v>7.3499999999999996E-2</v>
      </c>
      <c r="U458" s="189">
        <f>0.3*2</f>
        <v>0.6</v>
      </c>
      <c r="V458" s="189">
        <f t="shared" si="330"/>
        <v>-0.04</v>
      </c>
      <c r="W458" s="189">
        <f>2.9*0.3</f>
        <v>0.87</v>
      </c>
      <c r="X458" s="188">
        <f t="shared" si="360"/>
        <v>6.4535</v>
      </c>
      <c r="Y458" s="183">
        <f t="shared" si="341"/>
        <v>10</v>
      </c>
      <c r="Z458" s="188">
        <f t="shared" si="342"/>
        <v>0.17</v>
      </c>
      <c r="AA458" s="183">
        <f t="shared" si="343"/>
        <v>30</v>
      </c>
      <c r="AB458" s="189">
        <f t="shared" si="344"/>
        <v>7.3499999999999996E-2</v>
      </c>
      <c r="AC458" s="189">
        <f>0.3*2</f>
        <v>0.6</v>
      </c>
      <c r="AD458" s="189">
        <f t="shared" si="331"/>
        <v>-0.04</v>
      </c>
      <c r="AE458" s="189">
        <f t="shared" ref="AE458:AE463" si="364">5.85*0.3</f>
        <v>1.7549999999999999</v>
      </c>
      <c r="AF458" s="188">
        <f t="shared" si="361"/>
        <v>7.7885</v>
      </c>
      <c r="AG458" s="183">
        <f t="shared" si="345"/>
        <v>10</v>
      </c>
      <c r="AH458" s="182">
        <f t="shared" si="346"/>
        <v>0.17</v>
      </c>
      <c r="AI458" s="183">
        <f t="shared" si="347"/>
        <v>29</v>
      </c>
      <c r="AJ458" s="189">
        <f t="shared" si="348"/>
        <v>7.3499999999999996E-2</v>
      </c>
      <c r="AK458" s="189">
        <f>0.3*2</f>
        <v>0.6</v>
      </c>
      <c r="AL458" s="189">
        <f t="shared" si="332"/>
        <v>-0.04</v>
      </c>
      <c r="AM458" s="189">
        <f>7.48*0.3</f>
        <v>2.2440000000000002</v>
      </c>
      <c r="AN458" s="188">
        <f t="shared" si="362"/>
        <v>8.2774999999999999</v>
      </c>
      <c r="AO458" s="183">
        <v>0</v>
      </c>
      <c r="AP458" s="182">
        <f t="shared" si="349"/>
        <v>14</v>
      </c>
      <c r="AQ458" s="182">
        <v>1.5</v>
      </c>
      <c r="AR458" s="187">
        <f t="shared" si="352"/>
        <v>0</v>
      </c>
      <c r="AS458" s="187">
        <f t="shared" si="353"/>
        <v>54.406500000000001</v>
      </c>
      <c r="AT458" s="187">
        <f t="shared" si="354"/>
        <v>0</v>
      </c>
      <c r="AU458" s="187">
        <f t="shared" si="355"/>
        <v>0</v>
      </c>
      <c r="AV458" s="187">
        <f t="shared" si="356"/>
        <v>473.70249999999999</v>
      </c>
      <c r="AW458" s="187">
        <f t="shared" si="350"/>
        <v>0</v>
      </c>
      <c r="AX458" s="187">
        <f t="shared" si="351"/>
        <v>21</v>
      </c>
      <c r="AY458" s="388"/>
      <c r="AZ458" s="436"/>
      <c r="BA458" s="428"/>
      <c r="BF458" s="403"/>
      <c r="BG458" s="403"/>
      <c r="BK458" s="443"/>
      <c r="BL458" s="443"/>
      <c r="BN458" s="443"/>
      <c r="BO458" s="443"/>
      <c r="BQ458" s="443"/>
      <c r="BR458" s="443"/>
      <c r="BT458" s="443"/>
      <c r="BU458" s="443"/>
      <c r="BW458" s="443"/>
      <c r="BX458" s="443"/>
      <c r="BZ458" s="443"/>
      <c r="CA458" s="443"/>
      <c r="CC458" s="443"/>
      <c r="CD458" s="443"/>
      <c r="CF458" s="443"/>
      <c r="CG458" s="443"/>
    </row>
    <row r="459" spans="1:85" s="395" customFormat="1" x14ac:dyDescent="0.3">
      <c r="A459" s="182" t="s">
        <v>223</v>
      </c>
      <c r="B459" s="183">
        <v>1</v>
      </c>
      <c r="C459" s="184" t="s">
        <v>543</v>
      </c>
      <c r="D459" s="187">
        <v>2.98</v>
      </c>
      <c r="E459" s="187">
        <v>5.4</v>
      </c>
      <c r="F459" s="186">
        <v>0.13</v>
      </c>
      <c r="G459" s="187">
        <f t="shared" si="359"/>
        <v>2.0919600000000003</v>
      </c>
      <c r="H459" s="188">
        <f t="shared" si="363"/>
        <v>16.092000000000002</v>
      </c>
      <c r="I459" s="183">
        <f t="shared" si="333"/>
        <v>8</v>
      </c>
      <c r="J459" s="188">
        <f t="shared" si="334"/>
        <v>0.2</v>
      </c>
      <c r="K459" s="183">
        <f t="shared" si="335"/>
        <v>28</v>
      </c>
      <c r="L459" s="189">
        <f t="shared" si="336"/>
        <v>5.4600000000000003E-2</v>
      </c>
      <c r="M459" s="189">
        <f>0.3*2</f>
        <v>0.6</v>
      </c>
      <c r="N459" s="189">
        <f t="shared" si="328"/>
        <v>-0.04</v>
      </c>
      <c r="O459" s="189">
        <f>4.95*0.3</f>
        <v>1.4850000000000001</v>
      </c>
      <c r="P459" s="188">
        <f t="shared" si="329"/>
        <v>5.0796000000000001</v>
      </c>
      <c r="Q459" s="183">
        <f t="shared" si="337"/>
        <v>8</v>
      </c>
      <c r="R459" s="188">
        <f t="shared" si="338"/>
        <v>0.2</v>
      </c>
      <c r="S459" s="183">
        <f t="shared" si="339"/>
        <v>27</v>
      </c>
      <c r="T459" s="189">
        <f t="shared" si="340"/>
        <v>5.4600000000000003E-2</v>
      </c>
      <c r="U459" s="189">
        <f>0.3*2</f>
        <v>0.6</v>
      </c>
      <c r="V459" s="189">
        <f t="shared" si="330"/>
        <v>-0.04</v>
      </c>
      <c r="W459" s="189">
        <f>2.97*0.3</f>
        <v>0.89100000000000001</v>
      </c>
      <c r="X459" s="188">
        <f t="shared" si="360"/>
        <v>4.4855999999999998</v>
      </c>
      <c r="Y459" s="183">
        <f t="shared" si="341"/>
        <v>8</v>
      </c>
      <c r="Z459" s="188">
        <f t="shared" si="342"/>
        <v>0.36</v>
      </c>
      <c r="AA459" s="183">
        <f t="shared" si="343"/>
        <v>9</v>
      </c>
      <c r="AB459" s="189">
        <f t="shared" si="344"/>
        <v>5.4600000000000003E-2</v>
      </c>
      <c r="AC459" s="189">
        <f>0.3*2</f>
        <v>0.6</v>
      </c>
      <c r="AD459" s="189">
        <f t="shared" si="331"/>
        <v>-0.04</v>
      </c>
      <c r="AE459" s="189">
        <f t="shared" si="364"/>
        <v>1.7549999999999999</v>
      </c>
      <c r="AF459" s="188">
        <f t="shared" si="361"/>
        <v>7.7696000000000005</v>
      </c>
      <c r="AG459" s="183">
        <f t="shared" si="345"/>
        <v>8</v>
      </c>
      <c r="AH459" s="182">
        <f t="shared" si="346"/>
        <v>0.36</v>
      </c>
      <c r="AI459" s="183">
        <f t="shared" si="347"/>
        <v>8</v>
      </c>
      <c r="AJ459" s="189">
        <f t="shared" si="348"/>
        <v>5.4600000000000003E-2</v>
      </c>
      <c r="AK459" s="189">
        <f>0.3*2</f>
        <v>0.6</v>
      </c>
      <c r="AL459" s="189">
        <f t="shared" si="332"/>
        <v>-0.04</v>
      </c>
      <c r="AM459" s="189">
        <f>2.35*0.3</f>
        <v>0.70499999999999996</v>
      </c>
      <c r="AN459" s="188">
        <f t="shared" si="362"/>
        <v>6.7195999999999998</v>
      </c>
      <c r="AO459" s="183">
        <v>0</v>
      </c>
      <c r="AP459" s="182">
        <f t="shared" si="349"/>
        <v>12</v>
      </c>
      <c r="AQ459" s="182">
        <v>1.5</v>
      </c>
      <c r="AR459" s="187">
        <f t="shared" si="352"/>
        <v>263.34000000000003</v>
      </c>
      <c r="AS459" s="187">
        <f t="shared" si="353"/>
        <v>0</v>
      </c>
      <c r="AT459" s="187">
        <f t="shared" si="354"/>
        <v>0</v>
      </c>
      <c r="AU459" s="187">
        <f t="shared" si="355"/>
        <v>123.6832</v>
      </c>
      <c r="AV459" s="187">
        <f t="shared" si="356"/>
        <v>0</v>
      </c>
      <c r="AW459" s="187">
        <f t="shared" si="350"/>
        <v>0</v>
      </c>
      <c r="AX459" s="187">
        <f t="shared" si="351"/>
        <v>18</v>
      </c>
      <c r="AY459" s="388"/>
      <c r="AZ459" s="436"/>
      <c r="BA459" s="428"/>
      <c r="BF459" s="403"/>
      <c r="BG459" s="403"/>
      <c r="BK459" s="443"/>
      <c r="BL459" s="443"/>
      <c r="BN459" s="443"/>
      <c r="BO459" s="443"/>
      <c r="BQ459" s="443"/>
      <c r="BR459" s="443"/>
      <c r="BT459" s="443"/>
      <c r="BU459" s="443"/>
      <c r="BW459" s="443"/>
      <c r="BX459" s="443"/>
      <c r="BZ459" s="443"/>
      <c r="CA459" s="443"/>
      <c r="CC459" s="443"/>
      <c r="CD459" s="443"/>
      <c r="CF459" s="443"/>
      <c r="CG459" s="443"/>
    </row>
    <row r="460" spans="1:85" s="395" customFormat="1" x14ac:dyDescent="0.3">
      <c r="A460" s="182" t="s">
        <v>225</v>
      </c>
      <c r="B460" s="183">
        <v>1</v>
      </c>
      <c r="C460" s="184" t="s">
        <v>544</v>
      </c>
      <c r="D460" s="187">
        <v>4.49</v>
      </c>
      <c r="E460" s="187">
        <v>5.38</v>
      </c>
      <c r="F460" s="186">
        <v>0.17499999999999999</v>
      </c>
      <c r="G460" s="187">
        <f t="shared" si="359"/>
        <v>4.2273350000000001</v>
      </c>
      <c r="H460" s="188">
        <f t="shared" si="363"/>
        <v>24.156200000000002</v>
      </c>
      <c r="I460" s="183">
        <f t="shared" si="333"/>
        <v>10</v>
      </c>
      <c r="J460" s="188">
        <f t="shared" si="334"/>
        <v>0.18</v>
      </c>
      <c r="K460" s="183">
        <f t="shared" si="335"/>
        <v>31</v>
      </c>
      <c r="L460" s="189">
        <f t="shared" si="336"/>
        <v>7.3499999999999996E-2</v>
      </c>
      <c r="M460" s="189">
        <f>0.3+0.23</f>
        <v>0.53</v>
      </c>
      <c r="N460" s="189">
        <f t="shared" si="328"/>
        <v>-0.04</v>
      </c>
      <c r="O460" s="189">
        <f>2.97*0.3</f>
        <v>0.89100000000000001</v>
      </c>
      <c r="P460" s="188">
        <f t="shared" si="329"/>
        <v>5.9444999999999997</v>
      </c>
      <c r="Q460" s="183">
        <f t="shared" si="337"/>
        <v>10</v>
      </c>
      <c r="R460" s="188">
        <f t="shared" si="338"/>
        <v>0.18</v>
      </c>
      <c r="S460" s="183">
        <f t="shared" si="339"/>
        <v>30</v>
      </c>
      <c r="T460" s="189">
        <f t="shared" si="340"/>
        <v>7.3499999999999996E-2</v>
      </c>
      <c r="U460" s="189">
        <f>0.3+0.23</f>
        <v>0.53</v>
      </c>
      <c r="V460" s="189">
        <f t="shared" si="330"/>
        <v>-0.04</v>
      </c>
      <c r="W460" s="189">
        <f>3.81*0.3</f>
        <v>1.143</v>
      </c>
      <c r="X460" s="188">
        <f t="shared" si="360"/>
        <v>6.1965000000000003</v>
      </c>
      <c r="Y460" s="183">
        <f t="shared" si="341"/>
        <v>10</v>
      </c>
      <c r="Z460" s="188">
        <f t="shared" si="342"/>
        <v>0.2</v>
      </c>
      <c r="AA460" s="183">
        <f t="shared" si="343"/>
        <v>23</v>
      </c>
      <c r="AB460" s="189">
        <f t="shared" si="344"/>
        <v>7.3499999999999996E-2</v>
      </c>
      <c r="AC460" s="189">
        <f>0.3+0.23</f>
        <v>0.53</v>
      </c>
      <c r="AD460" s="189">
        <f t="shared" si="331"/>
        <v>-0.04</v>
      </c>
      <c r="AE460" s="189">
        <f t="shared" si="364"/>
        <v>1.7549999999999999</v>
      </c>
      <c r="AF460" s="188">
        <f t="shared" si="361"/>
        <v>7.6984999999999992</v>
      </c>
      <c r="AG460" s="183">
        <f t="shared" si="345"/>
        <v>10</v>
      </c>
      <c r="AH460" s="182">
        <f t="shared" si="346"/>
        <v>0.2</v>
      </c>
      <c r="AI460" s="183">
        <f t="shared" si="347"/>
        <v>22</v>
      </c>
      <c r="AJ460" s="189">
        <f t="shared" si="348"/>
        <v>7.3499999999999996E-2</v>
      </c>
      <c r="AK460" s="189">
        <f>0.3+0.23</f>
        <v>0.53</v>
      </c>
      <c r="AL460" s="189">
        <f t="shared" si="332"/>
        <v>-0.04</v>
      </c>
      <c r="AM460" s="189">
        <f>2.6*0.3</f>
        <v>0.78</v>
      </c>
      <c r="AN460" s="188">
        <f t="shared" si="362"/>
        <v>6.7234999999999996</v>
      </c>
      <c r="AO460" s="183">
        <v>0</v>
      </c>
      <c r="AP460" s="182">
        <f t="shared" si="349"/>
        <v>14</v>
      </c>
      <c r="AQ460" s="182">
        <v>1.5</v>
      </c>
      <c r="AR460" s="187">
        <f t="shared" si="352"/>
        <v>0</v>
      </c>
      <c r="AS460" s="187">
        <f t="shared" si="353"/>
        <v>370.17449999999997</v>
      </c>
      <c r="AT460" s="187">
        <f t="shared" si="354"/>
        <v>0</v>
      </c>
      <c r="AU460" s="187">
        <f t="shared" si="355"/>
        <v>0</v>
      </c>
      <c r="AV460" s="187">
        <f t="shared" si="356"/>
        <v>324.98249999999996</v>
      </c>
      <c r="AW460" s="187">
        <f t="shared" si="350"/>
        <v>0</v>
      </c>
      <c r="AX460" s="187">
        <f t="shared" si="351"/>
        <v>21</v>
      </c>
      <c r="AY460" s="388"/>
      <c r="AZ460" s="436"/>
      <c r="BA460" s="428"/>
      <c r="BF460" s="403"/>
      <c r="BG460" s="403"/>
      <c r="BK460" s="443"/>
      <c r="BL460" s="443"/>
      <c r="BN460" s="443"/>
      <c r="BO460" s="443"/>
      <c r="BQ460" s="443"/>
      <c r="BR460" s="443"/>
      <c r="BT460" s="443"/>
      <c r="BU460" s="443"/>
      <c r="BW460" s="443"/>
      <c r="BX460" s="443"/>
      <c r="BZ460" s="443"/>
      <c r="CA460" s="443"/>
      <c r="CC460" s="443"/>
      <c r="CD460" s="443"/>
      <c r="CF460" s="443"/>
      <c r="CG460" s="443"/>
    </row>
    <row r="461" spans="1:85" s="395" customFormat="1" x14ac:dyDescent="0.3">
      <c r="A461" s="182" t="s">
        <v>230</v>
      </c>
      <c r="B461" s="183">
        <v>1</v>
      </c>
      <c r="C461" s="184" t="s">
        <v>379</v>
      </c>
      <c r="D461" s="187">
        <v>3.81</v>
      </c>
      <c r="E461" s="187">
        <v>3.34</v>
      </c>
      <c r="F461" s="186">
        <v>0.16500000000000001</v>
      </c>
      <c r="G461" s="187">
        <f t="shared" si="359"/>
        <v>2.099691</v>
      </c>
      <c r="H461" s="188">
        <f t="shared" si="363"/>
        <v>12.7254</v>
      </c>
      <c r="I461" s="183">
        <f t="shared" si="333"/>
        <v>10</v>
      </c>
      <c r="J461" s="188">
        <f t="shared" si="334"/>
        <v>0.23</v>
      </c>
      <c r="K461" s="183">
        <f t="shared" si="335"/>
        <v>16</v>
      </c>
      <c r="L461" s="189">
        <f t="shared" si="336"/>
        <v>6.93E-2</v>
      </c>
      <c r="M461" s="189">
        <f>0.3*2</f>
        <v>0.6</v>
      </c>
      <c r="N461" s="189">
        <f t="shared" si="328"/>
        <v>-0.04</v>
      </c>
      <c r="O461" s="189">
        <f>4.49*0.3</f>
        <v>1.347</v>
      </c>
      <c r="P461" s="188">
        <f t="shared" si="329"/>
        <v>5.7862999999999998</v>
      </c>
      <c r="Q461" s="183">
        <f t="shared" si="337"/>
        <v>10</v>
      </c>
      <c r="R461" s="188">
        <f t="shared" si="338"/>
        <v>0.23</v>
      </c>
      <c r="S461" s="183">
        <f t="shared" si="339"/>
        <v>15</v>
      </c>
      <c r="T461" s="189">
        <f t="shared" si="340"/>
        <v>6.93E-2</v>
      </c>
      <c r="U461" s="189">
        <f>0.3*2</f>
        <v>0.6</v>
      </c>
      <c r="V461" s="189">
        <f t="shared" si="330"/>
        <v>-0.04</v>
      </c>
      <c r="W461" s="189">
        <f>4.42*0.3</f>
        <v>1.3259999999999998</v>
      </c>
      <c r="X461" s="188">
        <f t="shared" si="360"/>
        <v>5.7652999999999999</v>
      </c>
      <c r="Y461" s="183">
        <f t="shared" si="341"/>
        <v>8</v>
      </c>
      <c r="Z461" s="188">
        <f t="shared" si="342"/>
        <v>0.23</v>
      </c>
      <c r="AA461" s="183">
        <f t="shared" si="343"/>
        <v>18</v>
      </c>
      <c r="AB461" s="189">
        <f t="shared" si="344"/>
        <v>6.93E-2</v>
      </c>
      <c r="AC461" s="189">
        <f>0.23*2</f>
        <v>0.46</v>
      </c>
      <c r="AD461" s="189">
        <f t="shared" si="331"/>
        <v>-0.04</v>
      </c>
      <c r="AE461" s="189">
        <f t="shared" si="364"/>
        <v>1.7549999999999999</v>
      </c>
      <c r="AF461" s="188">
        <f t="shared" si="361"/>
        <v>5.5842999999999998</v>
      </c>
      <c r="AG461" s="183">
        <f t="shared" si="345"/>
        <v>8</v>
      </c>
      <c r="AH461" s="182">
        <f t="shared" si="346"/>
        <v>0.23</v>
      </c>
      <c r="AI461" s="183">
        <f t="shared" si="347"/>
        <v>17</v>
      </c>
      <c r="AJ461" s="189">
        <f t="shared" si="348"/>
        <v>6.93E-2</v>
      </c>
      <c r="AK461" s="189">
        <f>0.23*2</f>
        <v>0.46</v>
      </c>
      <c r="AL461" s="189">
        <f t="shared" si="332"/>
        <v>-0.04</v>
      </c>
      <c r="AM461" s="189">
        <f>2.05*0.3</f>
        <v>0.61499999999999988</v>
      </c>
      <c r="AN461" s="188">
        <f t="shared" si="362"/>
        <v>4.4443000000000001</v>
      </c>
      <c r="AO461" s="183">
        <v>0</v>
      </c>
      <c r="AP461" s="182">
        <f t="shared" si="349"/>
        <v>10</v>
      </c>
      <c r="AQ461" s="182">
        <v>1.5</v>
      </c>
      <c r="AR461" s="187">
        <f t="shared" si="352"/>
        <v>0</v>
      </c>
      <c r="AS461" s="187">
        <f t="shared" si="353"/>
        <v>179.06029999999998</v>
      </c>
      <c r="AT461" s="187">
        <f t="shared" si="354"/>
        <v>0</v>
      </c>
      <c r="AU461" s="187">
        <f t="shared" si="355"/>
        <v>176.07049999999998</v>
      </c>
      <c r="AV461" s="187">
        <f t="shared" si="356"/>
        <v>0</v>
      </c>
      <c r="AW461" s="187">
        <f t="shared" si="350"/>
        <v>0</v>
      </c>
      <c r="AX461" s="187">
        <f t="shared" si="351"/>
        <v>15</v>
      </c>
      <c r="AY461" s="388"/>
      <c r="AZ461" s="436"/>
      <c r="BA461" s="428"/>
      <c r="BF461" s="403"/>
      <c r="BG461" s="403"/>
      <c r="BK461" s="443"/>
      <c r="BL461" s="443"/>
      <c r="BN461" s="443"/>
      <c r="BO461" s="443"/>
      <c r="BQ461" s="443"/>
      <c r="BR461" s="443"/>
      <c r="BT461" s="443"/>
      <c r="BU461" s="443"/>
      <c r="BW461" s="443"/>
      <c r="BX461" s="443"/>
      <c r="BZ461" s="443"/>
      <c r="CA461" s="443"/>
      <c r="CC461" s="443"/>
      <c r="CD461" s="443"/>
      <c r="CF461" s="443"/>
      <c r="CG461" s="443"/>
    </row>
    <row r="462" spans="1:85" s="395" customFormat="1" x14ac:dyDescent="0.3">
      <c r="A462" s="182" t="s">
        <v>225</v>
      </c>
      <c r="B462" s="183">
        <v>1</v>
      </c>
      <c r="C462" s="184" t="s">
        <v>377</v>
      </c>
      <c r="D462" s="187">
        <v>4.42</v>
      </c>
      <c r="E462" s="187">
        <v>5.31</v>
      </c>
      <c r="F462" s="186">
        <v>0.17499999999999999</v>
      </c>
      <c r="G462" s="187">
        <f t="shared" si="359"/>
        <v>4.1072849999999992</v>
      </c>
      <c r="H462" s="188">
        <f t="shared" si="363"/>
        <v>23.470199999999998</v>
      </c>
      <c r="I462" s="183">
        <f t="shared" si="333"/>
        <v>10</v>
      </c>
      <c r="J462" s="188">
        <f t="shared" si="334"/>
        <v>0.18</v>
      </c>
      <c r="K462" s="183">
        <f t="shared" si="335"/>
        <v>31</v>
      </c>
      <c r="L462" s="189">
        <f t="shared" si="336"/>
        <v>7.3499999999999996E-2</v>
      </c>
      <c r="M462" s="189">
        <f>0.3*2</f>
        <v>0.6</v>
      </c>
      <c r="N462" s="189">
        <f t="shared" si="328"/>
        <v>-0.04</v>
      </c>
      <c r="O462" s="189">
        <f>3.81*0.3</f>
        <v>1.143</v>
      </c>
      <c r="P462" s="188">
        <f t="shared" si="329"/>
        <v>6.1965000000000003</v>
      </c>
      <c r="Q462" s="183">
        <f t="shared" si="337"/>
        <v>10</v>
      </c>
      <c r="R462" s="188">
        <f t="shared" si="338"/>
        <v>0.18</v>
      </c>
      <c r="S462" s="183">
        <f t="shared" si="339"/>
        <v>30</v>
      </c>
      <c r="T462" s="189">
        <f t="shared" si="340"/>
        <v>7.3499999999999996E-2</v>
      </c>
      <c r="U462" s="189">
        <f>0.3*2</f>
        <v>0.6</v>
      </c>
      <c r="V462" s="189">
        <f t="shared" si="330"/>
        <v>-0.04</v>
      </c>
      <c r="W462" s="189">
        <f>5.4*0.3</f>
        <v>1.62</v>
      </c>
      <c r="X462" s="188">
        <f t="shared" si="360"/>
        <v>6.6734999999999998</v>
      </c>
      <c r="Y462" s="183">
        <f t="shared" si="341"/>
        <v>10</v>
      </c>
      <c r="Z462" s="188">
        <f t="shared" si="342"/>
        <v>0.2</v>
      </c>
      <c r="AA462" s="183">
        <f t="shared" si="343"/>
        <v>23</v>
      </c>
      <c r="AB462" s="189">
        <f t="shared" si="344"/>
        <v>7.3499999999999996E-2</v>
      </c>
      <c r="AC462" s="189">
        <f t="shared" ref="AC462:AC470" si="365">0.3*2</f>
        <v>0.6</v>
      </c>
      <c r="AD462" s="189">
        <f t="shared" si="331"/>
        <v>-0.04</v>
      </c>
      <c r="AE462" s="189">
        <f t="shared" si="364"/>
        <v>1.7549999999999999</v>
      </c>
      <c r="AF462" s="188">
        <f t="shared" si="361"/>
        <v>7.6984999999999992</v>
      </c>
      <c r="AG462" s="183">
        <f t="shared" si="345"/>
        <v>10</v>
      </c>
      <c r="AH462" s="182">
        <f t="shared" si="346"/>
        <v>0.2</v>
      </c>
      <c r="AI462" s="183">
        <f t="shared" si="347"/>
        <v>22</v>
      </c>
      <c r="AJ462" s="189">
        <f t="shared" si="348"/>
        <v>7.3499999999999996E-2</v>
      </c>
      <c r="AK462" s="189">
        <f t="shared" ref="AK462:AK470" si="366">0.3*2</f>
        <v>0.6</v>
      </c>
      <c r="AL462" s="189">
        <f t="shared" si="332"/>
        <v>-0.04</v>
      </c>
      <c r="AM462" s="189">
        <f>2.6*0.3</f>
        <v>0.78</v>
      </c>
      <c r="AN462" s="188">
        <f t="shared" si="362"/>
        <v>6.7234999999999996</v>
      </c>
      <c r="AO462" s="183">
        <v>0</v>
      </c>
      <c r="AP462" s="182">
        <f t="shared" si="349"/>
        <v>14</v>
      </c>
      <c r="AQ462" s="182">
        <v>1.5</v>
      </c>
      <c r="AR462" s="187">
        <f t="shared" si="352"/>
        <v>0</v>
      </c>
      <c r="AS462" s="187">
        <f t="shared" si="353"/>
        <v>392.29649999999998</v>
      </c>
      <c r="AT462" s="187">
        <f t="shared" si="354"/>
        <v>0</v>
      </c>
      <c r="AU462" s="187">
        <f t="shared" si="355"/>
        <v>0</v>
      </c>
      <c r="AV462" s="187">
        <f t="shared" si="356"/>
        <v>324.98249999999996</v>
      </c>
      <c r="AW462" s="187">
        <f t="shared" si="350"/>
        <v>0</v>
      </c>
      <c r="AX462" s="187">
        <f t="shared" si="351"/>
        <v>21</v>
      </c>
      <c r="AY462" s="388"/>
      <c r="AZ462" s="436"/>
      <c r="BA462" s="428"/>
      <c r="BF462" s="403"/>
      <c r="BG462" s="403"/>
      <c r="BK462" s="443"/>
      <c r="BL462" s="443"/>
      <c r="BN462" s="443"/>
      <c r="BO462" s="443"/>
      <c r="BQ462" s="443"/>
      <c r="BR462" s="443"/>
      <c r="BT462" s="443"/>
      <c r="BU462" s="443"/>
      <c r="BW462" s="443"/>
      <c r="BX462" s="443"/>
      <c r="BZ462" s="443"/>
      <c r="CA462" s="443"/>
      <c r="CC462" s="443"/>
      <c r="CD462" s="443"/>
      <c r="CF462" s="443"/>
      <c r="CG462" s="443"/>
    </row>
    <row r="463" spans="1:85" s="395" customFormat="1" x14ac:dyDescent="0.3">
      <c r="A463" s="182" t="s">
        <v>259</v>
      </c>
      <c r="B463" s="183">
        <v>1</v>
      </c>
      <c r="C463" s="184" t="s">
        <v>545</v>
      </c>
      <c r="D463" s="187">
        <v>5.4</v>
      </c>
      <c r="E463" s="187">
        <v>5.31</v>
      </c>
      <c r="F463" s="186">
        <v>0.17499999999999999</v>
      </c>
      <c r="G463" s="187">
        <f t="shared" si="359"/>
        <v>5.0179499999999999</v>
      </c>
      <c r="H463" s="188">
        <f t="shared" si="363"/>
        <v>28.673999999999999</v>
      </c>
      <c r="I463" s="183">
        <f t="shared" si="333"/>
        <v>10</v>
      </c>
      <c r="J463" s="188">
        <f t="shared" si="334"/>
        <v>1.5</v>
      </c>
      <c r="K463" s="183">
        <f t="shared" si="335"/>
        <v>5</v>
      </c>
      <c r="L463" s="189">
        <f t="shared" si="336"/>
        <v>7.3499999999999996E-2</v>
      </c>
      <c r="M463" s="189">
        <f>0.3+0.45</f>
        <v>0.75</v>
      </c>
      <c r="N463" s="189">
        <f t="shared" si="328"/>
        <v>-0.04</v>
      </c>
      <c r="O463" s="189">
        <f>4.42*0.3</f>
        <v>1.3259999999999998</v>
      </c>
      <c r="P463" s="188">
        <f t="shared" si="329"/>
        <v>7.5095000000000001</v>
      </c>
      <c r="Q463" s="183">
        <f t="shared" si="337"/>
        <v>10</v>
      </c>
      <c r="R463" s="188">
        <f t="shared" si="338"/>
        <v>1.5</v>
      </c>
      <c r="S463" s="183">
        <f t="shared" si="339"/>
        <v>4</v>
      </c>
      <c r="T463" s="189">
        <f t="shared" si="340"/>
        <v>7.3499999999999996E-2</v>
      </c>
      <c r="U463" s="189">
        <f>0.3+0.45</f>
        <v>0.75</v>
      </c>
      <c r="V463" s="189">
        <f t="shared" si="330"/>
        <v>-0.04</v>
      </c>
      <c r="W463" s="189">
        <f>2.6*0.3</f>
        <v>0.78</v>
      </c>
      <c r="X463" s="188">
        <f t="shared" si="360"/>
        <v>6.9634999999999998</v>
      </c>
      <c r="Y463" s="183">
        <f t="shared" si="341"/>
        <v>10</v>
      </c>
      <c r="Z463" s="188">
        <f t="shared" si="342"/>
        <v>0.17</v>
      </c>
      <c r="AA463" s="183">
        <f t="shared" si="343"/>
        <v>33</v>
      </c>
      <c r="AB463" s="189">
        <f t="shared" si="344"/>
        <v>7.3499999999999996E-2</v>
      </c>
      <c r="AC463" s="189">
        <f t="shared" si="365"/>
        <v>0.6</v>
      </c>
      <c r="AD463" s="189">
        <f t="shared" si="331"/>
        <v>-0.04</v>
      </c>
      <c r="AE463" s="189">
        <f t="shared" si="364"/>
        <v>1.7549999999999999</v>
      </c>
      <c r="AF463" s="188">
        <f t="shared" si="361"/>
        <v>7.6984999999999992</v>
      </c>
      <c r="AG463" s="183">
        <f t="shared" si="345"/>
        <v>10</v>
      </c>
      <c r="AH463" s="182">
        <f t="shared" si="346"/>
        <v>0.17</v>
      </c>
      <c r="AI463" s="183">
        <f t="shared" si="347"/>
        <v>32</v>
      </c>
      <c r="AJ463" s="189">
        <f t="shared" si="348"/>
        <v>7.3499999999999996E-2</v>
      </c>
      <c r="AK463" s="189">
        <f t="shared" si="366"/>
        <v>0.6</v>
      </c>
      <c r="AL463" s="189">
        <f t="shared" si="332"/>
        <v>-0.04</v>
      </c>
      <c r="AM463" s="189">
        <f>2.56*0.3</f>
        <v>0.76800000000000002</v>
      </c>
      <c r="AN463" s="188">
        <f t="shared" si="362"/>
        <v>6.7114999999999991</v>
      </c>
      <c r="AO463" s="183">
        <v>0</v>
      </c>
      <c r="AP463" s="182">
        <f t="shared" si="349"/>
        <v>16</v>
      </c>
      <c r="AQ463" s="182">
        <v>1.5</v>
      </c>
      <c r="AR463" s="187">
        <f t="shared" si="352"/>
        <v>0</v>
      </c>
      <c r="AS463" s="187">
        <f t="shared" si="353"/>
        <v>65.401499999999999</v>
      </c>
      <c r="AT463" s="187">
        <f t="shared" si="354"/>
        <v>0</v>
      </c>
      <c r="AU463" s="187">
        <f t="shared" si="355"/>
        <v>0</v>
      </c>
      <c r="AV463" s="187">
        <f t="shared" si="356"/>
        <v>468.81849999999997</v>
      </c>
      <c r="AW463" s="187">
        <f t="shared" si="350"/>
        <v>0</v>
      </c>
      <c r="AX463" s="187">
        <f t="shared" si="351"/>
        <v>24</v>
      </c>
      <c r="AY463" s="388"/>
      <c r="AZ463" s="436"/>
      <c r="BA463" s="428"/>
      <c r="BF463" s="403"/>
      <c r="BG463" s="403"/>
      <c r="BK463" s="443"/>
      <c r="BL463" s="443"/>
      <c r="BN463" s="443"/>
      <c r="BO463" s="443"/>
      <c r="BQ463" s="443"/>
      <c r="BR463" s="443"/>
      <c r="BT463" s="443"/>
      <c r="BU463" s="443"/>
      <c r="BW463" s="443"/>
      <c r="BX463" s="443"/>
      <c r="BZ463" s="443"/>
      <c r="CA463" s="443"/>
      <c r="CC463" s="443"/>
      <c r="CD463" s="443"/>
      <c r="CF463" s="443"/>
      <c r="CG463" s="443"/>
    </row>
    <row r="464" spans="1:85" s="395" customFormat="1" x14ac:dyDescent="0.3">
      <c r="A464" s="182" t="s">
        <v>259</v>
      </c>
      <c r="B464" s="183">
        <v>1</v>
      </c>
      <c r="C464" s="184" t="s">
        <v>546</v>
      </c>
      <c r="D464" s="187">
        <v>4.95</v>
      </c>
      <c r="E464" s="187">
        <v>5.85</v>
      </c>
      <c r="F464" s="186">
        <v>0.17499999999999999</v>
      </c>
      <c r="G464" s="187">
        <f t="shared" si="359"/>
        <v>5.0675624999999993</v>
      </c>
      <c r="H464" s="188">
        <f t="shared" si="363"/>
        <v>28.9575</v>
      </c>
      <c r="I464" s="183">
        <f t="shared" si="333"/>
        <v>10</v>
      </c>
      <c r="J464" s="188">
        <f t="shared" si="334"/>
        <v>1.5</v>
      </c>
      <c r="K464" s="183">
        <f t="shared" si="335"/>
        <v>5</v>
      </c>
      <c r="L464" s="189">
        <f t="shared" si="336"/>
        <v>7.3499999999999996E-2</v>
      </c>
      <c r="M464" s="189">
        <f>0.3*2</f>
        <v>0.6</v>
      </c>
      <c r="N464" s="189">
        <f t="shared" si="328"/>
        <v>-0.04</v>
      </c>
      <c r="O464" s="189">
        <f>F464-2*0.02</f>
        <v>0.13499999999999998</v>
      </c>
      <c r="P464" s="188">
        <f t="shared" si="329"/>
        <v>5.7185000000000006</v>
      </c>
      <c r="Q464" s="183">
        <f t="shared" si="337"/>
        <v>10</v>
      </c>
      <c r="R464" s="188">
        <f t="shared" si="338"/>
        <v>1.5</v>
      </c>
      <c r="S464" s="183">
        <f t="shared" si="339"/>
        <v>4</v>
      </c>
      <c r="T464" s="189">
        <f t="shared" si="340"/>
        <v>7.3499999999999996E-2</v>
      </c>
      <c r="U464" s="189">
        <f>0.3*2</f>
        <v>0.6</v>
      </c>
      <c r="V464" s="189">
        <f t="shared" si="330"/>
        <v>-0.04</v>
      </c>
      <c r="W464" s="189">
        <f>2.9*0.3</f>
        <v>0.87</v>
      </c>
      <c r="X464" s="188">
        <f t="shared" si="360"/>
        <v>6.4535</v>
      </c>
      <c r="Y464" s="183">
        <f t="shared" si="341"/>
        <v>10</v>
      </c>
      <c r="Z464" s="188">
        <f t="shared" si="342"/>
        <v>0.17</v>
      </c>
      <c r="AA464" s="183">
        <f t="shared" si="343"/>
        <v>30</v>
      </c>
      <c r="AB464" s="189">
        <f t="shared" si="344"/>
        <v>7.3499999999999996E-2</v>
      </c>
      <c r="AC464" s="189">
        <f t="shared" si="365"/>
        <v>0.6</v>
      </c>
      <c r="AD464" s="189">
        <f t="shared" si="331"/>
        <v>-0.04</v>
      </c>
      <c r="AE464" s="189">
        <f t="shared" ref="AE464:AE470" si="367">1.12*0.3</f>
        <v>0.33600000000000002</v>
      </c>
      <c r="AF464" s="188">
        <f t="shared" si="361"/>
        <v>6.8194999999999997</v>
      </c>
      <c r="AG464" s="183">
        <f t="shared" si="345"/>
        <v>10</v>
      </c>
      <c r="AH464" s="182">
        <f t="shared" si="346"/>
        <v>0.17</v>
      </c>
      <c r="AI464" s="183">
        <f t="shared" si="347"/>
        <v>29</v>
      </c>
      <c r="AJ464" s="189">
        <f t="shared" si="348"/>
        <v>7.3499999999999996E-2</v>
      </c>
      <c r="AK464" s="189">
        <f t="shared" si="366"/>
        <v>0.6</v>
      </c>
      <c r="AL464" s="189">
        <f t="shared" si="332"/>
        <v>-0.04</v>
      </c>
      <c r="AM464" s="189">
        <f>5.4*0.3</f>
        <v>1.62</v>
      </c>
      <c r="AN464" s="188">
        <f t="shared" si="362"/>
        <v>8.1035000000000004</v>
      </c>
      <c r="AO464" s="183">
        <v>0</v>
      </c>
      <c r="AP464" s="182">
        <f t="shared" si="349"/>
        <v>14</v>
      </c>
      <c r="AQ464" s="182">
        <v>1.5</v>
      </c>
      <c r="AR464" s="187">
        <f t="shared" si="352"/>
        <v>0</v>
      </c>
      <c r="AS464" s="187">
        <f t="shared" si="353"/>
        <v>54.406500000000001</v>
      </c>
      <c r="AT464" s="187">
        <f t="shared" si="354"/>
        <v>0</v>
      </c>
      <c r="AU464" s="187">
        <f t="shared" si="355"/>
        <v>0</v>
      </c>
      <c r="AV464" s="187">
        <f t="shared" si="356"/>
        <v>439.5865</v>
      </c>
      <c r="AW464" s="187">
        <f t="shared" si="350"/>
        <v>0</v>
      </c>
      <c r="AX464" s="187">
        <f t="shared" si="351"/>
        <v>21</v>
      </c>
      <c r="AY464" s="388"/>
      <c r="AZ464" s="436"/>
      <c r="BA464" s="428"/>
      <c r="BF464" s="403"/>
      <c r="BG464" s="403"/>
      <c r="BK464" s="443"/>
      <c r="BL464" s="443"/>
      <c r="BN464" s="443"/>
      <c r="BO464" s="443"/>
      <c r="BQ464" s="443"/>
      <c r="BR464" s="443"/>
      <c r="BT464" s="443"/>
      <c r="BU464" s="443"/>
      <c r="BW464" s="443"/>
      <c r="BX464" s="443"/>
      <c r="BZ464" s="443"/>
      <c r="CA464" s="443"/>
      <c r="CC464" s="443"/>
      <c r="CD464" s="443"/>
      <c r="CF464" s="443"/>
      <c r="CG464" s="443"/>
    </row>
    <row r="465" spans="1:105" s="395" customFormat="1" x14ac:dyDescent="0.3">
      <c r="A465" s="182" t="s">
        <v>223</v>
      </c>
      <c r="B465" s="183">
        <v>2</v>
      </c>
      <c r="C465" s="184" t="s">
        <v>547</v>
      </c>
      <c r="D465" s="187">
        <v>2.99</v>
      </c>
      <c r="E465" s="187">
        <v>5.85</v>
      </c>
      <c r="F465" s="186">
        <v>0.13</v>
      </c>
      <c r="G465" s="187">
        <f t="shared" si="359"/>
        <v>4.54779</v>
      </c>
      <c r="H465" s="188">
        <f t="shared" si="363"/>
        <v>34.982999999999997</v>
      </c>
      <c r="I465" s="183">
        <f t="shared" si="333"/>
        <v>8</v>
      </c>
      <c r="J465" s="188">
        <f t="shared" si="334"/>
        <v>0.2</v>
      </c>
      <c r="K465" s="183">
        <f t="shared" si="335"/>
        <v>30</v>
      </c>
      <c r="L465" s="189">
        <f t="shared" si="336"/>
        <v>5.4600000000000003E-2</v>
      </c>
      <c r="M465" s="189">
        <f>0.3*2</f>
        <v>0.6</v>
      </c>
      <c r="N465" s="189">
        <f t="shared" si="328"/>
        <v>-0.04</v>
      </c>
      <c r="O465" s="189">
        <f>4.95*0.3</f>
        <v>1.4850000000000001</v>
      </c>
      <c r="P465" s="188">
        <f t="shared" si="329"/>
        <v>5.0896000000000008</v>
      </c>
      <c r="Q465" s="183">
        <f t="shared" si="337"/>
        <v>8</v>
      </c>
      <c r="R465" s="188">
        <f t="shared" si="338"/>
        <v>0.2</v>
      </c>
      <c r="S465" s="183">
        <f t="shared" si="339"/>
        <v>29</v>
      </c>
      <c r="T465" s="189">
        <f t="shared" si="340"/>
        <v>5.4600000000000003E-2</v>
      </c>
      <c r="U465" s="189">
        <f>0.3*2</f>
        <v>0.6</v>
      </c>
      <c r="V465" s="189">
        <f t="shared" si="330"/>
        <v>-0.04</v>
      </c>
      <c r="W465" s="189">
        <f>2.985*0.3</f>
        <v>0.89549999999999996</v>
      </c>
      <c r="X465" s="188">
        <f t="shared" si="360"/>
        <v>4.5000999999999998</v>
      </c>
      <c r="Y465" s="183">
        <f t="shared" si="341"/>
        <v>8</v>
      </c>
      <c r="Z465" s="188">
        <f t="shared" si="342"/>
        <v>0.36</v>
      </c>
      <c r="AA465" s="183">
        <f t="shared" si="343"/>
        <v>9</v>
      </c>
      <c r="AB465" s="189">
        <f t="shared" si="344"/>
        <v>5.4600000000000003E-2</v>
      </c>
      <c r="AC465" s="189">
        <f t="shared" si="365"/>
        <v>0.6</v>
      </c>
      <c r="AD465" s="189">
        <f t="shared" si="331"/>
        <v>-0.04</v>
      </c>
      <c r="AE465" s="189">
        <f t="shared" si="367"/>
        <v>0.33600000000000002</v>
      </c>
      <c r="AF465" s="188">
        <f t="shared" si="361"/>
        <v>6.8005999999999993</v>
      </c>
      <c r="AG465" s="183">
        <f t="shared" si="345"/>
        <v>8</v>
      </c>
      <c r="AH465" s="182">
        <f t="shared" si="346"/>
        <v>0.36</v>
      </c>
      <c r="AI465" s="183">
        <f t="shared" si="347"/>
        <v>8</v>
      </c>
      <c r="AJ465" s="189">
        <f t="shared" si="348"/>
        <v>5.4600000000000003E-2</v>
      </c>
      <c r="AK465" s="189">
        <f t="shared" si="366"/>
        <v>0.6</v>
      </c>
      <c r="AL465" s="189">
        <f t="shared" si="332"/>
        <v>-0.04</v>
      </c>
      <c r="AM465" s="189">
        <f>5.38*0.3</f>
        <v>1.6139999999999999</v>
      </c>
      <c r="AN465" s="188">
        <f t="shared" si="362"/>
        <v>8.0785999999999998</v>
      </c>
      <c r="AO465" s="183">
        <v>0</v>
      </c>
      <c r="AP465" s="182">
        <f t="shared" si="349"/>
        <v>12</v>
      </c>
      <c r="AQ465" s="182">
        <v>1.5</v>
      </c>
      <c r="AR465" s="187">
        <f t="shared" si="352"/>
        <v>566.3818</v>
      </c>
      <c r="AS465" s="187">
        <f t="shared" si="353"/>
        <v>0</v>
      </c>
      <c r="AT465" s="187">
        <f t="shared" si="354"/>
        <v>0</v>
      </c>
      <c r="AU465" s="187">
        <f t="shared" si="355"/>
        <v>251.66839999999999</v>
      </c>
      <c r="AV465" s="187">
        <f t="shared" si="356"/>
        <v>0</v>
      </c>
      <c r="AW465" s="187">
        <f t="shared" si="350"/>
        <v>0</v>
      </c>
      <c r="AX465" s="187">
        <f t="shared" si="351"/>
        <v>36</v>
      </c>
      <c r="AY465" s="388"/>
      <c r="AZ465" s="436"/>
      <c r="BA465" s="428"/>
      <c r="BF465" s="403"/>
      <c r="BG465" s="403"/>
      <c r="BK465" s="443"/>
      <c r="BL465" s="443"/>
      <c r="BN465" s="443"/>
      <c r="BO465" s="443"/>
      <c r="BQ465" s="443"/>
      <c r="BR465" s="443"/>
      <c r="BT465" s="443"/>
      <c r="BU465" s="443"/>
      <c r="BW465" s="443"/>
      <c r="BX465" s="443"/>
      <c r="BZ465" s="443"/>
      <c r="CA465" s="443"/>
      <c r="CC465" s="443"/>
      <c r="CD465" s="443"/>
      <c r="CF465" s="443"/>
      <c r="CG465" s="443"/>
    </row>
    <row r="466" spans="1:105" s="395" customFormat="1" x14ac:dyDescent="0.3">
      <c r="A466" s="182" t="s">
        <v>225</v>
      </c>
      <c r="B466" s="183">
        <v>2</v>
      </c>
      <c r="C466" s="184" t="s">
        <v>548</v>
      </c>
      <c r="D466" s="187">
        <v>4.41</v>
      </c>
      <c r="E466" s="187">
        <v>5.85</v>
      </c>
      <c r="F466" s="186">
        <v>0.13</v>
      </c>
      <c r="G466" s="187">
        <f t="shared" si="359"/>
        <v>6.7076100000000007</v>
      </c>
      <c r="H466" s="188">
        <f t="shared" si="363"/>
        <v>51.597000000000001</v>
      </c>
      <c r="I466" s="183">
        <f t="shared" si="333"/>
        <v>10</v>
      </c>
      <c r="J466" s="188">
        <f t="shared" si="334"/>
        <v>0.18</v>
      </c>
      <c r="K466" s="183">
        <f t="shared" si="335"/>
        <v>34</v>
      </c>
      <c r="L466" s="189">
        <f t="shared" si="336"/>
        <v>7.3499999999999996E-2</v>
      </c>
      <c r="M466" s="189">
        <f>0.3*2</f>
        <v>0.6</v>
      </c>
      <c r="N466" s="189">
        <f t="shared" si="328"/>
        <v>-0.04</v>
      </c>
      <c r="O466" s="189">
        <f>2.99*0.3</f>
        <v>0.89700000000000002</v>
      </c>
      <c r="P466" s="188">
        <f t="shared" si="329"/>
        <v>5.9405000000000001</v>
      </c>
      <c r="Q466" s="183">
        <f t="shared" si="337"/>
        <v>10</v>
      </c>
      <c r="R466" s="188">
        <f t="shared" si="338"/>
        <v>0.18</v>
      </c>
      <c r="S466" s="183">
        <f t="shared" si="339"/>
        <v>33</v>
      </c>
      <c r="T466" s="189">
        <f t="shared" si="340"/>
        <v>7.3499999999999996E-2</v>
      </c>
      <c r="U466" s="189">
        <f>0.3*2</f>
        <v>0.6</v>
      </c>
      <c r="V466" s="189">
        <f t="shared" si="330"/>
        <v>-0.04</v>
      </c>
      <c r="W466" s="189">
        <f>3.81*0.3</f>
        <v>1.143</v>
      </c>
      <c r="X466" s="188">
        <f t="shared" si="360"/>
        <v>6.1865000000000006</v>
      </c>
      <c r="Y466" s="183">
        <f t="shared" si="341"/>
        <v>10</v>
      </c>
      <c r="Z466" s="188">
        <f t="shared" si="342"/>
        <v>0.2</v>
      </c>
      <c r="AA466" s="183">
        <f t="shared" si="343"/>
        <v>23</v>
      </c>
      <c r="AB466" s="189">
        <f t="shared" si="344"/>
        <v>7.3499999999999996E-2</v>
      </c>
      <c r="AC466" s="189">
        <f t="shared" si="365"/>
        <v>0.6</v>
      </c>
      <c r="AD466" s="189">
        <f t="shared" si="331"/>
        <v>-0.04</v>
      </c>
      <c r="AE466" s="189">
        <f t="shared" si="367"/>
        <v>0.33600000000000002</v>
      </c>
      <c r="AF466" s="188">
        <f t="shared" si="361"/>
        <v>6.8194999999999997</v>
      </c>
      <c r="AG466" s="183">
        <f t="shared" si="345"/>
        <v>10</v>
      </c>
      <c r="AH466" s="182">
        <f t="shared" si="346"/>
        <v>0.2</v>
      </c>
      <c r="AI466" s="183">
        <f t="shared" si="347"/>
        <v>22</v>
      </c>
      <c r="AJ466" s="189">
        <f t="shared" si="348"/>
        <v>7.3499999999999996E-2</v>
      </c>
      <c r="AK466" s="189">
        <f t="shared" si="366"/>
        <v>0.6</v>
      </c>
      <c r="AL466" s="189">
        <f t="shared" si="332"/>
        <v>-0.04</v>
      </c>
      <c r="AM466" s="189">
        <f>5.38*0.3</f>
        <v>1.6139999999999999</v>
      </c>
      <c r="AN466" s="188">
        <f t="shared" si="362"/>
        <v>8.0975000000000001</v>
      </c>
      <c r="AO466" s="183">
        <v>0</v>
      </c>
      <c r="AP466" s="182">
        <f t="shared" si="349"/>
        <v>14</v>
      </c>
      <c r="AQ466" s="182">
        <v>1.5</v>
      </c>
      <c r="AR466" s="187">
        <f t="shared" si="352"/>
        <v>0</v>
      </c>
      <c r="AS466" s="187">
        <f t="shared" si="353"/>
        <v>812.26300000000003</v>
      </c>
      <c r="AT466" s="187">
        <f t="shared" si="354"/>
        <v>0</v>
      </c>
      <c r="AU466" s="187">
        <f t="shared" si="355"/>
        <v>0</v>
      </c>
      <c r="AV466" s="187">
        <f t="shared" si="356"/>
        <v>669.98700000000008</v>
      </c>
      <c r="AW466" s="187">
        <f t="shared" si="350"/>
        <v>0</v>
      </c>
      <c r="AX466" s="187">
        <f t="shared" si="351"/>
        <v>42</v>
      </c>
      <c r="AY466" s="388"/>
      <c r="AZ466" s="436"/>
      <c r="BA466" s="428"/>
      <c r="BF466" s="403"/>
      <c r="BG466" s="403"/>
      <c r="BK466" s="443"/>
      <c r="BL466" s="443"/>
      <c r="BN466" s="443"/>
      <c r="BO466" s="443"/>
      <c r="BQ466" s="443"/>
      <c r="BR466" s="443"/>
      <c r="BT466" s="443"/>
      <c r="BU466" s="443"/>
      <c r="BW466" s="443"/>
      <c r="BX466" s="443"/>
      <c r="BZ466" s="443"/>
      <c r="CA466" s="443"/>
      <c r="CC466" s="443"/>
      <c r="CD466" s="443"/>
      <c r="CF466" s="443"/>
      <c r="CG466" s="443"/>
    </row>
    <row r="467" spans="1:105" s="395" customFormat="1" x14ac:dyDescent="0.3">
      <c r="A467" s="182" t="s">
        <v>240</v>
      </c>
      <c r="B467" s="183">
        <v>1</v>
      </c>
      <c r="C467" s="184" t="s">
        <v>549</v>
      </c>
      <c r="D467" s="187">
        <v>3.81</v>
      </c>
      <c r="E467" s="187">
        <v>5.85</v>
      </c>
      <c r="F467" s="186">
        <v>0.16</v>
      </c>
      <c r="G467" s="187">
        <f t="shared" si="359"/>
        <v>3.56616</v>
      </c>
      <c r="H467" s="188">
        <f t="shared" si="363"/>
        <v>22.288499999999999</v>
      </c>
      <c r="I467" s="183">
        <f t="shared" si="333"/>
        <v>10</v>
      </c>
      <c r="J467" s="188">
        <f t="shared" si="334"/>
        <v>0.2</v>
      </c>
      <c r="K467" s="183">
        <f t="shared" si="335"/>
        <v>30</v>
      </c>
      <c r="L467" s="189">
        <f t="shared" si="336"/>
        <v>6.7199999999999996E-2</v>
      </c>
      <c r="M467" s="189">
        <f>0.3*2</f>
        <v>0.6</v>
      </c>
      <c r="N467" s="189">
        <f t="shared" si="328"/>
        <v>-0.04</v>
      </c>
      <c r="O467" s="189">
        <f>4.41*0.3</f>
        <v>1.323</v>
      </c>
      <c r="P467" s="188">
        <f t="shared" si="329"/>
        <v>5.7602000000000002</v>
      </c>
      <c r="Q467" s="183">
        <f t="shared" si="337"/>
        <v>10</v>
      </c>
      <c r="R467" s="188">
        <f t="shared" si="338"/>
        <v>0.2</v>
      </c>
      <c r="S467" s="183">
        <f t="shared" si="339"/>
        <v>29</v>
      </c>
      <c r="T467" s="189">
        <f t="shared" si="340"/>
        <v>6.7199999999999996E-2</v>
      </c>
      <c r="U467" s="189">
        <f>0.3*2</f>
        <v>0.6</v>
      </c>
      <c r="V467" s="189">
        <f t="shared" si="330"/>
        <v>-0.04</v>
      </c>
      <c r="W467" s="189">
        <f>4.41*0.3</f>
        <v>1.323</v>
      </c>
      <c r="X467" s="188">
        <f t="shared" si="360"/>
        <v>5.7602000000000002</v>
      </c>
      <c r="Y467" s="183">
        <f t="shared" si="341"/>
        <v>10</v>
      </c>
      <c r="Z467" s="188">
        <f t="shared" si="342"/>
        <v>0.2</v>
      </c>
      <c r="AA467" s="183">
        <f t="shared" si="343"/>
        <v>20</v>
      </c>
      <c r="AB467" s="189">
        <f t="shared" si="344"/>
        <v>6.7199999999999996E-2</v>
      </c>
      <c r="AC467" s="189">
        <f t="shared" si="365"/>
        <v>0.6</v>
      </c>
      <c r="AD467" s="189">
        <f t="shared" si="331"/>
        <v>-0.04</v>
      </c>
      <c r="AE467" s="189">
        <f t="shared" si="367"/>
        <v>0.33600000000000002</v>
      </c>
      <c r="AF467" s="188">
        <f t="shared" si="361"/>
        <v>6.8132000000000001</v>
      </c>
      <c r="AG467" s="183">
        <f t="shared" si="345"/>
        <v>10</v>
      </c>
      <c r="AH467" s="182">
        <f t="shared" si="346"/>
        <v>0.2</v>
      </c>
      <c r="AI467" s="183">
        <f t="shared" si="347"/>
        <v>19</v>
      </c>
      <c r="AJ467" s="189">
        <f t="shared" si="348"/>
        <v>6.7199999999999996E-2</v>
      </c>
      <c r="AK467" s="189">
        <f t="shared" si="366"/>
        <v>0.6</v>
      </c>
      <c r="AL467" s="189">
        <f t="shared" si="332"/>
        <v>-0.04</v>
      </c>
      <c r="AM467" s="189">
        <f>3.34*0.3</f>
        <v>1.002</v>
      </c>
      <c r="AN467" s="188">
        <f t="shared" si="362"/>
        <v>7.4791999999999996</v>
      </c>
      <c r="AO467" s="183">
        <v>0</v>
      </c>
      <c r="AP467" s="182">
        <f t="shared" si="349"/>
        <v>14</v>
      </c>
      <c r="AQ467" s="182">
        <v>1.5</v>
      </c>
      <c r="AR467" s="187">
        <f t="shared" si="352"/>
        <v>0</v>
      </c>
      <c r="AS467" s="187">
        <f t="shared" si="353"/>
        <v>339.85180000000003</v>
      </c>
      <c r="AT467" s="187">
        <f t="shared" si="354"/>
        <v>0</v>
      </c>
      <c r="AU467" s="187">
        <f t="shared" si="355"/>
        <v>0</v>
      </c>
      <c r="AV467" s="187">
        <f t="shared" si="356"/>
        <v>278.36879999999996</v>
      </c>
      <c r="AW467" s="187">
        <f t="shared" si="350"/>
        <v>0</v>
      </c>
      <c r="AX467" s="187">
        <f t="shared" si="351"/>
        <v>21</v>
      </c>
      <c r="AY467" s="388"/>
      <c r="AZ467" s="436"/>
      <c r="BA467" s="428"/>
      <c r="BF467" s="403"/>
      <c r="BG467" s="403"/>
      <c r="BK467" s="443"/>
      <c r="BL467" s="443"/>
      <c r="BN467" s="443"/>
      <c r="BO467" s="443"/>
      <c r="BQ467" s="443"/>
      <c r="BR467" s="443"/>
      <c r="BT467" s="443"/>
      <c r="BU467" s="443"/>
      <c r="BW467" s="443"/>
      <c r="BX467" s="443"/>
      <c r="BZ467" s="443"/>
      <c r="CA467" s="443"/>
      <c r="CC467" s="443"/>
      <c r="CD467" s="443"/>
      <c r="CF467" s="443"/>
      <c r="CG467" s="443"/>
    </row>
    <row r="468" spans="1:105" s="395" customFormat="1" x14ac:dyDescent="0.3">
      <c r="A468" s="182" t="s">
        <v>223</v>
      </c>
      <c r="B468" s="183">
        <v>2</v>
      </c>
      <c r="C468" s="184" t="s">
        <v>550</v>
      </c>
      <c r="D468" s="187">
        <v>2.66</v>
      </c>
      <c r="E468" s="187">
        <v>5.85</v>
      </c>
      <c r="F468" s="186">
        <v>0.13</v>
      </c>
      <c r="G468" s="187">
        <f>D468*E468*F468*B468</f>
        <v>4.0458600000000002</v>
      </c>
      <c r="H468" s="188">
        <f>D468*E468*B468</f>
        <v>31.122</v>
      </c>
      <c r="I468" s="183">
        <f t="shared" si="333"/>
        <v>8</v>
      </c>
      <c r="J468" s="188">
        <f t="shared" si="334"/>
        <v>0.2</v>
      </c>
      <c r="K468" s="183">
        <f t="shared" si="335"/>
        <v>30</v>
      </c>
      <c r="L468" s="189">
        <f t="shared" si="336"/>
        <v>5.4600000000000003E-2</v>
      </c>
      <c r="M468" s="189">
        <f>0.3*2</f>
        <v>0.6</v>
      </c>
      <c r="N468" s="189">
        <f t="shared" si="328"/>
        <v>-0.04</v>
      </c>
      <c r="O468" s="189">
        <f>4.41*0.3</f>
        <v>1.323</v>
      </c>
      <c r="P468" s="188">
        <f t="shared" si="329"/>
        <v>4.5975999999999999</v>
      </c>
      <c r="Q468" s="183">
        <f t="shared" si="337"/>
        <v>8</v>
      </c>
      <c r="R468" s="188">
        <f t="shared" si="338"/>
        <v>0.2</v>
      </c>
      <c r="S468" s="183">
        <f t="shared" si="339"/>
        <v>29</v>
      </c>
      <c r="T468" s="189">
        <f t="shared" si="340"/>
        <v>5.4600000000000003E-2</v>
      </c>
      <c r="U468" s="189">
        <f>0.3*2</f>
        <v>0.6</v>
      </c>
      <c r="V468" s="189">
        <f t="shared" si="330"/>
        <v>-0.04</v>
      </c>
      <c r="W468" s="189">
        <f>2.92*0.3</f>
        <v>0.876</v>
      </c>
      <c r="X468" s="188">
        <f t="shared" si="360"/>
        <v>4.1505999999999998</v>
      </c>
      <c r="Y468" s="183">
        <f t="shared" si="341"/>
        <v>8</v>
      </c>
      <c r="Z468" s="188">
        <f t="shared" si="342"/>
        <v>0.36</v>
      </c>
      <c r="AA468" s="183">
        <f t="shared" si="343"/>
        <v>8</v>
      </c>
      <c r="AB468" s="189">
        <f t="shared" si="344"/>
        <v>5.4600000000000003E-2</v>
      </c>
      <c r="AC468" s="189">
        <f t="shared" si="365"/>
        <v>0.6</v>
      </c>
      <c r="AD468" s="189">
        <f t="shared" si="331"/>
        <v>-0.04</v>
      </c>
      <c r="AE468" s="189">
        <f t="shared" si="367"/>
        <v>0.33600000000000002</v>
      </c>
      <c r="AF468" s="188">
        <f t="shared" si="361"/>
        <v>6.8005999999999993</v>
      </c>
      <c r="AG468" s="183">
        <f t="shared" si="345"/>
        <v>8</v>
      </c>
      <c r="AH468" s="182">
        <f t="shared" si="346"/>
        <v>0.36</v>
      </c>
      <c r="AI468" s="183">
        <f t="shared" si="347"/>
        <v>7</v>
      </c>
      <c r="AJ468" s="189">
        <f t="shared" si="348"/>
        <v>5.4600000000000003E-2</v>
      </c>
      <c r="AK468" s="189">
        <f t="shared" si="366"/>
        <v>0.6</v>
      </c>
      <c r="AL468" s="189">
        <f t="shared" si="332"/>
        <v>-0.04</v>
      </c>
      <c r="AM468" s="189">
        <f>5.31*0.3</f>
        <v>1.5929999999999997</v>
      </c>
      <c r="AN468" s="188">
        <f t="shared" si="362"/>
        <v>8.057599999999999</v>
      </c>
      <c r="AO468" s="183">
        <v>0</v>
      </c>
      <c r="AP468" s="182">
        <f t="shared" si="349"/>
        <v>12</v>
      </c>
      <c r="AQ468" s="182">
        <v>1.5</v>
      </c>
      <c r="AR468" s="187">
        <f t="shared" si="352"/>
        <v>516.59079999999994</v>
      </c>
      <c r="AS468" s="187">
        <f t="shared" si="353"/>
        <v>0</v>
      </c>
      <c r="AT468" s="187">
        <f t="shared" si="354"/>
        <v>0</v>
      </c>
      <c r="AU468" s="187">
        <f t="shared" si="355"/>
        <v>221.61599999999999</v>
      </c>
      <c r="AV468" s="187">
        <f t="shared" si="356"/>
        <v>0</v>
      </c>
      <c r="AW468" s="187">
        <f t="shared" si="350"/>
        <v>0</v>
      </c>
      <c r="AX468" s="187">
        <f t="shared" si="351"/>
        <v>36</v>
      </c>
      <c r="AY468" s="388"/>
      <c r="AZ468" s="436"/>
      <c r="BA468" s="428"/>
      <c r="BF468" s="403"/>
      <c r="BG468" s="403"/>
      <c r="BK468" s="443"/>
      <c r="BL468" s="443"/>
      <c r="BN468" s="443"/>
      <c r="BO468" s="443"/>
      <c r="BQ468" s="443"/>
      <c r="BR468" s="443"/>
      <c r="BT468" s="443"/>
      <c r="BU468" s="443"/>
      <c r="BW468" s="443"/>
      <c r="BX468" s="443"/>
      <c r="BZ468" s="443"/>
      <c r="CA468" s="443"/>
      <c r="CC468" s="443"/>
      <c r="CD468" s="443"/>
      <c r="CF468" s="443"/>
      <c r="CG468" s="443"/>
    </row>
    <row r="469" spans="1:105" s="395" customFormat="1" x14ac:dyDescent="0.3">
      <c r="A469" s="182" t="s">
        <v>223</v>
      </c>
      <c r="B469" s="183">
        <v>1</v>
      </c>
      <c r="C469" s="184" t="s">
        <v>551</v>
      </c>
      <c r="D469" s="187">
        <v>2.92</v>
      </c>
      <c r="E469" s="187">
        <v>5.85</v>
      </c>
      <c r="F469" s="186">
        <v>0.13</v>
      </c>
      <c r="G469" s="187">
        <f t="shared" ref="G469:G477" si="368">D469*E469*F469*B469</f>
        <v>2.2206599999999996</v>
      </c>
      <c r="H469" s="188">
        <f t="shared" ref="H469:H477" si="369">D469*E469*B469</f>
        <v>17.081999999999997</v>
      </c>
      <c r="I469" s="183">
        <f t="shared" si="333"/>
        <v>8</v>
      </c>
      <c r="J469" s="188">
        <f t="shared" si="334"/>
        <v>0.2</v>
      </c>
      <c r="K469" s="183">
        <f t="shared" si="335"/>
        <v>30</v>
      </c>
      <c r="L469" s="189">
        <f t="shared" si="336"/>
        <v>5.4600000000000003E-2</v>
      </c>
      <c r="M469" s="189">
        <f>0.3+0.38</f>
        <v>0.67999999999999994</v>
      </c>
      <c r="N469" s="189">
        <f t="shared" si="328"/>
        <v>-0.04</v>
      </c>
      <c r="O469" s="189">
        <f>2.66*0.3</f>
        <v>0.79800000000000004</v>
      </c>
      <c r="P469" s="188">
        <f t="shared" si="329"/>
        <v>4.4125999999999994</v>
      </c>
      <c r="Q469" s="183">
        <f t="shared" si="337"/>
        <v>8</v>
      </c>
      <c r="R469" s="188">
        <f t="shared" si="338"/>
        <v>0.2</v>
      </c>
      <c r="S469" s="183">
        <f t="shared" si="339"/>
        <v>29</v>
      </c>
      <c r="T469" s="189">
        <f t="shared" si="340"/>
        <v>5.4600000000000003E-2</v>
      </c>
      <c r="U469" s="189">
        <f>0.3+0.38</f>
        <v>0.67999999999999994</v>
      </c>
      <c r="V469" s="189">
        <f t="shared" si="330"/>
        <v>-0.04</v>
      </c>
      <c r="W469" s="189">
        <f>2.71*0.3</f>
        <v>0.81299999999999994</v>
      </c>
      <c r="X469" s="188">
        <f t="shared" si="360"/>
        <v>4.4276</v>
      </c>
      <c r="Y469" s="183">
        <f t="shared" si="341"/>
        <v>8</v>
      </c>
      <c r="Z469" s="188">
        <f t="shared" si="342"/>
        <v>0.36</v>
      </c>
      <c r="AA469" s="183">
        <f t="shared" si="343"/>
        <v>9</v>
      </c>
      <c r="AB469" s="189">
        <f t="shared" si="344"/>
        <v>5.4600000000000003E-2</v>
      </c>
      <c r="AC469" s="189">
        <f t="shared" si="365"/>
        <v>0.6</v>
      </c>
      <c r="AD469" s="189">
        <f t="shared" si="331"/>
        <v>-0.04</v>
      </c>
      <c r="AE469" s="189">
        <f t="shared" si="367"/>
        <v>0.33600000000000002</v>
      </c>
      <c r="AF469" s="188">
        <f t="shared" si="361"/>
        <v>6.8005999999999993</v>
      </c>
      <c r="AG469" s="183">
        <f t="shared" si="345"/>
        <v>8</v>
      </c>
      <c r="AH469" s="182">
        <f t="shared" si="346"/>
        <v>0.36</v>
      </c>
      <c r="AI469" s="183">
        <f t="shared" si="347"/>
        <v>8</v>
      </c>
      <c r="AJ469" s="189">
        <f t="shared" si="348"/>
        <v>5.4600000000000003E-2</v>
      </c>
      <c r="AK469" s="189">
        <f t="shared" si="366"/>
        <v>0.6</v>
      </c>
      <c r="AL469" s="189">
        <f t="shared" si="332"/>
        <v>-0.04</v>
      </c>
      <c r="AM469" s="189">
        <f>5.31*0.3</f>
        <v>1.5929999999999997</v>
      </c>
      <c r="AN469" s="188">
        <f t="shared" si="362"/>
        <v>8.057599999999999</v>
      </c>
      <c r="AO469" s="183">
        <v>0</v>
      </c>
      <c r="AP469" s="182">
        <f t="shared" si="349"/>
        <v>12</v>
      </c>
      <c r="AQ469" s="182">
        <v>1.5</v>
      </c>
      <c r="AR469" s="187">
        <f t="shared" si="352"/>
        <v>260.77839999999998</v>
      </c>
      <c r="AS469" s="187">
        <f t="shared" si="353"/>
        <v>0</v>
      </c>
      <c r="AT469" s="187">
        <f t="shared" si="354"/>
        <v>0</v>
      </c>
      <c r="AU469" s="187">
        <f t="shared" si="355"/>
        <v>125.66619999999999</v>
      </c>
      <c r="AV469" s="187">
        <f t="shared" si="356"/>
        <v>0</v>
      </c>
      <c r="AW469" s="187">
        <f t="shared" si="350"/>
        <v>0</v>
      </c>
      <c r="AX469" s="187">
        <f t="shared" si="351"/>
        <v>18</v>
      </c>
      <c r="AY469" s="388"/>
      <c r="AZ469" s="436"/>
      <c r="BA469" s="428"/>
      <c r="BF469" s="403"/>
      <c r="BG469" s="403"/>
      <c r="BK469" s="443"/>
      <c r="BL469" s="443"/>
      <c r="BN469" s="443"/>
      <c r="BO469" s="443"/>
      <c r="BQ469" s="443"/>
      <c r="BR469" s="443"/>
      <c r="BT469" s="443"/>
      <c r="BU469" s="443"/>
      <c r="BW469" s="443"/>
      <c r="BX469" s="443"/>
      <c r="BZ469" s="443"/>
      <c r="CA469" s="443"/>
      <c r="CC469" s="443"/>
      <c r="CD469" s="443"/>
      <c r="CF469" s="443"/>
      <c r="CG469" s="443"/>
    </row>
    <row r="470" spans="1:105" s="395" customFormat="1" x14ac:dyDescent="0.3">
      <c r="A470" s="182" t="s">
        <v>223</v>
      </c>
      <c r="B470" s="183">
        <v>1</v>
      </c>
      <c r="C470" s="184" t="s">
        <v>552</v>
      </c>
      <c r="D470" s="187">
        <v>2.92</v>
      </c>
      <c r="E470" s="187">
        <v>5.85</v>
      </c>
      <c r="F470" s="186">
        <v>0.13</v>
      </c>
      <c r="G470" s="187">
        <f t="shared" si="368"/>
        <v>2.2206599999999996</v>
      </c>
      <c r="H470" s="188">
        <f t="shared" si="369"/>
        <v>17.081999999999997</v>
      </c>
      <c r="I470" s="183">
        <f t="shared" si="333"/>
        <v>8</v>
      </c>
      <c r="J470" s="188">
        <f t="shared" si="334"/>
        <v>0.2</v>
      </c>
      <c r="K470" s="183">
        <f t="shared" si="335"/>
        <v>30</v>
      </c>
      <c r="L470" s="189">
        <f t="shared" si="336"/>
        <v>5.4600000000000003E-2</v>
      </c>
      <c r="M470" s="189">
        <f t="shared" ref="M470:M477" si="370">0.3*2</f>
        <v>0.6</v>
      </c>
      <c r="N470" s="189">
        <f t="shared" si="328"/>
        <v>-0.04</v>
      </c>
      <c r="O470" s="189">
        <f>2.66*0.3</f>
        <v>0.79800000000000004</v>
      </c>
      <c r="P470" s="188">
        <f t="shared" si="329"/>
        <v>4.3325999999999993</v>
      </c>
      <c r="Q470" s="183">
        <f t="shared" si="337"/>
        <v>8</v>
      </c>
      <c r="R470" s="188">
        <f t="shared" si="338"/>
        <v>0.2</v>
      </c>
      <c r="S470" s="183">
        <f t="shared" si="339"/>
        <v>29</v>
      </c>
      <c r="T470" s="189">
        <f t="shared" si="340"/>
        <v>5.4600000000000003E-2</v>
      </c>
      <c r="U470" s="189">
        <f t="shared" ref="U470:U477" si="371">0.3*2</f>
        <v>0.6</v>
      </c>
      <c r="V470" s="189">
        <f t="shared" si="330"/>
        <v>-0.04</v>
      </c>
      <c r="W470" s="189">
        <f>F470-2*0.02</f>
        <v>0.09</v>
      </c>
      <c r="X470" s="188">
        <f t="shared" si="360"/>
        <v>3.6246</v>
      </c>
      <c r="Y470" s="183">
        <f t="shared" si="341"/>
        <v>8</v>
      </c>
      <c r="Z470" s="188">
        <f t="shared" si="342"/>
        <v>0.36</v>
      </c>
      <c r="AA470" s="183">
        <f t="shared" si="343"/>
        <v>9</v>
      </c>
      <c r="AB470" s="189">
        <f t="shared" si="344"/>
        <v>5.4600000000000003E-2</v>
      </c>
      <c r="AC470" s="189">
        <f t="shared" si="365"/>
        <v>0.6</v>
      </c>
      <c r="AD470" s="189">
        <f t="shared" si="331"/>
        <v>-0.04</v>
      </c>
      <c r="AE470" s="189">
        <f t="shared" si="367"/>
        <v>0.33600000000000002</v>
      </c>
      <c r="AF470" s="188">
        <f t="shared" si="361"/>
        <v>6.8005999999999993</v>
      </c>
      <c r="AG470" s="183">
        <f t="shared" si="345"/>
        <v>8</v>
      </c>
      <c r="AH470" s="182">
        <f t="shared" si="346"/>
        <v>0.36</v>
      </c>
      <c r="AI470" s="183">
        <f t="shared" si="347"/>
        <v>8</v>
      </c>
      <c r="AJ470" s="189">
        <f t="shared" si="348"/>
        <v>5.4600000000000003E-2</v>
      </c>
      <c r="AK470" s="189">
        <f t="shared" si="366"/>
        <v>0.6</v>
      </c>
      <c r="AL470" s="189">
        <f t="shared" si="332"/>
        <v>-0.04</v>
      </c>
      <c r="AM470" s="189">
        <f>12.82*0.3</f>
        <v>3.8460000000000001</v>
      </c>
      <c r="AN470" s="188">
        <f t="shared" si="362"/>
        <v>10.310600000000001</v>
      </c>
      <c r="AO470" s="183">
        <v>0</v>
      </c>
      <c r="AP470" s="182">
        <f t="shared" si="349"/>
        <v>12</v>
      </c>
      <c r="AQ470" s="182">
        <v>1.5</v>
      </c>
      <c r="AR470" s="187">
        <f t="shared" si="352"/>
        <v>235.09139999999996</v>
      </c>
      <c r="AS470" s="187">
        <f t="shared" si="353"/>
        <v>0</v>
      </c>
      <c r="AT470" s="187">
        <f t="shared" si="354"/>
        <v>0</v>
      </c>
      <c r="AU470" s="187">
        <f t="shared" si="355"/>
        <v>143.6902</v>
      </c>
      <c r="AV470" s="187">
        <f t="shared" si="356"/>
        <v>0</v>
      </c>
      <c r="AW470" s="187">
        <f t="shared" si="350"/>
        <v>0</v>
      </c>
      <c r="AX470" s="187">
        <f t="shared" si="351"/>
        <v>18</v>
      </c>
      <c r="AY470" s="388"/>
      <c r="AZ470" s="436"/>
      <c r="BA470" s="428"/>
      <c r="BF470" s="403"/>
      <c r="BG470" s="403"/>
      <c r="BK470" s="443"/>
      <c r="BL470" s="443"/>
      <c r="BN470" s="443"/>
      <c r="BO470" s="443"/>
      <c r="BQ470" s="443"/>
      <c r="BR470" s="443"/>
      <c r="BT470" s="443"/>
      <c r="BU470" s="443"/>
      <c r="BW470" s="443"/>
      <c r="BX470" s="443"/>
      <c r="BZ470" s="443"/>
      <c r="CA470" s="443"/>
      <c r="CC470" s="443"/>
      <c r="CD470" s="443"/>
      <c r="CF470" s="443"/>
      <c r="CG470" s="443"/>
    </row>
    <row r="471" spans="1:105" s="395" customFormat="1" outlineLevel="1" x14ac:dyDescent="0.3">
      <c r="A471" s="182" t="s">
        <v>226</v>
      </c>
      <c r="B471" s="183">
        <v>1</v>
      </c>
      <c r="C471" s="184" t="s">
        <v>553</v>
      </c>
      <c r="D471" s="187">
        <v>1.1200000000000001</v>
      </c>
      <c r="E471" s="187">
        <v>4.95</v>
      </c>
      <c r="F471" s="186">
        <v>0.115</v>
      </c>
      <c r="G471" s="187">
        <f t="shared" si="368"/>
        <v>0.63756000000000013</v>
      </c>
      <c r="H471" s="188">
        <f t="shared" si="369"/>
        <v>5.5440000000000005</v>
      </c>
      <c r="I471" s="183">
        <f t="shared" si="333"/>
        <v>8</v>
      </c>
      <c r="J471" s="188">
        <f t="shared" si="334"/>
        <v>0.25</v>
      </c>
      <c r="K471" s="183">
        <f t="shared" si="335"/>
        <v>21</v>
      </c>
      <c r="L471" s="189">
        <f t="shared" si="336"/>
        <v>4.8300000000000003E-2</v>
      </c>
      <c r="M471" s="189">
        <f t="shared" si="370"/>
        <v>0.6</v>
      </c>
      <c r="N471" s="189">
        <f t="shared" si="328"/>
        <v>-0.04</v>
      </c>
      <c r="O471" s="189">
        <v>0</v>
      </c>
      <c r="P471" s="188">
        <f t="shared" si="329"/>
        <v>1.7282999999999999</v>
      </c>
      <c r="Q471" s="183">
        <f t="shared" si="337"/>
        <v>8</v>
      </c>
      <c r="R471" s="188">
        <f t="shared" si="338"/>
        <v>0.25</v>
      </c>
      <c r="S471" s="183">
        <f t="shared" si="339"/>
        <v>20</v>
      </c>
      <c r="T471" s="189">
        <f t="shared" si="340"/>
        <v>4.8300000000000003E-2</v>
      </c>
      <c r="U471" s="189">
        <f t="shared" si="371"/>
        <v>0.6</v>
      </c>
      <c r="V471" s="189">
        <f t="shared" si="330"/>
        <v>-0.04</v>
      </c>
      <c r="W471" s="189">
        <f t="shared" ref="W471:W477" si="372">5.85*0.3</f>
        <v>1.7549999999999999</v>
      </c>
      <c r="X471" s="188">
        <f t="shared" si="360"/>
        <v>3.4832999999999998</v>
      </c>
      <c r="Y471" s="183">
        <f t="shared" si="341"/>
        <v>8</v>
      </c>
      <c r="Z471" s="188">
        <f t="shared" si="342"/>
        <v>0.35</v>
      </c>
      <c r="AA471" s="183">
        <f t="shared" si="343"/>
        <v>4</v>
      </c>
      <c r="AB471" s="189">
        <f t="shared" si="344"/>
        <v>0</v>
      </c>
      <c r="AC471" s="189">
        <f t="shared" ref="AC471:AC477" si="373">0.3+0.23</f>
        <v>0.53</v>
      </c>
      <c r="AD471" s="189">
        <f t="shared" si="331"/>
        <v>-0.04</v>
      </c>
      <c r="AE471" s="189">
        <f>F471-2*0.02</f>
        <v>7.5000000000000011E-2</v>
      </c>
      <c r="AF471" s="188">
        <f t="shared" si="361"/>
        <v>5.5150000000000006</v>
      </c>
      <c r="AG471" s="183">
        <f t="shared" si="345"/>
        <v>8</v>
      </c>
      <c r="AH471" s="182">
        <f t="shared" si="346"/>
        <v>0.35</v>
      </c>
      <c r="AI471" s="183">
        <f t="shared" si="347"/>
        <v>3</v>
      </c>
      <c r="AJ471" s="189">
        <f t="shared" si="348"/>
        <v>0</v>
      </c>
      <c r="AK471" s="189">
        <f t="shared" ref="AK471:AK477" si="374">0.3+0.23</f>
        <v>0.53</v>
      </c>
      <c r="AL471" s="189">
        <f t="shared" si="332"/>
        <v>-0.04</v>
      </c>
      <c r="AM471" s="189">
        <v>0</v>
      </c>
      <c r="AN471" s="188">
        <f t="shared" si="362"/>
        <v>5.44</v>
      </c>
      <c r="AO471" s="183">
        <v>0</v>
      </c>
      <c r="AP471" s="182">
        <f t="shared" si="349"/>
        <v>8</v>
      </c>
      <c r="AQ471" s="182">
        <v>1.5</v>
      </c>
      <c r="AR471" s="187">
        <f t="shared" si="352"/>
        <v>105.96029999999999</v>
      </c>
      <c r="AS471" s="187">
        <f t="shared" si="353"/>
        <v>0</v>
      </c>
      <c r="AT471" s="187">
        <f t="shared" si="354"/>
        <v>0</v>
      </c>
      <c r="AU471" s="187">
        <f t="shared" si="355"/>
        <v>38.380000000000003</v>
      </c>
      <c r="AV471" s="187">
        <f t="shared" si="356"/>
        <v>0</v>
      </c>
      <c r="AW471" s="187">
        <f t="shared" si="350"/>
        <v>0</v>
      </c>
      <c r="AX471" s="187">
        <f t="shared" si="351"/>
        <v>12</v>
      </c>
      <c r="AY471" s="388"/>
      <c r="AZ471" s="436"/>
      <c r="BA471" s="428"/>
      <c r="BF471" s="403"/>
      <c r="BG471" s="403"/>
      <c r="BK471" s="443"/>
      <c r="BL471" s="443"/>
      <c r="BN471" s="443"/>
      <c r="BO471" s="443"/>
      <c r="BQ471" s="443"/>
      <c r="BR471" s="443"/>
      <c r="BT471" s="443"/>
      <c r="BU471" s="443"/>
      <c r="BW471" s="443"/>
      <c r="BX471" s="443"/>
      <c r="BZ471" s="443"/>
      <c r="CA471" s="443"/>
      <c r="CC471" s="443"/>
      <c r="CD471" s="443"/>
      <c r="CF471" s="443"/>
      <c r="CG471" s="443"/>
    </row>
    <row r="472" spans="1:105" s="395" customFormat="1" outlineLevel="1" x14ac:dyDescent="0.3">
      <c r="A472" s="182" t="s">
        <v>226</v>
      </c>
      <c r="B472" s="183">
        <v>1</v>
      </c>
      <c r="C472" s="184" t="s">
        <v>400</v>
      </c>
      <c r="D472" s="187">
        <v>1.1200000000000001</v>
      </c>
      <c r="E472" s="187">
        <v>6.19</v>
      </c>
      <c r="F472" s="186">
        <v>0.115</v>
      </c>
      <c r="G472" s="187">
        <f t="shared" si="368"/>
        <v>0.7972720000000002</v>
      </c>
      <c r="H472" s="188">
        <f t="shared" si="369"/>
        <v>6.9328000000000012</v>
      </c>
      <c r="I472" s="183">
        <f t="shared" si="333"/>
        <v>8</v>
      </c>
      <c r="J472" s="188">
        <f t="shared" si="334"/>
        <v>0.25</v>
      </c>
      <c r="K472" s="183">
        <f t="shared" si="335"/>
        <v>26</v>
      </c>
      <c r="L472" s="189">
        <f t="shared" si="336"/>
        <v>4.8300000000000003E-2</v>
      </c>
      <c r="M472" s="189">
        <f t="shared" si="370"/>
        <v>0.6</v>
      </c>
      <c r="N472" s="189">
        <f t="shared" si="328"/>
        <v>-0.04</v>
      </c>
      <c r="O472" s="189">
        <v>0</v>
      </c>
      <c r="P472" s="188">
        <f t="shared" si="329"/>
        <v>1.7282999999999999</v>
      </c>
      <c r="Q472" s="183">
        <f t="shared" si="337"/>
        <v>8</v>
      </c>
      <c r="R472" s="188">
        <f t="shared" si="338"/>
        <v>0.25</v>
      </c>
      <c r="S472" s="183">
        <f t="shared" si="339"/>
        <v>25</v>
      </c>
      <c r="T472" s="189">
        <f t="shared" si="340"/>
        <v>4.8300000000000003E-2</v>
      </c>
      <c r="U472" s="189">
        <f t="shared" si="371"/>
        <v>0.6</v>
      </c>
      <c r="V472" s="189">
        <f t="shared" si="330"/>
        <v>-0.04</v>
      </c>
      <c r="W472" s="189">
        <f t="shared" si="372"/>
        <v>1.7549999999999999</v>
      </c>
      <c r="X472" s="188">
        <f t="shared" si="360"/>
        <v>3.4832999999999998</v>
      </c>
      <c r="Y472" s="183">
        <f t="shared" si="341"/>
        <v>8</v>
      </c>
      <c r="Z472" s="188">
        <f t="shared" si="342"/>
        <v>0.35</v>
      </c>
      <c r="AA472" s="183">
        <f t="shared" si="343"/>
        <v>4</v>
      </c>
      <c r="AB472" s="189">
        <f t="shared" si="344"/>
        <v>0</v>
      </c>
      <c r="AC472" s="189">
        <f t="shared" si="373"/>
        <v>0.53</v>
      </c>
      <c r="AD472" s="189">
        <f t="shared" si="331"/>
        <v>-0.04</v>
      </c>
      <c r="AE472" s="189">
        <v>0</v>
      </c>
      <c r="AF472" s="188">
        <f t="shared" si="361"/>
        <v>6.6800000000000006</v>
      </c>
      <c r="AG472" s="183">
        <f t="shared" si="345"/>
        <v>8</v>
      </c>
      <c r="AH472" s="182">
        <f t="shared" si="346"/>
        <v>0.35</v>
      </c>
      <c r="AI472" s="183">
        <f t="shared" si="347"/>
        <v>3</v>
      </c>
      <c r="AJ472" s="189">
        <f t="shared" si="348"/>
        <v>0</v>
      </c>
      <c r="AK472" s="189">
        <f t="shared" si="374"/>
        <v>0.53</v>
      </c>
      <c r="AL472" s="189">
        <f t="shared" si="332"/>
        <v>-0.04</v>
      </c>
      <c r="AM472" s="189">
        <v>0</v>
      </c>
      <c r="AN472" s="188">
        <f t="shared" si="362"/>
        <v>6.6800000000000006</v>
      </c>
      <c r="AO472" s="183">
        <v>8</v>
      </c>
      <c r="AP472" s="182">
        <f t="shared" si="349"/>
        <v>10</v>
      </c>
      <c r="AQ472" s="182">
        <v>1.5</v>
      </c>
      <c r="AR472" s="187">
        <f t="shared" si="352"/>
        <v>132.01830000000001</v>
      </c>
      <c r="AS472" s="187">
        <f t="shared" si="353"/>
        <v>0</v>
      </c>
      <c r="AT472" s="187">
        <f t="shared" si="354"/>
        <v>0</v>
      </c>
      <c r="AU472" s="187">
        <f t="shared" si="355"/>
        <v>46.760000000000005</v>
      </c>
      <c r="AV472" s="187">
        <f t="shared" si="356"/>
        <v>0</v>
      </c>
      <c r="AW472" s="187">
        <f t="shared" si="350"/>
        <v>0</v>
      </c>
      <c r="AX472" s="187">
        <f t="shared" si="351"/>
        <v>15</v>
      </c>
      <c r="AY472" s="388"/>
      <c r="AZ472" s="436"/>
      <c r="BA472" s="428"/>
      <c r="BF472" s="403"/>
      <c r="BG472" s="403"/>
      <c r="BK472" s="443"/>
      <c r="BL472" s="443"/>
      <c r="BN472" s="443"/>
      <c r="BO472" s="443"/>
      <c r="BQ472" s="443"/>
      <c r="BR472" s="443"/>
      <c r="BT472" s="443"/>
      <c r="BU472" s="443"/>
      <c r="BW472" s="443"/>
      <c r="BX472" s="443"/>
      <c r="BZ472" s="443"/>
      <c r="CA472" s="443"/>
      <c r="CC472" s="443"/>
      <c r="CD472" s="443"/>
      <c r="CF472" s="443"/>
      <c r="CG472" s="443"/>
    </row>
    <row r="473" spans="1:105" s="395" customFormat="1" outlineLevel="1" x14ac:dyDescent="0.3">
      <c r="A473" s="182" t="s">
        <v>226</v>
      </c>
      <c r="B473" s="183">
        <v>2</v>
      </c>
      <c r="C473" s="184" t="s">
        <v>554</v>
      </c>
      <c r="D473" s="187">
        <v>1.1200000000000001</v>
      </c>
      <c r="E473" s="187">
        <v>4.41</v>
      </c>
      <c r="F473" s="186">
        <v>0.115</v>
      </c>
      <c r="G473" s="187">
        <f t="shared" si="368"/>
        <v>1.1360160000000001</v>
      </c>
      <c r="H473" s="188">
        <f t="shared" si="369"/>
        <v>9.878400000000001</v>
      </c>
      <c r="I473" s="183">
        <f t="shared" si="333"/>
        <v>8</v>
      </c>
      <c r="J473" s="188">
        <f t="shared" si="334"/>
        <v>0.25</v>
      </c>
      <c r="K473" s="183">
        <f t="shared" si="335"/>
        <v>19</v>
      </c>
      <c r="L473" s="189">
        <f t="shared" si="336"/>
        <v>4.8300000000000003E-2</v>
      </c>
      <c r="M473" s="189">
        <f t="shared" si="370"/>
        <v>0.6</v>
      </c>
      <c r="N473" s="189">
        <f t="shared" si="328"/>
        <v>-0.04</v>
      </c>
      <c r="O473" s="189">
        <v>0</v>
      </c>
      <c r="P473" s="188">
        <f t="shared" si="329"/>
        <v>1.7282999999999999</v>
      </c>
      <c r="Q473" s="183">
        <f t="shared" si="337"/>
        <v>8</v>
      </c>
      <c r="R473" s="188">
        <f t="shared" si="338"/>
        <v>0.25</v>
      </c>
      <c r="S473" s="183">
        <f t="shared" si="339"/>
        <v>18</v>
      </c>
      <c r="T473" s="189">
        <f t="shared" si="340"/>
        <v>4.8300000000000003E-2</v>
      </c>
      <c r="U473" s="189">
        <f t="shared" si="371"/>
        <v>0.6</v>
      </c>
      <c r="V473" s="189">
        <f t="shared" si="330"/>
        <v>-0.04</v>
      </c>
      <c r="W473" s="189">
        <f t="shared" si="372"/>
        <v>1.7549999999999999</v>
      </c>
      <c r="X473" s="188">
        <f t="shared" si="360"/>
        <v>3.4832999999999998</v>
      </c>
      <c r="Y473" s="183">
        <f t="shared" si="341"/>
        <v>8</v>
      </c>
      <c r="Z473" s="188">
        <f t="shared" si="342"/>
        <v>0.35</v>
      </c>
      <c r="AA473" s="183">
        <f t="shared" si="343"/>
        <v>4</v>
      </c>
      <c r="AB473" s="189">
        <f t="shared" si="344"/>
        <v>0</v>
      </c>
      <c r="AC473" s="189">
        <f t="shared" si="373"/>
        <v>0.53</v>
      </c>
      <c r="AD473" s="189">
        <f t="shared" si="331"/>
        <v>-0.04</v>
      </c>
      <c r="AE473" s="189">
        <v>0</v>
      </c>
      <c r="AF473" s="188">
        <f t="shared" si="361"/>
        <v>4.9000000000000004</v>
      </c>
      <c r="AG473" s="183">
        <f t="shared" si="345"/>
        <v>8</v>
      </c>
      <c r="AH473" s="182">
        <f t="shared" si="346"/>
        <v>0.35</v>
      </c>
      <c r="AI473" s="183">
        <f t="shared" si="347"/>
        <v>3</v>
      </c>
      <c r="AJ473" s="189">
        <f t="shared" si="348"/>
        <v>0</v>
      </c>
      <c r="AK473" s="189">
        <f t="shared" si="374"/>
        <v>0.53</v>
      </c>
      <c r="AL473" s="189">
        <f t="shared" si="332"/>
        <v>-0.04</v>
      </c>
      <c r="AM473" s="189">
        <v>0</v>
      </c>
      <c r="AN473" s="188">
        <f t="shared" si="362"/>
        <v>4.9000000000000004</v>
      </c>
      <c r="AO473" s="183">
        <v>8</v>
      </c>
      <c r="AP473" s="182">
        <f t="shared" si="349"/>
        <v>8</v>
      </c>
      <c r="AQ473" s="182">
        <v>1.5</v>
      </c>
      <c r="AR473" s="187">
        <f t="shared" si="352"/>
        <v>191.07419999999999</v>
      </c>
      <c r="AS473" s="187">
        <f t="shared" si="353"/>
        <v>0</v>
      </c>
      <c r="AT473" s="187">
        <f t="shared" si="354"/>
        <v>0</v>
      </c>
      <c r="AU473" s="187">
        <f t="shared" si="355"/>
        <v>68.600000000000009</v>
      </c>
      <c r="AV473" s="187">
        <f t="shared" si="356"/>
        <v>0</v>
      </c>
      <c r="AW473" s="187">
        <f t="shared" si="350"/>
        <v>0</v>
      </c>
      <c r="AX473" s="187">
        <f t="shared" si="351"/>
        <v>24</v>
      </c>
      <c r="AY473" s="388"/>
      <c r="AZ473" s="436"/>
      <c r="BA473" s="428"/>
      <c r="BF473" s="403"/>
      <c r="BG473" s="403"/>
      <c r="BK473" s="443"/>
      <c r="BL473" s="443"/>
      <c r="BN473" s="443"/>
      <c r="BO473" s="443"/>
      <c r="BQ473" s="443"/>
      <c r="BR473" s="443"/>
      <c r="BT473" s="443"/>
      <c r="BU473" s="443"/>
      <c r="BW473" s="443"/>
      <c r="BX473" s="443"/>
      <c r="BZ473" s="443"/>
      <c r="CA473" s="443"/>
      <c r="CC473" s="443"/>
      <c r="CD473" s="443"/>
      <c r="CF473" s="443"/>
      <c r="CG473" s="443"/>
    </row>
    <row r="474" spans="1:105" s="395" customFormat="1" outlineLevel="1" x14ac:dyDescent="0.3">
      <c r="A474" s="182" t="s">
        <v>226</v>
      </c>
      <c r="B474" s="183">
        <v>1</v>
      </c>
      <c r="C474" s="184" t="s">
        <v>398</v>
      </c>
      <c r="D474" s="187">
        <v>1.1200000000000001</v>
      </c>
      <c r="E474" s="187">
        <v>3.81</v>
      </c>
      <c r="F474" s="186">
        <v>0.115</v>
      </c>
      <c r="G474" s="187">
        <f t="shared" si="368"/>
        <v>0.49072800000000011</v>
      </c>
      <c r="H474" s="188">
        <f t="shared" si="369"/>
        <v>4.2672000000000008</v>
      </c>
      <c r="I474" s="183">
        <f t="shared" si="333"/>
        <v>8</v>
      </c>
      <c r="J474" s="188">
        <f t="shared" si="334"/>
        <v>0.25</v>
      </c>
      <c r="K474" s="183">
        <f t="shared" si="335"/>
        <v>16</v>
      </c>
      <c r="L474" s="189">
        <f t="shared" si="336"/>
        <v>4.8300000000000003E-2</v>
      </c>
      <c r="M474" s="189">
        <f t="shared" si="370"/>
        <v>0.6</v>
      </c>
      <c r="N474" s="189">
        <f t="shared" si="328"/>
        <v>-0.04</v>
      </c>
      <c r="O474" s="189">
        <v>0</v>
      </c>
      <c r="P474" s="188">
        <f t="shared" si="329"/>
        <v>1.7282999999999999</v>
      </c>
      <c r="Q474" s="183">
        <f t="shared" si="337"/>
        <v>8</v>
      </c>
      <c r="R474" s="188">
        <f t="shared" si="338"/>
        <v>0.25</v>
      </c>
      <c r="S474" s="183">
        <f t="shared" si="339"/>
        <v>15</v>
      </c>
      <c r="T474" s="189">
        <f t="shared" si="340"/>
        <v>4.8300000000000003E-2</v>
      </c>
      <c r="U474" s="189">
        <f t="shared" si="371"/>
        <v>0.6</v>
      </c>
      <c r="V474" s="189">
        <f t="shared" si="330"/>
        <v>-0.04</v>
      </c>
      <c r="W474" s="189">
        <f t="shared" si="372"/>
        <v>1.7549999999999999</v>
      </c>
      <c r="X474" s="188">
        <f t="shared" si="360"/>
        <v>3.4832999999999998</v>
      </c>
      <c r="Y474" s="183">
        <f t="shared" si="341"/>
        <v>8</v>
      </c>
      <c r="Z474" s="188">
        <f t="shared" si="342"/>
        <v>0.35</v>
      </c>
      <c r="AA474" s="183">
        <f t="shared" si="343"/>
        <v>4</v>
      </c>
      <c r="AB474" s="189">
        <f t="shared" si="344"/>
        <v>0</v>
      </c>
      <c r="AC474" s="189">
        <f t="shared" si="373"/>
        <v>0.53</v>
      </c>
      <c r="AD474" s="189">
        <f t="shared" si="331"/>
        <v>-0.04</v>
      </c>
      <c r="AE474" s="189">
        <v>0</v>
      </c>
      <c r="AF474" s="188">
        <f t="shared" si="361"/>
        <v>4.3</v>
      </c>
      <c r="AG474" s="183">
        <f t="shared" si="345"/>
        <v>8</v>
      </c>
      <c r="AH474" s="182">
        <f t="shared" si="346"/>
        <v>0.35</v>
      </c>
      <c r="AI474" s="183">
        <f t="shared" si="347"/>
        <v>3</v>
      </c>
      <c r="AJ474" s="189">
        <f t="shared" si="348"/>
        <v>0</v>
      </c>
      <c r="AK474" s="189">
        <f t="shared" si="374"/>
        <v>0.53</v>
      </c>
      <c r="AL474" s="189">
        <f t="shared" si="332"/>
        <v>-0.04</v>
      </c>
      <c r="AM474" s="189">
        <v>0</v>
      </c>
      <c r="AN474" s="188">
        <f t="shared" si="362"/>
        <v>4.3</v>
      </c>
      <c r="AO474" s="183">
        <v>8</v>
      </c>
      <c r="AP474" s="182">
        <f t="shared" si="349"/>
        <v>8</v>
      </c>
      <c r="AQ474" s="182">
        <v>1.5</v>
      </c>
      <c r="AR474" s="187">
        <f t="shared" si="352"/>
        <v>79.902299999999997</v>
      </c>
      <c r="AS474" s="187">
        <f t="shared" si="353"/>
        <v>0</v>
      </c>
      <c r="AT474" s="187">
        <f t="shared" si="354"/>
        <v>0</v>
      </c>
      <c r="AU474" s="187">
        <f t="shared" si="355"/>
        <v>30.099999999999998</v>
      </c>
      <c r="AV474" s="187">
        <f t="shared" si="356"/>
        <v>0</v>
      </c>
      <c r="AW474" s="187">
        <f t="shared" si="350"/>
        <v>0</v>
      </c>
      <c r="AX474" s="187">
        <f t="shared" si="351"/>
        <v>12</v>
      </c>
      <c r="AY474" s="388"/>
      <c r="AZ474" s="436"/>
      <c r="BA474" s="428"/>
      <c r="BF474" s="403"/>
      <c r="BG474" s="403"/>
      <c r="BK474" s="443"/>
      <c r="BL474" s="443"/>
      <c r="BN474" s="443"/>
      <c r="BO474" s="443"/>
      <c r="BQ474" s="443"/>
      <c r="BR474" s="443"/>
      <c r="BT474" s="443"/>
      <c r="BU474" s="443"/>
      <c r="BW474" s="443"/>
      <c r="BX474" s="443"/>
      <c r="BZ474" s="443"/>
      <c r="CA474" s="443"/>
      <c r="CC474" s="443"/>
      <c r="CD474" s="443"/>
      <c r="CF474" s="443"/>
      <c r="CG474" s="443"/>
    </row>
    <row r="475" spans="1:105" s="395" customFormat="1" outlineLevel="1" x14ac:dyDescent="0.3">
      <c r="A475" s="182" t="s">
        <v>226</v>
      </c>
      <c r="B475" s="183">
        <v>1</v>
      </c>
      <c r="C475" s="184" t="s">
        <v>396</v>
      </c>
      <c r="D475" s="187">
        <v>1.1200000000000001</v>
      </c>
      <c r="E475" s="187">
        <v>5.92</v>
      </c>
      <c r="F475" s="186">
        <v>0.115</v>
      </c>
      <c r="G475" s="187">
        <f t="shared" si="368"/>
        <v>0.76249600000000006</v>
      </c>
      <c r="H475" s="188">
        <f t="shared" si="369"/>
        <v>6.6304000000000007</v>
      </c>
      <c r="I475" s="183">
        <f t="shared" si="333"/>
        <v>8</v>
      </c>
      <c r="J475" s="188">
        <f t="shared" si="334"/>
        <v>0.25</v>
      </c>
      <c r="K475" s="183">
        <f t="shared" si="335"/>
        <v>25</v>
      </c>
      <c r="L475" s="189">
        <f t="shared" si="336"/>
        <v>4.8300000000000003E-2</v>
      </c>
      <c r="M475" s="189">
        <f t="shared" si="370"/>
        <v>0.6</v>
      </c>
      <c r="N475" s="189">
        <f t="shared" si="328"/>
        <v>-0.04</v>
      </c>
      <c r="O475" s="189">
        <v>0</v>
      </c>
      <c r="P475" s="188">
        <f t="shared" si="329"/>
        <v>1.7282999999999999</v>
      </c>
      <c r="Q475" s="183">
        <f t="shared" si="337"/>
        <v>8</v>
      </c>
      <c r="R475" s="188">
        <f t="shared" si="338"/>
        <v>0.25</v>
      </c>
      <c r="S475" s="183">
        <f t="shared" si="339"/>
        <v>24</v>
      </c>
      <c r="T475" s="189">
        <f t="shared" si="340"/>
        <v>4.8300000000000003E-2</v>
      </c>
      <c r="U475" s="189">
        <f t="shared" si="371"/>
        <v>0.6</v>
      </c>
      <c r="V475" s="189">
        <f t="shared" si="330"/>
        <v>-0.04</v>
      </c>
      <c r="W475" s="189">
        <f t="shared" si="372"/>
        <v>1.7549999999999999</v>
      </c>
      <c r="X475" s="188">
        <f t="shared" si="360"/>
        <v>3.4832999999999998</v>
      </c>
      <c r="Y475" s="183">
        <f t="shared" si="341"/>
        <v>8</v>
      </c>
      <c r="Z475" s="188">
        <f t="shared" si="342"/>
        <v>0.35</v>
      </c>
      <c r="AA475" s="183">
        <f t="shared" si="343"/>
        <v>4</v>
      </c>
      <c r="AB475" s="189">
        <f t="shared" si="344"/>
        <v>0</v>
      </c>
      <c r="AC475" s="189">
        <f t="shared" si="373"/>
        <v>0.53</v>
      </c>
      <c r="AD475" s="189">
        <f t="shared" si="331"/>
        <v>-0.04</v>
      </c>
      <c r="AE475" s="189">
        <v>0</v>
      </c>
      <c r="AF475" s="188">
        <f t="shared" si="361"/>
        <v>6.41</v>
      </c>
      <c r="AG475" s="183">
        <f t="shared" si="345"/>
        <v>8</v>
      </c>
      <c r="AH475" s="182">
        <f t="shared" si="346"/>
        <v>0.35</v>
      </c>
      <c r="AI475" s="183">
        <f t="shared" si="347"/>
        <v>3</v>
      </c>
      <c r="AJ475" s="189">
        <f t="shared" si="348"/>
        <v>0</v>
      </c>
      <c r="AK475" s="189">
        <f t="shared" si="374"/>
        <v>0.53</v>
      </c>
      <c r="AL475" s="189">
        <f t="shared" si="332"/>
        <v>-0.04</v>
      </c>
      <c r="AM475" s="189">
        <v>0</v>
      </c>
      <c r="AN475" s="188">
        <f t="shared" si="362"/>
        <v>6.41</v>
      </c>
      <c r="AO475" s="183">
        <v>8</v>
      </c>
      <c r="AP475" s="182">
        <f t="shared" si="349"/>
        <v>10</v>
      </c>
      <c r="AQ475" s="182">
        <v>1.5</v>
      </c>
      <c r="AR475" s="187">
        <f t="shared" si="352"/>
        <v>126.80669999999999</v>
      </c>
      <c r="AS475" s="187">
        <f t="shared" si="353"/>
        <v>0</v>
      </c>
      <c r="AT475" s="187">
        <f t="shared" si="354"/>
        <v>0</v>
      </c>
      <c r="AU475" s="187">
        <f t="shared" si="355"/>
        <v>44.870000000000005</v>
      </c>
      <c r="AV475" s="187">
        <f t="shared" si="356"/>
        <v>0</v>
      </c>
      <c r="AW475" s="187">
        <f t="shared" si="350"/>
        <v>0</v>
      </c>
      <c r="AX475" s="187">
        <f t="shared" si="351"/>
        <v>15</v>
      </c>
      <c r="AY475" s="388"/>
      <c r="AZ475" s="436"/>
      <c r="BA475" s="428"/>
      <c r="BF475" s="403"/>
      <c r="BG475" s="403"/>
      <c r="BK475" s="443"/>
      <c r="BL475" s="443"/>
      <c r="BN475" s="443"/>
      <c r="BO475" s="443"/>
      <c r="BQ475" s="443"/>
      <c r="BR475" s="443"/>
      <c r="BT475" s="443"/>
      <c r="BU475" s="443"/>
      <c r="BW475" s="443"/>
      <c r="BX475" s="443"/>
      <c r="BZ475" s="443"/>
      <c r="CA475" s="443"/>
      <c r="CC475" s="443"/>
      <c r="CD475" s="443"/>
      <c r="CF475" s="443"/>
      <c r="CG475" s="443"/>
    </row>
    <row r="476" spans="1:105" s="395" customFormat="1" outlineLevel="1" x14ac:dyDescent="0.3">
      <c r="A476" s="182" t="s">
        <v>226</v>
      </c>
      <c r="B476" s="183">
        <v>1</v>
      </c>
      <c r="C476" s="184" t="s">
        <v>395</v>
      </c>
      <c r="D476" s="187">
        <v>1.1200000000000001</v>
      </c>
      <c r="E476" s="187">
        <v>2.75</v>
      </c>
      <c r="F476" s="186">
        <v>0.115</v>
      </c>
      <c r="G476" s="187">
        <f t="shared" si="368"/>
        <v>0.35420000000000001</v>
      </c>
      <c r="H476" s="188">
        <f t="shared" si="369"/>
        <v>3.08</v>
      </c>
      <c r="I476" s="183">
        <f t="shared" si="333"/>
        <v>8</v>
      </c>
      <c r="J476" s="188">
        <f t="shared" si="334"/>
        <v>0.25</v>
      </c>
      <c r="K476" s="183">
        <f t="shared" si="335"/>
        <v>12</v>
      </c>
      <c r="L476" s="189">
        <f t="shared" si="336"/>
        <v>4.8300000000000003E-2</v>
      </c>
      <c r="M476" s="189">
        <f t="shared" si="370"/>
        <v>0.6</v>
      </c>
      <c r="N476" s="189">
        <f t="shared" si="328"/>
        <v>-0.04</v>
      </c>
      <c r="O476" s="189">
        <v>0</v>
      </c>
      <c r="P476" s="188">
        <f t="shared" si="329"/>
        <v>1.7282999999999999</v>
      </c>
      <c r="Q476" s="183">
        <f t="shared" si="337"/>
        <v>8</v>
      </c>
      <c r="R476" s="188">
        <f t="shared" si="338"/>
        <v>0.25</v>
      </c>
      <c r="S476" s="183">
        <f t="shared" si="339"/>
        <v>11</v>
      </c>
      <c r="T476" s="189">
        <f t="shared" si="340"/>
        <v>4.8300000000000003E-2</v>
      </c>
      <c r="U476" s="189">
        <f t="shared" si="371"/>
        <v>0.6</v>
      </c>
      <c r="V476" s="189">
        <f t="shared" si="330"/>
        <v>-0.04</v>
      </c>
      <c r="W476" s="189">
        <f t="shared" si="372"/>
        <v>1.7549999999999999</v>
      </c>
      <c r="X476" s="188">
        <f t="shared" si="360"/>
        <v>3.4832999999999998</v>
      </c>
      <c r="Y476" s="183">
        <f t="shared" si="341"/>
        <v>8</v>
      </c>
      <c r="Z476" s="188">
        <f t="shared" si="342"/>
        <v>0.35</v>
      </c>
      <c r="AA476" s="183">
        <f t="shared" si="343"/>
        <v>4</v>
      </c>
      <c r="AB476" s="189">
        <f t="shared" si="344"/>
        <v>0</v>
      </c>
      <c r="AC476" s="189">
        <f t="shared" si="373"/>
        <v>0.53</v>
      </c>
      <c r="AD476" s="189">
        <f t="shared" si="331"/>
        <v>-0.04</v>
      </c>
      <c r="AE476" s="189">
        <v>0</v>
      </c>
      <c r="AF476" s="188">
        <f t="shared" si="361"/>
        <v>3.24</v>
      </c>
      <c r="AG476" s="183">
        <f t="shared" si="345"/>
        <v>8</v>
      </c>
      <c r="AH476" s="182">
        <f t="shared" si="346"/>
        <v>0.35</v>
      </c>
      <c r="AI476" s="183">
        <f t="shared" si="347"/>
        <v>3</v>
      </c>
      <c r="AJ476" s="189">
        <f t="shared" si="348"/>
        <v>0</v>
      </c>
      <c r="AK476" s="189">
        <f t="shared" si="374"/>
        <v>0.53</v>
      </c>
      <c r="AL476" s="189">
        <f t="shared" si="332"/>
        <v>-0.04</v>
      </c>
      <c r="AM476" s="189">
        <v>0</v>
      </c>
      <c r="AN476" s="188">
        <f t="shared" si="362"/>
        <v>3.24</v>
      </c>
      <c r="AO476" s="183">
        <v>8</v>
      </c>
      <c r="AP476" s="182">
        <f t="shared" si="349"/>
        <v>6</v>
      </c>
      <c r="AQ476" s="182">
        <v>1.5</v>
      </c>
      <c r="AR476" s="187">
        <f t="shared" si="352"/>
        <v>59.055899999999994</v>
      </c>
      <c r="AS476" s="187">
        <f t="shared" si="353"/>
        <v>0</v>
      </c>
      <c r="AT476" s="187">
        <f t="shared" si="354"/>
        <v>0</v>
      </c>
      <c r="AU476" s="187">
        <f t="shared" si="355"/>
        <v>22.68</v>
      </c>
      <c r="AV476" s="187">
        <f t="shared" si="356"/>
        <v>0</v>
      </c>
      <c r="AW476" s="187">
        <f t="shared" si="350"/>
        <v>0</v>
      </c>
      <c r="AX476" s="187">
        <f t="shared" si="351"/>
        <v>9</v>
      </c>
      <c r="AY476" s="388"/>
      <c r="AZ476" s="436"/>
      <c r="BA476" s="428"/>
      <c r="BF476" s="403"/>
      <c r="BG476" s="403"/>
      <c r="BK476" s="443"/>
      <c r="BL476" s="443"/>
      <c r="BN476" s="443"/>
      <c r="BO476" s="443"/>
      <c r="BQ476" s="443"/>
      <c r="BR476" s="443"/>
      <c r="BT476" s="443"/>
      <c r="BU476" s="443"/>
      <c r="BW476" s="443"/>
      <c r="BX476" s="443"/>
      <c r="BZ476" s="443"/>
      <c r="CA476" s="443"/>
      <c r="CC476" s="443"/>
      <c r="CD476" s="443"/>
      <c r="CF476" s="443"/>
      <c r="CG476" s="443"/>
    </row>
    <row r="477" spans="1:105" s="395" customFormat="1" outlineLevel="1" x14ac:dyDescent="0.3">
      <c r="A477" s="182" t="s">
        <v>226</v>
      </c>
      <c r="B477" s="183">
        <v>1</v>
      </c>
      <c r="C477" s="184" t="s">
        <v>394</v>
      </c>
      <c r="D477" s="187">
        <v>1.1200000000000001</v>
      </c>
      <c r="E477" s="187">
        <v>2.9</v>
      </c>
      <c r="F477" s="186">
        <v>0.115</v>
      </c>
      <c r="G477" s="187">
        <f t="shared" si="368"/>
        <v>0.37352000000000002</v>
      </c>
      <c r="H477" s="188">
        <f t="shared" si="369"/>
        <v>3.2480000000000002</v>
      </c>
      <c r="I477" s="183">
        <f t="shared" si="333"/>
        <v>8</v>
      </c>
      <c r="J477" s="188">
        <f t="shared" si="334"/>
        <v>0.25</v>
      </c>
      <c r="K477" s="183">
        <f t="shared" si="335"/>
        <v>13</v>
      </c>
      <c r="L477" s="189">
        <f t="shared" si="336"/>
        <v>4.8300000000000003E-2</v>
      </c>
      <c r="M477" s="189">
        <f t="shared" si="370"/>
        <v>0.6</v>
      </c>
      <c r="N477" s="189">
        <f t="shared" si="328"/>
        <v>-0.04</v>
      </c>
      <c r="O477" s="189">
        <v>0</v>
      </c>
      <c r="P477" s="188">
        <f t="shared" si="329"/>
        <v>1.7282999999999999</v>
      </c>
      <c r="Q477" s="183">
        <f t="shared" si="337"/>
        <v>8</v>
      </c>
      <c r="R477" s="188">
        <f t="shared" si="338"/>
        <v>0.25</v>
      </c>
      <c r="S477" s="183">
        <f t="shared" si="339"/>
        <v>12</v>
      </c>
      <c r="T477" s="189">
        <f t="shared" si="340"/>
        <v>4.8300000000000003E-2</v>
      </c>
      <c r="U477" s="189">
        <f t="shared" si="371"/>
        <v>0.6</v>
      </c>
      <c r="V477" s="189">
        <f t="shared" si="330"/>
        <v>-0.04</v>
      </c>
      <c r="W477" s="189">
        <f t="shared" si="372"/>
        <v>1.7549999999999999</v>
      </c>
      <c r="X477" s="188">
        <f t="shared" si="360"/>
        <v>3.4832999999999998</v>
      </c>
      <c r="Y477" s="183">
        <f t="shared" si="341"/>
        <v>8</v>
      </c>
      <c r="Z477" s="188">
        <f t="shared" si="342"/>
        <v>0.35</v>
      </c>
      <c r="AA477" s="183">
        <f t="shared" si="343"/>
        <v>4</v>
      </c>
      <c r="AB477" s="189">
        <f t="shared" si="344"/>
        <v>0</v>
      </c>
      <c r="AC477" s="189">
        <f t="shared" si="373"/>
        <v>0.53</v>
      </c>
      <c r="AD477" s="189">
        <f t="shared" si="331"/>
        <v>-0.04</v>
      </c>
      <c r="AE477" s="189">
        <v>0</v>
      </c>
      <c r="AF477" s="188">
        <f t="shared" si="361"/>
        <v>3.39</v>
      </c>
      <c r="AG477" s="183">
        <f t="shared" si="345"/>
        <v>8</v>
      </c>
      <c r="AH477" s="182">
        <f t="shared" si="346"/>
        <v>0.35</v>
      </c>
      <c r="AI477" s="183">
        <f t="shared" si="347"/>
        <v>3</v>
      </c>
      <c r="AJ477" s="189">
        <f t="shared" si="348"/>
        <v>0</v>
      </c>
      <c r="AK477" s="189">
        <f t="shared" si="374"/>
        <v>0.53</v>
      </c>
      <c r="AL477" s="189">
        <f t="shared" si="332"/>
        <v>-0.04</v>
      </c>
      <c r="AM477" s="189">
        <v>0</v>
      </c>
      <c r="AN477" s="188">
        <f t="shared" si="362"/>
        <v>3.39</v>
      </c>
      <c r="AO477" s="183">
        <v>8</v>
      </c>
      <c r="AP477" s="182">
        <f t="shared" si="349"/>
        <v>6</v>
      </c>
      <c r="AQ477" s="182">
        <v>1.5</v>
      </c>
      <c r="AR477" s="187">
        <f t="shared" si="352"/>
        <v>64.267499999999998</v>
      </c>
      <c r="AS477" s="187">
        <f t="shared" si="353"/>
        <v>0</v>
      </c>
      <c r="AT477" s="187">
        <f t="shared" si="354"/>
        <v>0</v>
      </c>
      <c r="AU477" s="187">
        <f t="shared" si="355"/>
        <v>23.73</v>
      </c>
      <c r="AV477" s="187">
        <f t="shared" si="356"/>
        <v>0</v>
      </c>
      <c r="AW477" s="187">
        <f t="shared" si="350"/>
        <v>0</v>
      </c>
      <c r="AX477" s="187">
        <f t="shared" si="351"/>
        <v>9</v>
      </c>
      <c r="AY477" s="388"/>
      <c r="AZ477" s="436"/>
      <c r="BA477" s="428"/>
      <c r="BF477" s="403"/>
      <c r="BG477" s="403"/>
      <c r="BK477" s="443"/>
      <c r="BL477" s="443"/>
      <c r="BN477" s="443"/>
      <c r="BO477" s="443"/>
      <c r="BQ477" s="443"/>
      <c r="BR477" s="443"/>
      <c r="BT477" s="443"/>
      <c r="BU477" s="443"/>
      <c r="BW477" s="443"/>
      <c r="BX477" s="443"/>
      <c r="BZ477" s="443"/>
      <c r="CA477" s="443"/>
      <c r="CC477" s="443"/>
      <c r="CD477" s="443"/>
      <c r="CF477" s="443"/>
      <c r="CG477" s="443"/>
    </row>
    <row r="478" spans="1:105" s="196" customFormat="1" x14ac:dyDescent="0.3">
      <c r="A478" s="248"/>
      <c r="B478" s="249"/>
      <c r="C478" s="250"/>
      <c r="D478" s="251"/>
      <c r="E478" s="1083" t="s">
        <v>403</v>
      </c>
      <c r="F478" s="1083"/>
      <c r="G478" s="252">
        <f>SUM(G349:G477)</f>
        <v>223.20996500000004</v>
      </c>
      <c r="H478" s="252">
        <f>SUM(H350:H428)</f>
        <v>810.21519999999987</v>
      </c>
      <c r="I478" s="253"/>
      <c r="J478" s="254"/>
      <c r="K478" s="255"/>
      <c r="L478" s="256"/>
      <c r="M478" s="256"/>
      <c r="N478" s="256"/>
      <c r="O478" s="256"/>
      <c r="P478" s="255"/>
      <c r="Q478" s="257"/>
      <c r="R478" s="139"/>
      <c r="S478" s="249"/>
      <c r="T478" s="141"/>
      <c r="U478" s="141"/>
      <c r="V478" s="141"/>
      <c r="W478" s="141"/>
      <c r="X478" s="248"/>
      <c r="Y478" s="249"/>
      <c r="Z478" s="139"/>
      <c r="AA478" s="249"/>
      <c r="AB478" s="249"/>
      <c r="AC478" s="249"/>
      <c r="AD478" s="249"/>
      <c r="AE478" s="249"/>
      <c r="AF478" s="248"/>
      <c r="AG478" s="249"/>
      <c r="AH478" s="139"/>
      <c r="AI478" s="249"/>
      <c r="AJ478" s="249"/>
      <c r="AK478" s="249"/>
      <c r="AL478" s="249"/>
      <c r="AM478" s="249"/>
      <c r="AN478" s="248"/>
      <c r="AO478" s="1084" t="s">
        <v>404</v>
      </c>
      <c r="AP478" s="1084"/>
      <c r="AQ478" s="1084"/>
      <c r="AR478" s="252">
        <f>SUM(AR361:AR477)</f>
        <v>11881.480089999995</v>
      </c>
      <c r="AS478" s="252">
        <f t="shared" ref="AS478:AX478" si="375">SUM(AS361:AS477)</f>
        <v>7705.8708000000006</v>
      </c>
      <c r="AT478" s="252">
        <f t="shared" si="375"/>
        <v>0</v>
      </c>
      <c r="AU478" s="252">
        <f t="shared" si="375"/>
        <v>11133.023359999994</v>
      </c>
      <c r="AV478" s="252">
        <f t="shared" si="375"/>
        <v>3820.6374999999998</v>
      </c>
      <c r="AW478" s="252">
        <f t="shared" si="375"/>
        <v>0</v>
      </c>
      <c r="AX478" s="252">
        <f t="shared" si="375"/>
        <v>1749</v>
      </c>
      <c r="AY478" s="258"/>
      <c r="AZ478" s="259"/>
      <c r="BA478" s="260"/>
      <c r="BC478" s="198"/>
      <c r="BK478" s="131"/>
      <c r="BL478" s="131"/>
      <c r="BM478" s="197"/>
      <c r="BN478" s="131"/>
      <c r="BO478" s="131"/>
      <c r="BP478" s="197"/>
      <c r="BQ478" s="131"/>
      <c r="BR478" s="131"/>
      <c r="BS478" s="197"/>
      <c r="BT478" s="131"/>
      <c r="BU478" s="131"/>
      <c r="BV478" s="197"/>
      <c r="BW478" s="131"/>
      <c r="BX478" s="131"/>
      <c r="BY478" s="197"/>
      <c r="BZ478" s="131"/>
      <c r="CA478" s="131"/>
      <c r="CB478" s="197"/>
      <c r="CC478" s="131"/>
      <c r="CD478" s="131"/>
      <c r="CE478" s="197"/>
      <c r="CF478" s="131"/>
      <c r="CG478" s="131"/>
      <c r="CH478" s="197"/>
      <c r="CI478" s="197"/>
      <c r="CJ478" s="197"/>
      <c r="CK478" s="197"/>
      <c r="CL478" s="197"/>
      <c r="CM478" s="197"/>
      <c r="CN478" s="197"/>
      <c r="CO478" s="197"/>
      <c r="CP478" s="197"/>
      <c r="CQ478" s="197"/>
      <c r="CR478" s="197"/>
      <c r="CS478" s="197"/>
      <c r="CT478" s="197"/>
      <c r="CU478" s="197"/>
      <c r="CV478" s="197"/>
      <c r="CW478" s="197"/>
      <c r="CX478" s="197"/>
      <c r="CY478" s="197"/>
      <c r="CZ478" s="197"/>
      <c r="DA478" s="197"/>
    </row>
    <row r="479" spans="1:105" s="196" customFormat="1" ht="13.8" x14ac:dyDescent="0.3">
      <c r="A479" s="248"/>
      <c r="B479" s="249"/>
      <c r="C479" s="250"/>
      <c r="D479" s="251"/>
      <c r="E479" s="1083" t="s">
        <v>405</v>
      </c>
      <c r="F479" s="1083"/>
      <c r="G479" s="261">
        <f>+G478*35.28</f>
        <v>7874.8475652000016</v>
      </c>
      <c r="H479" s="262"/>
      <c r="I479" s="182"/>
      <c r="J479" s="254"/>
      <c r="K479" s="263"/>
      <c r="L479" s="264"/>
      <c r="M479" s="264"/>
      <c r="N479" s="264"/>
      <c r="O479" s="264"/>
      <c r="P479" s="265"/>
      <c r="Q479" s="265"/>
      <c r="R479" s="265"/>
      <c r="S479" s="265"/>
      <c r="T479" s="265"/>
      <c r="U479" s="265"/>
      <c r="V479" s="265"/>
      <c r="W479" s="265"/>
      <c r="X479" s="265"/>
      <c r="Y479" s="265"/>
      <c r="Z479" s="265"/>
      <c r="AA479" s="265"/>
      <c r="AB479" s="265"/>
      <c r="AC479" s="265"/>
      <c r="AD479" s="265"/>
      <c r="AE479" s="265"/>
      <c r="AF479" s="265"/>
      <c r="AG479" s="265"/>
      <c r="AH479" s="265"/>
      <c r="AI479" s="265"/>
      <c r="AJ479" s="265"/>
      <c r="AK479" s="265"/>
      <c r="AL479" s="265"/>
      <c r="AM479" s="265"/>
      <c r="AN479" s="265"/>
      <c r="AO479" s="1085" t="s">
        <v>406</v>
      </c>
      <c r="AP479" s="1085"/>
      <c r="AQ479" s="1085"/>
      <c r="AR479" s="187">
        <f>+(8^2)/162</f>
        <v>0.39506172839506171</v>
      </c>
      <c r="AS479" s="187">
        <f>+(10^2)/162</f>
        <v>0.61728395061728392</v>
      </c>
      <c r="AT479" s="187">
        <f>+(12^2)/162</f>
        <v>0.88888888888888884</v>
      </c>
      <c r="AU479" s="187">
        <f>+(8^2)/162</f>
        <v>0.39506172839506171</v>
      </c>
      <c r="AV479" s="187">
        <f>+(10^2)/162</f>
        <v>0.61728395061728392</v>
      </c>
      <c r="AW479" s="187">
        <f>+(12^2)/162</f>
        <v>0.88888888888888884</v>
      </c>
      <c r="AX479" s="187">
        <f>+(8^2)/162</f>
        <v>0.39506172839506171</v>
      </c>
      <c r="AY479" s="190"/>
      <c r="AZ479" s="259"/>
      <c r="BA479" s="260"/>
      <c r="BF479" s="198"/>
      <c r="BK479" s="197"/>
      <c r="BL479" s="197"/>
      <c r="BM479" s="197"/>
      <c r="BN479" s="197"/>
      <c r="BO479" s="197"/>
      <c r="BP479" s="197"/>
      <c r="BQ479" s="197"/>
      <c r="BR479" s="197"/>
      <c r="BS479" s="197"/>
      <c r="BT479" s="197"/>
      <c r="BU479" s="197"/>
      <c r="BV479" s="197"/>
      <c r="BW479" s="197"/>
      <c r="BX479" s="197"/>
      <c r="BY479" s="197"/>
      <c r="BZ479" s="197"/>
      <c r="CA479" s="197"/>
      <c r="CB479" s="197"/>
      <c r="CC479" s="197"/>
      <c r="CD479" s="197"/>
      <c r="CE479" s="197"/>
      <c r="CF479" s="197"/>
      <c r="CG479" s="197"/>
      <c r="CH479" s="197"/>
      <c r="CI479" s="197"/>
      <c r="CJ479" s="197"/>
      <c r="CK479" s="197"/>
      <c r="CL479" s="197"/>
      <c r="CM479" s="197"/>
      <c r="CN479" s="197"/>
      <c r="CO479" s="197"/>
      <c r="CP479" s="197"/>
      <c r="CQ479" s="197"/>
      <c r="CR479" s="197"/>
      <c r="CS479" s="197"/>
      <c r="CT479" s="197"/>
      <c r="CU479" s="197"/>
      <c r="CV479" s="197"/>
      <c r="CW479" s="197"/>
      <c r="CX479" s="197"/>
      <c r="CY479" s="197"/>
      <c r="CZ479" s="197"/>
      <c r="DA479" s="197"/>
    </row>
    <row r="480" spans="1:105" s="196" customFormat="1" ht="13.8" x14ac:dyDescent="0.3">
      <c r="A480" s="248"/>
      <c r="B480" s="249"/>
      <c r="C480" s="250"/>
      <c r="D480" s="251"/>
      <c r="E480" s="266"/>
      <c r="F480" s="267"/>
      <c r="G480" s="268"/>
      <c r="H480" s="265"/>
      <c r="I480" s="265"/>
      <c r="J480" s="265"/>
      <c r="K480" s="265"/>
      <c r="L480" s="265"/>
      <c r="M480" s="265"/>
      <c r="N480" s="265"/>
      <c r="O480" s="265"/>
      <c r="P480" s="265"/>
      <c r="Q480" s="265"/>
      <c r="R480" s="265"/>
      <c r="S480" s="265"/>
      <c r="T480" s="265"/>
      <c r="U480" s="265"/>
      <c r="V480" s="265"/>
      <c r="W480" s="265"/>
      <c r="X480" s="265"/>
      <c r="Y480" s="265"/>
      <c r="Z480" s="265"/>
      <c r="AA480" s="265"/>
      <c r="AB480" s="265"/>
      <c r="AC480" s="265"/>
      <c r="AD480" s="265"/>
      <c r="AE480" s="265"/>
      <c r="AF480" s="265"/>
      <c r="AG480" s="265"/>
      <c r="AH480" s="265"/>
      <c r="AI480" s="265"/>
      <c r="AJ480" s="265"/>
      <c r="AK480" s="265"/>
      <c r="AL480" s="265"/>
      <c r="AM480" s="265"/>
      <c r="AN480" s="265"/>
      <c r="AO480" s="1079" t="s">
        <v>407</v>
      </c>
      <c r="AP480" s="1079"/>
      <c r="AQ480" s="1079"/>
      <c r="AR480" s="269">
        <f>+AR478*AR479</f>
        <v>4693.9180602469114</v>
      </c>
      <c r="AS480" s="269">
        <f t="shared" ref="AS480:AW480" si="376">+AS478*AS479</f>
        <v>4756.7103703703706</v>
      </c>
      <c r="AT480" s="269">
        <f t="shared" si="376"/>
        <v>0</v>
      </c>
      <c r="AU480" s="269">
        <f t="shared" si="376"/>
        <v>4398.2314508641948</v>
      </c>
      <c r="AV480" s="269">
        <f t="shared" si="376"/>
        <v>2358.4182098765432</v>
      </c>
      <c r="AW480" s="269">
        <f t="shared" si="376"/>
        <v>0</v>
      </c>
      <c r="AX480" s="269"/>
      <c r="AY480" s="258"/>
      <c r="AZ480" s="259"/>
      <c r="BA480" s="260"/>
      <c r="BF480" s="198"/>
    </row>
    <row r="481" spans="1:82" s="143" customFormat="1" ht="13.8" x14ac:dyDescent="0.25">
      <c r="A481" s="270"/>
      <c r="B481" s="270" t="s">
        <v>408</v>
      </c>
      <c r="C481" s="271"/>
      <c r="D481" s="266"/>
      <c r="E481" s="266"/>
      <c r="F481" s="267"/>
      <c r="G481" s="268"/>
      <c r="H481" s="265"/>
      <c r="I481" s="265"/>
      <c r="J481" s="265"/>
      <c r="K481" s="265"/>
      <c r="L481" s="265"/>
      <c r="M481" s="265"/>
      <c r="N481" s="265"/>
      <c r="O481" s="265"/>
      <c r="P481" s="265"/>
      <c r="Q481" s="265"/>
      <c r="R481" s="265"/>
      <c r="S481" s="265"/>
      <c r="T481" s="265"/>
      <c r="U481" s="265"/>
      <c r="V481" s="265"/>
      <c r="W481" s="265"/>
      <c r="X481" s="265"/>
      <c r="Y481" s="265"/>
      <c r="Z481" s="265"/>
      <c r="AA481" s="265"/>
      <c r="AB481" s="265"/>
      <c r="AC481" s="265"/>
      <c r="AD481" s="265"/>
      <c r="AE481" s="265"/>
      <c r="AF481" s="265"/>
      <c r="AG481" s="265"/>
      <c r="AH481" s="265"/>
      <c r="AI481" s="265"/>
      <c r="AJ481" s="265"/>
      <c r="AK481" s="265"/>
      <c r="AL481" s="265"/>
      <c r="AM481" s="265"/>
      <c r="AN481" s="265"/>
      <c r="AO481" s="1079" t="s">
        <v>409</v>
      </c>
      <c r="AP481" s="1079"/>
      <c r="AQ481" s="1079"/>
      <c r="AR481" s="1045">
        <f>SUM(AR480:AW480)</f>
        <v>16207.278091358019</v>
      </c>
      <c r="AS481" s="1046"/>
      <c r="AT481" s="1046"/>
      <c r="AU481" s="1046"/>
      <c r="AV481" s="1046"/>
      <c r="AW481" s="1047"/>
      <c r="AX481" s="272"/>
      <c r="AZ481" s="144"/>
      <c r="BA481" s="145"/>
    </row>
    <row r="482" spans="1:82" s="143" customFormat="1" ht="13.8" x14ac:dyDescent="0.25">
      <c r="A482" s="270" t="s">
        <v>410</v>
      </c>
      <c r="B482" s="273">
        <f>+AR481/G478</f>
        <v>72.610011346751548</v>
      </c>
      <c r="C482" s="274"/>
      <c r="D482" s="266"/>
      <c r="E482" s="136"/>
      <c r="F482" s="137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263"/>
      <c r="AP482" s="265"/>
      <c r="AQ482" s="265"/>
      <c r="AR482" s="265"/>
      <c r="AS482" s="265"/>
      <c r="AT482" s="265"/>
      <c r="AU482" s="265"/>
      <c r="AV482" s="265"/>
      <c r="AW482" s="265"/>
      <c r="AX482" s="275"/>
      <c r="AY482" s="276"/>
      <c r="AZ482" s="144"/>
      <c r="BA482" s="145"/>
    </row>
    <row r="483" spans="1:82" s="196" customFormat="1" ht="13.8" x14ac:dyDescent="0.25">
      <c r="A483" s="265"/>
      <c r="B483" s="263"/>
      <c r="C483" s="271"/>
      <c r="D483" s="266"/>
      <c r="E483" s="136"/>
      <c r="F483" s="137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263"/>
      <c r="AP483" s="265"/>
      <c r="AQ483" s="265"/>
      <c r="AR483" s="254">
        <f>AR480/1000</f>
        <v>4.6939180602469115</v>
      </c>
      <c r="AS483" s="254">
        <f t="shared" ref="AS483:AW483" si="377">AS480/1000</f>
        <v>4.7567103703703708</v>
      </c>
      <c r="AT483" s="254">
        <f t="shared" si="377"/>
        <v>0</v>
      </c>
      <c r="AU483" s="254">
        <f t="shared" si="377"/>
        <v>4.3982314508641949</v>
      </c>
      <c r="AV483" s="254">
        <f t="shared" si="377"/>
        <v>2.3584182098765432</v>
      </c>
      <c r="AW483" s="254">
        <f t="shared" si="377"/>
        <v>0</v>
      </c>
      <c r="AX483" s="265"/>
      <c r="AY483" s="197"/>
      <c r="AZ483" s="198"/>
      <c r="BE483" s="259"/>
      <c r="BH483" s="277"/>
      <c r="BI483" s="277"/>
      <c r="BK483" s="277"/>
      <c r="BL483" s="277"/>
      <c r="BN483" s="277"/>
      <c r="BO483" s="277"/>
      <c r="BQ483" s="277"/>
      <c r="BR483" s="277"/>
      <c r="BT483" s="277"/>
      <c r="BU483" s="277"/>
      <c r="BW483" s="277"/>
      <c r="BX483" s="277"/>
      <c r="BZ483" s="277"/>
      <c r="CA483" s="277"/>
      <c r="CC483" s="277"/>
      <c r="CD483" s="277"/>
    </row>
    <row r="484" spans="1:82" s="143" customFormat="1" ht="9.75" customHeight="1" x14ac:dyDescent="0.25">
      <c r="A484" s="265"/>
      <c r="B484" s="263"/>
      <c r="C484" s="271"/>
      <c r="D484" s="266"/>
      <c r="E484" s="136"/>
      <c r="F484" s="137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263"/>
      <c r="AP484" s="265"/>
      <c r="AQ484" s="265"/>
      <c r="AR484" s="265"/>
      <c r="AS484" s="265"/>
      <c r="AT484" s="265"/>
      <c r="AU484" s="265"/>
      <c r="AV484" s="265"/>
      <c r="AW484" s="265"/>
      <c r="AX484" s="275"/>
      <c r="AY484" s="276"/>
      <c r="AZ484" s="144"/>
      <c r="BA484" s="145"/>
    </row>
    <row r="485" spans="1:82" x14ac:dyDescent="0.3">
      <c r="I485" s="126"/>
      <c r="O485" s="126"/>
      <c r="Q485" s="126"/>
      <c r="W485" s="126"/>
      <c r="Y485" s="126"/>
      <c r="AE485" s="126"/>
      <c r="AG485" s="126"/>
      <c r="AM485" s="126"/>
    </row>
    <row r="486" spans="1:82" x14ac:dyDescent="0.3">
      <c r="I486" s="126"/>
      <c r="O486" s="126"/>
      <c r="Q486" s="126"/>
      <c r="W486" s="126"/>
      <c r="Y486" s="126"/>
      <c r="AE486" s="126"/>
      <c r="AG486" s="126"/>
      <c r="AM486" s="126"/>
    </row>
    <row r="487" spans="1:82" x14ac:dyDescent="0.3">
      <c r="I487" s="126"/>
      <c r="O487" s="126"/>
      <c r="Q487" s="126"/>
      <c r="W487" s="126"/>
      <c r="Y487" s="126"/>
      <c r="AE487" s="126"/>
      <c r="AG487" s="126"/>
      <c r="AM487" s="126"/>
    </row>
    <row r="488" spans="1:82" x14ac:dyDescent="0.3">
      <c r="I488" s="126"/>
      <c r="O488" s="126"/>
      <c r="Q488" s="126"/>
      <c r="W488" s="126"/>
      <c r="Y488" s="126"/>
      <c r="AE488" s="126"/>
      <c r="AG488" s="126"/>
      <c r="AM488" s="126"/>
    </row>
    <row r="489" spans="1:82" ht="18" x14ac:dyDescent="0.3">
      <c r="B489" s="1030" t="s">
        <v>555</v>
      </c>
      <c r="C489" s="1030"/>
      <c r="D489" s="1030"/>
      <c r="E489" s="1030"/>
      <c r="F489" s="1030"/>
      <c r="G489" s="1030"/>
      <c r="H489" s="1030"/>
      <c r="I489" s="1030"/>
      <c r="J489" s="1030"/>
      <c r="K489" s="1030"/>
      <c r="L489" s="1030"/>
      <c r="M489" s="126"/>
      <c r="O489" s="126"/>
      <c r="Q489" s="126"/>
      <c r="W489" s="126"/>
      <c r="Y489" s="126"/>
      <c r="AE489" s="126"/>
      <c r="AG489" s="126"/>
      <c r="AM489" s="126"/>
    </row>
    <row r="490" spans="1:82" x14ac:dyDescent="0.3">
      <c r="B490" s="1031" t="s">
        <v>41</v>
      </c>
      <c r="C490" s="1031" t="s">
        <v>556</v>
      </c>
      <c r="D490" s="1031" t="s">
        <v>557</v>
      </c>
      <c r="E490" s="1032" t="s">
        <v>558</v>
      </c>
      <c r="F490" s="1032"/>
      <c r="G490" s="1032"/>
      <c r="H490" s="1032"/>
      <c r="I490" s="1032"/>
      <c r="J490" s="1032"/>
      <c r="K490" s="1032"/>
      <c r="L490" s="1032"/>
      <c r="M490" s="126"/>
      <c r="O490" s="126"/>
      <c r="Q490" s="126"/>
      <c r="W490" s="126"/>
      <c r="Y490" s="126"/>
      <c r="AE490" s="126"/>
      <c r="AG490" s="126"/>
      <c r="AM490" s="126"/>
    </row>
    <row r="491" spans="1:82" ht="28.8" x14ac:dyDescent="0.3">
      <c r="B491" s="1031"/>
      <c r="C491" s="1031"/>
      <c r="D491" s="1031"/>
      <c r="E491" s="444" t="s">
        <v>55</v>
      </c>
      <c r="F491" s="444" t="s">
        <v>56</v>
      </c>
      <c r="G491" s="444" t="s">
        <v>57</v>
      </c>
      <c r="H491" s="444" t="s">
        <v>58</v>
      </c>
      <c r="I491" s="444" t="s">
        <v>59</v>
      </c>
      <c r="J491" s="444" t="s">
        <v>60</v>
      </c>
      <c r="K491" s="444" t="s">
        <v>61</v>
      </c>
      <c r="L491" s="444" t="s">
        <v>559</v>
      </c>
      <c r="M491" s="126"/>
      <c r="O491" s="126"/>
      <c r="Q491" s="126"/>
      <c r="W491" s="126"/>
      <c r="Y491" s="126"/>
      <c r="AE491" s="126"/>
      <c r="AG491" s="126"/>
      <c r="AM491" s="126"/>
    </row>
    <row r="492" spans="1:82" x14ac:dyDescent="0.3">
      <c r="B492" s="445"/>
      <c r="C492" s="446"/>
      <c r="D492" s="447"/>
      <c r="E492" s="447"/>
      <c r="F492" s="447"/>
      <c r="G492" s="447"/>
      <c r="H492" s="447"/>
      <c r="I492" s="447"/>
      <c r="J492" s="447"/>
      <c r="K492" s="447"/>
      <c r="L492" s="447"/>
      <c r="M492" s="126"/>
      <c r="O492" s="126"/>
      <c r="Q492" s="126"/>
      <c r="W492" s="126"/>
      <c r="Y492" s="126"/>
      <c r="AE492" s="126"/>
      <c r="AG492" s="126"/>
      <c r="AM492" s="126"/>
    </row>
    <row r="493" spans="1:82" x14ac:dyDescent="0.3">
      <c r="B493" s="448">
        <v>1</v>
      </c>
      <c r="C493" s="449" t="s">
        <v>101</v>
      </c>
      <c r="D493" s="450"/>
      <c r="E493" s="450">
        <f>AR341</f>
        <v>1.8141412345679009</v>
      </c>
      <c r="F493" s="450">
        <f t="shared" ref="F493:G493" si="378">AS341</f>
        <v>2.2843270679012342</v>
      </c>
      <c r="G493" s="450">
        <f t="shared" si="378"/>
        <v>0</v>
      </c>
      <c r="H493" s="450"/>
      <c r="I493" s="450">
        <v>0</v>
      </c>
      <c r="J493" s="450">
        <v>0</v>
      </c>
      <c r="K493" s="450">
        <v>0</v>
      </c>
      <c r="L493" s="450">
        <f>SUM(E493:K493)</f>
        <v>4.0984683024691346</v>
      </c>
      <c r="M493" s="126"/>
      <c r="O493" s="126"/>
      <c r="Q493" s="126"/>
      <c r="W493" s="126"/>
      <c r="Y493" s="126"/>
      <c r="AE493" s="126"/>
      <c r="AG493" s="126"/>
      <c r="AM493" s="126"/>
    </row>
    <row r="494" spans="1:82" x14ac:dyDescent="0.3">
      <c r="B494" s="448">
        <v>2</v>
      </c>
      <c r="C494" s="449" t="s">
        <v>102</v>
      </c>
      <c r="D494" s="450"/>
      <c r="E494" s="450">
        <f>'[3]Podium Beam'!AC303</f>
        <v>2.1180839506172839</v>
      </c>
      <c r="F494" s="450">
        <f>'[3]Podium Beam'!AD303</f>
        <v>1.2606543209876542</v>
      </c>
      <c r="G494" s="450">
        <f>'[3]Podium Beam'!AE303</f>
        <v>5.7693333333333326E-2</v>
      </c>
      <c r="H494" s="450">
        <f>'[3]Podium Beam'!AF303</f>
        <v>1.8583695802469138</v>
      </c>
      <c r="I494" s="450">
        <f>'[3]Podium Beam'!AG303</f>
        <v>0.78313827160493843</v>
      </c>
      <c r="J494" s="450">
        <f>'[3]Podium Beam'!AH303</f>
        <v>8.0475434027777784</v>
      </c>
      <c r="K494" s="450">
        <f>'[3]Podium Beam'!AI303</f>
        <v>0</v>
      </c>
      <c r="L494" s="450">
        <f>SUM(E494:K494)</f>
        <v>14.125482859567903</v>
      </c>
      <c r="M494" s="126"/>
      <c r="O494" s="126"/>
      <c r="Q494" s="126"/>
      <c r="W494" s="126"/>
      <c r="Y494" s="126"/>
      <c r="AE494" s="126"/>
      <c r="AG494" s="126"/>
      <c r="AM494" s="126"/>
    </row>
    <row r="495" spans="1:82" x14ac:dyDescent="0.3">
      <c r="B495" s="451"/>
      <c r="C495" s="452"/>
      <c r="D495" s="453"/>
      <c r="E495" s="453">
        <f>SUM(E493:E494)</f>
        <v>3.9322251851851848</v>
      </c>
      <c r="F495" s="453">
        <f t="shared" ref="F495:K495" si="379">SUM(F493:F494)</f>
        <v>3.5449813888888881</v>
      </c>
      <c r="G495" s="453">
        <f t="shared" si="379"/>
        <v>5.7693333333333326E-2</v>
      </c>
      <c r="H495" s="453">
        <f t="shared" si="379"/>
        <v>1.8583695802469138</v>
      </c>
      <c r="I495" s="453">
        <f t="shared" si="379"/>
        <v>0.78313827160493843</v>
      </c>
      <c r="J495" s="453">
        <f t="shared" si="379"/>
        <v>8.0475434027777784</v>
      </c>
      <c r="K495" s="453">
        <f t="shared" si="379"/>
        <v>0</v>
      </c>
      <c r="L495" s="453">
        <f>SUM(L493:L494)</f>
        <v>18.223951162037039</v>
      </c>
      <c r="M495" s="126"/>
      <c r="O495" s="126"/>
      <c r="Q495" s="126"/>
      <c r="W495" s="126"/>
      <c r="Y495" s="126"/>
      <c r="AE495" s="126"/>
      <c r="AG495" s="126"/>
      <c r="AM495" s="126"/>
    </row>
    <row r="496" spans="1:82" x14ac:dyDescent="0.3">
      <c r="I496" s="126"/>
      <c r="M496" s="126"/>
      <c r="O496" s="126"/>
      <c r="Q496" s="126"/>
      <c r="W496" s="126"/>
      <c r="Y496" s="126"/>
      <c r="AE496" s="126"/>
      <c r="AG496" s="126"/>
      <c r="AM496" s="126"/>
    </row>
    <row r="497" spans="9:39" x14ac:dyDescent="0.3">
      <c r="I497" s="126"/>
      <c r="O497" s="126"/>
      <c r="Q497" s="126"/>
      <c r="W497" s="126"/>
      <c r="Y497" s="126"/>
      <c r="AE497" s="126"/>
      <c r="AG497" s="126"/>
      <c r="AM497" s="126"/>
    </row>
    <row r="498" spans="9:39" x14ac:dyDescent="0.3">
      <c r="I498" s="126"/>
      <c r="O498" s="126"/>
      <c r="Q498" s="126"/>
      <c r="W498" s="126"/>
      <c r="Y498" s="126"/>
      <c r="AE498" s="126"/>
      <c r="AG498" s="126"/>
      <c r="AM498" s="126"/>
    </row>
    <row r="499" spans="9:39" x14ac:dyDescent="0.3">
      <c r="I499" s="126"/>
      <c r="O499" s="126"/>
      <c r="Q499" s="126"/>
      <c r="W499" s="126"/>
      <c r="Y499" s="126"/>
      <c r="AE499" s="126"/>
      <c r="AG499" s="126"/>
      <c r="AM499" s="126"/>
    </row>
    <row r="500" spans="9:39" x14ac:dyDescent="0.3">
      <c r="I500" s="126"/>
      <c r="O500" s="126"/>
      <c r="Q500" s="126"/>
      <c r="W500" s="126"/>
      <c r="Y500" s="126"/>
      <c r="AE500" s="126"/>
      <c r="AG500" s="126"/>
      <c r="AM500" s="126"/>
    </row>
    <row r="501" spans="9:39" x14ac:dyDescent="0.3">
      <c r="I501" s="126"/>
      <c r="O501" s="126"/>
      <c r="Q501" s="126"/>
      <c r="W501" s="126"/>
      <c r="Y501" s="126"/>
      <c r="AE501" s="126"/>
      <c r="AG501" s="126"/>
      <c r="AM501" s="126"/>
    </row>
    <row r="502" spans="9:39" x14ac:dyDescent="0.3">
      <c r="I502" s="126"/>
      <c r="O502" s="126"/>
      <c r="Q502" s="126"/>
      <c r="W502" s="126"/>
      <c r="Y502" s="126"/>
      <c r="AE502" s="126"/>
      <c r="AG502" s="126"/>
      <c r="AM502" s="126"/>
    </row>
    <row r="503" spans="9:39" x14ac:dyDescent="0.3">
      <c r="I503" s="126"/>
      <c r="O503" s="126"/>
      <c r="Q503" s="126"/>
      <c r="W503" s="126"/>
      <c r="Y503" s="126"/>
      <c r="AE503" s="126"/>
      <c r="AG503" s="126"/>
      <c r="AM503" s="126"/>
    </row>
    <row r="504" spans="9:39" x14ac:dyDescent="0.3">
      <c r="I504" s="126"/>
      <c r="O504" s="126"/>
      <c r="Q504" s="126"/>
      <c r="W504" s="126"/>
      <c r="Y504" s="126"/>
      <c r="AE504" s="126"/>
      <c r="AG504" s="126"/>
      <c r="AM504" s="126"/>
    </row>
    <row r="505" spans="9:39" x14ac:dyDescent="0.3">
      <c r="I505" s="126"/>
      <c r="O505" s="126"/>
      <c r="Q505" s="126"/>
      <c r="W505" s="126"/>
      <c r="Y505" s="126"/>
      <c r="AE505" s="126"/>
      <c r="AG505" s="126"/>
      <c r="AM505" s="126"/>
    </row>
    <row r="506" spans="9:39" x14ac:dyDescent="0.3">
      <c r="I506" s="126"/>
      <c r="O506" s="126"/>
      <c r="Q506" s="126"/>
      <c r="W506" s="126"/>
      <c r="Y506" s="126"/>
      <c r="AE506" s="126"/>
      <c r="AG506" s="126"/>
      <c r="AM506" s="126"/>
    </row>
    <row r="507" spans="9:39" x14ac:dyDescent="0.3">
      <c r="I507" s="126"/>
      <c r="O507" s="126"/>
      <c r="Q507" s="126"/>
      <c r="W507" s="126"/>
      <c r="Y507" s="126"/>
      <c r="AE507" s="126"/>
      <c r="AG507" s="126"/>
      <c r="AM507" s="126"/>
    </row>
    <row r="508" spans="9:39" x14ac:dyDescent="0.3">
      <c r="I508" s="126"/>
      <c r="O508" s="126"/>
      <c r="Q508" s="126"/>
      <c r="W508" s="126"/>
      <c r="Y508" s="126"/>
      <c r="AE508" s="126"/>
      <c r="AG508" s="126"/>
      <c r="AM508" s="126"/>
    </row>
    <row r="509" spans="9:39" x14ac:dyDescent="0.3">
      <c r="I509" s="126"/>
      <c r="O509" s="126"/>
      <c r="Q509" s="126"/>
      <c r="W509" s="126"/>
      <c r="Y509" s="126"/>
      <c r="AE509" s="126"/>
      <c r="AG509" s="126"/>
      <c r="AM509" s="126"/>
    </row>
    <row r="510" spans="9:39" x14ac:dyDescent="0.3">
      <c r="I510" s="126"/>
      <c r="O510" s="126"/>
      <c r="Q510" s="126"/>
      <c r="W510" s="126"/>
      <c r="Y510" s="126"/>
      <c r="AE510" s="126"/>
      <c r="AG510" s="126"/>
      <c r="AM510" s="126"/>
    </row>
    <row r="511" spans="9:39" x14ac:dyDescent="0.3">
      <c r="I511" s="126"/>
      <c r="O511" s="126"/>
      <c r="Q511" s="126"/>
      <c r="W511" s="126"/>
      <c r="Y511" s="126"/>
      <c r="AE511" s="126"/>
      <c r="AG511" s="126"/>
      <c r="AM511" s="126"/>
    </row>
    <row r="512" spans="9:39" x14ac:dyDescent="0.3">
      <c r="I512" s="126"/>
      <c r="O512" s="126"/>
      <c r="Q512" s="126"/>
      <c r="W512" s="126"/>
      <c r="Y512" s="126"/>
      <c r="AE512" s="126"/>
      <c r="AG512" s="126"/>
      <c r="AM512" s="126"/>
    </row>
    <row r="513" spans="9:39" x14ac:dyDescent="0.3">
      <c r="I513" s="126"/>
      <c r="O513" s="126"/>
      <c r="Q513" s="126"/>
      <c r="W513" s="126"/>
      <c r="Y513" s="126"/>
      <c r="AE513" s="126"/>
      <c r="AG513" s="126"/>
      <c r="AM513" s="126"/>
    </row>
    <row r="514" spans="9:39" x14ac:dyDescent="0.3">
      <c r="I514" s="126"/>
      <c r="O514" s="126"/>
      <c r="Q514" s="126"/>
      <c r="W514" s="126"/>
      <c r="Y514" s="126"/>
      <c r="AE514" s="126"/>
      <c r="AG514" s="126"/>
      <c r="AM514" s="126"/>
    </row>
    <row r="515" spans="9:39" x14ac:dyDescent="0.3">
      <c r="I515" s="126"/>
      <c r="O515" s="126"/>
      <c r="Q515" s="126"/>
      <c r="W515" s="126"/>
      <c r="Y515" s="126"/>
      <c r="AE515" s="126"/>
      <c r="AG515" s="126"/>
      <c r="AM515" s="126"/>
    </row>
    <row r="516" spans="9:39" x14ac:dyDescent="0.3">
      <c r="I516" s="126"/>
      <c r="O516" s="126"/>
      <c r="Q516" s="126"/>
      <c r="W516" s="126"/>
      <c r="Y516" s="126"/>
      <c r="AE516" s="126"/>
      <c r="AG516" s="126"/>
      <c r="AM516" s="126"/>
    </row>
    <row r="517" spans="9:39" x14ac:dyDescent="0.3">
      <c r="I517" s="126"/>
      <c r="O517" s="126"/>
      <c r="Q517" s="126"/>
      <c r="W517" s="126"/>
      <c r="Y517" s="126"/>
      <c r="AE517" s="126"/>
      <c r="AG517" s="126"/>
      <c r="AM517" s="126"/>
    </row>
    <row r="518" spans="9:39" x14ac:dyDescent="0.3">
      <c r="I518" s="126"/>
      <c r="O518" s="126"/>
      <c r="Q518" s="126"/>
      <c r="W518" s="126"/>
      <c r="Y518" s="126"/>
      <c r="AE518" s="126"/>
      <c r="AG518" s="126"/>
      <c r="AM518" s="126"/>
    </row>
    <row r="519" spans="9:39" x14ac:dyDescent="0.3">
      <c r="I519" s="126"/>
      <c r="O519" s="126"/>
      <c r="Q519" s="126"/>
      <c r="W519" s="126"/>
      <c r="Y519" s="126"/>
      <c r="AE519" s="126"/>
      <c r="AG519" s="126"/>
      <c r="AM519" s="126"/>
    </row>
    <row r="520" spans="9:39" x14ac:dyDescent="0.3">
      <c r="I520" s="126"/>
      <c r="O520" s="126"/>
      <c r="Q520" s="126"/>
      <c r="W520" s="126"/>
      <c r="Y520" s="126"/>
      <c r="AE520" s="126"/>
      <c r="AG520" s="126"/>
      <c r="AM520" s="126"/>
    </row>
    <row r="521" spans="9:39" x14ac:dyDescent="0.3">
      <c r="I521" s="126"/>
      <c r="O521" s="126"/>
      <c r="Q521" s="126"/>
      <c r="W521" s="126"/>
      <c r="Y521" s="126"/>
      <c r="AE521" s="126"/>
      <c r="AG521" s="126"/>
      <c r="AM521" s="126"/>
    </row>
    <row r="522" spans="9:39" x14ac:dyDescent="0.3">
      <c r="I522" s="126"/>
      <c r="O522" s="126"/>
      <c r="Q522" s="126"/>
      <c r="W522" s="126"/>
      <c r="Y522" s="126"/>
      <c r="AE522" s="126"/>
      <c r="AG522" s="126"/>
      <c r="AM522" s="126"/>
    </row>
    <row r="523" spans="9:39" x14ac:dyDescent="0.3">
      <c r="I523" s="126"/>
      <c r="O523" s="126"/>
      <c r="Q523" s="126"/>
      <c r="W523" s="126"/>
      <c r="Y523" s="126"/>
      <c r="AE523" s="126"/>
      <c r="AG523" s="126"/>
      <c r="AM523" s="126"/>
    </row>
    <row r="524" spans="9:39" x14ac:dyDescent="0.3">
      <c r="I524" s="126"/>
      <c r="O524" s="126"/>
      <c r="Q524" s="126"/>
      <c r="W524" s="126"/>
      <c r="Y524" s="126"/>
      <c r="AE524" s="126"/>
      <c r="AG524" s="126"/>
      <c r="AM524" s="126"/>
    </row>
    <row r="525" spans="9:39" x14ac:dyDescent="0.3">
      <c r="I525" s="126"/>
      <c r="O525" s="126"/>
      <c r="Q525" s="126"/>
      <c r="W525" s="126"/>
      <c r="Y525" s="126"/>
      <c r="AE525" s="126"/>
      <c r="AG525" s="126"/>
      <c r="AM525" s="126"/>
    </row>
    <row r="526" spans="9:39" x14ac:dyDescent="0.3">
      <c r="I526" s="126"/>
      <c r="O526" s="126"/>
      <c r="Q526" s="126"/>
      <c r="W526" s="126"/>
      <c r="Y526" s="126"/>
      <c r="AE526" s="126"/>
      <c r="AG526" s="126"/>
      <c r="AM526" s="126"/>
    </row>
    <row r="527" spans="9:39" x14ac:dyDescent="0.3">
      <c r="I527" s="126"/>
      <c r="O527" s="126"/>
      <c r="Q527" s="126"/>
      <c r="W527" s="126"/>
      <c r="Y527" s="126"/>
      <c r="AE527" s="126"/>
      <c r="AG527" s="126"/>
      <c r="AM527" s="126"/>
    </row>
    <row r="528" spans="9:39" x14ac:dyDescent="0.3">
      <c r="I528" s="126"/>
      <c r="O528" s="126"/>
      <c r="Q528" s="126"/>
      <c r="W528" s="126"/>
      <c r="Y528" s="126"/>
      <c r="AE528" s="126"/>
      <c r="AG528" s="126"/>
      <c r="AM528" s="126"/>
    </row>
    <row r="529" spans="9:39" x14ac:dyDescent="0.3">
      <c r="I529" s="126"/>
      <c r="O529" s="126"/>
      <c r="Q529" s="126"/>
      <c r="W529" s="126"/>
      <c r="Y529" s="126"/>
      <c r="AE529" s="126"/>
      <c r="AG529" s="126"/>
      <c r="AM529" s="126"/>
    </row>
    <row r="530" spans="9:39" x14ac:dyDescent="0.3">
      <c r="I530" s="126"/>
      <c r="O530" s="126"/>
      <c r="Q530" s="126"/>
      <c r="W530" s="126"/>
      <c r="Y530" s="126"/>
      <c r="AE530" s="126"/>
      <c r="AG530" s="126"/>
      <c r="AM530" s="126"/>
    </row>
    <row r="531" spans="9:39" x14ac:dyDescent="0.3">
      <c r="I531" s="126"/>
      <c r="O531" s="126"/>
      <c r="Q531" s="126"/>
      <c r="W531" s="126"/>
      <c r="Y531" s="126"/>
      <c r="AE531" s="126"/>
      <c r="AG531" s="126"/>
      <c r="AM531" s="126"/>
    </row>
    <row r="532" spans="9:39" x14ac:dyDescent="0.3">
      <c r="I532" s="126"/>
      <c r="O532" s="126"/>
      <c r="Q532" s="126"/>
      <c r="W532" s="126"/>
      <c r="Y532" s="126"/>
      <c r="AE532" s="126"/>
      <c r="AG532" s="126"/>
      <c r="AM532" s="126"/>
    </row>
    <row r="533" spans="9:39" x14ac:dyDescent="0.3">
      <c r="I533" s="126"/>
      <c r="O533" s="126"/>
      <c r="Q533" s="126"/>
      <c r="W533" s="126"/>
      <c r="Y533" s="126"/>
      <c r="AE533" s="126"/>
      <c r="AG533" s="126"/>
      <c r="AM533" s="126"/>
    </row>
    <row r="534" spans="9:39" x14ac:dyDescent="0.3">
      <c r="I534" s="126"/>
      <c r="O534" s="126"/>
      <c r="Q534" s="126"/>
      <c r="W534" s="126"/>
      <c r="Y534" s="126"/>
      <c r="AE534" s="126"/>
      <c r="AG534" s="126"/>
      <c r="AM534" s="126"/>
    </row>
    <row r="535" spans="9:39" x14ac:dyDescent="0.3">
      <c r="I535" s="126"/>
      <c r="O535" s="126"/>
      <c r="Q535" s="126"/>
      <c r="W535" s="126"/>
      <c r="Y535" s="126"/>
      <c r="AE535" s="126"/>
      <c r="AG535" s="126"/>
      <c r="AM535" s="126"/>
    </row>
    <row r="536" spans="9:39" x14ac:dyDescent="0.3">
      <c r="I536" s="126"/>
      <c r="O536" s="126"/>
      <c r="Q536" s="126"/>
      <c r="W536" s="126"/>
      <c r="Y536" s="126"/>
      <c r="AE536" s="126"/>
      <c r="AG536" s="126"/>
      <c r="AM536" s="126"/>
    </row>
    <row r="537" spans="9:39" x14ac:dyDescent="0.3">
      <c r="I537" s="126"/>
      <c r="O537" s="126"/>
      <c r="Q537" s="126"/>
      <c r="W537" s="126"/>
      <c r="Y537" s="126"/>
      <c r="AE537" s="126"/>
      <c r="AG537" s="126"/>
      <c r="AM537" s="126"/>
    </row>
    <row r="538" spans="9:39" x14ac:dyDescent="0.3">
      <c r="I538" s="126"/>
      <c r="O538" s="126"/>
      <c r="Q538" s="126"/>
      <c r="W538" s="126"/>
      <c r="Y538" s="126"/>
      <c r="AE538" s="126"/>
      <c r="AG538" s="126"/>
      <c r="AM538" s="126"/>
    </row>
    <row r="539" spans="9:39" x14ac:dyDescent="0.3">
      <c r="I539" s="126"/>
      <c r="O539" s="126"/>
      <c r="Q539" s="126"/>
      <c r="W539" s="126"/>
      <c r="Y539" s="126"/>
      <c r="AE539" s="126"/>
      <c r="AG539" s="126"/>
      <c r="AM539" s="126"/>
    </row>
    <row r="540" spans="9:39" x14ac:dyDescent="0.3">
      <c r="I540" s="126"/>
      <c r="O540" s="126"/>
      <c r="Q540" s="126"/>
      <c r="W540" s="126"/>
      <c r="Y540" s="126"/>
      <c r="AE540" s="126"/>
      <c r="AG540" s="126"/>
      <c r="AM540" s="126"/>
    </row>
    <row r="541" spans="9:39" x14ac:dyDescent="0.3">
      <c r="I541" s="126"/>
      <c r="O541" s="126"/>
      <c r="Q541" s="126"/>
      <c r="W541" s="126"/>
      <c r="Y541" s="126"/>
      <c r="AE541" s="126"/>
      <c r="AG541" s="126"/>
      <c r="AM541" s="126"/>
    </row>
    <row r="542" spans="9:39" x14ac:dyDescent="0.3">
      <c r="I542" s="126"/>
      <c r="O542" s="126"/>
      <c r="Q542" s="126"/>
      <c r="W542" s="126"/>
      <c r="Y542" s="126"/>
      <c r="AE542" s="126"/>
      <c r="AG542" s="126"/>
      <c r="AM542" s="126"/>
    </row>
    <row r="543" spans="9:39" x14ac:dyDescent="0.3">
      <c r="I543" s="126"/>
      <c r="O543" s="126"/>
      <c r="Q543" s="126"/>
      <c r="W543" s="126"/>
      <c r="Y543" s="126"/>
      <c r="AE543" s="126"/>
      <c r="AG543" s="126"/>
      <c r="AM543" s="126"/>
    </row>
    <row r="544" spans="9:39" x14ac:dyDescent="0.3">
      <c r="I544" s="126"/>
      <c r="O544" s="126"/>
      <c r="Q544" s="126"/>
      <c r="W544" s="126"/>
      <c r="Y544" s="126"/>
      <c r="AE544" s="126"/>
      <c r="AG544" s="126"/>
      <c r="AM544" s="126"/>
    </row>
    <row r="545" spans="9:39" x14ac:dyDescent="0.3">
      <c r="I545" s="126"/>
      <c r="O545" s="126"/>
      <c r="Q545" s="126"/>
      <c r="W545" s="126"/>
      <c r="Y545" s="126"/>
      <c r="AE545" s="126"/>
      <c r="AG545" s="126"/>
      <c r="AM545" s="126"/>
    </row>
    <row r="546" spans="9:39" x14ac:dyDescent="0.3">
      <c r="I546" s="126"/>
      <c r="O546" s="126"/>
      <c r="Q546" s="126"/>
      <c r="W546" s="126"/>
      <c r="Y546" s="126"/>
      <c r="AE546" s="126"/>
      <c r="AG546" s="126"/>
      <c r="AM546" s="126"/>
    </row>
    <row r="547" spans="9:39" x14ac:dyDescent="0.3">
      <c r="I547" s="126"/>
      <c r="O547" s="126"/>
      <c r="Q547" s="126"/>
      <c r="W547" s="126"/>
      <c r="Y547" s="126"/>
      <c r="AE547" s="126"/>
      <c r="AG547" s="126"/>
      <c r="AM547" s="126"/>
    </row>
    <row r="548" spans="9:39" x14ac:dyDescent="0.3">
      <c r="I548" s="126"/>
      <c r="O548" s="126"/>
      <c r="Q548" s="126"/>
      <c r="W548" s="126"/>
      <c r="Y548" s="126"/>
      <c r="AE548" s="126"/>
      <c r="AG548" s="126"/>
      <c r="AM548" s="126"/>
    </row>
    <row r="549" spans="9:39" x14ac:dyDescent="0.3">
      <c r="I549" s="126"/>
      <c r="O549" s="126"/>
      <c r="Q549" s="126"/>
      <c r="W549" s="126"/>
      <c r="Y549" s="126"/>
      <c r="AE549" s="126"/>
      <c r="AG549" s="126"/>
      <c r="AM549" s="126"/>
    </row>
    <row r="550" spans="9:39" x14ac:dyDescent="0.3">
      <c r="I550" s="126"/>
      <c r="O550" s="126"/>
      <c r="Q550" s="126"/>
      <c r="W550" s="126"/>
      <c r="Y550" s="126"/>
      <c r="AE550" s="126"/>
      <c r="AG550" s="126"/>
      <c r="AM550" s="126"/>
    </row>
    <row r="551" spans="9:39" x14ac:dyDescent="0.3">
      <c r="I551" s="126"/>
      <c r="O551" s="126"/>
      <c r="Q551" s="126"/>
      <c r="W551" s="126"/>
      <c r="Y551" s="126"/>
      <c r="AE551" s="126"/>
      <c r="AG551" s="126"/>
      <c r="AM551" s="126"/>
    </row>
    <row r="552" spans="9:39" x14ac:dyDescent="0.3">
      <c r="I552" s="126"/>
      <c r="O552" s="126"/>
      <c r="Q552" s="126"/>
      <c r="W552" s="126"/>
      <c r="Y552" s="126"/>
      <c r="AE552" s="126"/>
      <c r="AG552" s="126"/>
      <c r="AM552" s="126"/>
    </row>
    <row r="553" spans="9:39" x14ac:dyDescent="0.3">
      <c r="I553" s="126"/>
      <c r="O553" s="126"/>
      <c r="Q553" s="126"/>
      <c r="W553" s="126"/>
      <c r="Y553" s="126"/>
      <c r="AE553" s="126"/>
      <c r="AG553" s="126"/>
      <c r="AM553" s="126"/>
    </row>
    <row r="554" spans="9:39" x14ac:dyDescent="0.3">
      <c r="I554" s="126"/>
      <c r="O554" s="126"/>
      <c r="Q554" s="126"/>
      <c r="W554" s="126"/>
      <c r="Y554" s="126"/>
      <c r="AE554" s="126"/>
      <c r="AG554" s="126"/>
      <c r="AM554" s="126"/>
    </row>
    <row r="555" spans="9:39" x14ac:dyDescent="0.3">
      <c r="I555" s="126"/>
      <c r="O555" s="126"/>
      <c r="Q555" s="126"/>
      <c r="W555" s="126"/>
      <c r="Y555" s="126"/>
      <c r="AE555" s="126"/>
      <c r="AG555" s="126"/>
      <c r="AM555" s="126"/>
    </row>
    <row r="556" spans="9:39" x14ac:dyDescent="0.3">
      <c r="I556" s="126"/>
      <c r="O556" s="126"/>
      <c r="Q556" s="126"/>
      <c r="W556" s="126"/>
      <c r="Y556" s="126"/>
      <c r="AE556" s="126"/>
      <c r="AG556" s="126"/>
      <c r="AM556" s="126"/>
    </row>
    <row r="557" spans="9:39" x14ac:dyDescent="0.3">
      <c r="I557" s="126"/>
      <c r="O557" s="126"/>
      <c r="Q557" s="126"/>
      <c r="W557" s="126"/>
      <c r="Y557" s="126"/>
      <c r="AE557" s="126"/>
      <c r="AG557" s="126"/>
      <c r="AM557" s="126"/>
    </row>
    <row r="558" spans="9:39" x14ac:dyDescent="0.3">
      <c r="I558" s="126"/>
      <c r="O558" s="126"/>
      <c r="Q558" s="126"/>
      <c r="W558" s="126"/>
      <c r="Y558" s="126"/>
      <c r="AE558" s="126"/>
      <c r="AG558" s="126"/>
      <c r="AM558" s="126"/>
    </row>
    <row r="559" spans="9:39" x14ac:dyDescent="0.3">
      <c r="I559" s="126"/>
      <c r="O559" s="126"/>
      <c r="Q559" s="126"/>
      <c r="W559" s="126"/>
      <c r="Y559" s="126"/>
      <c r="AE559" s="126"/>
      <c r="AG559" s="126"/>
      <c r="AM559" s="126"/>
    </row>
    <row r="560" spans="9:39" x14ac:dyDescent="0.3">
      <c r="I560" s="126"/>
      <c r="O560" s="126"/>
      <c r="Q560" s="126"/>
      <c r="W560" s="126"/>
      <c r="Y560" s="126"/>
      <c r="AE560" s="126"/>
      <c r="AG560" s="126"/>
      <c r="AM560" s="126"/>
    </row>
    <row r="561" spans="9:39" x14ac:dyDescent="0.3">
      <c r="I561" s="126"/>
      <c r="O561" s="126"/>
      <c r="Q561" s="126"/>
      <c r="W561" s="126"/>
      <c r="Y561" s="126"/>
      <c r="AE561" s="126"/>
      <c r="AG561" s="126"/>
      <c r="AM561" s="126"/>
    </row>
    <row r="562" spans="9:39" x14ac:dyDescent="0.3">
      <c r="I562" s="126"/>
      <c r="O562" s="126"/>
      <c r="Q562" s="126"/>
      <c r="W562" s="126"/>
      <c r="Y562" s="126"/>
      <c r="AE562" s="126"/>
      <c r="AG562" s="126"/>
      <c r="AM562" s="126"/>
    </row>
    <row r="563" spans="9:39" x14ac:dyDescent="0.3">
      <c r="I563" s="126"/>
      <c r="O563" s="126"/>
      <c r="Q563" s="126"/>
      <c r="W563" s="126"/>
      <c r="Y563" s="126"/>
      <c r="AE563" s="126"/>
      <c r="AG563" s="126"/>
      <c r="AM563" s="126"/>
    </row>
    <row r="564" spans="9:39" x14ac:dyDescent="0.3">
      <c r="I564" s="126"/>
      <c r="O564" s="126"/>
      <c r="Q564" s="126"/>
      <c r="W564" s="126"/>
      <c r="Y564" s="126"/>
      <c r="AE564" s="126"/>
      <c r="AG564" s="126"/>
      <c r="AM564" s="126"/>
    </row>
    <row r="565" spans="9:39" x14ac:dyDescent="0.3">
      <c r="I565" s="126"/>
      <c r="O565" s="126"/>
      <c r="Q565" s="126"/>
      <c r="W565" s="126"/>
      <c r="Y565" s="126"/>
      <c r="AE565" s="126"/>
      <c r="AG565" s="126"/>
      <c r="AM565" s="126"/>
    </row>
    <row r="566" spans="9:39" x14ac:dyDescent="0.3">
      <c r="I566" s="126"/>
      <c r="O566" s="126"/>
      <c r="Q566" s="126"/>
      <c r="W566" s="126"/>
      <c r="Y566" s="126"/>
      <c r="AE566" s="126"/>
      <c r="AG566" s="126"/>
      <c r="AM566" s="126"/>
    </row>
    <row r="567" spans="9:39" x14ac:dyDescent="0.3">
      <c r="I567" s="126"/>
      <c r="O567" s="126"/>
      <c r="Q567" s="126"/>
      <c r="W567" s="126"/>
      <c r="Y567" s="126"/>
      <c r="AE567" s="126"/>
      <c r="AG567" s="126"/>
      <c r="AM567" s="126"/>
    </row>
    <row r="568" spans="9:39" x14ac:dyDescent="0.3">
      <c r="I568" s="126"/>
      <c r="O568" s="126"/>
      <c r="Q568" s="126"/>
      <c r="W568" s="126"/>
      <c r="Y568" s="126"/>
      <c r="AE568" s="126"/>
      <c r="AG568" s="126"/>
      <c r="AM568" s="126"/>
    </row>
    <row r="569" spans="9:39" x14ac:dyDescent="0.3">
      <c r="I569" s="126"/>
      <c r="O569" s="126"/>
      <c r="Q569" s="126"/>
      <c r="W569" s="126"/>
      <c r="Y569" s="126"/>
      <c r="AE569" s="126"/>
      <c r="AG569" s="126"/>
      <c r="AM569" s="126"/>
    </row>
    <row r="570" spans="9:39" x14ac:dyDescent="0.3">
      <c r="I570" s="126"/>
      <c r="O570" s="126"/>
      <c r="Q570" s="126"/>
      <c r="W570" s="126"/>
      <c r="Y570" s="126"/>
      <c r="AE570" s="126"/>
      <c r="AG570" s="126"/>
      <c r="AM570" s="126"/>
    </row>
    <row r="571" spans="9:39" x14ac:dyDescent="0.3">
      <c r="I571" s="126"/>
      <c r="O571" s="126"/>
      <c r="Q571" s="126"/>
      <c r="W571" s="126"/>
      <c r="Y571" s="126"/>
      <c r="AE571" s="126"/>
      <c r="AG571" s="126"/>
      <c r="AM571" s="126"/>
    </row>
    <row r="572" spans="9:39" x14ac:dyDescent="0.3">
      <c r="I572" s="126"/>
      <c r="O572" s="126"/>
      <c r="Q572" s="126"/>
      <c r="W572" s="126"/>
      <c r="Y572" s="126"/>
      <c r="AE572" s="126"/>
      <c r="AG572" s="126"/>
      <c r="AM572" s="126"/>
    </row>
    <row r="573" spans="9:39" x14ac:dyDescent="0.3">
      <c r="I573" s="126"/>
      <c r="O573" s="126"/>
      <c r="Q573" s="126"/>
      <c r="W573" s="126"/>
      <c r="Y573" s="126"/>
      <c r="AE573" s="126"/>
      <c r="AG573" s="126"/>
      <c r="AM573" s="126"/>
    </row>
    <row r="574" spans="9:39" x14ac:dyDescent="0.3">
      <c r="I574" s="126"/>
      <c r="O574" s="126"/>
      <c r="Q574" s="126"/>
      <c r="W574" s="126"/>
      <c r="Y574" s="126"/>
      <c r="AE574" s="126"/>
      <c r="AG574" s="126"/>
      <c r="AM574" s="126"/>
    </row>
    <row r="575" spans="9:39" x14ac:dyDescent="0.3">
      <c r="I575" s="126"/>
      <c r="O575" s="126"/>
      <c r="Q575" s="126"/>
      <c r="W575" s="126"/>
      <c r="Y575" s="126"/>
      <c r="AE575" s="126"/>
      <c r="AG575" s="126"/>
      <c r="AM575" s="126"/>
    </row>
    <row r="576" spans="9:39" x14ac:dyDescent="0.3">
      <c r="I576" s="126"/>
      <c r="O576" s="126"/>
      <c r="Q576" s="126"/>
      <c r="W576" s="126"/>
      <c r="Y576" s="126"/>
      <c r="AE576" s="126"/>
      <c r="AG576" s="126"/>
      <c r="AM576" s="126"/>
    </row>
    <row r="577" spans="9:39" x14ac:dyDescent="0.3">
      <c r="I577" s="126"/>
      <c r="O577" s="126"/>
      <c r="Q577" s="126"/>
      <c r="W577" s="126"/>
      <c r="Y577" s="126"/>
      <c r="AE577" s="126"/>
      <c r="AG577" s="126"/>
      <c r="AM577" s="126"/>
    </row>
    <row r="578" spans="9:39" x14ac:dyDescent="0.3">
      <c r="I578" s="126"/>
      <c r="O578" s="126"/>
      <c r="Q578" s="126"/>
      <c r="W578" s="126"/>
      <c r="Y578" s="126"/>
      <c r="AE578" s="126"/>
      <c r="AG578" s="126"/>
      <c r="AM578" s="126"/>
    </row>
    <row r="579" spans="9:39" x14ac:dyDescent="0.3">
      <c r="I579" s="126"/>
      <c r="O579" s="126"/>
      <c r="Q579" s="126"/>
      <c r="W579" s="126"/>
      <c r="Y579" s="126"/>
      <c r="AE579" s="126"/>
      <c r="AG579" s="126"/>
      <c r="AM579" s="126"/>
    </row>
    <row r="580" spans="9:39" x14ac:dyDescent="0.3">
      <c r="I580" s="126"/>
      <c r="O580" s="126"/>
      <c r="Q580" s="126"/>
      <c r="W580" s="126"/>
      <c r="Y580" s="126"/>
      <c r="AE580" s="126"/>
      <c r="AG580" s="126"/>
      <c r="AM580" s="126"/>
    </row>
    <row r="581" spans="9:39" x14ac:dyDescent="0.3">
      <c r="I581" s="126"/>
      <c r="O581" s="126"/>
      <c r="Q581" s="126"/>
      <c r="W581" s="126"/>
      <c r="Y581" s="126"/>
      <c r="AE581" s="126"/>
      <c r="AG581" s="126"/>
      <c r="AM581" s="126"/>
    </row>
    <row r="582" spans="9:39" x14ac:dyDescent="0.3">
      <c r="I582" s="126"/>
      <c r="O582" s="126"/>
      <c r="Q582" s="126"/>
      <c r="W582" s="126"/>
      <c r="Y582" s="126"/>
      <c r="AE582" s="126"/>
      <c r="AG582" s="126"/>
      <c r="AM582" s="126"/>
    </row>
    <row r="583" spans="9:39" x14ac:dyDescent="0.3">
      <c r="I583" s="126"/>
      <c r="O583" s="126"/>
      <c r="Q583" s="126"/>
      <c r="W583" s="126"/>
      <c r="Y583" s="126"/>
      <c r="AE583" s="126"/>
      <c r="AG583" s="126"/>
      <c r="AM583" s="126"/>
    </row>
    <row r="584" spans="9:39" x14ac:dyDescent="0.3">
      <c r="I584" s="126"/>
      <c r="O584" s="126"/>
      <c r="Q584" s="126"/>
      <c r="W584" s="126"/>
      <c r="Y584" s="126"/>
      <c r="AE584" s="126"/>
      <c r="AG584" s="126"/>
      <c r="AM584" s="126"/>
    </row>
    <row r="585" spans="9:39" x14ac:dyDescent="0.3">
      <c r="I585" s="126"/>
      <c r="O585" s="126"/>
      <c r="Q585" s="126"/>
      <c r="W585" s="126"/>
      <c r="Y585" s="126"/>
      <c r="AE585" s="126"/>
      <c r="AG585" s="126"/>
      <c r="AM585" s="126"/>
    </row>
    <row r="586" spans="9:39" x14ac:dyDescent="0.3">
      <c r="I586" s="126"/>
      <c r="O586" s="126"/>
      <c r="Q586" s="126"/>
      <c r="W586" s="126"/>
      <c r="Y586" s="126"/>
      <c r="AE586" s="126"/>
      <c r="AG586" s="126"/>
      <c r="AM586" s="126"/>
    </row>
    <row r="587" spans="9:39" x14ac:dyDescent="0.3">
      <c r="I587" s="126"/>
      <c r="O587" s="126"/>
      <c r="Q587" s="126"/>
      <c r="W587" s="126"/>
      <c r="Y587" s="126"/>
      <c r="AE587" s="126"/>
      <c r="AG587" s="126"/>
      <c r="AM587" s="126"/>
    </row>
    <row r="588" spans="9:39" x14ac:dyDescent="0.3">
      <c r="I588" s="126"/>
      <c r="O588" s="126"/>
      <c r="Q588" s="126"/>
      <c r="W588" s="126"/>
      <c r="Y588" s="126"/>
      <c r="AE588" s="126"/>
      <c r="AG588" s="126"/>
      <c r="AM588" s="126"/>
    </row>
    <row r="589" spans="9:39" x14ac:dyDescent="0.3">
      <c r="I589" s="126"/>
      <c r="O589" s="126"/>
      <c r="Q589" s="126"/>
      <c r="W589" s="126"/>
      <c r="Y589" s="126"/>
      <c r="AE589" s="126"/>
      <c r="AG589" s="126"/>
      <c r="AM589" s="126"/>
    </row>
    <row r="590" spans="9:39" x14ac:dyDescent="0.3">
      <c r="I590" s="126"/>
      <c r="O590" s="126"/>
      <c r="Q590" s="126"/>
      <c r="W590" s="126"/>
      <c r="Y590" s="126"/>
      <c r="AE590" s="126"/>
      <c r="AG590" s="126"/>
      <c r="AM590" s="126"/>
    </row>
    <row r="591" spans="9:39" x14ac:dyDescent="0.3">
      <c r="I591" s="126"/>
      <c r="O591" s="126"/>
      <c r="Q591" s="126"/>
      <c r="W591" s="126"/>
      <c r="Y591" s="126"/>
      <c r="AE591" s="126"/>
      <c r="AG591" s="126"/>
      <c r="AM591" s="126"/>
    </row>
    <row r="592" spans="9:39" x14ac:dyDescent="0.3">
      <c r="I592" s="126"/>
      <c r="O592" s="126"/>
      <c r="Q592" s="126"/>
      <c r="W592" s="126"/>
      <c r="Y592" s="126"/>
      <c r="AE592" s="126"/>
      <c r="AG592" s="126"/>
      <c r="AM592" s="126"/>
    </row>
    <row r="593" spans="9:39" x14ac:dyDescent="0.3">
      <c r="I593" s="126"/>
      <c r="O593" s="126"/>
      <c r="Q593" s="126"/>
      <c r="W593" s="126"/>
      <c r="Y593" s="126"/>
      <c r="AE593" s="126"/>
      <c r="AG593" s="126"/>
      <c r="AM593" s="126"/>
    </row>
    <row r="594" spans="9:39" x14ac:dyDescent="0.3">
      <c r="I594" s="126"/>
      <c r="O594" s="126"/>
      <c r="Q594" s="126"/>
      <c r="W594" s="126"/>
      <c r="Y594" s="126"/>
      <c r="AE594" s="126"/>
      <c r="AG594" s="126"/>
      <c r="AM594" s="126"/>
    </row>
    <row r="595" spans="9:39" x14ac:dyDescent="0.3">
      <c r="I595" s="126"/>
      <c r="O595" s="126"/>
      <c r="Q595" s="126"/>
      <c r="W595" s="126"/>
      <c r="Y595" s="126"/>
      <c r="AE595" s="126"/>
      <c r="AG595" s="126"/>
      <c r="AM595" s="126"/>
    </row>
    <row r="596" spans="9:39" x14ac:dyDescent="0.3">
      <c r="I596" s="126"/>
      <c r="O596" s="126"/>
      <c r="Q596" s="126"/>
      <c r="W596" s="126"/>
      <c r="Y596" s="126"/>
      <c r="AE596" s="126"/>
      <c r="AG596" s="126"/>
      <c r="AM596" s="126"/>
    </row>
    <row r="597" spans="9:39" x14ac:dyDescent="0.3">
      <c r="I597" s="126"/>
      <c r="O597" s="126"/>
      <c r="Q597" s="126"/>
      <c r="W597" s="126"/>
      <c r="Y597" s="126"/>
      <c r="AE597" s="126"/>
      <c r="AG597" s="126"/>
      <c r="AM597" s="126"/>
    </row>
    <row r="598" spans="9:39" x14ac:dyDescent="0.3">
      <c r="I598" s="126"/>
      <c r="O598" s="126"/>
      <c r="Q598" s="126"/>
      <c r="W598" s="126"/>
      <c r="Y598" s="126"/>
      <c r="AE598" s="126"/>
      <c r="AG598" s="126"/>
      <c r="AM598" s="126"/>
    </row>
    <row r="599" spans="9:39" x14ac:dyDescent="0.3">
      <c r="I599" s="126"/>
      <c r="O599" s="126"/>
      <c r="Q599" s="126"/>
      <c r="W599" s="126"/>
      <c r="Y599" s="126"/>
      <c r="AE599" s="126"/>
      <c r="AG599" s="126"/>
      <c r="AM599" s="126"/>
    </row>
    <row r="600" spans="9:39" x14ac:dyDescent="0.3">
      <c r="I600" s="126"/>
      <c r="O600" s="126"/>
      <c r="Q600" s="126"/>
      <c r="W600" s="126"/>
      <c r="Y600" s="126"/>
      <c r="AE600" s="126"/>
      <c r="AG600" s="126"/>
      <c r="AM600" s="126"/>
    </row>
    <row r="601" spans="9:39" x14ac:dyDescent="0.3">
      <c r="I601" s="126"/>
      <c r="O601" s="126"/>
      <c r="Q601" s="126"/>
      <c r="W601" s="126"/>
      <c r="Y601" s="126"/>
      <c r="AE601" s="126"/>
      <c r="AG601" s="126"/>
      <c r="AM601" s="126"/>
    </row>
    <row r="602" spans="9:39" x14ac:dyDescent="0.3">
      <c r="I602" s="126"/>
      <c r="O602" s="126"/>
      <c r="Q602" s="126"/>
      <c r="W602" s="126"/>
      <c r="Y602" s="126"/>
      <c r="AE602" s="126"/>
      <c r="AG602" s="126"/>
      <c r="AM602" s="126"/>
    </row>
    <row r="603" spans="9:39" x14ac:dyDescent="0.3">
      <c r="I603" s="126"/>
      <c r="O603" s="126"/>
      <c r="Q603" s="126"/>
      <c r="W603" s="126"/>
      <c r="Y603" s="126"/>
      <c r="AE603" s="126"/>
      <c r="AG603" s="126"/>
      <c r="AM603" s="126"/>
    </row>
    <row r="604" spans="9:39" x14ac:dyDescent="0.3">
      <c r="I604" s="126"/>
      <c r="O604" s="126"/>
      <c r="Q604" s="126"/>
      <c r="W604" s="126"/>
      <c r="Y604" s="126"/>
      <c r="AE604" s="126"/>
      <c r="AG604" s="126"/>
      <c r="AM604" s="126"/>
    </row>
    <row r="605" spans="9:39" x14ac:dyDescent="0.3">
      <c r="I605" s="126"/>
      <c r="O605" s="126"/>
      <c r="Q605" s="126"/>
      <c r="W605" s="126"/>
      <c r="Y605" s="126"/>
      <c r="AE605" s="126"/>
      <c r="AG605" s="126"/>
      <c r="AM605" s="126"/>
    </row>
    <row r="606" spans="9:39" x14ac:dyDescent="0.3">
      <c r="I606" s="126"/>
      <c r="O606" s="126"/>
      <c r="Q606" s="126"/>
      <c r="W606" s="126"/>
      <c r="Y606" s="126"/>
      <c r="AE606" s="126"/>
      <c r="AG606" s="126"/>
      <c r="AM606" s="126"/>
    </row>
    <row r="607" spans="9:39" x14ac:dyDescent="0.3">
      <c r="I607" s="126"/>
      <c r="O607" s="126"/>
      <c r="Q607" s="126"/>
      <c r="W607" s="126"/>
      <c r="Y607" s="126"/>
      <c r="AE607" s="126"/>
      <c r="AG607" s="126"/>
      <c r="AM607" s="126"/>
    </row>
    <row r="608" spans="9:39" x14ac:dyDescent="0.3">
      <c r="I608" s="126"/>
      <c r="O608" s="126"/>
      <c r="Q608" s="126"/>
      <c r="W608" s="126"/>
      <c r="Y608" s="126"/>
      <c r="AE608" s="126"/>
      <c r="AG608" s="126"/>
      <c r="AM608" s="126"/>
    </row>
    <row r="609" spans="9:39" x14ac:dyDescent="0.3">
      <c r="I609" s="126"/>
      <c r="O609" s="126"/>
      <c r="Q609" s="126"/>
      <c r="W609" s="126"/>
      <c r="Y609" s="126"/>
      <c r="AE609" s="126"/>
      <c r="AG609" s="126"/>
      <c r="AM609" s="126"/>
    </row>
    <row r="610" spans="9:39" x14ac:dyDescent="0.3">
      <c r="I610" s="126"/>
      <c r="O610" s="126"/>
      <c r="Q610" s="126"/>
      <c r="W610" s="126"/>
      <c r="Y610" s="126"/>
      <c r="AE610" s="126"/>
      <c r="AG610" s="126"/>
      <c r="AM610" s="126"/>
    </row>
    <row r="611" spans="9:39" x14ac:dyDescent="0.3">
      <c r="I611" s="126"/>
      <c r="O611" s="126"/>
      <c r="Q611" s="126"/>
      <c r="W611" s="126"/>
      <c r="Y611" s="126"/>
      <c r="AE611" s="126"/>
      <c r="AG611" s="126"/>
      <c r="AM611" s="126"/>
    </row>
    <row r="612" spans="9:39" x14ac:dyDescent="0.3">
      <c r="I612" s="126"/>
      <c r="O612" s="126"/>
      <c r="Q612" s="126"/>
      <c r="W612" s="126"/>
      <c r="Y612" s="126"/>
      <c r="AE612" s="126"/>
      <c r="AG612" s="126"/>
      <c r="AM612" s="126"/>
    </row>
    <row r="613" spans="9:39" x14ac:dyDescent="0.3">
      <c r="I613" s="126"/>
      <c r="O613" s="126"/>
      <c r="Q613" s="126"/>
      <c r="W613" s="126"/>
      <c r="Y613" s="126"/>
      <c r="AE613" s="126"/>
      <c r="AG613" s="126"/>
      <c r="AM613" s="126"/>
    </row>
    <row r="614" spans="9:39" x14ac:dyDescent="0.3">
      <c r="I614" s="126"/>
      <c r="O614" s="126"/>
      <c r="Q614" s="126"/>
      <c r="W614" s="126"/>
      <c r="Y614" s="126"/>
      <c r="AE614" s="126"/>
      <c r="AG614" s="126"/>
      <c r="AM614" s="126"/>
    </row>
    <row r="615" spans="9:39" x14ac:dyDescent="0.3">
      <c r="I615" s="126"/>
      <c r="O615" s="126"/>
      <c r="Q615" s="126"/>
      <c r="W615" s="126"/>
      <c r="Y615" s="126"/>
      <c r="AE615" s="126"/>
      <c r="AG615" s="126"/>
      <c r="AM615" s="126"/>
    </row>
    <row r="616" spans="9:39" x14ac:dyDescent="0.3">
      <c r="I616" s="126"/>
      <c r="O616" s="126"/>
      <c r="Q616" s="126"/>
      <c r="W616" s="126"/>
      <c r="Y616" s="126"/>
      <c r="AE616" s="126"/>
      <c r="AG616" s="126"/>
      <c r="AM616" s="126"/>
    </row>
    <row r="617" spans="9:39" x14ac:dyDescent="0.3">
      <c r="I617" s="126"/>
      <c r="O617" s="126"/>
      <c r="Q617" s="126"/>
      <c r="W617" s="126"/>
      <c r="Y617" s="126"/>
      <c r="AE617" s="126"/>
      <c r="AG617" s="126"/>
      <c r="AM617" s="126"/>
    </row>
    <row r="618" spans="9:39" x14ac:dyDescent="0.3">
      <c r="I618" s="126"/>
      <c r="O618" s="126"/>
      <c r="Q618" s="126"/>
      <c r="W618" s="126"/>
      <c r="Y618" s="126"/>
      <c r="AE618" s="126"/>
      <c r="AG618" s="126"/>
      <c r="AM618" s="126"/>
    </row>
    <row r="619" spans="9:39" x14ac:dyDescent="0.3">
      <c r="I619" s="126"/>
      <c r="O619" s="126"/>
      <c r="Q619" s="126"/>
      <c r="W619" s="126"/>
      <c r="Y619" s="126"/>
      <c r="AE619" s="126"/>
      <c r="AG619" s="126"/>
      <c r="AM619" s="126"/>
    </row>
    <row r="620" spans="9:39" x14ac:dyDescent="0.3">
      <c r="I620" s="126"/>
      <c r="O620" s="126"/>
      <c r="Q620" s="126"/>
      <c r="W620" s="126"/>
      <c r="Y620" s="126"/>
      <c r="AE620" s="126"/>
      <c r="AG620" s="126"/>
      <c r="AM620" s="126"/>
    </row>
    <row r="621" spans="9:39" x14ac:dyDescent="0.3">
      <c r="I621" s="126"/>
      <c r="O621" s="126"/>
      <c r="Q621" s="126"/>
      <c r="W621" s="126"/>
      <c r="Y621" s="126"/>
      <c r="AE621" s="126"/>
      <c r="AG621" s="126"/>
      <c r="AM621" s="126"/>
    </row>
    <row r="622" spans="9:39" x14ac:dyDescent="0.3">
      <c r="I622" s="126"/>
      <c r="O622" s="126"/>
      <c r="Q622" s="126"/>
      <c r="W622" s="126"/>
      <c r="Y622" s="126"/>
      <c r="AE622" s="126"/>
      <c r="AG622" s="126"/>
      <c r="AM622" s="126"/>
    </row>
    <row r="623" spans="9:39" x14ac:dyDescent="0.3">
      <c r="I623" s="126"/>
      <c r="O623" s="126"/>
      <c r="Q623" s="126"/>
      <c r="W623" s="126"/>
      <c r="Y623" s="126"/>
      <c r="AE623" s="126"/>
      <c r="AG623" s="126"/>
      <c r="AM623" s="126"/>
    </row>
    <row r="624" spans="9:39" x14ac:dyDescent="0.3">
      <c r="I624" s="126"/>
      <c r="O624" s="126"/>
      <c r="Q624" s="126"/>
      <c r="W624" s="126"/>
      <c r="Y624" s="126"/>
      <c r="AE624" s="126"/>
      <c r="AG624" s="126"/>
      <c r="AM624" s="126"/>
    </row>
    <row r="625" spans="9:39" x14ac:dyDescent="0.3">
      <c r="I625" s="126"/>
      <c r="O625" s="126"/>
      <c r="Q625" s="126"/>
      <c r="W625" s="126"/>
      <c r="Y625" s="126"/>
      <c r="AE625" s="126"/>
      <c r="AG625" s="126"/>
      <c r="AM625" s="126"/>
    </row>
    <row r="626" spans="9:39" x14ac:dyDescent="0.3">
      <c r="I626" s="126"/>
      <c r="O626" s="126"/>
      <c r="Q626" s="126"/>
      <c r="W626" s="126"/>
      <c r="Y626" s="126"/>
      <c r="AE626" s="126"/>
      <c r="AG626" s="126"/>
      <c r="AM626" s="126"/>
    </row>
    <row r="627" spans="9:39" x14ac:dyDescent="0.3">
      <c r="I627" s="126"/>
      <c r="O627" s="126"/>
      <c r="Q627" s="126"/>
      <c r="W627" s="126"/>
      <c r="Y627" s="126"/>
      <c r="AE627" s="126"/>
      <c r="AG627" s="126"/>
      <c r="AM627" s="126"/>
    </row>
    <row r="628" spans="9:39" x14ac:dyDescent="0.3">
      <c r="I628" s="126"/>
      <c r="O628" s="126"/>
      <c r="Q628" s="126"/>
      <c r="W628" s="126"/>
      <c r="Y628" s="126"/>
      <c r="AE628" s="126"/>
      <c r="AG628" s="126"/>
      <c r="AM628" s="126"/>
    </row>
    <row r="629" spans="9:39" x14ac:dyDescent="0.3">
      <c r="I629" s="126"/>
      <c r="O629" s="126"/>
      <c r="Q629" s="126"/>
      <c r="W629" s="126"/>
      <c r="Y629" s="126"/>
      <c r="AE629" s="126"/>
      <c r="AG629" s="126"/>
      <c r="AM629" s="126"/>
    </row>
    <row r="630" spans="9:39" x14ac:dyDescent="0.3">
      <c r="I630" s="126"/>
      <c r="O630" s="126"/>
      <c r="Q630" s="126"/>
      <c r="W630" s="126"/>
      <c r="Y630" s="126"/>
      <c r="AE630" s="126"/>
      <c r="AG630" s="126"/>
      <c r="AM630" s="126"/>
    </row>
    <row r="631" spans="9:39" x14ac:dyDescent="0.3">
      <c r="I631" s="126"/>
      <c r="O631" s="126"/>
      <c r="Q631" s="126"/>
      <c r="W631" s="126"/>
      <c r="Y631" s="126"/>
      <c r="AE631" s="126"/>
      <c r="AG631" s="126"/>
      <c r="AM631" s="126"/>
    </row>
    <row r="632" spans="9:39" x14ac:dyDescent="0.3">
      <c r="I632" s="126"/>
      <c r="O632" s="126"/>
      <c r="Q632" s="126"/>
      <c r="W632" s="126"/>
      <c r="Y632" s="126"/>
      <c r="AE632" s="126"/>
      <c r="AG632" s="126"/>
      <c r="AM632" s="126"/>
    </row>
    <row r="633" spans="9:39" x14ac:dyDescent="0.3">
      <c r="I633" s="126"/>
      <c r="O633" s="126"/>
      <c r="Q633" s="126"/>
      <c r="W633" s="126"/>
      <c r="Y633" s="126"/>
      <c r="AE633" s="126"/>
      <c r="AG633" s="126"/>
      <c r="AM633" s="126"/>
    </row>
    <row r="634" spans="9:39" x14ac:dyDescent="0.3">
      <c r="I634" s="126"/>
      <c r="O634" s="126"/>
      <c r="Q634" s="126"/>
      <c r="W634" s="126"/>
      <c r="Y634" s="126"/>
      <c r="AE634" s="126"/>
      <c r="AG634" s="126"/>
      <c r="AM634" s="126"/>
    </row>
    <row r="635" spans="9:39" x14ac:dyDescent="0.3">
      <c r="I635" s="126"/>
      <c r="O635" s="126"/>
      <c r="Q635" s="126"/>
      <c r="W635" s="126"/>
      <c r="Y635" s="126"/>
      <c r="AE635" s="126"/>
      <c r="AG635" s="126"/>
      <c r="AM635" s="126"/>
    </row>
    <row r="636" spans="9:39" x14ac:dyDescent="0.3">
      <c r="I636" s="126"/>
      <c r="O636" s="126"/>
      <c r="Q636" s="126"/>
      <c r="W636" s="126"/>
      <c r="Y636" s="126"/>
      <c r="AE636" s="126"/>
      <c r="AG636" s="126"/>
      <c r="AM636" s="126"/>
    </row>
    <row r="637" spans="9:39" x14ac:dyDescent="0.3">
      <c r="I637" s="126"/>
      <c r="O637" s="126"/>
      <c r="Q637" s="126"/>
      <c r="W637" s="126"/>
      <c r="Y637" s="126"/>
      <c r="AE637" s="126"/>
      <c r="AG637" s="126"/>
      <c r="AM637" s="126"/>
    </row>
    <row r="638" spans="9:39" x14ac:dyDescent="0.3">
      <c r="I638" s="126"/>
      <c r="O638" s="126"/>
      <c r="Q638" s="126"/>
      <c r="W638" s="126"/>
      <c r="Y638" s="126"/>
      <c r="AE638" s="126"/>
      <c r="AG638" s="126"/>
      <c r="AM638" s="126"/>
    </row>
    <row r="639" spans="9:39" x14ac:dyDescent="0.3">
      <c r="I639" s="126"/>
      <c r="O639" s="126"/>
      <c r="Q639" s="126"/>
      <c r="W639" s="126"/>
      <c r="Y639" s="126"/>
      <c r="AE639" s="126"/>
      <c r="AG639" s="126"/>
      <c r="AM639" s="126"/>
    </row>
    <row r="640" spans="9:39" x14ac:dyDescent="0.3">
      <c r="I640" s="126"/>
      <c r="O640" s="126"/>
      <c r="Q640" s="126"/>
      <c r="W640" s="126"/>
      <c r="Y640" s="126"/>
      <c r="AE640" s="126"/>
      <c r="AG640" s="126"/>
      <c r="AM640" s="126"/>
    </row>
    <row r="641" spans="9:39" x14ac:dyDescent="0.3">
      <c r="I641" s="126"/>
      <c r="O641" s="126"/>
      <c r="Q641" s="126"/>
      <c r="W641" s="126"/>
      <c r="Y641" s="126"/>
      <c r="AE641" s="126"/>
      <c r="AG641" s="126"/>
      <c r="AM641" s="126"/>
    </row>
    <row r="642" spans="9:39" x14ac:dyDescent="0.3">
      <c r="I642" s="126"/>
      <c r="O642" s="126"/>
      <c r="Q642" s="126"/>
      <c r="W642" s="126"/>
      <c r="Y642" s="126"/>
      <c r="AE642" s="126"/>
      <c r="AG642" s="126"/>
      <c r="AM642" s="126"/>
    </row>
    <row r="643" spans="9:39" x14ac:dyDescent="0.3">
      <c r="I643" s="126"/>
      <c r="O643" s="126"/>
      <c r="Q643" s="126"/>
      <c r="W643" s="126"/>
      <c r="Y643" s="126"/>
      <c r="AE643" s="126"/>
      <c r="AG643" s="126"/>
      <c r="AM643" s="126"/>
    </row>
    <row r="644" spans="9:39" x14ac:dyDescent="0.3">
      <c r="I644" s="126"/>
      <c r="O644" s="126"/>
      <c r="Q644" s="126"/>
      <c r="W644" s="126"/>
      <c r="Y644" s="126"/>
      <c r="AE644" s="126"/>
      <c r="AG644" s="126"/>
      <c r="AM644" s="126"/>
    </row>
    <row r="645" spans="9:39" x14ac:dyDescent="0.3">
      <c r="I645" s="126"/>
      <c r="O645" s="126"/>
      <c r="Q645" s="126"/>
      <c r="W645" s="126"/>
      <c r="Y645" s="126"/>
      <c r="AE645" s="126"/>
      <c r="AG645" s="126"/>
      <c r="AM645" s="126"/>
    </row>
    <row r="646" spans="9:39" x14ac:dyDescent="0.3">
      <c r="I646" s="126"/>
      <c r="O646" s="126"/>
      <c r="Q646" s="126"/>
      <c r="W646" s="126"/>
      <c r="Y646" s="126"/>
      <c r="AE646" s="126"/>
      <c r="AG646" s="126"/>
      <c r="AM646" s="126"/>
    </row>
    <row r="647" spans="9:39" x14ac:dyDescent="0.3">
      <c r="I647" s="126"/>
      <c r="O647" s="126"/>
      <c r="Q647" s="126"/>
      <c r="W647" s="126"/>
      <c r="Y647" s="126"/>
      <c r="AE647" s="126"/>
      <c r="AG647" s="126"/>
      <c r="AM647" s="126"/>
    </row>
    <row r="648" spans="9:39" x14ac:dyDescent="0.3">
      <c r="I648" s="126"/>
      <c r="O648" s="126"/>
      <c r="Q648" s="126"/>
      <c r="W648" s="126"/>
      <c r="Y648" s="126"/>
      <c r="AE648" s="126"/>
      <c r="AG648" s="126"/>
      <c r="AM648" s="126"/>
    </row>
    <row r="649" spans="9:39" x14ac:dyDescent="0.3">
      <c r="I649" s="126"/>
      <c r="O649" s="126"/>
      <c r="Q649" s="126"/>
      <c r="W649" s="126"/>
      <c r="Y649" s="126"/>
      <c r="AE649" s="126"/>
      <c r="AG649" s="126"/>
      <c r="AM649" s="126"/>
    </row>
    <row r="650" spans="9:39" x14ac:dyDescent="0.3">
      <c r="I650" s="126"/>
      <c r="O650" s="126"/>
      <c r="Q650" s="126"/>
      <c r="W650" s="126"/>
      <c r="Y650" s="126"/>
      <c r="AE650" s="126"/>
      <c r="AG650" s="126"/>
      <c r="AM650" s="126"/>
    </row>
    <row r="651" spans="9:39" x14ac:dyDescent="0.3">
      <c r="I651" s="126"/>
      <c r="O651" s="126"/>
      <c r="Q651" s="126"/>
      <c r="W651" s="126"/>
      <c r="Y651" s="126"/>
      <c r="AE651" s="126"/>
      <c r="AG651" s="126"/>
      <c r="AM651" s="126"/>
    </row>
    <row r="652" spans="9:39" x14ac:dyDescent="0.3">
      <c r="I652" s="126"/>
      <c r="O652" s="126"/>
      <c r="Q652" s="126"/>
      <c r="W652" s="126"/>
      <c r="Y652" s="126"/>
      <c r="AE652" s="126"/>
      <c r="AG652" s="126"/>
      <c r="AM652" s="126"/>
    </row>
    <row r="653" spans="9:39" x14ac:dyDescent="0.3">
      <c r="I653" s="126"/>
      <c r="O653" s="126"/>
      <c r="Q653" s="126"/>
      <c r="W653" s="126"/>
      <c r="Y653" s="126"/>
      <c r="AE653" s="126"/>
      <c r="AG653" s="126"/>
      <c r="AM653" s="126"/>
    </row>
    <row r="654" spans="9:39" x14ac:dyDescent="0.3">
      <c r="I654" s="126"/>
      <c r="O654" s="126"/>
      <c r="Q654" s="126"/>
      <c r="W654" s="126"/>
      <c r="Y654" s="126"/>
      <c r="AE654" s="126"/>
      <c r="AG654" s="126"/>
      <c r="AM654" s="126"/>
    </row>
    <row r="655" spans="9:39" x14ac:dyDescent="0.3">
      <c r="I655" s="126"/>
      <c r="O655" s="126"/>
      <c r="Q655" s="126"/>
      <c r="W655" s="126"/>
      <c r="Y655" s="126"/>
      <c r="AE655" s="126"/>
      <c r="AG655" s="126"/>
      <c r="AM655" s="126"/>
    </row>
    <row r="656" spans="9:39" x14ac:dyDescent="0.3">
      <c r="I656" s="126"/>
      <c r="O656" s="126"/>
      <c r="Q656" s="126"/>
      <c r="W656" s="126"/>
      <c r="Y656" s="126"/>
      <c r="AE656" s="126"/>
      <c r="AG656" s="126"/>
      <c r="AM656" s="126"/>
    </row>
    <row r="657" spans="9:39" x14ac:dyDescent="0.3">
      <c r="I657" s="126"/>
      <c r="O657" s="126"/>
      <c r="Q657" s="126"/>
      <c r="W657" s="126"/>
      <c r="Y657" s="126"/>
      <c r="AE657" s="126"/>
      <c r="AG657" s="126"/>
      <c r="AM657" s="126"/>
    </row>
    <row r="658" spans="9:39" x14ac:dyDescent="0.3">
      <c r="I658" s="126"/>
      <c r="O658" s="126"/>
      <c r="Q658" s="126"/>
      <c r="W658" s="126"/>
      <c r="Y658" s="126"/>
      <c r="AE658" s="126"/>
      <c r="AG658" s="126"/>
      <c r="AM658" s="126"/>
    </row>
    <row r="659" spans="9:39" x14ac:dyDescent="0.3">
      <c r="I659" s="126"/>
      <c r="O659" s="126"/>
      <c r="Q659" s="126"/>
      <c r="W659" s="126"/>
      <c r="Y659" s="126"/>
      <c r="AE659" s="126"/>
      <c r="AG659" s="126"/>
      <c r="AM659" s="126"/>
    </row>
    <row r="660" spans="9:39" x14ac:dyDescent="0.3">
      <c r="I660" s="126"/>
      <c r="O660" s="126"/>
      <c r="Q660" s="126"/>
      <c r="W660" s="126"/>
      <c r="Y660" s="126"/>
      <c r="AE660" s="126"/>
      <c r="AG660" s="126"/>
      <c r="AM660" s="126"/>
    </row>
    <row r="661" spans="9:39" x14ac:dyDescent="0.3">
      <c r="I661" s="126"/>
      <c r="O661" s="126"/>
      <c r="Q661" s="126"/>
      <c r="W661" s="126"/>
      <c r="Y661" s="126"/>
      <c r="AE661" s="126"/>
      <c r="AG661" s="126"/>
      <c r="AM661" s="126"/>
    </row>
    <row r="662" spans="9:39" x14ac:dyDescent="0.3">
      <c r="I662" s="126"/>
      <c r="O662" s="126"/>
      <c r="Q662" s="126"/>
      <c r="W662" s="126"/>
      <c r="Y662" s="126"/>
      <c r="AE662" s="126"/>
      <c r="AG662" s="126"/>
      <c r="AM662" s="126"/>
    </row>
    <row r="663" spans="9:39" x14ac:dyDescent="0.3">
      <c r="I663" s="126"/>
      <c r="O663" s="126"/>
      <c r="Q663" s="126"/>
      <c r="W663" s="126"/>
      <c r="Y663" s="126"/>
      <c r="AE663" s="126"/>
      <c r="AG663" s="126"/>
      <c r="AM663" s="126"/>
    </row>
    <row r="664" spans="9:39" x14ac:dyDescent="0.3">
      <c r="I664" s="126"/>
      <c r="O664" s="126"/>
      <c r="Q664" s="126"/>
      <c r="W664" s="126"/>
      <c r="Y664" s="126"/>
      <c r="AE664" s="126"/>
      <c r="AG664" s="126"/>
      <c r="AM664" s="126"/>
    </row>
    <row r="665" spans="9:39" x14ac:dyDescent="0.3">
      <c r="I665" s="126"/>
      <c r="O665" s="126"/>
      <c r="Q665" s="126"/>
      <c r="W665" s="126"/>
      <c r="Y665" s="126"/>
      <c r="AE665" s="126"/>
      <c r="AG665" s="126"/>
      <c r="AM665" s="126"/>
    </row>
    <row r="666" spans="9:39" x14ac:dyDescent="0.3">
      <c r="I666" s="126"/>
      <c r="O666" s="126"/>
      <c r="Q666" s="126"/>
      <c r="W666" s="126"/>
      <c r="Y666" s="126"/>
      <c r="AE666" s="126"/>
      <c r="AG666" s="126"/>
      <c r="AM666" s="126"/>
    </row>
    <row r="667" spans="9:39" x14ac:dyDescent="0.3">
      <c r="I667" s="126"/>
      <c r="O667" s="126"/>
      <c r="Q667" s="126"/>
      <c r="W667" s="126"/>
      <c r="Y667" s="126"/>
      <c r="AE667" s="126"/>
      <c r="AG667" s="126"/>
      <c r="AM667" s="126"/>
    </row>
    <row r="668" spans="9:39" x14ac:dyDescent="0.3">
      <c r="I668" s="126"/>
      <c r="O668" s="126"/>
      <c r="Q668" s="126"/>
      <c r="W668" s="126"/>
      <c r="Y668" s="126"/>
      <c r="AE668" s="126"/>
      <c r="AG668" s="126"/>
      <c r="AM668" s="126"/>
    </row>
    <row r="669" spans="9:39" x14ac:dyDescent="0.3">
      <c r="I669" s="126"/>
      <c r="O669" s="126"/>
      <c r="Q669" s="126"/>
      <c r="W669" s="126"/>
      <c r="Y669" s="126"/>
      <c r="AE669" s="126"/>
      <c r="AG669" s="126"/>
      <c r="AM669" s="126"/>
    </row>
    <row r="670" spans="9:39" x14ac:dyDescent="0.3">
      <c r="I670" s="126"/>
      <c r="O670" s="126"/>
      <c r="Q670" s="126"/>
      <c r="W670" s="126"/>
      <c r="Y670" s="126"/>
      <c r="AE670" s="126"/>
      <c r="AG670" s="126"/>
      <c r="AM670" s="126"/>
    </row>
    <row r="671" spans="9:39" x14ac:dyDescent="0.3">
      <c r="I671" s="126"/>
      <c r="O671" s="126"/>
      <c r="Q671" s="126"/>
      <c r="W671" s="126"/>
      <c r="Y671" s="126"/>
      <c r="AE671" s="126"/>
      <c r="AG671" s="126"/>
      <c r="AM671" s="126"/>
    </row>
    <row r="672" spans="9:39" x14ac:dyDescent="0.3">
      <c r="I672" s="126"/>
      <c r="O672" s="126"/>
      <c r="Q672" s="126"/>
      <c r="W672" s="126"/>
      <c r="Y672" s="126"/>
      <c r="AE672" s="126"/>
      <c r="AG672" s="126"/>
      <c r="AM672" s="126"/>
    </row>
    <row r="673" spans="9:39" x14ac:dyDescent="0.3">
      <c r="I673" s="126"/>
      <c r="O673" s="126"/>
      <c r="Q673" s="126"/>
      <c r="W673" s="126"/>
      <c r="Y673" s="126"/>
      <c r="AE673" s="126"/>
      <c r="AG673" s="126"/>
      <c r="AM673" s="126"/>
    </row>
    <row r="674" spans="9:39" x14ac:dyDescent="0.3">
      <c r="I674" s="126"/>
      <c r="O674" s="126"/>
      <c r="Q674" s="126"/>
      <c r="W674" s="126"/>
      <c r="Y674" s="126"/>
      <c r="AE674" s="126"/>
      <c r="AG674" s="126"/>
      <c r="AM674" s="126"/>
    </row>
    <row r="675" spans="9:39" x14ac:dyDescent="0.3">
      <c r="I675" s="126"/>
      <c r="O675" s="126"/>
      <c r="Q675" s="126"/>
      <c r="W675" s="126"/>
      <c r="Y675" s="126"/>
      <c r="AE675" s="126"/>
      <c r="AG675" s="126"/>
      <c r="AM675" s="126"/>
    </row>
    <row r="676" spans="9:39" x14ac:dyDescent="0.3">
      <c r="I676" s="126"/>
      <c r="O676" s="126"/>
      <c r="Q676" s="126"/>
      <c r="W676" s="126"/>
      <c r="Y676" s="126"/>
      <c r="AE676" s="126"/>
      <c r="AG676" s="126"/>
      <c r="AM676" s="126"/>
    </row>
    <row r="677" spans="9:39" x14ac:dyDescent="0.3">
      <c r="I677" s="126"/>
      <c r="O677" s="126"/>
      <c r="Q677" s="126"/>
      <c r="W677" s="126"/>
      <c r="Y677" s="126"/>
      <c r="AE677" s="126"/>
      <c r="AG677" s="126"/>
      <c r="AM677" s="126"/>
    </row>
    <row r="678" spans="9:39" x14ac:dyDescent="0.3">
      <c r="I678" s="126"/>
      <c r="O678" s="126"/>
      <c r="Q678" s="126"/>
      <c r="W678" s="126"/>
      <c r="Y678" s="126"/>
      <c r="AE678" s="126"/>
      <c r="AG678" s="126"/>
      <c r="AM678" s="126"/>
    </row>
    <row r="679" spans="9:39" x14ac:dyDescent="0.3">
      <c r="I679" s="126"/>
      <c r="O679" s="126"/>
      <c r="Q679" s="126"/>
      <c r="W679" s="126"/>
      <c r="Y679" s="126"/>
      <c r="AE679" s="126"/>
      <c r="AG679" s="126"/>
      <c r="AM679" s="126"/>
    </row>
    <row r="680" spans="9:39" x14ac:dyDescent="0.3">
      <c r="I680" s="126"/>
      <c r="O680" s="126"/>
      <c r="Q680" s="126"/>
      <c r="W680" s="126"/>
      <c r="Y680" s="126"/>
      <c r="AE680" s="126"/>
      <c r="AG680" s="126"/>
      <c r="AM680" s="126"/>
    </row>
    <row r="681" spans="9:39" x14ac:dyDescent="0.3">
      <c r="I681" s="126"/>
      <c r="O681" s="126"/>
      <c r="Q681" s="126"/>
      <c r="W681" s="126"/>
      <c r="Y681" s="126"/>
      <c r="AE681" s="126"/>
      <c r="AG681" s="126"/>
      <c r="AM681" s="126"/>
    </row>
    <row r="682" spans="9:39" x14ac:dyDescent="0.3">
      <c r="I682" s="126"/>
      <c r="O682" s="126"/>
      <c r="Q682" s="126"/>
      <c r="W682" s="126"/>
      <c r="Y682" s="126"/>
      <c r="AE682" s="126"/>
      <c r="AG682" s="126"/>
      <c r="AM682" s="126"/>
    </row>
    <row r="683" spans="9:39" x14ac:dyDescent="0.3">
      <c r="I683" s="126"/>
      <c r="O683" s="126"/>
      <c r="Q683" s="126"/>
      <c r="W683" s="126"/>
      <c r="Y683" s="126"/>
      <c r="AE683" s="126"/>
      <c r="AG683" s="126"/>
      <c r="AM683" s="126"/>
    </row>
    <row r="684" spans="9:39" x14ac:dyDescent="0.3">
      <c r="I684" s="126"/>
      <c r="O684" s="126"/>
      <c r="Q684" s="126"/>
      <c r="W684" s="126"/>
      <c r="Y684" s="126"/>
      <c r="AE684" s="126"/>
      <c r="AG684" s="126"/>
      <c r="AM684" s="126"/>
    </row>
    <row r="685" spans="9:39" x14ac:dyDescent="0.3">
      <c r="I685" s="126"/>
      <c r="O685" s="126"/>
      <c r="Q685" s="126"/>
      <c r="W685" s="126"/>
      <c r="Y685" s="126"/>
      <c r="AE685" s="126"/>
      <c r="AG685" s="126"/>
      <c r="AM685" s="126"/>
    </row>
    <row r="686" spans="9:39" x14ac:dyDescent="0.3">
      <c r="I686" s="126"/>
      <c r="O686" s="126"/>
      <c r="Q686" s="126"/>
      <c r="W686" s="126"/>
      <c r="Y686" s="126"/>
      <c r="AE686" s="126"/>
      <c r="AG686" s="126"/>
      <c r="AM686" s="126"/>
    </row>
    <row r="687" spans="9:39" x14ac:dyDescent="0.3">
      <c r="I687" s="126"/>
      <c r="O687" s="126"/>
      <c r="Q687" s="126"/>
      <c r="W687" s="126"/>
      <c r="Y687" s="126"/>
      <c r="AE687" s="126"/>
      <c r="AG687" s="126"/>
      <c r="AM687" s="126"/>
    </row>
    <row r="688" spans="9:39" x14ac:dyDescent="0.3">
      <c r="I688" s="126"/>
      <c r="O688" s="126"/>
      <c r="Q688" s="126"/>
      <c r="W688" s="126"/>
      <c r="Y688" s="126"/>
      <c r="AE688" s="126"/>
      <c r="AG688" s="126"/>
      <c r="AM688" s="126"/>
    </row>
    <row r="689" spans="9:39" x14ac:dyDescent="0.3">
      <c r="I689" s="126"/>
      <c r="O689" s="126"/>
      <c r="Q689" s="126"/>
      <c r="W689" s="126"/>
      <c r="Y689" s="126"/>
      <c r="AE689" s="126"/>
      <c r="AG689" s="126"/>
      <c r="AM689" s="126"/>
    </row>
    <row r="690" spans="9:39" x14ac:dyDescent="0.3">
      <c r="I690" s="126"/>
      <c r="O690" s="126"/>
      <c r="Q690" s="126"/>
      <c r="W690" s="126"/>
      <c r="Y690" s="126"/>
      <c r="AE690" s="126"/>
      <c r="AG690" s="126"/>
      <c r="AM690" s="126"/>
    </row>
    <row r="691" spans="9:39" x14ac:dyDescent="0.3">
      <c r="I691" s="126"/>
      <c r="O691" s="126"/>
      <c r="Q691" s="126"/>
      <c r="W691" s="126"/>
      <c r="Y691" s="126"/>
      <c r="AE691" s="126"/>
      <c r="AG691" s="126"/>
      <c r="AM691" s="126"/>
    </row>
    <row r="692" spans="9:39" x14ac:dyDescent="0.3">
      <c r="I692" s="126"/>
      <c r="O692" s="126"/>
      <c r="Q692" s="126"/>
      <c r="W692" s="126"/>
      <c r="Y692" s="126"/>
      <c r="AE692" s="126"/>
      <c r="AG692" s="126"/>
      <c r="AM692" s="126"/>
    </row>
    <row r="693" spans="9:39" x14ac:dyDescent="0.3">
      <c r="I693" s="126"/>
      <c r="O693" s="126"/>
      <c r="Q693" s="126"/>
      <c r="W693" s="126"/>
      <c r="Y693" s="126"/>
      <c r="AE693" s="126"/>
      <c r="AG693" s="126"/>
      <c r="AM693" s="126"/>
    </row>
    <row r="694" spans="9:39" x14ac:dyDescent="0.3">
      <c r="I694" s="126"/>
      <c r="O694" s="126"/>
      <c r="Q694" s="126"/>
      <c r="W694" s="126"/>
      <c r="Y694" s="126"/>
      <c r="AE694" s="126"/>
      <c r="AG694" s="126"/>
      <c r="AM694" s="126"/>
    </row>
    <row r="695" spans="9:39" x14ac:dyDescent="0.3">
      <c r="I695" s="126"/>
      <c r="O695" s="126"/>
      <c r="Q695" s="126"/>
      <c r="W695" s="126"/>
      <c r="Y695" s="126"/>
      <c r="AE695" s="126"/>
      <c r="AG695" s="126"/>
      <c r="AM695" s="126"/>
    </row>
    <row r="696" spans="9:39" x14ac:dyDescent="0.3">
      <c r="I696" s="126"/>
      <c r="O696" s="126"/>
      <c r="Q696" s="126"/>
      <c r="W696" s="126"/>
      <c r="Y696" s="126"/>
      <c r="AE696" s="126"/>
      <c r="AG696" s="126"/>
      <c r="AM696" s="126"/>
    </row>
    <row r="697" spans="9:39" x14ac:dyDescent="0.3">
      <c r="I697" s="126"/>
      <c r="O697" s="126"/>
      <c r="Q697" s="126"/>
      <c r="W697" s="126"/>
      <c r="Y697" s="126"/>
      <c r="AE697" s="126"/>
      <c r="AG697" s="126"/>
      <c r="AM697" s="126"/>
    </row>
    <row r="698" spans="9:39" x14ac:dyDescent="0.3">
      <c r="I698" s="126"/>
      <c r="O698" s="126"/>
      <c r="Q698" s="126"/>
      <c r="W698" s="126"/>
      <c r="Y698" s="126"/>
      <c r="AE698" s="126"/>
      <c r="AG698" s="126"/>
      <c r="AM698" s="126"/>
    </row>
    <row r="699" spans="9:39" x14ac:dyDescent="0.3">
      <c r="I699" s="126"/>
      <c r="O699" s="126"/>
      <c r="Q699" s="126"/>
      <c r="W699" s="126"/>
      <c r="Y699" s="126"/>
      <c r="AE699" s="126"/>
      <c r="AG699" s="126"/>
      <c r="AM699" s="126"/>
    </row>
    <row r="700" spans="9:39" x14ac:dyDescent="0.3">
      <c r="I700" s="126"/>
      <c r="O700" s="126"/>
      <c r="Q700" s="126"/>
      <c r="W700" s="126"/>
      <c r="Y700" s="126"/>
      <c r="AE700" s="126"/>
      <c r="AG700" s="126"/>
      <c r="AM700" s="126"/>
    </row>
    <row r="701" spans="9:39" x14ac:dyDescent="0.3">
      <c r="I701" s="126"/>
      <c r="O701" s="126"/>
      <c r="Q701" s="126"/>
      <c r="W701" s="126"/>
      <c r="Y701" s="126"/>
      <c r="AE701" s="126"/>
      <c r="AG701" s="126"/>
      <c r="AM701" s="126"/>
    </row>
    <row r="702" spans="9:39" x14ac:dyDescent="0.3">
      <c r="I702" s="126"/>
      <c r="O702" s="126"/>
      <c r="Q702" s="126"/>
      <c r="W702" s="126"/>
      <c r="Y702" s="126"/>
      <c r="AE702" s="126"/>
      <c r="AG702" s="126"/>
      <c r="AM702" s="126"/>
    </row>
    <row r="703" spans="9:39" x14ac:dyDescent="0.3">
      <c r="I703" s="126"/>
      <c r="O703" s="126"/>
      <c r="Q703" s="126"/>
      <c r="W703" s="126"/>
      <c r="Y703" s="126"/>
      <c r="AE703" s="126"/>
      <c r="AG703" s="126"/>
      <c r="AM703" s="126"/>
    </row>
    <row r="704" spans="9:39" x14ac:dyDescent="0.3">
      <c r="I704" s="126"/>
      <c r="O704" s="126"/>
      <c r="Q704" s="126"/>
      <c r="W704" s="126"/>
      <c r="Y704" s="126"/>
      <c r="AE704" s="126"/>
      <c r="AG704" s="126"/>
      <c r="AM704" s="126"/>
    </row>
    <row r="705" spans="9:39" x14ac:dyDescent="0.3">
      <c r="I705" s="126"/>
      <c r="O705" s="126"/>
      <c r="Q705" s="126"/>
      <c r="W705" s="126"/>
      <c r="Y705" s="126"/>
      <c r="AE705" s="126"/>
      <c r="AG705" s="126"/>
      <c r="AM705" s="126"/>
    </row>
    <row r="706" spans="9:39" x14ac:dyDescent="0.3">
      <c r="I706" s="126"/>
      <c r="O706" s="126"/>
      <c r="Q706" s="126"/>
      <c r="W706" s="126"/>
      <c r="Y706" s="126"/>
      <c r="AE706" s="126"/>
      <c r="AG706" s="126"/>
      <c r="AM706" s="126"/>
    </row>
    <row r="707" spans="9:39" x14ac:dyDescent="0.3">
      <c r="I707" s="126"/>
      <c r="O707" s="126"/>
      <c r="Q707" s="126"/>
      <c r="W707" s="126"/>
      <c r="Y707" s="126"/>
      <c r="AE707" s="126"/>
      <c r="AG707" s="126"/>
      <c r="AM707" s="126"/>
    </row>
    <row r="708" spans="9:39" x14ac:dyDescent="0.3">
      <c r="I708" s="126"/>
      <c r="O708" s="126"/>
      <c r="Q708" s="126"/>
      <c r="W708" s="126"/>
      <c r="Y708" s="126"/>
      <c r="AE708" s="126"/>
      <c r="AG708" s="126"/>
      <c r="AM708" s="126"/>
    </row>
    <row r="709" spans="9:39" x14ac:dyDescent="0.3">
      <c r="I709" s="126"/>
      <c r="O709" s="126"/>
      <c r="Q709" s="126"/>
      <c r="W709" s="126"/>
      <c r="Y709" s="126"/>
      <c r="AE709" s="126"/>
      <c r="AG709" s="126"/>
      <c r="AM709" s="126"/>
    </row>
    <row r="710" spans="9:39" x14ac:dyDescent="0.3">
      <c r="I710" s="126"/>
      <c r="O710" s="126"/>
      <c r="Q710" s="126"/>
      <c r="W710" s="126"/>
      <c r="Y710" s="126"/>
      <c r="AE710" s="126"/>
      <c r="AG710" s="126"/>
      <c r="AM710" s="126"/>
    </row>
    <row r="711" spans="9:39" x14ac:dyDescent="0.3">
      <c r="I711" s="126"/>
      <c r="O711" s="126"/>
      <c r="Q711" s="126"/>
      <c r="W711" s="126"/>
      <c r="Y711" s="126"/>
      <c r="AE711" s="126"/>
      <c r="AG711" s="126"/>
      <c r="AM711" s="126"/>
    </row>
    <row r="712" spans="9:39" x14ac:dyDescent="0.3">
      <c r="I712" s="126"/>
      <c r="O712" s="126"/>
      <c r="Q712" s="126"/>
      <c r="W712" s="126"/>
      <c r="Y712" s="126"/>
      <c r="AE712" s="126"/>
      <c r="AG712" s="126"/>
      <c r="AM712" s="126"/>
    </row>
    <row r="713" spans="9:39" x14ac:dyDescent="0.3">
      <c r="I713" s="126"/>
      <c r="O713" s="126"/>
      <c r="Q713" s="126"/>
      <c r="W713" s="126"/>
      <c r="Y713" s="126"/>
      <c r="AE713" s="126"/>
      <c r="AG713" s="126"/>
      <c r="AM713" s="126"/>
    </row>
    <row r="714" spans="9:39" x14ac:dyDescent="0.3">
      <c r="I714" s="126"/>
      <c r="O714" s="126"/>
      <c r="Q714" s="126"/>
      <c r="W714" s="126"/>
      <c r="Y714" s="126"/>
      <c r="AE714" s="126"/>
      <c r="AG714" s="126"/>
      <c r="AM714" s="126"/>
    </row>
    <row r="715" spans="9:39" x14ac:dyDescent="0.3">
      <c r="I715" s="126"/>
      <c r="O715" s="126"/>
      <c r="Q715" s="126"/>
      <c r="W715" s="126"/>
      <c r="Y715" s="126"/>
      <c r="AE715" s="126"/>
      <c r="AG715" s="126"/>
      <c r="AM715" s="126"/>
    </row>
    <row r="716" spans="9:39" x14ac:dyDescent="0.3">
      <c r="I716" s="126"/>
      <c r="O716" s="126"/>
      <c r="Q716" s="126"/>
      <c r="W716" s="126"/>
      <c r="Y716" s="126"/>
      <c r="AE716" s="126"/>
      <c r="AG716" s="126"/>
      <c r="AM716" s="126"/>
    </row>
    <row r="717" spans="9:39" x14ac:dyDescent="0.3">
      <c r="I717" s="126"/>
      <c r="O717" s="126"/>
      <c r="Q717" s="126"/>
      <c r="W717" s="126"/>
      <c r="Y717" s="126"/>
      <c r="AE717" s="126"/>
      <c r="AG717" s="126"/>
      <c r="AM717" s="126"/>
    </row>
    <row r="718" spans="9:39" x14ac:dyDescent="0.3">
      <c r="I718" s="126"/>
      <c r="O718" s="126"/>
      <c r="Q718" s="126"/>
      <c r="W718" s="126"/>
      <c r="Y718" s="126"/>
      <c r="AE718" s="126"/>
      <c r="AG718" s="126"/>
      <c r="AM718" s="126"/>
    </row>
    <row r="719" spans="9:39" x14ac:dyDescent="0.3">
      <c r="I719" s="126"/>
      <c r="O719" s="126"/>
      <c r="Q719" s="126"/>
      <c r="W719" s="126"/>
      <c r="Y719" s="126"/>
      <c r="AE719" s="126"/>
      <c r="AG719" s="126"/>
      <c r="AM719" s="126"/>
    </row>
    <row r="720" spans="9:39" x14ac:dyDescent="0.3">
      <c r="I720" s="126"/>
      <c r="O720" s="126"/>
      <c r="Q720" s="126"/>
      <c r="W720" s="126"/>
      <c r="Y720" s="126"/>
      <c r="AE720" s="126"/>
      <c r="AG720" s="126"/>
      <c r="AM720" s="126"/>
    </row>
    <row r="721" spans="9:39" x14ac:dyDescent="0.3">
      <c r="I721" s="126"/>
      <c r="O721" s="126"/>
      <c r="Q721" s="126"/>
      <c r="W721" s="126"/>
      <c r="Y721" s="126"/>
      <c r="AE721" s="126"/>
      <c r="AG721" s="126"/>
      <c r="AM721" s="126"/>
    </row>
    <row r="722" spans="9:39" x14ac:dyDescent="0.3">
      <c r="I722" s="126"/>
      <c r="O722" s="126"/>
      <c r="Q722" s="126"/>
      <c r="W722" s="126"/>
      <c r="Y722" s="126"/>
      <c r="AE722" s="126"/>
      <c r="AG722" s="126"/>
      <c r="AM722" s="126"/>
    </row>
    <row r="723" spans="9:39" x14ac:dyDescent="0.3">
      <c r="I723" s="126"/>
      <c r="O723" s="126"/>
      <c r="Q723" s="126"/>
      <c r="W723" s="126"/>
      <c r="Y723" s="126"/>
      <c r="AE723" s="126"/>
      <c r="AG723" s="126"/>
      <c r="AM723" s="126"/>
    </row>
    <row r="724" spans="9:39" x14ac:dyDescent="0.3">
      <c r="I724" s="126"/>
      <c r="O724" s="126"/>
      <c r="Q724" s="126"/>
      <c r="W724" s="126"/>
      <c r="Y724" s="126"/>
      <c r="AE724" s="126"/>
      <c r="AG724" s="126"/>
      <c r="AM724" s="126"/>
    </row>
    <row r="725" spans="9:39" x14ac:dyDescent="0.3">
      <c r="I725" s="126"/>
      <c r="O725" s="126"/>
      <c r="Q725" s="126"/>
      <c r="W725" s="126"/>
      <c r="Y725" s="126"/>
      <c r="AE725" s="126"/>
      <c r="AG725" s="126"/>
      <c r="AM725" s="126"/>
    </row>
    <row r="726" spans="9:39" x14ac:dyDescent="0.3">
      <c r="I726" s="126"/>
      <c r="O726" s="126"/>
      <c r="Q726" s="126"/>
      <c r="W726" s="126"/>
      <c r="Y726" s="126"/>
      <c r="AE726" s="126"/>
      <c r="AG726" s="126"/>
      <c r="AM726" s="126"/>
    </row>
    <row r="727" spans="9:39" x14ac:dyDescent="0.3">
      <c r="I727" s="126"/>
      <c r="O727" s="126"/>
      <c r="Q727" s="126"/>
      <c r="W727" s="126"/>
      <c r="Y727" s="126"/>
      <c r="AE727" s="126"/>
      <c r="AG727" s="126"/>
      <c r="AM727" s="126"/>
    </row>
    <row r="728" spans="9:39" x14ac:dyDescent="0.3">
      <c r="I728" s="126"/>
      <c r="O728" s="126"/>
      <c r="Q728" s="126"/>
      <c r="W728" s="126"/>
      <c r="Y728" s="126"/>
      <c r="AE728" s="126"/>
      <c r="AG728" s="126"/>
      <c r="AM728" s="126"/>
    </row>
    <row r="729" spans="9:39" x14ac:dyDescent="0.3">
      <c r="I729" s="126"/>
      <c r="O729" s="126"/>
      <c r="Q729" s="126"/>
      <c r="W729" s="126"/>
      <c r="Y729" s="126"/>
      <c r="AE729" s="126"/>
      <c r="AG729" s="126"/>
      <c r="AM729" s="126"/>
    </row>
    <row r="730" spans="9:39" x14ac:dyDescent="0.3">
      <c r="I730" s="126"/>
      <c r="O730" s="126"/>
      <c r="Q730" s="126"/>
      <c r="W730" s="126"/>
      <c r="Y730" s="126"/>
      <c r="AE730" s="126"/>
      <c r="AG730" s="126"/>
      <c r="AM730" s="126"/>
    </row>
    <row r="731" spans="9:39" x14ac:dyDescent="0.3">
      <c r="I731" s="126"/>
      <c r="O731" s="126"/>
      <c r="Q731" s="126"/>
      <c r="W731" s="126"/>
      <c r="Y731" s="126"/>
      <c r="AE731" s="126"/>
      <c r="AG731" s="126"/>
      <c r="AM731" s="126"/>
    </row>
    <row r="732" spans="9:39" x14ac:dyDescent="0.3">
      <c r="I732" s="126"/>
      <c r="O732" s="126"/>
      <c r="Q732" s="126"/>
      <c r="W732" s="126"/>
      <c r="Y732" s="126"/>
      <c r="AE732" s="126"/>
      <c r="AG732" s="126"/>
      <c r="AM732" s="126"/>
    </row>
    <row r="733" spans="9:39" x14ac:dyDescent="0.3">
      <c r="I733" s="126"/>
      <c r="O733" s="126"/>
      <c r="Q733" s="126"/>
      <c r="W733" s="126"/>
      <c r="Y733" s="126"/>
      <c r="AE733" s="126"/>
      <c r="AG733" s="126"/>
      <c r="AM733" s="126"/>
    </row>
    <row r="734" spans="9:39" x14ac:dyDescent="0.3">
      <c r="I734" s="126"/>
      <c r="O734" s="126"/>
      <c r="Q734" s="126"/>
      <c r="W734" s="126"/>
      <c r="Y734" s="126"/>
      <c r="AE734" s="126"/>
      <c r="AG734" s="126"/>
      <c r="AM734" s="126"/>
    </row>
    <row r="735" spans="9:39" x14ac:dyDescent="0.3">
      <c r="I735" s="126"/>
      <c r="O735" s="126"/>
      <c r="Q735" s="126"/>
      <c r="W735" s="126"/>
      <c r="Y735" s="126"/>
      <c r="AE735" s="126"/>
      <c r="AG735" s="126"/>
      <c r="AM735" s="126"/>
    </row>
    <row r="736" spans="9:39" x14ac:dyDescent="0.3">
      <c r="I736" s="126"/>
      <c r="O736" s="126"/>
      <c r="Q736" s="126"/>
      <c r="W736" s="126"/>
      <c r="Y736" s="126"/>
      <c r="AE736" s="126"/>
      <c r="AG736" s="126"/>
      <c r="AM736" s="126"/>
    </row>
    <row r="737" spans="9:39" x14ac:dyDescent="0.3">
      <c r="I737" s="126"/>
      <c r="O737" s="126"/>
      <c r="Q737" s="126"/>
      <c r="W737" s="126"/>
      <c r="Y737" s="126"/>
      <c r="AE737" s="126"/>
      <c r="AG737" s="126"/>
      <c r="AM737" s="126"/>
    </row>
    <row r="738" spans="9:39" x14ac:dyDescent="0.3">
      <c r="I738" s="126"/>
      <c r="O738" s="126"/>
      <c r="Q738" s="126"/>
      <c r="W738" s="126"/>
      <c r="Y738" s="126"/>
      <c r="AE738" s="126"/>
      <c r="AG738" s="126"/>
      <c r="AM738" s="126"/>
    </row>
    <row r="739" spans="9:39" x14ac:dyDescent="0.3">
      <c r="I739" s="126"/>
      <c r="O739" s="126"/>
      <c r="Q739" s="126"/>
      <c r="W739" s="126"/>
      <c r="Y739" s="126"/>
      <c r="AE739" s="126"/>
      <c r="AG739" s="126"/>
      <c r="AM739" s="126"/>
    </row>
    <row r="740" spans="9:39" x14ac:dyDescent="0.3">
      <c r="I740" s="126"/>
      <c r="O740" s="126"/>
      <c r="Q740" s="126"/>
      <c r="W740" s="126"/>
      <c r="Y740" s="126"/>
      <c r="AE740" s="126"/>
      <c r="AG740" s="126"/>
      <c r="AM740" s="126"/>
    </row>
    <row r="741" spans="9:39" x14ac:dyDescent="0.3">
      <c r="I741" s="126"/>
      <c r="O741" s="126"/>
      <c r="Q741" s="126"/>
      <c r="W741" s="126"/>
      <c r="Y741" s="126"/>
      <c r="AE741" s="126"/>
      <c r="AG741" s="126"/>
      <c r="AM741" s="126"/>
    </row>
    <row r="742" spans="9:39" x14ac:dyDescent="0.3">
      <c r="I742" s="126"/>
      <c r="O742" s="126"/>
      <c r="Q742" s="126"/>
      <c r="W742" s="126"/>
      <c r="Y742" s="126"/>
      <c r="AE742" s="126"/>
      <c r="AG742" s="126"/>
      <c r="AM742" s="126"/>
    </row>
    <row r="743" spans="9:39" x14ac:dyDescent="0.3">
      <c r="I743" s="126"/>
      <c r="O743" s="126"/>
      <c r="Q743" s="126"/>
      <c r="W743" s="126"/>
      <c r="Y743" s="126"/>
      <c r="AE743" s="126"/>
      <c r="AG743" s="126"/>
      <c r="AM743" s="126"/>
    </row>
    <row r="744" spans="9:39" x14ac:dyDescent="0.3">
      <c r="I744" s="126"/>
      <c r="O744" s="126"/>
      <c r="Q744" s="126"/>
      <c r="W744" s="126"/>
      <c r="Y744" s="126"/>
      <c r="AE744" s="126"/>
      <c r="AG744" s="126"/>
      <c r="AM744" s="126"/>
    </row>
    <row r="745" spans="9:39" x14ac:dyDescent="0.3">
      <c r="I745" s="126"/>
      <c r="O745" s="126"/>
      <c r="Q745" s="126"/>
      <c r="W745" s="126"/>
      <c r="Y745" s="126"/>
      <c r="AE745" s="126"/>
      <c r="AG745" s="126"/>
      <c r="AM745" s="126"/>
    </row>
    <row r="746" spans="9:39" x14ac:dyDescent="0.3">
      <c r="I746" s="126"/>
      <c r="O746" s="126"/>
      <c r="Q746" s="126"/>
      <c r="W746" s="126"/>
      <c r="Y746" s="126"/>
      <c r="AE746" s="126"/>
      <c r="AG746" s="126"/>
      <c r="AM746" s="126"/>
    </row>
    <row r="747" spans="9:39" x14ac:dyDescent="0.3">
      <c r="I747" s="126"/>
      <c r="O747" s="126"/>
      <c r="Q747" s="126"/>
      <c r="W747" s="126"/>
      <c r="Y747" s="126"/>
      <c r="AE747" s="126"/>
      <c r="AG747" s="126"/>
      <c r="AM747" s="126"/>
    </row>
    <row r="748" spans="9:39" x14ac:dyDescent="0.3">
      <c r="I748" s="126"/>
      <c r="O748" s="126"/>
      <c r="Q748" s="126"/>
      <c r="W748" s="126"/>
      <c r="Y748" s="126"/>
      <c r="AE748" s="126"/>
      <c r="AG748" s="126"/>
      <c r="AM748" s="126"/>
    </row>
    <row r="749" spans="9:39" x14ac:dyDescent="0.3">
      <c r="I749" s="126"/>
      <c r="O749" s="126"/>
      <c r="Q749" s="126"/>
      <c r="W749" s="126"/>
      <c r="Y749" s="126"/>
      <c r="AE749" s="126"/>
      <c r="AG749" s="126"/>
      <c r="AM749" s="126"/>
    </row>
    <row r="750" spans="9:39" x14ac:dyDescent="0.3">
      <c r="I750" s="126"/>
      <c r="O750" s="126"/>
      <c r="Q750" s="126"/>
      <c r="W750" s="126"/>
      <c r="Y750" s="126"/>
      <c r="AE750" s="126"/>
      <c r="AG750" s="126"/>
      <c r="AM750" s="126"/>
    </row>
    <row r="751" spans="9:39" x14ac:dyDescent="0.3">
      <c r="I751" s="126"/>
      <c r="O751" s="126"/>
      <c r="Q751" s="126"/>
      <c r="W751" s="126"/>
      <c r="Y751" s="126"/>
      <c r="AE751" s="126"/>
      <c r="AG751" s="126"/>
      <c r="AM751" s="126"/>
    </row>
    <row r="752" spans="9:39" x14ac:dyDescent="0.3">
      <c r="I752" s="126"/>
      <c r="O752" s="126"/>
      <c r="Q752" s="126"/>
      <c r="W752" s="126"/>
      <c r="Y752" s="126"/>
      <c r="AE752" s="126"/>
      <c r="AG752" s="126"/>
      <c r="AM752" s="126"/>
    </row>
    <row r="753" spans="9:39" x14ac:dyDescent="0.3">
      <c r="I753" s="126"/>
      <c r="O753" s="126"/>
      <c r="Q753" s="126"/>
      <c r="W753" s="126"/>
      <c r="Y753" s="126"/>
      <c r="AE753" s="126"/>
      <c r="AG753" s="126"/>
      <c r="AM753" s="126"/>
    </row>
    <row r="754" spans="9:39" x14ac:dyDescent="0.3">
      <c r="I754" s="126"/>
      <c r="O754" s="126"/>
      <c r="Q754" s="126"/>
      <c r="W754" s="126"/>
      <c r="Y754" s="126"/>
      <c r="AE754" s="126"/>
      <c r="AG754" s="126"/>
      <c r="AM754" s="126"/>
    </row>
    <row r="755" spans="9:39" x14ac:dyDescent="0.3">
      <c r="I755" s="126"/>
      <c r="O755" s="126"/>
      <c r="Q755" s="126"/>
      <c r="W755" s="126"/>
      <c r="Y755" s="126"/>
      <c r="AE755" s="126"/>
      <c r="AG755" s="126"/>
      <c r="AM755" s="126"/>
    </row>
    <row r="756" spans="9:39" x14ac:dyDescent="0.3">
      <c r="I756" s="126"/>
      <c r="O756" s="126"/>
      <c r="Q756" s="126"/>
      <c r="W756" s="126"/>
      <c r="Y756" s="126"/>
      <c r="AE756" s="126"/>
      <c r="AG756" s="126"/>
      <c r="AM756" s="126"/>
    </row>
    <row r="757" spans="9:39" x14ac:dyDescent="0.3">
      <c r="I757" s="126"/>
      <c r="O757" s="126"/>
      <c r="Q757" s="126"/>
      <c r="W757" s="126"/>
      <c r="Y757" s="126"/>
      <c r="AE757" s="126"/>
      <c r="AG757" s="126"/>
      <c r="AM757" s="126"/>
    </row>
    <row r="758" spans="9:39" x14ac:dyDescent="0.3">
      <c r="I758" s="126"/>
      <c r="O758" s="126"/>
      <c r="Q758" s="126"/>
      <c r="W758" s="126"/>
      <c r="Y758" s="126"/>
      <c r="AE758" s="126"/>
      <c r="AG758" s="126"/>
      <c r="AM758" s="126"/>
    </row>
    <row r="759" spans="9:39" x14ac:dyDescent="0.3">
      <c r="I759" s="126"/>
      <c r="O759" s="126"/>
      <c r="Q759" s="126"/>
      <c r="W759" s="126"/>
      <c r="Y759" s="126"/>
      <c r="AE759" s="126"/>
      <c r="AG759" s="126"/>
      <c r="AM759" s="126"/>
    </row>
    <row r="760" spans="9:39" x14ac:dyDescent="0.3">
      <c r="I760" s="126"/>
      <c r="O760" s="126"/>
      <c r="Q760" s="126"/>
      <c r="W760" s="126"/>
      <c r="Y760" s="126"/>
      <c r="AE760" s="126"/>
      <c r="AG760" s="126"/>
      <c r="AM760" s="126"/>
    </row>
    <row r="761" spans="9:39" x14ac:dyDescent="0.3">
      <c r="I761" s="126"/>
      <c r="O761" s="126"/>
      <c r="Q761" s="126"/>
      <c r="W761" s="126"/>
      <c r="Y761" s="126"/>
      <c r="AE761" s="126"/>
      <c r="AG761" s="126"/>
      <c r="AM761" s="126"/>
    </row>
    <row r="762" spans="9:39" x14ac:dyDescent="0.3">
      <c r="I762" s="126"/>
      <c r="O762" s="126"/>
      <c r="Q762" s="126"/>
      <c r="W762" s="126"/>
      <c r="Y762" s="126"/>
      <c r="AE762" s="126"/>
      <c r="AG762" s="126"/>
      <c r="AM762" s="126"/>
    </row>
    <row r="763" spans="9:39" x14ac:dyDescent="0.3">
      <c r="I763" s="126"/>
      <c r="O763" s="126"/>
      <c r="Q763" s="126"/>
      <c r="W763" s="126"/>
      <c r="Y763" s="126"/>
      <c r="AE763" s="126"/>
      <c r="AG763" s="126"/>
      <c r="AM763" s="126"/>
    </row>
    <row r="764" spans="9:39" x14ac:dyDescent="0.3">
      <c r="I764" s="126"/>
      <c r="O764" s="126"/>
      <c r="Q764" s="126"/>
      <c r="W764" s="126"/>
      <c r="Y764" s="126"/>
      <c r="AE764" s="126"/>
      <c r="AG764" s="126"/>
      <c r="AM764" s="126"/>
    </row>
    <row r="765" spans="9:39" x14ac:dyDescent="0.3">
      <c r="I765" s="126"/>
      <c r="O765" s="126"/>
      <c r="Q765" s="126"/>
      <c r="W765" s="126"/>
      <c r="Y765" s="126"/>
      <c r="AE765" s="126"/>
      <c r="AG765" s="126"/>
      <c r="AM765" s="126"/>
    </row>
    <row r="766" spans="9:39" x14ac:dyDescent="0.3">
      <c r="I766" s="126"/>
      <c r="O766" s="126"/>
      <c r="Q766" s="126"/>
      <c r="W766" s="126"/>
      <c r="Y766" s="126"/>
      <c r="AE766" s="126"/>
      <c r="AG766" s="126"/>
      <c r="AM766" s="126"/>
    </row>
    <row r="767" spans="9:39" x14ac:dyDescent="0.3">
      <c r="I767" s="126"/>
      <c r="O767" s="126"/>
      <c r="Q767" s="126"/>
      <c r="W767" s="126"/>
      <c r="Y767" s="126"/>
      <c r="AE767" s="126"/>
      <c r="AG767" s="126"/>
      <c r="AM767" s="126"/>
    </row>
    <row r="768" spans="9:39" x14ac:dyDescent="0.3">
      <c r="I768" s="126"/>
      <c r="O768" s="126"/>
      <c r="Q768" s="126"/>
      <c r="W768" s="126"/>
      <c r="Y768" s="126"/>
      <c r="AE768" s="126"/>
      <c r="AG768" s="126"/>
      <c r="AM768" s="126"/>
    </row>
    <row r="769" spans="9:39" x14ac:dyDescent="0.3">
      <c r="I769" s="126"/>
      <c r="O769" s="126"/>
      <c r="Q769" s="126"/>
      <c r="W769" s="126"/>
      <c r="Y769" s="126"/>
      <c r="AE769" s="126"/>
      <c r="AG769" s="126"/>
      <c r="AM769" s="126"/>
    </row>
    <row r="770" spans="9:39" x14ac:dyDescent="0.3">
      <c r="I770" s="126"/>
      <c r="O770" s="126"/>
      <c r="Q770" s="126"/>
      <c r="W770" s="126"/>
      <c r="Y770" s="126"/>
      <c r="AE770" s="126"/>
      <c r="AG770" s="126"/>
      <c r="AM770" s="126"/>
    </row>
    <row r="771" spans="9:39" x14ac:dyDescent="0.3">
      <c r="I771" s="126"/>
      <c r="O771" s="126"/>
      <c r="Q771" s="126"/>
      <c r="W771" s="126"/>
      <c r="Y771" s="126"/>
      <c r="AE771" s="126"/>
      <c r="AG771" s="126"/>
      <c r="AM771" s="126"/>
    </row>
    <row r="772" spans="9:39" x14ac:dyDescent="0.3">
      <c r="I772" s="126"/>
      <c r="O772" s="126"/>
      <c r="Q772" s="126"/>
      <c r="W772" s="126"/>
      <c r="Y772" s="126"/>
      <c r="AE772" s="126"/>
      <c r="AG772" s="126"/>
      <c r="AM772" s="126"/>
    </row>
    <row r="773" spans="9:39" x14ac:dyDescent="0.3">
      <c r="I773" s="126"/>
      <c r="O773" s="126"/>
      <c r="Q773" s="126"/>
      <c r="W773" s="126"/>
      <c r="Y773" s="126"/>
      <c r="AE773" s="126"/>
      <c r="AG773" s="126"/>
      <c r="AM773" s="126"/>
    </row>
    <row r="774" spans="9:39" x14ac:dyDescent="0.3">
      <c r="I774" s="126"/>
      <c r="O774" s="126"/>
      <c r="Q774" s="126"/>
      <c r="W774" s="126"/>
      <c r="Y774" s="126"/>
      <c r="AE774" s="126"/>
      <c r="AG774" s="126"/>
      <c r="AM774" s="126"/>
    </row>
    <row r="775" spans="9:39" x14ac:dyDescent="0.3">
      <c r="I775" s="126"/>
      <c r="O775" s="126"/>
      <c r="Q775" s="126"/>
      <c r="W775" s="126"/>
      <c r="Y775" s="126"/>
      <c r="AE775" s="126"/>
      <c r="AG775" s="126"/>
      <c r="AM775" s="126"/>
    </row>
    <row r="776" spans="9:39" x14ac:dyDescent="0.3">
      <c r="I776" s="126"/>
      <c r="O776" s="126"/>
      <c r="Q776" s="126"/>
      <c r="W776" s="126"/>
      <c r="Y776" s="126"/>
      <c r="AE776" s="126"/>
      <c r="AG776" s="126"/>
      <c r="AM776" s="126"/>
    </row>
    <row r="777" spans="9:39" x14ac:dyDescent="0.3">
      <c r="I777" s="126"/>
      <c r="O777" s="126"/>
      <c r="Q777" s="126"/>
      <c r="W777" s="126"/>
      <c r="Y777" s="126"/>
      <c r="AE777" s="126"/>
      <c r="AG777" s="126"/>
      <c r="AM777" s="126"/>
    </row>
    <row r="778" spans="9:39" x14ac:dyDescent="0.3">
      <c r="I778" s="126"/>
      <c r="O778" s="126"/>
      <c r="Q778" s="126"/>
      <c r="W778" s="126"/>
      <c r="Y778" s="126"/>
      <c r="AE778" s="126"/>
      <c r="AG778" s="126"/>
      <c r="AM778" s="126"/>
    </row>
    <row r="779" spans="9:39" x14ac:dyDescent="0.3">
      <c r="I779" s="126"/>
      <c r="O779" s="126"/>
      <c r="Q779" s="126"/>
      <c r="W779" s="126"/>
      <c r="Y779" s="126"/>
      <c r="AE779" s="126"/>
      <c r="AG779" s="126"/>
      <c r="AM779" s="126"/>
    </row>
    <row r="780" spans="9:39" x14ac:dyDescent="0.3">
      <c r="I780" s="126"/>
      <c r="O780" s="126"/>
      <c r="Q780" s="126"/>
      <c r="W780" s="126"/>
      <c r="Y780" s="126"/>
      <c r="AE780" s="126"/>
      <c r="AG780" s="126"/>
      <c r="AM780" s="126"/>
    </row>
    <row r="781" spans="9:39" x14ac:dyDescent="0.3">
      <c r="I781" s="126"/>
      <c r="O781" s="126"/>
      <c r="Q781" s="126"/>
      <c r="W781" s="126"/>
      <c r="Y781" s="126"/>
      <c r="AE781" s="126"/>
      <c r="AG781" s="126"/>
      <c r="AM781" s="126"/>
    </row>
    <row r="782" spans="9:39" x14ac:dyDescent="0.3">
      <c r="I782" s="126"/>
      <c r="O782" s="126"/>
      <c r="Q782" s="126"/>
      <c r="W782" s="126"/>
      <c r="Y782" s="126"/>
      <c r="AE782" s="126"/>
      <c r="AG782" s="126"/>
      <c r="AM782" s="126"/>
    </row>
    <row r="783" spans="9:39" x14ac:dyDescent="0.3">
      <c r="I783" s="126"/>
      <c r="O783" s="126"/>
      <c r="Q783" s="126"/>
      <c r="W783" s="126"/>
      <c r="Y783" s="126"/>
      <c r="AE783" s="126"/>
      <c r="AG783" s="126"/>
      <c r="AM783" s="126"/>
    </row>
    <row r="784" spans="9:39" x14ac:dyDescent="0.3">
      <c r="I784" s="126"/>
      <c r="O784" s="126"/>
      <c r="Q784" s="126"/>
      <c r="W784" s="126"/>
      <c r="Y784" s="126"/>
      <c r="AE784" s="126"/>
      <c r="AG784" s="126"/>
      <c r="AM784" s="126"/>
    </row>
    <row r="785" spans="9:39" x14ac:dyDescent="0.3">
      <c r="I785" s="126"/>
      <c r="O785" s="126"/>
      <c r="Q785" s="126"/>
      <c r="W785" s="126"/>
      <c r="Y785" s="126"/>
      <c r="AE785" s="126"/>
      <c r="AG785" s="126"/>
      <c r="AM785" s="126"/>
    </row>
    <row r="786" spans="9:39" x14ac:dyDescent="0.3">
      <c r="I786" s="126"/>
      <c r="O786" s="126"/>
      <c r="Q786" s="126"/>
      <c r="W786" s="126"/>
      <c r="Y786" s="126"/>
      <c r="AE786" s="126"/>
      <c r="AG786" s="126"/>
      <c r="AM786" s="126"/>
    </row>
    <row r="787" spans="9:39" x14ac:dyDescent="0.3">
      <c r="I787" s="126"/>
      <c r="O787" s="126"/>
      <c r="Q787" s="126"/>
      <c r="W787" s="126"/>
      <c r="Y787" s="126"/>
      <c r="AE787" s="126"/>
      <c r="AG787" s="126"/>
      <c r="AM787" s="126"/>
    </row>
    <row r="788" spans="9:39" x14ac:dyDescent="0.3">
      <c r="I788" s="126"/>
      <c r="O788" s="126"/>
      <c r="Q788" s="126"/>
      <c r="W788" s="126"/>
      <c r="Y788" s="126"/>
      <c r="AE788" s="126"/>
      <c r="AG788" s="126"/>
      <c r="AM788" s="126"/>
    </row>
    <row r="789" spans="9:39" x14ac:dyDescent="0.3">
      <c r="I789" s="126"/>
      <c r="O789" s="126"/>
      <c r="Q789" s="126"/>
      <c r="W789" s="126"/>
      <c r="Y789" s="126"/>
      <c r="AE789" s="126"/>
      <c r="AG789" s="126"/>
      <c r="AM789" s="126"/>
    </row>
    <row r="790" spans="9:39" x14ac:dyDescent="0.3">
      <c r="I790" s="126"/>
      <c r="O790" s="126"/>
      <c r="Q790" s="126"/>
      <c r="W790" s="126"/>
      <c r="Y790" s="126"/>
      <c r="AE790" s="126"/>
      <c r="AG790" s="126"/>
      <c r="AM790" s="126"/>
    </row>
    <row r="791" spans="9:39" x14ac:dyDescent="0.3">
      <c r="I791" s="126"/>
      <c r="O791" s="126"/>
      <c r="Q791" s="126"/>
      <c r="W791" s="126"/>
      <c r="Y791" s="126"/>
      <c r="AE791" s="126"/>
      <c r="AG791" s="126"/>
      <c r="AM791" s="126"/>
    </row>
    <row r="792" spans="9:39" x14ac:dyDescent="0.3">
      <c r="I792" s="126"/>
      <c r="O792" s="126"/>
      <c r="Q792" s="126"/>
      <c r="W792" s="126"/>
      <c r="Y792" s="126"/>
      <c r="AE792" s="126"/>
      <c r="AG792" s="126"/>
      <c r="AM792" s="126"/>
    </row>
    <row r="793" spans="9:39" x14ac:dyDescent="0.3">
      <c r="I793" s="126"/>
      <c r="O793" s="126"/>
      <c r="Q793" s="126"/>
      <c r="W793" s="126"/>
      <c r="Y793" s="126"/>
      <c r="AE793" s="126"/>
      <c r="AG793" s="126"/>
      <c r="AM793" s="126"/>
    </row>
    <row r="794" spans="9:39" x14ac:dyDescent="0.3">
      <c r="I794" s="126"/>
      <c r="O794" s="126"/>
      <c r="Q794" s="126"/>
      <c r="W794" s="126"/>
      <c r="Y794" s="126"/>
      <c r="AE794" s="126"/>
      <c r="AG794" s="126"/>
      <c r="AM794" s="126"/>
    </row>
    <row r="795" spans="9:39" x14ac:dyDescent="0.3">
      <c r="I795" s="126"/>
      <c r="O795" s="126"/>
      <c r="Q795" s="126"/>
      <c r="W795" s="126"/>
      <c r="Y795" s="126"/>
      <c r="AE795" s="126"/>
      <c r="AG795" s="126"/>
      <c r="AM795" s="126"/>
    </row>
    <row r="796" spans="9:39" x14ac:dyDescent="0.3">
      <c r="I796" s="126"/>
      <c r="O796" s="126"/>
      <c r="Q796" s="126"/>
      <c r="W796" s="126"/>
      <c r="Y796" s="126"/>
      <c r="AE796" s="126"/>
      <c r="AG796" s="126"/>
      <c r="AM796" s="126"/>
    </row>
    <row r="797" spans="9:39" x14ac:dyDescent="0.3">
      <c r="I797" s="126"/>
      <c r="O797" s="126"/>
      <c r="Q797" s="126"/>
      <c r="W797" s="126"/>
      <c r="Y797" s="126"/>
      <c r="AE797" s="126"/>
      <c r="AG797" s="126"/>
      <c r="AM797" s="126"/>
    </row>
    <row r="798" spans="9:39" x14ac:dyDescent="0.3">
      <c r="I798" s="126"/>
      <c r="O798" s="126"/>
      <c r="Q798" s="126"/>
      <c r="W798" s="126"/>
      <c r="Y798" s="126"/>
      <c r="AE798" s="126"/>
      <c r="AG798" s="126"/>
      <c r="AM798" s="126"/>
    </row>
    <row r="799" spans="9:39" x14ac:dyDescent="0.3">
      <c r="I799" s="126"/>
      <c r="O799" s="126"/>
      <c r="Q799" s="126"/>
      <c r="W799" s="126"/>
      <c r="Y799" s="126"/>
      <c r="AE799" s="126"/>
      <c r="AG799" s="126"/>
      <c r="AM799" s="126"/>
    </row>
    <row r="800" spans="9:39" x14ac:dyDescent="0.3">
      <c r="I800" s="126"/>
      <c r="O800" s="126"/>
      <c r="Q800" s="126"/>
      <c r="W800" s="126"/>
      <c r="Y800" s="126"/>
      <c r="AE800" s="126"/>
      <c r="AG800" s="126"/>
      <c r="AM800" s="126"/>
    </row>
    <row r="801" spans="9:39" x14ac:dyDescent="0.3">
      <c r="I801" s="126"/>
      <c r="O801" s="126"/>
      <c r="Q801" s="126"/>
      <c r="W801" s="126"/>
      <c r="Y801" s="126"/>
      <c r="AE801" s="126"/>
      <c r="AG801" s="126"/>
      <c r="AM801" s="126"/>
    </row>
    <row r="802" spans="9:39" x14ac:dyDescent="0.3">
      <c r="I802" s="126"/>
      <c r="O802" s="126"/>
      <c r="Q802" s="126"/>
      <c r="W802" s="126"/>
      <c r="Y802" s="126"/>
      <c r="AE802" s="126"/>
      <c r="AG802" s="126"/>
      <c r="AM802" s="126"/>
    </row>
    <row r="803" spans="9:39" x14ac:dyDescent="0.3">
      <c r="I803" s="126"/>
      <c r="O803" s="126"/>
      <c r="Q803" s="126"/>
      <c r="W803" s="126"/>
      <c r="Y803" s="126"/>
      <c r="AE803" s="126"/>
      <c r="AG803" s="126"/>
      <c r="AM803" s="126"/>
    </row>
    <row r="804" spans="9:39" x14ac:dyDescent="0.3">
      <c r="I804" s="126"/>
      <c r="O804" s="126"/>
      <c r="Q804" s="126"/>
      <c r="W804" s="126"/>
      <c r="Y804" s="126"/>
      <c r="AE804" s="126"/>
      <c r="AG804" s="126"/>
      <c r="AM804" s="126"/>
    </row>
    <row r="805" spans="9:39" x14ac:dyDescent="0.3">
      <c r="I805" s="126"/>
      <c r="O805" s="126"/>
      <c r="Q805" s="126"/>
      <c r="W805" s="126"/>
      <c r="Y805" s="126"/>
      <c r="AE805" s="126"/>
      <c r="AG805" s="126"/>
      <c r="AM805" s="126"/>
    </row>
    <row r="806" spans="9:39" x14ac:dyDescent="0.3">
      <c r="I806" s="126"/>
      <c r="O806" s="126"/>
      <c r="Q806" s="126"/>
      <c r="W806" s="126"/>
      <c r="Y806" s="126"/>
      <c r="AE806" s="126"/>
      <c r="AG806" s="126"/>
      <c r="AM806" s="126"/>
    </row>
    <row r="807" spans="9:39" x14ac:dyDescent="0.3">
      <c r="I807" s="126"/>
      <c r="O807" s="126"/>
      <c r="Q807" s="126"/>
      <c r="W807" s="126"/>
      <c r="Y807" s="126"/>
      <c r="AE807" s="126"/>
      <c r="AG807" s="126"/>
      <c r="AM807" s="126"/>
    </row>
    <row r="808" spans="9:39" x14ac:dyDescent="0.3">
      <c r="I808" s="126"/>
      <c r="O808" s="126"/>
      <c r="Q808" s="126"/>
      <c r="W808" s="126"/>
      <c r="Y808" s="126"/>
      <c r="AE808" s="126"/>
      <c r="AG808" s="126"/>
      <c r="AM808" s="126"/>
    </row>
    <row r="809" spans="9:39" x14ac:dyDescent="0.3">
      <c r="I809" s="126"/>
      <c r="O809" s="126"/>
      <c r="Q809" s="126"/>
      <c r="W809" s="126"/>
      <c r="Y809" s="126"/>
      <c r="AE809" s="126"/>
      <c r="AG809" s="126"/>
      <c r="AM809" s="126"/>
    </row>
    <row r="810" spans="9:39" x14ac:dyDescent="0.3">
      <c r="I810" s="126"/>
      <c r="O810" s="126"/>
      <c r="Q810" s="126"/>
      <c r="W810" s="126"/>
      <c r="Y810" s="126"/>
      <c r="AE810" s="126"/>
      <c r="AG810" s="126"/>
      <c r="AM810" s="126"/>
    </row>
    <row r="811" spans="9:39" x14ac:dyDescent="0.3">
      <c r="I811" s="126"/>
      <c r="O811" s="126"/>
      <c r="Q811" s="126"/>
      <c r="W811" s="126"/>
      <c r="Y811" s="126"/>
      <c r="AE811" s="126"/>
      <c r="AG811" s="126"/>
      <c r="AM811" s="126"/>
    </row>
    <row r="812" spans="9:39" x14ac:dyDescent="0.3">
      <c r="I812" s="126"/>
      <c r="O812" s="126"/>
      <c r="Q812" s="126"/>
      <c r="W812" s="126"/>
      <c r="Y812" s="126"/>
      <c r="AE812" s="126"/>
      <c r="AG812" s="126"/>
      <c r="AM812" s="126"/>
    </row>
    <row r="813" spans="9:39" x14ac:dyDescent="0.3">
      <c r="I813" s="126"/>
      <c r="O813" s="126"/>
      <c r="Q813" s="126"/>
      <c r="W813" s="126"/>
      <c r="Y813" s="126"/>
      <c r="AE813" s="126"/>
      <c r="AG813" s="126"/>
      <c r="AM813" s="126"/>
    </row>
    <row r="814" spans="9:39" x14ac:dyDescent="0.3">
      <c r="I814" s="126"/>
      <c r="O814" s="126"/>
      <c r="Q814" s="126"/>
      <c r="W814" s="126"/>
      <c r="Y814" s="126"/>
      <c r="AE814" s="126"/>
      <c r="AG814" s="126"/>
      <c r="AM814" s="126"/>
    </row>
    <row r="815" spans="9:39" x14ac:dyDescent="0.3">
      <c r="I815" s="126"/>
      <c r="O815" s="126"/>
      <c r="Q815" s="126"/>
      <c r="W815" s="126"/>
      <c r="Y815" s="126"/>
      <c r="AE815" s="126"/>
      <c r="AG815" s="126"/>
      <c r="AM815" s="126"/>
    </row>
    <row r="816" spans="9:39" x14ac:dyDescent="0.3">
      <c r="I816" s="126"/>
      <c r="O816" s="126"/>
      <c r="Q816" s="126"/>
      <c r="W816" s="126"/>
      <c r="Y816" s="126"/>
      <c r="AE816" s="126"/>
      <c r="AG816" s="126"/>
      <c r="AM816" s="126"/>
    </row>
    <row r="817" spans="9:39" x14ac:dyDescent="0.3">
      <c r="I817" s="126"/>
      <c r="O817" s="126"/>
      <c r="Q817" s="126"/>
      <c r="W817" s="126"/>
      <c r="Y817" s="126"/>
      <c r="AE817" s="126"/>
      <c r="AG817" s="126"/>
      <c r="AM817" s="126"/>
    </row>
    <row r="818" spans="9:39" x14ac:dyDescent="0.3">
      <c r="I818" s="126"/>
      <c r="O818" s="126"/>
      <c r="Q818" s="126"/>
      <c r="W818" s="126"/>
      <c r="Y818" s="126"/>
      <c r="AE818" s="126"/>
      <c r="AG818" s="126"/>
      <c r="AM818" s="126"/>
    </row>
    <row r="819" spans="9:39" x14ac:dyDescent="0.3">
      <c r="I819" s="126"/>
      <c r="O819" s="126"/>
      <c r="Q819" s="126"/>
      <c r="W819" s="126"/>
      <c r="Y819" s="126"/>
      <c r="AE819" s="126"/>
      <c r="AG819" s="126"/>
      <c r="AM819" s="126"/>
    </row>
    <row r="820" spans="9:39" x14ac:dyDescent="0.3">
      <c r="I820" s="126"/>
      <c r="O820" s="126"/>
      <c r="Q820" s="126"/>
      <c r="W820" s="126"/>
      <c r="Y820" s="126"/>
      <c r="AE820" s="126"/>
      <c r="AG820" s="126"/>
      <c r="AM820" s="126"/>
    </row>
    <row r="821" spans="9:39" x14ac:dyDescent="0.3">
      <c r="I821" s="126"/>
      <c r="O821" s="126"/>
      <c r="Q821" s="126"/>
      <c r="W821" s="126"/>
      <c r="Y821" s="126"/>
      <c r="AE821" s="126"/>
      <c r="AG821" s="126"/>
      <c r="AM821" s="126"/>
    </row>
    <row r="822" spans="9:39" x14ac:dyDescent="0.3">
      <c r="I822" s="126"/>
      <c r="O822" s="126"/>
      <c r="Q822" s="126"/>
      <c r="W822" s="126"/>
      <c r="Y822" s="126"/>
      <c r="AE822" s="126"/>
      <c r="AG822" s="126"/>
      <c r="AM822" s="126"/>
    </row>
    <row r="823" spans="9:39" x14ac:dyDescent="0.3">
      <c r="I823" s="126"/>
      <c r="O823" s="126"/>
      <c r="Q823" s="126"/>
      <c r="W823" s="126"/>
      <c r="Y823" s="126"/>
      <c r="AE823" s="126"/>
      <c r="AG823" s="126"/>
      <c r="AM823" s="126"/>
    </row>
    <row r="824" spans="9:39" x14ac:dyDescent="0.3">
      <c r="I824" s="126"/>
      <c r="O824" s="126"/>
      <c r="Q824" s="126"/>
      <c r="W824" s="126"/>
      <c r="Y824" s="126"/>
      <c r="AE824" s="126"/>
      <c r="AG824" s="126"/>
      <c r="AM824" s="126"/>
    </row>
    <row r="825" spans="9:39" x14ac:dyDescent="0.3">
      <c r="I825" s="126"/>
      <c r="O825" s="126"/>
      <c r="Q825" s="126"/>
      <c r="W825" s="126"/>
      <c r="Y825" s="126"/>
      <c r="AE825" s="126"/>
      <c r="AG825" s="126"/>
      <c r="AM825" s="126"/>
    </row>
    <row r="826" spans="9:39" x14ac:dyDescent="0.3">
      <c r="I826" s="126"/>
      <c r="O826" s="126"/>
      <c r="Q826" s="126"/>
      <c r="W826" s="126"/>
      <c r="Y826" s="126"/>
      <c r="AE826" s="126"/>
      <c r="AG826" s="126"/>
      <c r="AM826" s="126"/>
    </row>
    <row r="827" spans="9:39" x14ac:dyDescent="0.3">
      <c r="I827" s="126"/>
      <c r="O827" s="126"/>
      <c r="Q827" s="126"/>
      <c r="W827" s="126"/>
      <c r="Y827" s="126"/>
      <c r="AE827" s="126"/>
      <c r="AG827" s="126"/>
      <c r="AM827" s="126"/>
    </row>
    <row r="828" spans="9:39" x14ac:dyDescent="0.3">
      <c r="I828" s="126"/>
      <c r="O828" s="126"/>
      <c r="Q828" s="126"/>
      <c r="W828" s="126"/>
      <c r="Y828" s="126"/>
      <c r="AE828" s="126"/>
      <c r="AG828" s="126"/>
      <c r="AM828" s="126"/>
    </row>
    <row r="829" spans="9:39" x14ac:dyDescent="0.3">
      <c r="I829" s="126"/>
      <c r="O829" s="126"/>
      <c r="Q829" s="126"/>
      <c r="W829" s="126"/>
      <c r="Y829" s="126"/>
      <c r="AE829" s="126"/>
      <c r="AG829" s="126"/>
      <c r="AM829" s="126"/>
    </row>
    <row r="830" spans="9:39" x14ac:dyDescent="0.3">
      <c r="I830" s="126"/>
      <c r="O830" s="126"/>
      <c r="Q830" s="126"/>
      <c r="W830" s="126"/>
      <c r="Y830" s="126"/>
      <c r="AE830" s="126"/>
      <c r="AG830" s="126"/>
      <c r="AM830" s="126"/>
    </row>
    <row r="831" spans="9:39" x14ac:dyDescent="0.3">
      <c r="I831" s="126"/>
      <c r="O831" s="126"/>
      <c r="Q831" s="126"/>
      <c r="W831" s="126"/>
      <c r="Y831" s="126"/>
      <c r="AE831" s="126"/>
      <c r="AG831" s="126"/>
      <c r="AM831" s="126"/>
    </row>
    <row r="832" spans="9:39" x14ac:dyDescent="0.3">
      <c r="I832" s="126"/>
      <c r="O832" s="126"/>
      <c r="Q832" s="126"/>
      <c r="W832" s="126"/>
      <c r="Y832" s="126"/>
      <c r="AE832" s="126"/>
      <c r="AG832" s="126"/>
      <c r="AM832" s="126"/>
    </row>
    <row r="833" spans="9:39" x14ac:dyDescent="0.3">
      <c r="I833" s="126"/>
      <c r="O833" s="126"/>
      <c r="Q833" s="126"/>
      <c r="W833" s="126"/>
      <c r="Y833" s="126"/>
      <c r="AE833" s="126"/>
      <c r="AG833" s="126"/>
      <c r="AM833" s="126"/>
    </row>
    <row r="834" spans="9:39" x14ac:dyDescent="0.3">
      <c r="I834" s="126"/>
      <c r="O834" s="126"/>
      <c r="Q834" s="126"/>
      <c r="W834" s="126"/>
      <c r="Y834" s="126"/>
      <c r="AE834" s="126"/>
      <c r="AG834" s="126"/>
      <c r="AM834" s="126"/>
    </row>
    <row r="835" spans="9:39" x14ac:dyDescent="0.3">
      <c r="I835" s="126"/>
      <c r="O835" s="126"/>
      <c r="Q835" s="126"/>
      <c r="W835" s="126"/>
      <c r="Y835" s="126"/>
      <c r="AE835" s="126"/>
      <c r="AG835" s="126"/>
      <c r="AM835" s="126"/>
    </row>
    <row r="836" spans="9:39" x14ac:dyDescent="0.3">
      <c r="I836" s="126"/>
      <c r="O836" s="126"/>
      <c r="Q836" s="126"/>
      <c r="W836" s="126"/>
      <c r="Y836" s="126"/>
      <c r="AE836" s="126"/>
      <c r="AG836" s="126"/>
      <c r="AM836" s="126"/>
    </row>
    <row r="837" spans="9:39" x14ac:dyDescent="0.3">
      <c r="I837" s="126"/>
      <c r="O837" s="126"/>
      <c r="Q837" s="126"/>
      <c r="W837" s="126"/>
      <c r="Y837" s="126"/>
      <c r="AE837" s="126"/>
      <c r="AG837" s="126"/>
      <c r="AM837" s="126"/>
    </row>
    <row r="838" spans="9:39" x14ac:dyDescent="0.3">
      <c r="I838" s="126"/>
      <c r="O838" s="126"/>
      <c r="Q838" s="126"/>
      <c r="W838" s="126"/>
      <c r="Y838" s="126"/>
      <c r="AE838" s="126"/>
      <c r="AG838" s="126"/>
      <c r="AM838" s="126"/>
    </row>
    <row r="839" spans="9:39" x14ac:dyDescent="0.3">
      <c r="I839" s="126"/>
      <c r="O839" s="126"/>
      <c r="Q839" s="126"/>
      <c r="W839" s="126"/>
      <c r="Y839" s="126"/>
      <c r="AE839" s="126"/>
      <c r="AG839" s="126"/>
      <c r="AM839" s="126"/>
    </row>
    <row r="840" spans="9:39" x14ac:dyDescent="0.3">
      <c r="I840" s="126"/>
      <c r="O840" s="126"/>
      <c r="Q840" s="126"/>
      <c r="W840" s="126"/>
      <c r="Y840" s="126"/>
      <c r="AE840" s="126"/>
      <c r="AG840" s="126"/>
      <c r="AM840" s="126"/>
    </row>
    <row r="841" spans="9:39" x14ac:dyDescent="0.3">
      <c r="I841" s="126"/>
      <c r="O841" s="126"/>
      <c r="Q841" s="126"/>
      <c r="W841" s="126"/>
      <c r="Y841" s="126"/>
      <c r="AE841" s="126"/>
      <c r="AG841" s="126"/>
      <c r="AM841" s="126"/>
    </row>
    <row r="842" spans="9:39" x14ac:dyDescent="0.3">
      <c r="I842" s="126"/>
      <c r="O842" s="126"/>
      <c r="Q842" s="126"/>
      <c r="W842" s="126"/>
      <c r="Y842" s="126"/>
      <c r="AE842" s="126"/>
      <c r="AG842" s="126"/>
      <c r="AM842" s="126"/>
    </row>
    <row r="843" spans="9:39" x14ac:dyDescent="0.3">
      <c r="I843" s="126"/>
      <c r="O843" s="126"/>
      <c r="Q843" s="126"/>
      <c r="W843" s="126"/>
      <c r="Y843" s="126"/>
      <c r="AE843" s="126"/>
      <c r="AG843" s="126"/>
      <c r="AM843" s="126"/>
    </row>
    <row r="844" spans="9:39" x14ac:dyDescent="0.3">
      <c r="I844" s="126"/>
      <c r="O844" s="126"/>
      <c r="Q844" s="126"/>
      <c r="W844" s="126"/>
      <c r="Y844" s="126"/>
      <c r="AE844" s="126"/>
      <c r="AG844" s="126"/>
      <c r="AM844" s="126"/>
    </row>
    <row r="845" spans="9:39" x14ac:dyDescent="0.3">
      <c r="I845" s="126"/>
      <c r="O845" s="126"/>
      <c r="Q845" s="126"/>
      <c r="W845" s="126"/>
      <c r="Y845" s="126"/>
      <c r="AE845" s="126"/>
      <c r="AG845" s="126"/>
      <c r="AM845" s="126"/>
    </row>
    <row r="846" spans="9:39" x14ac:dyDescent="0.3">
      <c r="I846" s="126"/>
      <c r="O846" s="126"/>
      <c r="Q846" s="126"/>
      <c r="W846" s="126"/>
      <c r="Y846" s="126"/>
      <c r="AE846" s="126"/>
      <c r="AG846" s="126"/>
      <c r="AM846" s="126"/>
    </row>
    <row r="847" spans="9:39" x14ac:dyDescent="0.3">
      <c r="I847" s="126"/>
      <c r="O847" s="126"/>
      <c r="Q847" s="126"/>
      <c r="W847" s="126"/>
      <c r="Y847" s="126"/>
      <c r="AE847" s="126"/>
      <c r="AG847" s="126"/>
      <c r="AM847" s="126"/>
    </row>
    <row r="848" spans="9:39" x14ac:dyDescent="0.3">
      <c r="I848" s="126"/>
      <c r="O848" s="126"/>
      <c r="Q848" s="126"/>
      <c r="W848" s="126"/>
      <c r="Y848" s="126"/>
      <c r="AE848" s="126"/>
      <c r="AG848" s="126"/>
      <c r="AM848" s="126"/>
    </row>
    <row r="849" spans="9:39" x14ac:dyDescent="0.3">
      <c r="I849" s="126"/>
      <c r="O849" s="126"/>
      <c r="Q849" s="126"/>
      <c r="W849" s="126"/>
      <c r="Y849" s="126"/>
      <c r="AE849" s="126"/>
      <c r="AG849" s="126"/>
      <c r="AM849" s="126"/>
    </row>
    <row r="850" spans="9:39" x14ac:dyDescent="0.3">
      <c r="I850" s="126"/>
      <c r="O850" s="126"/>
      <c r="Q850" s="126"/>
      <c r="W850" s="126"/>
      <c r="Y850" s="126"/>
      <c r="AE850" s="126"/>
      <c r="AG850" s="126"/>
      <c r="AM850" s="126"/>
    </row>
    <row r="851" spans="9:39" x14ac:dyDescent="0.3">
      <c r="I851" s="126"/>
      <c r="O851" s="126"/>
      <c r="Q851" s="126"/>
      <c r="W851" s="126"/>
      <c r="Y851" s="126"/>
      <c r="AE851" s="126"/>
      <c r="AG851" s="126"/>
      <c r="AM851" s="126"/>
    </row>
    <row r="852" spans="9:39" x14ac:dyDescent="0.3">
      <c r="I852" s="126"/>
      <c r="O852" s="126"/>
      <c r="Q852" s="126"/>
      <c r="W852" s="126"/>
      <c r="Y852" s="126"/>
      <c r="AE852" s="126"/>
      <c r="AG852" s="126"/>
      <c r="AM852" s="126"/>
    </row>
    <row r="853" spans="9:39" x14ac:dyDescent="0.3">
      <c r="I853" s="126"/>
      <c r="O853" s="126"/>
      <c r="Q853" s="126"/>
      <c r="W853" s="126"/>
      <c r="Y853" s="126"/>
      <c r="AE853" s="126"/>
      <c r="AG853" s="126"/>
      <c r="AM853" s="126"/>
    </row>
    <row r="854" spans="9:39" x14ac:dyDescent="0.3">
      <c r="I854" s="126"/>
      <c r="O854" s="126"/>
      <c r="Q854" s="126"/>
      <c r="W854" s="126"/>
      <c r="Y854" s="126"/>
      <c r="AE854" s="126"/>
      <c r="AG854" s="126"/>
      <c r="AM854" s="126"/>
    </row>
    <row r="855" spans="9:39" x14ac:dyDescent="0.3">
      <c r="I855" s="126"/>
      <c r="O855" s="126"/>
      <c r="Q855" s="126"/>
      <c r="W855" s="126"/>
      <c r="Y855" s="126"/>
      <c r="AE855" s="126"/>
      <c r="AG855" s="126"/>
      <c r="AM855" s="126"/>
    </row>
    <row r="856" spans="9:39" x14ac:dyDescent="0.3">
      <c r="I856" s="126"/>
      <c r="O856" s="126"/>
      <c r="Q856" s="126"/>
      <c r="W856" s="126"/>
      <c r="Y856" s="126"/>
      <c r="AE856" s="126"/>
      <c r="AG856" s="126"/>
      <c r="AM856" s="126"/>
    </row>
    <row r="857" spans="9:39" x14ac:dyDescent="0.3">
      <c r="I857" s="126"/>
      <c r="O857" s="126"/>
      <c r="Q857" s="126"/>
      <c r="W857" s="126"/>
      <c r="Y857" s="126"/>
      <c r="AE857" s="126"/>
      <c r="AG857" s="126"/>
      <c r="AM857" s="126"/>
    </row>
    <row r="858" spans="9:39" x14ac:dyDescent="0.3">
      <c r="I858" s="126"/>
      <c r="O858" s="126"/>
      <c r="Q858" s="126"/>
      <c r="W858" s="126"/>
      <c r="Y858" s="126"/>
      <c r="AE858" s="126"/>
      <c r="AG858" s="126"/>
      <c r="AM858" s="126"/>
    </row>
    <row r="859" spans="9:39" x14ac:dyDescent="0.3">
      <c r="I859" s="126"/>
      <c r="O859" s="126"/>
      <c r="Q859" s="126"/>
      <c r="W859" s="126"/>
      <c r="Y859" s="126"/>
      <c r="AE859" s="126"/>
      <c r="AG859" s="126"/>
      <c r="AM859" s="126"/>
    </row>
    <row r="860" spans="9:39" x14ac:dyDescent="0.3">
      <c r="I860" s="126"/>
      <c r="O860" s="126"/>
      <c r="Q860" s="126"/>
      <c r="W860" s="126"/>
      <c r="Y860" s="126"/>
      <c r="AE860" s="126"/>
      <c r="AG860" s="126"/>
      <c r="AM860" s="126"/>
    </row>
    <row r="861" spans="9:39" x14ac:dyDescent="0.3">
      <c r="I861" s="126"/>
      <c r="O861" s="126"/>
      <c r="Q861" s="126"/>
      <c r="W861" s="126"/>
      <c r="Y861" s="126"/>
      <c r="AE861" s="126"/>
      <c r="AG861" s="126"/>
      <c r="AM861" s="126"/>
    </row>
    <row r="862" spans="9:39" x14ac:dyDescent="0.3">
      <c r="I862" s="126"/>
      <c r="O862" s="126"/>
      <c r="Q862" s="126"/>
      <c r="W862" s="126"/>
      <c r="Y862" s="126"/>
      <c r="AE862" s="126"/>
      <c r="AG862" s="126"/>
      <c r="AM862" s="126"/>
    </row>
    <row r="863" spans="9:39" x14ac:dyDescent="0.3">
      <c r="I863" s="126"/>
      <c r="O863" s="126"/>
      <c r="Q863" s="126"/>
      <c r="W863" s="126"/>
      <c r="Y863" s="126"/>
      <c r="AE863" s="126"/>
      <c r="AG863" s="126"/>
      <c r="AM863" s="126"/>
    </row>
    <row r="864" spans="9:39" x14ac:dyDescent="0.3">
      <c r="I864" s="126"/>
      <c r="O864" s="126"/>
      <c r="Q864" s="126"/>
      <c r="W864" s="126"/>
      <c r="Y864" s="126"/>
      <c r="AE864" s="126"/>
      <c r="AG864" s="126"/>
      <c r="AM864" s="126"/>
    </row>
    <row r="865" spans="9:39" x14ac:dyDescent="0.3">
      <c r="I865" s="126"/>
      <c r="O865" s="126"/>
      <c r="Q865" s="126"/>
      <c r="W865" s="126"/>
      <c r="Y865" s="126"/>
      <c r="AE865" s="126"/>
      <c r="AG865" s="126"/>
      <c r="AM865" s="126"/>
    </row>
    <row r="866" spans="9:39" x14ac:dyDescent="0.3">
      <c r="I866" s="126"/>
      <c r="O866" s="126"/>
      <c r="Q866" s="126"/>
      <c r="W866" s="126"/>
      <c r="Y866" s="126"/>
      <c r="AE866" s="126"/>
      <c r="AG866" s="126"/>
      <c r="AM866" s="126"/>
    </row>
    <row r="867" spans="9:39" x14ac:dyDescent="0.3">
      <c r="I867" s="126"/>
      <c r="O867" s="126"/>
      <c r="Q867" s="126"/>
      <c r="W867" s="126"/>
      <c r="Y867" s="126"/>
      <c r="AE867" s="126"/>
      <c r="AG867" s="126"/>
      <c r="AM867" s="126"/>
    </row>
    <row r="868" spans="9:39" x14ac:dyDescent="0.3">
      <c r="I868" s="126"/>
      <c r="O868" s="126"/>
      <c r="Q868" s="126"/>
      <c r="W868" s="126"/>
      <c r="Y868" s="126"/>
      <c r="AE868" s="126"/>
      <c r="AG868" s="126"/>
      <c r="AM868" s="126"/>
    </row>
    <row r="869" spans="9:39" x14ac:dyDescent="0.3">
      <c r="I869" s="126"/>
      <c r="O869" s="126"/>
      <c r="Q869" s="126"/>
      <c r="W869" s="126"/>
      <c r="Y869" s="126"/>
      <c r="AE869" s="126"/>
      <c r="AG869" s="126"/>
      <c r="AM869" s="126"/>
    </row>
    <row r="870" spans="9:39" x14ac:dyDescent="0.3">
      <c r="I870" s="126"/>
      <c r="O870" s="126"/>
      <c r="Q870" s="126"/>
      <c r="W870" s="126"/>
      <c r="Y870" s="126"/>
      <c r="AE870" s="126"/>
      <c r="AG870" s="126"/>
      <c r="AM870" s="126"/>
    </row>
    <row r="871" spans="9:39" x14ac:dyDescent="0.3">
      <c r="I871" s="126"/>
      <c r="O871" s="126"/>
      <c r="Q871" s="126"/>
      <c r="W871" s="126"/>
      <c r="Y871" s="126"/>
      <c r="AE871" s="126"/>
      <c r="AG871" s="126"/>
      <c r="AM871" s="126"/>
    </row>
    <row r="872" spans="9:39" x14ac:dyDescent="0.3">
      <c r="I872" s="126"/>
      <c r="O872" s="126"/>
      <c r="Q872" s="126"/>
      <c r="W872" s="126"/>
      <c r="Y872" s="126"/>
      <c r="AE872" s="126"/>
      <c r="AG872" s="126"/>
      <c r="AM872" s="126"/>
    </row>
    <row r="873" spans="9:39" x14ac:dyDescent="0.3">
      <c r="I873" s="126"/>
      <c r="O873" s="126"/>
      <c r="Q873" s="126"/>
      <c r="W873" s="126"/>
      <c r="Y873" s="126"/>
      <c r="AE873" s="126"/>
      <c r="AG873" s="126"/>
      <c r="AM873" s="126"/>
    </row>
    <row r="874" spans="9:39" x14ac:dyDescent="0.3">
      <c r="I874" s="126"/>
      <c r="O874" s="126"/>
      <c r="Q874" s="126"/>
      <c r="W874" s="126"/>
      <c r="Y874" s="126"/>
      <c r="AE874" s="126"/>
      <c r="AG874" s="126"/>
      <c r="AM874" s="126"/>
    </row>
    <row r="875" spans="9:39" x14ac:dyDescent="0.3">
      <c r="I875" s="126"/>
      <c r="O875" s="126"/>
      <c r="Q875" s="126"/>
      <c r="W875" s="126"/>
      <c r="Y875" s="126"/>
      <c r="AE875" s="126"/>
      <c r="AG875" s="126"/>
      <c r="AM875" s="126"/>
    </row>
    <row r="876" spans="9:39" x14ac:dyDescent="0.3">
      <c r="I876" s="126"/>
      <c r="O876" s="126"/>
      <c r="Q876" s="126"/>
      <c r="W876" s="126"/>
      <c r="Y876" s="126"/>
      <c r="AE876" s="126"/>
      <c r="AG876" s="126"/>
      <c r="AM876" s="126"/>
    </row>
    <row r="877" spans="9:39" x14ac:dyDescent="0.3">
      <c r="I877" s="126"/>
      <c r="O877" s="126"/>
      <c r="Q877" s="126"/>
      <c r="W877" s="126"/>
      <c r="Y877" s="126"/>
      <c r="AE877" s="126"/>
      <c r="AG877" s="126"/>
      <c r="AM877" s="126"/>
    </row>
    <row r="878" spans="9:39" x14ac:dyDescent="0.3">
      <c r="I878" s="126"/>
      <c r="O878" s="126"/>
      <c r="Q878" s="126"/>
      <c r="W878" s="126"/>
      <c r="Y878" s="126"/>
      <c r="AE878" s="126"/>
      <c r="AG878" s="126"/>
      <c r="AM878" s="126"/>
    </row>
    <row r="879" spans="9:39" x14ac:dyDescent="0.3">
      <c r="I879" s="126"/>
      <c r="O879" s="126"/>
      <c r="Q879" s="126"/>
      <c r="W879" s="126"/>
      <c r="Y879" s="126"/>
      <c r="AE879" s="126"/>
      <c r="AG879" s="126"/>
      <c r="AM879" s="126"/>
    </row>
    <row r="880" spans="9:39" x14ac:dyDescent="0.3">
      <c r="I880" s="126"/>
      <c r="O880" s="126"/>
      <c r="Q880" s="126"/>
      <c r="W880" s="126"/>
      <c r="Y880" s="126"/>
      <c r="AE880" s="126"/>
      <c r="AG880" s="126"/>
      <c r="AM880" s="126"/>
    </row>
    <row r="881" spans="9:39" x14ac:dyDescent="0.3">
      <c r="I881" s="126"/>
      <c r="O881" s="126"/>
      <c r="Q881" s="126"/>
      <c r="W881" s="126"/>
      <c r="Y881" s="126"/>
      <c r="AE881" s="126"/>
      <c r="AG881" s="126"/>
      <c r="AM881" s="126"/>
    </row>
    <row r="882" spans="9:39" x14ac:dyDescent="0.3">
      <c r="I882" s="126"/>
      <c r="O882" s="126"/>
      <c r="Q882" s="126"/>
      <c r="W882" s="126"/>
      <c r="Y882" s="126"/>
      <c r="AE882" s="126"/>
      <c r="AG882" s="126"/>
      <c r="AM882" s="126"/>
    </row>
    <row r="883" spans="9:39" x14ac:dyDescent="0.3">
      <c r="I883" s="126"/>
      <c r="O883" s="126"/>
      <c r="Q883" s="126"/>
      <c r="W883" s="126"/>
      <c r="Y883" s="126"/>
      <c r="AE883" s="126"/>
      <c r="AG883" s="126"/>
      <c r="AM883" s="126"/>
    </row>
    <row r="884" spans="9:39" x14ac:dyDescent="0.3">
      <c r="I884" s="126"/>
      <c r="O884" s="126"/>
      <c r="Q884" s="126"/>
      <c r="W884" s="126"/>
      <c r="Y884" s="126"/>
      <c r="AE884" s="126"/>
      <c r="AG884" s="126"/>
      <c r="AM884" s="126"/>
    </row>
    <row r="885" spans="9:39" x14ac:dyDescent="0.3">
      <c r="I885" s="126"/>
      <c r="O885" s="126"/>
      <c r="Q885" s="126"/>
      <c r="W885" s="126"/>
      <c r="Y885" s="126"/>
      <c r="AE885" s="126"/>
      <c r="AG885" s="126"/>
      <c r="AM885" s="126"/>
    </row>
    <row r="886" spans="9:39" x14ac:dyDescent="0.3">
      <c r="I886" s="126"/>
      <c r="O886" s="126"/>
      <c r="Q886" s="126"/>
      <c r="W886" s="126"/>
      <c r="Y886" s="126"/>
      <c r="AE886" s="126"/>
      <c r="AG886" s="126"/>
      <c r="AM886" s="126"/>
    </row>
    <row r="887" spans="9:39" x14ac:dyDescent="0.3">
      <c r="I887" s="126"/>
      <c r="O887" s="126"/>
      <c r="Q887" s="126"/>
      <c r="W887" s="126"/>
      <c r="Y887" s="126"/>
      <c r="AE887" s="126"/>
      <c r="AG887" s="126"/>
      <c r="AM887" s="126"/>
    </row>
    <row r="888" spans="9:39" x14ac:dyDescent="0.3">
      <c r="I888" s="126"/>
      <c r="O888" s="126"/>
      <c r="Q888" s="126"/>
      <c r="W888" s="126"/>
      <c r="Y888" s="126"/>
      <c r="AE888" s="126"/>
      <c r="AG888" s="126"/>
      <c r="AM888" s="126"/>
    </row>
    <row r="889" spans="9:39" x14ac:dyDescent="0.3">
      <c r="I889" s="126"/>
      <c r="O889" s="126"/>
      <c r="Q889" s="126"/>
      <c r="W889" s="126"/>
      <c r="Y889" s="126"/>
      <c r="AE889" s="126"/>
      <c r="AG889" s="126"/>
      <c r="AM889" s="126"/>
    </row>
    <row r="890" spans="9:39" x14ac:dyDescent="0.3">
      <c r="I890" s="126"/>
      <c r="O890" s="126"/>
      <c r="Q890" s="126"/>
      <c r="W890" s="126"/>
      <c r="Y890" s="126"/>
      <c r="AE890" s="126"/>
      <c r="AG890" s="126"/>
      <c r="AM890" s="126"/>
    </row>
    <row r="891" spans="9:39" x14ac:dyDescent="0.3">
      <c r="I891" s="126"/>
      <c r="O891" s="126"/>
      <c r="Q891" s="126"/>
      <c r="W891" s="126"/>
      <c r="Y891" s="126"/>
      <c r="AE891" s="126"/>
      <c r="AG891" s="126"/>
      <c r="AM891" s="126"/>
    </row>
    <row r="892" spans="9:39" x14ac:dyDescent="0.3">
      <c r="I892" s="126"/>
      <c r="O892" s="126"/>
      <c r="Q892" s="126"/>
      <c r="W892" s="126"/>
      <c r="Y892" s="126"/>
      <c r="AE892" s="126"/>
      <c r="AG892" s="126"/>
      <c r="AM892" s="126"/>
    </row>
    <row r="893" spans="9:39" x14ac:dyDescent="0.3">
      <c r="I893" s="126"/>
      <c r="O893" s="126"/>
      <c r="Q893" s="126"/>
      <c r="W893" s="126"/>
      <c r="Y893" s="126"/>
      <c r="AE893" s="126"/>
      <c r="AG893" s="126"/>
      <c r="AM893" s="126"/>
    </row>
    <row r="894" spans="9:39" x14ac:dyDescent="0.3">
      <c r="I894" s="126"/>
      <c r="O894" s="126"/>
      <c r="Q894" s="126"/>
      <c r="W894" s="126"/>
      <c r="Y894" s="126"/>
      <c r="AE894" s="126"/>
      <c r="AG894" s="126"/>
      <c r="AM894" s="126"/>
    </row>
    <row r="895" spans="9:39" x14ac:dyDescent="0.3">
      <c r="I895" s="126"/>
      <c r="O895" s="126"/>
      <c r="Q895" s="126"/>
      <c r="W895" s="126"/>
      <c r="Y895" s="126"/>
      <c r="AE895" s="126"/>
      <c r="AG895" s="126"/>
      <c r="AM895" s="126"/>
    </row>
    <row r="896" spans="9:39" x14ac:dyDescent="0.3">
      <c r="I896" s="126"/>
      <c r="O896" s="126"/>
      <c r="Q896" s="126"/>
      <c r="W896" s="126"/>
      <c r="Y896" s="126"/>
      <c r="AE896" s="126"/>
      <c r="AG896" s="126"/>
      <c r="AM896" s="126"/>
    </row>
    <row r="897" spans="9:39" x14ac:dyDescent="0.3">
      <c r="I897" s="126"/>
      <c r="O897" s="126"/>
      <c r="Q897" s="126"/>
      <c r="W897" s="126"/>
      <c r="Y897" s="126"/>
      <c r="AE897" s="126"/>
      <c r="AG897" s="126"/>
      <c r="AM897" s="126"/>
    </row>
    <row r="898" spans="9:39" x14ac:dyDescent="0.3">
      <c r="I898" s="126"/>
      <c r="O898" s="126"/>
      <c r="Q898" s="126"/>
      <c r="W898" s="126"/>
      <c r="Y898" s="126"/>
      <c r="AE898" s="126"/>
      <c r="AG898" s="126"/>
      <c r="AM898" s="126"/>
    </row>
    <row r="899" spans="9:39" x14ac:dyDescent="0.3">
      <c r="I899" s="126"/>
      <c r="O899" s="126"/>
      <c r="Q899" s="126"/>
      <c r="W899" s="126"/>
      <c r="Y899" s="126"/>
      <c r="AE899" s="126"/>
      <c r="AG899" s="126"/>
      <c r="AM899" s="126"/>
    </row>
    <row r="900" spans="9:39" x14ac:dyDescent="0.3">
      <c r="I900" s="126"/>
      <c r="O900" s="126"/>
      <c r="Q900" s="126"/>
      <c r="W900" s="126"/>
      <c r="Y900" s="126"/>
      <c r="AE900" s="126"/>
      <c r="AG900" s="126"/>
      <c r="AM900" s="126"/>
    </row>
    <row r="901" spans="9:39" x14ac:dyDescent="0.3">
      <c r="I901" s="126"/>
      <c r="O901" s="126"/>
      <c r="Q901" s="126"/>
      <c r="W901" s="126"/>
      <c r="Y901" s="126"/>
      <c r="AE901" s="126"/>
      <c r="AG901" s="126"/>
      <c r="AM901" s="126"/>
    </row>
    <row r="902" spans="9:39" x14ac:dyDescent="0.3">
      <c r="I902" s="126"/>
      <c r="O902" s="126"/>
      <c r="Q902" s="126"/>
      <c r="W902" s="126"/>
      <c r="Y902" s="126"/>
      <c r="AE902" s="126"/>
      <c r="AG902" s="126"/>
      <c r="AM902" s="126"/>
    </row>
    <row r="903" spans="9:39" x14ac:dyDescent="0.3">
      <c r="I903" s="126"/>
      <c r="O903" s="126"/>
      <c r="Q903" s="126"/>
      <c r="W903" s="126"/>
      <c r="Y903" s="126"/>
      <c r="AE903" s="126"/>
      <c r="AG903" s="126"/>
      <c r="AM903" s="126"/>
    </row>
    <row r="904" spans="9:39" x14ac:dyDescent="0.3">
      <c r="I904" s="126"/>
      <c r="O904" s="126"/>
      <c r="Q904" s="126"/>
      <c r="W904" s="126"/>
      <c r="Y904" s="126"/>
      <c r="AE904" s="126"/>
      <c r="AG904" s="126"/>
      <c r="AM904" s="126"/>
    </row>
    <row r="905" spans="9:39" x14ac:dyDescent="0.3">
      <c r="I905" s="126"/>
      <c r="O905" s="126"/>
      <c r="Q905" s="126"/>
      <c r="W905" s="126"/>
      <c r="Y905" s="126"/>
      <c r="AE905" s="126"/>
      <c r="AG905" s="126"/>
      <c r="AM905" s="126"/>
    </row>
    <row r="906" spans="9:39" x14ac:dyDescent="0.3">
      <c r="I906" s="126"/>
      <c r="O906" s="126"/>
      <c r="Q906" s="126"/>
      <c r="W906" s="126"/>
      <c r="Y906" s="126"/>
      <c r="AE906" s="126"/>
      <c r="AG906" s="126"/>
      <c r="AM906" s="126"/>
    </row>
    <row r="907" spans="9:39" x14ac:dyDescent="0.3">
      <c r="I907" s="126"/>
      <c r="O907" s="126"/>
      <c r="Q907" s="126"/>
      <c r="W907" s="126"/>
      <c r="Y907" s="126"/>
      <c r="AE907" s="126"/>
      <c r="AG907" s="126"/>
      <c r="AM907" s="126"/>
    </row>
    <row r="908" spans="9:39" x14ac:dyDescent="0.3">
      <c r="I908" s="126"/>
      <c r="O908" s="126"/>
      <c r="Q908" s="126"/>
      <c r="W908" s="126"/>
      <c r="Y908" s="126"/>
      <c r="AE908" s="126"/>
      <c r="AG908" s="126"/>
      <c r="AM908" s="126"/>
    </row>
    <row r="909" spans="9:39" x14ac:dyDescent="0.3">
      <c r="I909" s="126"/>
      <c r="O909" s="126"/>
      <c r="Q909" s="126"/>
      <c r="W909" s="126"/>
      <c r="Y909" s="126"/>
      <c r="AE909" s="126"/>
      <c r="AG909" s="126"/>
      <c r="AM909" s="126"/>
    </row>
    <row r="910" spans="9:39" x14ac:dyDescent="0.3">
      <c r="I910" s="126"/>
      <c r="O910" s="126"/>
      <c r="Q910" s="126"/>
      <c r="W910" s="126"/>
      <c r="Y910" s="126"/>
      <c r="AE910" s="126"/>
      <c r="AG910" s="126"/>
      <c r="AM910" s="126"/>
    </row>
    <row r="911" spans="9:39" x14ac:dyDescent="0.3">
      <c r="I911" s="126"/>
      <c r="O911" s="126"/>
      <c r="Q911" s="126"/>
      <c r="W911" s="126"/>
      <c r="Y911" s="126"/>
      <c r="AE911" s="126"/>
      <c r="AG911" s="126"/>
      <c r="AM911" s="126"/>
    </row>
    <row r="912" spans="9:39" x14ac:dyDescent="0.3">
      <c r="I912" s="126"/>
      <c r="O912" s="126"/>
      <c r="Q912" s="126"/>
      <c r="W912" s="126"/>
      <c r="Y912" s="126"/>
      <c r="AE912" s="126"/>
      <c r="AG912" s="126"/>
      <c r="AM912" s="126"/>
    </row>
    <row r="913" spans="9:39" x14ac:dyDescent="0.3">
      <c r="I913" s="126"/>
      <c r="O913" s="126"/>
      <c r="Q913" s="126"/>
      <c r="W913" s="126"/>
      <c r="Y913" s="126"/>
      <c r="AE913" s="126"/>
      <c r="AG913" s="126"/>
      <c r="AM913" s="126"/>
    </row>
    <row r="914" spans="9:39" x14ac:dyDescent="0.3">
      <c r="I914" s="126"/>
      <c r="O914" s="126"/>
      <c r="Q914" s="126"/>
      <c r="W914" s="126"/>
      <c r="Y914" s="126"/>
      <c r="AE914" s="126"/>
      <c r="AG914" s="126"/>
      <c r="AM914" s="126"/>
    </row>
    <row r="915" spans="9:39" x14ac:dyDescent="0.3">
      <c r="I915" s="126"/>
      <c r="O915" s="126"/>
      <c r="Q915" s="126"/>
      <c r="W915" s="126"/>
      <c r="Y915" s="126"/>
      <c r="AE915" s="126"/>
      <c r="AG915" s="126"/>
      <c r="AM915" s="126"/>
    </row>
    <row r="916" spans="9:39" x14ac:dyDescent="0.3">
      <c r="I916" s="126"/>
      <c r="O916" s="126"/>
      <c r="Q916" s="126"/>
      <c r="W916" s="126"/>
      <c r="Y916" s="126"/>
      <c r="AE916" s="126"/>
      <c r="AG916" s="126"/>
      <c r="AM916" s="126"/>
    </row>
    <row r="917" spans="9:39" x14ac:dyDescent="0.3">
      <c r="I917" s="126"/>
      <c r="O917" s="126"/>
      <c r="Q917" s="126"/>
      <c r="W917" s="126"/>
      <c r="Y917" s="126"/>
      <c r="AE917" s="126"/>
      <c r="AG917" s="126"/>
      <c r="AM917" s="126"/>
    </row>
    <row r="918" spans="9:39" x14ac:dyDescent="0.3">
      <c r="I918" s="126"/>
      <c r="O918" s="126"/>
      <c r="Q918" s="126"/>
      <c r="W918" s="126"/>
      <c r="Y918" s="126"/>
      <c r="AE918" s="126"/>
      <c r="AG918" s="126"/>
      <c r="AM918" s="126"/>
    </row>
    <row r="919" spans="9:39" x14ac:dyDescent="0.3">
      <c r="I919" s="126"/>
      <c r="O919" s="126"/>
      <c r="Q919" s="126"/>
      <c r="W919" s="126"/>
      <c r="Y919" s="126"/>
      <c r="AE919" s="126"/>
      <c r="AG919" s="126"/>
      <c r="AM919" s="126"/>
    </row>
    <row r="920" spans="9:39" x14ac:dyDescent="0.3">
      <c r="I920" s="126"/>
      <c r="O920" s="126"/>
      <c r="Q920" s="126"/>
      <c r="W920" s="126"/>
      <c r="Y920" s="126"/>
      <c r="AE920" s="126"/>
      <c r="AG920" s="126"/>
      <c r="AM920" s="126"/>
    </row>
    <row r="921" spans="9:39" x14ac:dyDescent="0.3">
      <c r="I921" s="126"/>
      <c r="O921" s="126"/>
      <c r="Q921" s="126"/>
      <c r="W921" s="126"/>
      <c r="Y921" s="126"/>
      <c r="AE921" s="126"/>
      <c r="AG921" s="126"/>
      <c r="AM921" s="126"/>
    </row>
    <row r="922" spans="9:39" x14ac:dyDescent="0.3">
      <c r="I922" s="126"/>
      <c r="O922" s="126"/>
      <c r="Q922" s="126"/>
      <c r="W922" s="126"/>
      <c r="Y922" s="126"/>
      <c r="AE922" s="126"/>
      <c r="AG922" s="126"/>
      <c r="AM922" s="126"/>
    </row>
    <row r="923" spans="9:39" x14ac:dyDescent="0.3">
      <c r="I923" s="126"/>
      <c r="O923" s="126"/>
      <c r="Q923" s="126"/>
      <c r="W923" s="126"/>
      <c r="Y923" s="126"/>
      <c r="AE923" s="126"/>
      <c r="AG923" s="126"/>
      <c r="AM923" s="126"/>
    </row>
    <row r="924" spans="9:39" x14ac:dyDescent="0.3">
      <c r="I924" s="126"/>
      <c r="O924" s="126"/>
      <c r="Q924" s="126"/>
      <c r="W924" s="126"/>
      <c r="Y924" s="126"/>
      <c r="AE924" s="126"/>
      <c r="AG924" s="126"/>
      <c r="AM924" s="126"/>
    </row>
    <row r="925" spans="9:39" x14ac:dyDescent="0.3">
      <c r="I925" s="126"/>
      <c r="O925" s="126"/>
      <c r="Q925" s="126"/>
      <c r="W925" s="126"/>
      <c r="Y925" s="126"/>
      <c r="AE925" s="126"/>
      <c r="AG925" s="126"/>
      <c r="AM925" s="126"/>
    </row>
    <row r="926" spans="9:39" x14ac:dyDescent="0.3">
      <c r="I926" s="126"/>
      <c r="O926" s="126"/>
      <c r="Q926" s="126"/>
      <c r="W926" s="126"/>
      <c r="Y926" s="126"/>
      <c r="AE926" s="126"/>
      <c r="AG926" s="126"/>
      <c r="AM926" s="126"/>
    </row>
    <row r="927" spans="9:39" x14ac:dyDescent="0.3">
      <c r="I927" s="126"/>
      <c r="O927" s="126"/>
      <c r="Q927" s="126"/>
      <c r="W927" s="126"/>
      <c r="Y927" s="126"/>
      <c r="AE927" s="126"/>
      <c r="AG927" s="126"/>
      <c r="AM927" s="126"/>
    </row>
    <row r="928" spans="9:39" x14ac:dyDescent="0.3">
      <c r="I928" s="126"/>
      <c r="O928" s="126"/>
      <c r="Q928" s="126"/>
      <c r="W928" s="126"/>
      <c r="Y928" s="126"/>
      <c r="AE928" s="126"/>
      <c r="AG928" s="126"/>
      <c r="AM928" s="126"/>
    </row>
    <row r="929" spans="9:39" x14ac:dyDescent="0.3">
      <c r="I929" s="126"/>
      <c r="O929" s="126"/>
      <c r="Q929" s="126"/>
      <c r="W929" s="126"/>
      <c r="Y929" s="126"/>
      <c r="AE929" s="126"/>
      <c r="AG929" s="126"/>
      <c r="AM929" s="126"/>
    </row>
    <row r="930" spans="9:39" x14ac:dyDescent="0.3">
      <c r="I930" s="126"/>
      <c r="O930" s="126"/>
      <c r="Q930" s="126"/>
      <c r="W930" s="126"/>
      <c r="Y930" s="126"/>
      <c r="AE930" s="126"/>
      <c r="AG930" s="126"/>
      <c r="AM930" s="126"/>
    </row>
    <row r="931" spans="9:39" x14ac:dyDescent="0.3">
      <c r="I931" s="126"/>
      <c r="O931" s="126"/>
      <c r="Q931" s="126"/>
      <c r="W931" s="126"/>
      <c r="Y931" s="126"/>
      <c r="AE931" s="126"/>
      <c r="AG931" s="126"/>
      <c r="AM931" s="126"/>
    </row>
    <row r="932" spans="9:39" x14ac:dyDescent="0.3">
      <c r="I932" s="126"/>
      <c r="O932" s="126"/>
      <c r="Q932" s="126"/>
      <c r="W932" s="126"/>
      <c r="Y932" s="126"/>
      <c r="AE932" s="126"/>
      <c r="AG932" s="126"/>
      <c r="AM932" s="126"/>
    </row>
    <row r="933" spans="9:39" x14ac:dyDescent="0.3">
      <c r="I933" s="126"/>
      <c r="O933" s="126"/>
      <c r="Q933" s="126"/>
      <c r="W933" s="126"/>
      <c r="Y933" s="126"/>
      <c r="AE933" s="126"/>
      <c r="AG933" s="126"/>
      <c r="AM933" s="126"/>
    </row>
    <row r="934" spans="9:39" x14ac:dyDescent="0.3">
      <c r="I934" s="126"/>
      <c r="O934" s="126"/>
      <c r="Q934" s="126"/>
      <c r="W934" s="126"/>
      <c r="Y934" s="126"/>
      <c r="AE934" s="126"/>
      <c r="AG934" s="126"/>
      <c r="AM934" s="126"/>
    </row>
    <row r="935" spans="9:39" x14ac:dyDescent="0.3">
      <c r="I935" s="126"/>
      <c r="O935" s="126"/>
      <c r="Q935" s="126"/>
      <c r="W935" s="126"/>
      <c r="Y935" s="126"/>
      <c r="AE935" s="126"/>
      <c r="AG935" s="126"/>
      <c r="AM935" s="126"/>
    </row>
    <row r="936" spans="9:39" x14ac:dyDescent="0.3">
      <c r="I936" s="126"/>
      <c r="O936" s="126"/>
      <c r="Q936" s="126"/>
      <c r="W936" s="126"/>
      <c r="Y936" s="126"/>
      <c r="AE936" s="126"/>
      <c r="AG936" s="126"/>
      <c r="AM936" s="126"/>
    </row>
    <row r="937" spans="9:39" x14ac:dyDescent="0.3">
      <c r="I937" s="126"/>
      <c r="O937" s="126"/>
      <c r="Q937" s="126"/>
      <c r="W937" s="126"/>
      <c r="Y937" s="126"/>
      <c r="AE937" s="126"/>
      <c r="AG937" s="126"/>
      <c r="AM937" s="126"/>
    </row>
    <row r="938" spans="9:39" x14ac:dyDescent="0.3">
      <c r="I938" s="126"/>
      <c r="O938" s="126"/>
      <c r="Q938" s="126"/>
      <c r="W938" s="126"/>
      <c r="Y938" s="126"/>
      <c r="AE938" s="126"/>
      <c r="AG938" s="126"/>
      <c r="AM938" s="126"/>
    </row>
    <row r="939" spans="9:39" x14ac:dyDescent="0.3">
      <c r="I939" s="126"/>
      <c r="O939" s="126"/>
      <c r="Q939" s="126"/>
      <c r="W939" s="126"/>
      <c r="Y939" s="126"/>
      <c r="AE939" s="126"/>
      <c r="AG939" s="126"/>
      <c r="AM939" s="126"/>
    </row>
    <row r="940" spans="9:39" x14ac:dyDescent="0.3">
      <c r="I940" s="126"/>
      <c r="O940" s="126"/>
      <c r="Q940" s="126"/>
      <c r="W940" s="126"/>
      <c r="Y940" s="126"/>
      <c r="AE940" s="126"/>
      <c r="AG940" s="126"/>
      <c r="AM940" s="126"/>
    </row>
    <row r="941" spans="9:39" x14ac:dyDescent="0.3">
      <c r="I941" s="126"/>
      <c r="O941" s="126"/>
      <c r="Q941" s="126"/>
      <c r="W941" s="126"/>
      <c r="Y941" s="126"/>
      <c r="AE941" s="126"/>
      <c r="AG941" s="126"/>
      <c r="AM941" s="126"/>
    </row>
    <row r="942" spans="9:39" x14ac:dyDescent="0.3">
      <c r="I942" s="126"/>
      <c r="O942" s="126"/>
      <c r="Q942" s="126"/>
      <c r="W942" s="126"/>
      <c r="Y942" s="126"/>
      <c r="AE942" s="126"/>
      <c r="AG942" s="126"/>
      <c r="AM942" s="126"/>
    </row>
    <row r="943" spans="9:39" x14ac:dyDescent="0.3">
      <c r="I943" s="126"/>
      <c r="O943" s="126"/>
      <c r="Q943" s="126"/>
      <c r="W943" s="126"/>
      <c r="Y943" s="126"/>
      <c r="AE943" s="126"/>
      <c r="AG943" s="126"/>
      <c r="AM943" s="126"/>
    </row>
    <row r="944" spans="9:39" x14ac:dyDescent="0.3">
      <c r="I944" s="126"/>
      <c r="O944" s="126"/>
      <c r="Q944" s="126"/>
      <c r="W944" s="126"/>
      <c r="Y944" s="126"/>
      <c r="AE944" s="126"/>
      <c r="AG944" s="126"/>
      <c r="AM944" s="126"/>
    </row>
    <row r="945" spans="9:39" x14ac:dyDescent="0.3">
      <c r="I945" s="126"/>
      <c r="O945" s="126"/>
      <c r="Q945" s="126"/>
      <c r="W945" s="126"/>
      <c r="Y945" s="126"/>
      <c r="AE945" s="126"/>
      <c r="AG945" s="126"/>
      <c r="AM945" s="126"/>
    </row>
    <row r="946" spans="9:39" x14ac:dyDescent="0.3">
      <c r="I946" s="126"/>
      <c r="O946" s="126"/>
      <c r="Q946" s="126"/>
      <c r="W946" s="126"/>
      <c r="Y946" s="126"/>
      <c r="AE946" s="126"/>
      <c r="AG946" s="126"/>
      <c r="AM946" s="126"/>
    </row>
    <row r="947" spans="9:39" x14ac:dyDescent="0.3">
      <c r="I947" s="126"/>
      <c r="O947" s="126"/>
      <c r="Q947" s="126"/>
      <c r="W947" s="126"/>
      <c r="Y947" s="126"/>
      <c r="AE947" s="126"/>
      <c r="AG947" s="126"/>
      <c r="AM947" s="126"/>
    </row>
    <row r="948" spans="9:39" x14ac:dyDescent="0.3">
      <c r="I948" s="126"/>
      <c r="O948" s="126"/>
      <c r="Q948" s="126"/>
      <c r="W948" s="126"/>
      <c r="Y948" s="126"/>
      <c r="AE948" s="126"/>
      <c r="AG948" s="126"/>
      <c r="AM948" s="126"/>
    </row>
    <row r="949" spans="9:39" x14ac:dyDescent="0.3">
      <c r="I949" s="126"/>
      <c r="O949" s="126"/>
      <c r="Q949" s="126"/>
      <c r="W949" s="126"/>
      <c r="Y949" s="126"/>
      <c r="AE949" s="126"/>
      <c r="AG949" s="126"/>
      <c r="AM949" s="126"/>
    </row>
    <row r="950" spans="9:39" x14ac:dyDescent="0.3">
      <c r="I950" s="126"/>
      <c r="O950" s="126"/>
      <c r="Q950" s="126"/>
      <c r="W950" s="126"/>
      <c r="Y950" s="126"/>
      <c r="AE950" s="126"/>
      <c r="AG950" s="126"/>
      <c r="AM950" s="126"/>
    </row>
    <row r="951" spans="9:39" x14ac:dyDescent="0.3">
      <c r="I951" s="126"/>
      <c r="O951" s="126"/>
      <c r="Q951" s="126"/>
      <c r="W951" s="126"/>
      <c r="Y951" s="126"/>
      <c r="AE951" s="126"/>
      <c r="AG951" s="126"/>
      <c r="AM951" s="126"/>
    </row>
    <row r="952" spans="9:39" x14ac:dyDescent="0.3">
      <c r="I952" s="126"/>
      <c r="O952" s="126"/>
      <c r="Q952" s="126"/>
      <c r="W952" s="126"/>
      <c r="Y952" s="126"/>
      <c r="AE952" s="126"/>
      <c r="AG952" s="126"/>
      <c r="AM952" s="126"/>
    </row>
    <row r="953" spans="9:39" x14ac:dyDescent="0.3">
      <c r="I953" s="126"/>
      <c r="O953" s="126"/>
      <c r="Q953" s="126"/>
      <c r="W953" s="126"/>
      <c r="Y953" s="126"/>
      <c r="AE953" s="126"/>
      <c r="AG953" s="126"/>
      <c r="AM953" s="126"/>
    </row>
    <row r="954" spans="9:39" x14ac:dyDescent="0.3">
      <c r="I954" s="126"/>
      <c r="O954" s="126"/>
      <c r="Q954" s="126"/>
      <c r="W954" s="126"/>
      <c r="Y954" s="126"/>
      <c r="AE954" s="126"/>
      <c r="AG954" s="126"/>
      <c r="AM954" s="126"/>
    </row>
    <row r="955" spans="9:39" x14ac:dyDescent="0.3">
      <c r="I955" s="126"/>
      <c r="O955" s="126"/>
      <c r="Q955" s="126"/>
      <c r="W955" s="126"/>
      <c r="Y955" s="126"/>
      <c r="AE955" s="126"/>
      <c r="AG955" s="126"/>
      <c r="AM955" s="126"/>
    </row>
    <row r="956" spans="9:39" x14ac:dyDescent="0.3">
      <c r="I956" s="126"/>
      <c r="O956" s="126"/>
      <c r="Q956" s="126"/>
      <c r="W956" s="126"/>
      <c r="Y956" s="126"/>
      <c r="AE956" s="126"/>
      <c r="AG956" s="126"/>
      <c r="AM956" s="126"/>
    </row>
    <row r="957" spans="9:39" x14ac:dyDescent="0.3">
      <c r="I957" s="126"/>
      <c r="O957" s="126"/>
      <c r="Q957" s="126"/>
      <c r="W957" s="126"/>
      <c r="Y957" s="126"/>
      <c r="AE957" s="126"/>
      <c r="AG957" s="126"/>
      <c r="AM957" s="126"/>
    </row>
    <row r="958" spans="9:39" x14ac:dyDescent="0.3">
      <c r="I958" s="126"/>
      <c r="O958" s="126"/>
      <c r="Q958" s="126"/>
      <c r="W958" s="126"/>
      <c r="Y958" s="126"/>
      <c r="AE958" s="126"/>
      <c r="AG958" s="126"/>
      <c r="AM958" s="126"/>
    </row>
    <row r="959" spans="9:39" x14ac:dyDescent="0.3">
      <c r="I959" s="126"/>
      <c r="O959" s="126"/>
      <c r="Q959" s="126"/>
      <c r="W959" s="126"/>
      <c r="Y959" s="126"/>
      <c r="AE959" s="126"/>
      <c r="AG959" s="126"/>
      <c r="AM959" s="126"/>
    </row>
    <row r="960" spans="9:39" x14ac:dyDescent="0.3">
      <c r="I960" s="126"/>
      <c r="O960" s="126"/>
      <c r="Q960" s="126"/>
      <c r="W960" s="126"/>
      <c r="Y960" s="126"/>
      <c r="AE960" s="126"/>
      <c r="AG960" s="126"/>
      <c r="AM960" s="126"/>
    </row>
    <row r="961" spans="9:39" x14ac:dyDescent="0.3">
      <c r="I961" s="126"/>
      <c r="O961" s="126"/>
      <c r="Q961" s="126"/>
      <c r="W961" s="126"/>
      <c r="Y961" s="126"/>
      <c r="AE961" s="126"/>
      <c r="AG961" s="126"/>
      <c r="AM961" s="126"/>
    </row>
    <row r="962" spans="9:39" x14ac:dyDescent="0.3">
      <c r="I962" s="126"/>
      <c r="O962" s="126"/>
      <c r="Q962" s="126"/>
      <c r="W962" s="126"/>
      <c r="Y962" s="126"/>
      <c r="AE962" s="126"/>
      <c r="AG962" s="126"/>
      <c r="AM962" s="126"/>
    </row>
    <row r="963" spans="9:39" x14ac:dyDescent="0.3">
      <c r="I963" s="126"/>
      <c r="O963" s="126"/>
      <c r="Q963" s="126"/>
      <c r="W963" s="126"/>
      <c r="Y963" s="126"/>
      <c r="AE963" s="126"/>
      <c r="AG963" s="126"/>
      <c r="AM963" s="126"/>
    </row>
    <row r="964" spans="9:39" x14ac:dyDescent="0.3">
      <c r="I964" s="126"/>
      <c r="O964" s="126"/>
      <c r="Q964" s="126"/>
      <c r="W964" s="126"/>
      <c r="Y964" s="126"/>
      <c r="AE964" s="126"/>
      <c r="AG964" s="126"/>
      <c r="AM964" s="126"/>
    </row>
    <row r="965" spans="9:39" x14ac:dyDescent="0.3">
      <c r="I965" s="126"/>
      <c r="O965" s="126"/>
      <c r="Q965" s="126"/>
      <c r="W965" s="126"/>
      <c r="Y965" s="126"/>
      <c r="AE965" s="126"/>
      <c r="AG965" s="126"/>
      <c r="AM965" s="126"/>
    </row>
    <row r="966" spans="9:39" x14ac:dyDescent="0.3">
      <c r="I966" s="126"/>
      <c r="O966" s="126"/>
      <c r="Q966" s="126"/>
      <c r="W966" s="126"/>
      <c r="Y966" s="126"/>
      <c r="AE966" s="126"/>
      <c r="AG966" s="126"/>
      <c r="AM966" s="126"/>
    </row>
    <row r="967" spans="9:39" x14ac:dyDescent="0.3">
      <c r="I967" s="126"/>
      <c r="O967" s="126"/>
      <c r="Q967" s="126"/>
      <c r="W967" s="126"/>
      <c r="Y967" s="126"/>
      <c r="AE967" s="126"/>
      <c r="AG967" s="126"/>
      <c r="AM967" s="126"/>
    </row>
    <row r="968" spans="9:39" x14ac:dyDescent="0.3">
      <c r="I968" s="126"/>
      <c r="O968" s="126"/>
      <c r="Q968" s="126"/>
      <c r="W968" s="126"/>
      <c r="Y968" s="126"/>
      <c r="AE968" s="126"/>
      <c r="AG968" s="126"/>
      <c r="AM968" s="126"/>
    </row>
    <row r="969" spans="9:39" x14ac:dyDescent="0.3">
      <c r="I969" s="126"/>
      <c r="O969" s="126"/>
      <c r="Q969" s="126"/>
      <c r="W969" s="126"/>
      <c r="Y969" s="126"/>
      <c r="AE969" s="126"/>
      <c r="AG969" s="126"/>
      <c r="AM969" s="126"/>
    </row>
    <row r="970" spans="9:39" x14ac:dyDescent="0.3">
      <c r="I970" s="126"/>
      <c r="O970" s="126"/>
      <c r="Q970" s="126"/>
      <c r="W970" s="126"/>
      <c r="Y970" s="126"/>
      <c r="AE970" s="126"/>
      <c r="AG970" s="126"/>
      <c r="AM970" s="126"/>
    </row>
    <row r="971" spans="9:39" x14ac:dyDescent="0.3">
      <c r="I971" s="126"/>
      <c r="O971" s="126"/>
      <c r="Q971" s="126"/>
      <c r="W971" s="126"/>
      <c r="Y971" s="126"/>
      <c r="AE971" s="126"/>
      <c r="AG971" s="126"/>
      <c r="AM971" s="126"/>
    </row>
    <row r="972" spans="9:39" x14ac:dyDescent="0.3">
      <c r="I972" s="126"/>
      <c r="O972" s="126"/>
      <c r="Q972" s="126"/>
      <c r="W972" s="126"/>
      <c r="Y972" s="126"/>
      <c r="AE972" s="126"/>
      <c r="AG972" s="126"/>
      <c r="AM972" s="126"/>
    </row>
    <row r="973" spans="9:39" x14ac:dyDescent="0.3">
      <c r="I973" s="126"/>
      <c r="O973" s="126"/>
      <c r="Q973" s="126"/>
      <c r="W973" s="126"/>
      <c r="Y973" s="126"/>
      <c r="AE973" s="126"/>
      <c r="AG973" s="126"/>
      <c r="AM973" s="126"/>
    </row>
    <row r="974" spans="9:39" x14ac:dyDescent="0.3">
      <c r="I974" s="126"/>
      <c r="O974" s="126"/>
      <c r="Q974" s="126"/>
      <c r="W974" s="126"/>
      <c r="Y974" s="126"/>
      <c r="AE974" s="126"/>
      <c r="AG974" s="126"/>
      <c r="AM974" s="126"/>
    </row>
    <row r="975" spans="9:39" x14ac:dyDescent="0.3">
      <c r="I975" s="126"/>
      <c r="O975" s="126"/>
      <c r="Q975" s="126"/>
      <c r="W975" s="126"/>
      <c r="Y975" s="126"/>
      <c r="AE975" s="126"/>
      <c r="AG975" s="126"/>
      <c r="AM975" s="126"/>
    </row>
    <row r="976" spans="9:39" x14ac:dyDescent="0.3">
      <c r="I976" s="126"/>
      <c r="O976" s="126"/>
      <c r="Q976" s="126"/>
      <c r="W976" s="126"/>
      <c r="Y976" s="126"/>
      <c r="AE976" s="126"/>
      <c r="AG976" s="126"/>
      <c r="AM976" s="126"/>
    </row>
    <row r="977" spans="9:39" x14ac:dyDescent="0.3">
      <c r="I977" s="126"/>
      <c r="O977" s="126"/>
      <c r="Q977" s="126"/>
      <c r="W977" s="126"/>
      <c r="Y977" s="126"/>
      <c r="AE977" s="126"/>
      <c r="AG977" s="126"/>
      <c r="AM977" s="126"/>
    </row>
    <row r="978" spans="9:39" x14ac:dyDescent="0.3">
      <c r="I978" s="126"/>
      <c r="O978" s="126"/>
      <c r="Q978" s="126"/>
      <c r="W978" s="126"/>
      <c r="Y978" s="126"/>
      <c r="AE978" s="126"/>
      <c r="AG978" s="126"/>
      <c r="AM978" s="126"/>
    </row>
    <row r="979" spans="9:39" x14ac:dyDescent="0.3">
      <c r="I979" s="126"/>
      <c r="O979" s="126"/>
      <c r="Q979" s="126"/>
      <c r="W979" s="126"/>
      <c r="Y979" s="126"/>
      <c r="AE979" s="126"/>
      <c r="AG979" s="126"/>
      <c r="AM979" s="126"/>
    </row>
    <row r="980" spans="9:39" x14ac:dyDescent="0.3">
      <c r="I980" s="126"/>
      <c r="O980" s="126"/>
      <c r="Q980" s="126"/>
      <c r="W980" s="126"/>
      <c r="Y980" s="126"/>
      <c r="AE980" s="126"/>
      <c r="AG980" s="126"/>
      <c r="AM980" s="126"/>
    </row>
    <row r="981" spans="9:39" x14ac:dyDescent="0.3">
      <c r="I981" s="126"/>
      <c r="O981" s="126"/>
      <c r="Q981" s="126"/>
      <c r="W981" s="126"/>
      <c r="Y981" s="126"/>
      <c r="AE981" s="126"/>
      <c r="AG981" s="126"/>
      <c r="AM981" s="126"/>
    </row>
    <row r="982" spans="9:39" x14ac:dyDescent="0.3">
      <c r="I982" s="126"/>
      <c r="O982" s="126"/>
      <c r="Q982" s="126"/>
      <c r="W982" s="126"/>
      <c r="Y982" s="126"/>
      <c r="AE982" s="126"/>
      <c r="AG982" s="126"/>
      <c r="AM982" s="126"/>
    </row>
    <row r="983" spans="9:39" x14ac:dyDescent="0.3">
      <c r="I983" s="126"/>
      <c r="O983" s="126"/>
      <c r="Q983" s="126"/>
      <c r="W983" s="126"/>
      <c r="Y983" s="126"/>
      <c r="AE983" s="126"/>
      <c r="AG983" s="126"/>
      <c r="AM983" s="126"/>
    </row>
    <row r="984" spans="9:39" x14ac:dyDescent="0.3">
      <c r="I984" s="126"/>
      <c r="O984" s="126"/>
      <c r="Q984" s="126"/>
      <c r="W984" s="126"/>
      <c r="Y984" s="126"/>
      <c r="AE984" s="126"/>
      <c r="AG984" s="126"/>
      <c r="AM984" s="126"/>
    </row>
    <row r="985" spans="9:39" x14ac:dyDescent="0.3">
      <c r="I985" s="126"/>
      <c r="O985" s="126"/>
      <c r="Q985" s="126"/>
      <c r="W985" s="126"/>
      <c r="Y985" s="126"/>
      <c r="AE985" s="126"/>
      <c r="AG985" s="126"/>
      <c r="AM985" s="126"/>
    </row>
    <row r="986" spans="9:39" x14ac:dyDescent="0.3">
      <c r="I986" s="126"/>
      <c r="O986" s="126"/>
      <c r="Q986" s="126"/>
      <c r="W986" s="126"/>
      <c r="Y986" s="126"/>
      <c r="AE986" s="126"/>
      <c r="AG986" s="126"/>
      <c r="AM986" s="126"/>
    </row>
    <row r="987" spans="9:39" x14ac:dyDescent="0.3">
      <c r="I987" s="126"/>
      <c r="O987" s="126"/>
      <c r="Q987" s="126"/>
      <c r="W987" s="126"/>
      <c r="Y987" s="126"/>
      <c r="AE987" s="126"/>
      <c r="AG987" s="126"/>
      <c r="AM987" s="126"/>
    </row>
    <row r="988" spans="9:39" x14ac:dyDescent="0.3">
      <c r="I988" s="126"/>
      <c r="O988" s="126"/>
      <c r="Q988" s="126"/>
      <c r="W988" s="126"/>
      <c r="Y988" s="126"/>
      <c r="AE988" s="126"/>
      <c r="AG988" s="126"/>
      <c r="AM988" s="126"/>
    </row>
    <row r="989" spans="9:39" x14ac:dyDescent="0.3">
      <c r="I989" s="126"/>
      <c r="O989" s="126"/>
      <c r="Q989" s="126"/>
      <c r="W989" s="126"/>
      <c r="Y989" s="126"/>
      <c r="AE989" s="126"/>
      <c r="AG989" s="126"/>
      <c r="AM989" s="126"/>
    </row>
    <row r="990" spans="9:39" x14ac:dyDescent="0.3">
      <c r="I990" s="126"/>
      <c r="O990" s="126"/>
      <c r="Q990" s="126"/>
      <c r="W990" s="126"/>
      <c r="Y990" s="126"/>
      <c r="AE990" s="126"/>
      <c r="AG990" s="126"/>
      <c r="AM990" s="126"/>
    </row>
    <row r="991" spans="9:39" x14ac:dyDescent="0.3">
      <c r="I991" s="126"/>
      <c r="O991" s="126"/>
      <c r="Q991" s="126"/>
      <c r="W991" s="126"/>
      <c r="Y991" s="126"/>
      <c r="AE991" s="126"/>
      <c r="AG991" s="126"/>
      <c r="AM991" s="126"/>
    </row>
    <row r="992" spans="9:39" x14ac:dyDescent="0.3">
      <c r="I992" s="126"/>
      <c r="O992" s="126"/>
      <c r="Q992" s="126"/>
      <c r="W992" s="126"/>
      <c r="Y992" s="126"/>
      <c r="AE992" s="126"/>
      <c r="AG992" s="126"/>
      <c r="AM992" s="126"/>
    </row>
    <row r="993" spans="9:39" x14ac:dyDescent="0.3">
      <c r="I993" s="126"/>
      <c r="O993" s="126"/>
      <c r="Q993" s="126"/>
      <c r="W993" s="126"/>
      <c r="Y993" s="126"/>
      <c r="AE993" s="126"/>
      <c r="AG993" s="126"/>
      <c r="AM993" s="126"/>
    </row>
    <row r="994" spans="9:39" x14ac:dyDescent="0.3">
      <c r="I994" s="126"/>
      <c r="O994" s="126"/>
      <c r="Q994" s="126"/>
      <c r="W994" s="126"/>
      <c r="Y994" s="126"/>
      <c r="AE994" s="126"/>
      <c r="AG994" s="126"/>
      <c r="AM994" s="126"/>
    </row>
    <row r="995" spans="9:39" x14ac:dyDescent="0.3">
      <c r="I995" s="126"/>
      <c r="O995" s="126"/>
      <c r="Q995" s="126"/>
      <c r="W995" s="126"/>
      <c r="Y995" s="126"/>
      <c r="AE995" s="126"/>
      <c r="AG995" s="126"/>
      <c r="AM995" s="126"/>
    </row>
    <row r="996" spans="9:39" x14ac:dyDescent="0.3">
      <c r="I996" s="126"/>
      <c r="O996" s="126"/>
      <c r="Q996" s="126"/>
      <c r="W996" s="126"/>
      <c r="Y996" s="126"/>
      <c r="AE996" s="126"/>
      <c r="AG996" s="126"/>
      <c r="AM996" s="126"/>
    </row>
    <row r="997" spans="9:39" x14ac:dyDescent="0.3">
      <c r="I997" s="126"/>
      <c r="O997" s="126"/>
      <c r="Q997" s="126"/>
      <c r="W997" s="126"/>
      <c r="Y997" s="126"/>
      <c r="AE997" s="126"/>
      <c r="AG997" s="126"/>
      <c r="AM997" s="126"/>
    </row>
    <row r="998" spans="9:39" x14ac:dyDescent="0.3">
      <c r="I998" s="126"/>
      <c r="O998" s="126"/>
      <c r="Q998" s="126"/>
      <c r="W998" s="126"/>
      <c r="Y998" s="126"/>
      <c r="AE998" s="126"/>
      <c r="AG998" s="126"/>
      <c r="AM998" s="126"/>
    </row>
    <row r="999" spans="9:39" x14ac:dyDescent="0.3">
      <c r="I999" s="126"/>
      <c r="O999" s="126"/>
      <c r="Q999" s="126"/>
      <c r="W999" s="126"/>
      <c r="Y999" s="126"/>
      <c r="AE999" s="126"/>
      <c r="AG999" s="126"/>
      <c r="AM999" s="126"/>
    </row>
    <row r="1000" spans="9:39" x14ac:dyDescent="0.3">
      <c r="I1000" s="126"/>
      <c r="O1000" s="126"/>
      <c r="Q1000" s="126"/>
      <c r="W1000" s="126"/>
      <c r="Y1000" s="126"/>
      <c r="AE1000" s="126"/>
      <c r="AG1000" s="126"/>
      <c r="AM1000" s="126"/>
    </row>
    <row r="1001" spans="9:39" x14ac:dyDescent="0.3">
      <c r="I1001" s="126"/>
      <c r="O1001" s="126"/>
      <c r="Q1001" s="126"/>
      <c r="W1001" s="126"/>
      <c r="Y1001" s="126"/>
      <c r="AE1001" s="126"/>
      <c r="AG1001" s="126"/>
      <c r="AM1001" s="126"/>
    </row>
    <row r="1002" spans="9:39" x14ac:dyDescent="0.3">
      <c r="I1002" s="126"/>
      <c r="O1002" s="126"/>
      <c r="Q1002" s="126"/>
      <c r="W1002" s="126"/>
      <c r="Y1002" s="126"/>
      <c r="AE1002" s="126"/>
      <c r="AG1002" s="126"/>
      <c r="AM1002" s="126"/>
    </row>
    <row r="1003" spans="9:39" x14ac:dyDescent="0.3">
      <c r="I1003" s="126"/>
      <c r="O1003" s="126"/>
      <c r="Q1003" s="126"/>
      <c r="W1003" s="126"/>
      <c r="Y1003" s="126"/>
      <c r="AE1003" s="126"/>
      <c r="AG1003" s="126"/>
      <c r="AM1003" s="126"/>
    </row>
    <row r="1004" spans="9:39" x14ac:dyDescent="0.3">
      <c r="I1004" s="126"/>
      <c r="O1004" s="126"/>
      <c r="Q1004" s="126"/>
      <c r="W1004" s="126"/>
      <c r="Y1004" s="126"/>
      <c r="AE1004" s="126"/>
      <c r="AG1004" s="126"/>
      <c r="AM1004" s="126"/>
    </row>
    <row r="1005" spans="9:39" x14ac:dyDescent="0.3">
      <c r="I1005" s="126"/>
      <c r="O1005" s="126"/>
      <c r="Q1005" s="126"/>
      <c r="W1005" s="126"/>
      <c r="Y1005" s="126"/>
      <c r="AE1005" s="126"/>
      <c r="AG1005" s="126"/>
      <c r="AM1005" s="126"/>
    </row>
    <row r="1006" spans="9:39" x14ac:dyDescent="0.3">
      <c r="I1006" s="126"/>
      <c r="O1006" s="126"/>
      <c r="Q1006" s="126"/>
      <c r="W1006" s="126"/>
      <c r="Y1006" s="126"/>
      <c r="AE1006" s="126"/>
      <c r="AG1006" s="126"/>
      <c r="AM1006" s="126"/>
    </row>
    <row r="1007" spans="9:39" x14ac:dyDescent="0.3">
      <c r="I1007" s="126"/>
      <c r="O1007" s="126"/>
      <c r="Q1007" s="126"/>
      <c r="W1007" s="126"/>
      <c r="Y1007" s="126"/>
      <c r="AE1007" s="126"/>
      <c r="AG1007" s="126"/>
      <c r="AM1007" s="126"/>
    </row>
    <row r="1008" spans="9:39" x14ac:dyDescent="0.3">
      <c r="I1008" s="126"/>
      <c r="O1008" s="126"/>
      <c r="Q1008" s="126"/>
      <c r="W1008" s="126"/>
      <c r="Y1008" s="126"/>
      <c r="AE1008" s="126"/>
      <c r="AG1008" s="126"/>
      <c r="AM1008" s="126"/>
    </row>
    <row r="1009" spans="9:39" x14ac:dyDescent="0.3">
      <c r="I1009" s="126"/>
      <c r="O1009" s="126"/>
      <c r="Q1009" s="126"/>
      <c r="W1009" s="126"/>
      <c r="Y1009" s="126"/>
      <c r="AE1009" s="126"/>
      <c r="AG1009" s="126"/>
      <c r="AM1009" s="126"/>
    </row>
    <row r="1010" spans="9:39" x14ac:dyDescent="0.3">
      <c r="I1010" s="126"/>
      <c r="O1010" s="126"/>
      <c r="Q1010" s="126"/>
      <c r="W1010" s="126"/>
      <c r="Y1010" s="126"/>
      <c r="AE1010" s="126"/>
      <c r="AG1010" s="126"/>
      <c r="AM1010" s="126"/>
    </row>
    <row r="1011" spans="9:39" x14ac:dyDescent="0.3">
      <c r="I1011" s="126"/>
      <c r="O1011" s="126"/>
      <c r="Q1011" s="126"/>
      <c r="W1011" s="126"/>
      <c r="Y1011" s="126"/>
      <c r="AE1011" s="126"/>
      <c r="AG1011" s="126"/>
      <c r="AM1011" s="126"/>
    </row>
    <row r="1012" spans="9:39" x14ac:dyDescent="0.3">
      <c r="I1012" s="126"/>
      <c r="O1012" s="126"/>
      <c r="Q1012" s="126"/>
      <c r="W1012" s="126"/>
      <c r="Y1012" s="126"/>
      <c r="AE1012" s="126"/>
      <c r="AG1012" s="126"/>
      <c r="AM1012" s="126"/>
    </row>
    <row r="1013" spans="9:39" x14ac:dyDescent="0.3">
      <c r="I1013" s="126"/>
      <c r="O1013" s="126"/>
      <c r="Q1013" s="126"/>
      <c r="W1013" s="126"/>
      <c r="Y1013" s="126"/>
      <c r="AE1013" s="126"/>
      <c r="AG1013" s="126"/>
      <c r="AM1013" s="126"/>
    </row>
    <row r="1014" spans="9:39" x14ac:dyDescent="0.3">
      <c r="I1014" s="126"/>
      <c r="O1014" s="126"/>
      <c r="Q1014" s="126"/>
      <c r="W1014" s="126"/>
      <c r="Y1014" s="126"/>
      <c r="AE1014" s="126"/>
      <c r="AG1014" s="126"/>
      <c r="AM1014" s="126"/>
    </row>
    <row r="1015" spans="9:39" x14ac:dyDescent="0.3">
      <c r="I1015" s="126"/>
      <c r="O1015" s="126"/>
      <c r="Q1015" s="126"/>
      <c r="W1015" s="126"/>
      <c r="Y1015" s="126"/>
      <c r="AE1015" s="126"/>
      <c r="AG1015" s="126"/>
      <c r="AM1015" s="126"/>
    </row>
    <row r="1016" spans="9:39" x14ac:dyDescent="0.3">
      <c r="I1016" s="126"/>
      <c r="O1016" s="126"/>
      <c r="Q1016" s="126"/>
      <c r="W1016" s="126"/>
      <c r="Y1016" s="126"/>
      <c r="AE1016" s="126"/>
      <c r="AG1016" s="126"/>
      <c r="AM1016" s="126"/>
    </row>
    <row r="1017" spans="9:39" x14ac:dyDescent="0.3">
      <c r="I1017" s="126"/>
      <c r="O1017" s="126"/>
      <c r="Q1017" s="126"/>
      <c r="W1017" s="126"/>
      <c r="Y1017" s="126"/>
      <c r="AE1017" s="126"/>
      <c r="AG1017" s="126"/>
      <c r="AM1017" s="126"/>
    </row>
    <row r="1018" spans="9:39" x14ac:dyDescent="0.3">
      <c r="I1018" s="126"/>
      <c r="O1018" s="126"/>
      <c r="Q1018" s="126"/>
      <c r="W1018" s="126"/>
      <c r="Y1018" s="126"/>
      <c r="AE1018" s="126"/>
      <c r="AG1018" s="126"/>
      <c r="AM1018" s="126"/>
    </row>
    <row r="1019" spans="9:39" x14ac:dyDescent="0.3">
      <c r="I1019" s="126"/>
      <c r="O1019" s="126"/>
      <c r="Q1019" s="126"/>
      <c r="W1019" s="126"/>
      <c r="Y1019" s="126"/>
      <c r="AE1019" s="126"/>
      <c r="AG1019" s="126"/>
      <c r="AM1019" s="126"/>
    </row>
    <row r="1020" spans="9:39" x14ac:dyDescent="0.3">
      <c r="I1020" s="126"/>
      <c r="O1020" s="126"/>
      <c r="Q1020" s="126"/>
      <c r="W1020" s="126"/>
      <c r="Y1020" s="126"/>
      <c r="AE1020" s="126"/>
      <c r="AG1020" s="126"/>
      <c r="AM1020" s="126"/>
    </row>
    <row r="1021" spans="9:39" x14ac:dyDescent="0.3">
      <c r="I1021" s="126"/>
      <c r="O1021" s="126"/>
      <c r="Q1021" s="126"/>
      <c r="W1021" s="126"/>
      <c r="Y1021" s="126"/>
      <c r="AE1021" s="126"/>
      <c r="AG1021" s="126"/>
      <c r="AM1021" s="126"/>
    </row>
    <row r="1022" spans="9:39" x14ac:dyDescent="0.3">
      <c r="I1022" s="126"/>
      <c r="O1022" s="126"/>
      <c r="Q1022" s="126"/>
      <c r="W1022" s="126"/>
      <c r="Y1022" s="126"/>
      <c r="AE1022" s="126"/>
      <c r="AG1022" s="126"/>
      <c r="AM1022" s="126"/>
    </row>
    <row r="1023" spans="9:39" x14ac:dyDescent="0.3">
      <c r="I1023" s="126"/>
      <c r="O1023" s="126"/>
      <c r="Q1023" s="126"/>
      <c r="W1023" s="126"/>
      <c r="Y1023" s="126"/>
      <c r="AE1023" s="126"/>
      <c r="AG1023" s="126"/>
      <c r="AM1023" s="126"/>
    </row>
    <row r="1024" spans="9:39" x14ac:dyDescent="0.3">
      <c r="I1024" s="126"/>
      <c r="O1024" s="126"/>
      <c r="Q1024" s="126"/>
      <c r="W1024" s="126"/>
      <c r="Y1024" s="126"/>
      <c r="AE1024" s="126"/>
      <c r="AG1024" s="126"/>
      <c r="AM1024" s="126"/>
    </row>
    <row r="1025" spans="9:39" x14ac:dyDescent="0.3">
      <c r="I1025" s="126"/>
      <c r="O1025" s="126"/>
      <c r="Q1025" s="126"/>
      <c r="W1025" s="126"/>
      <c r="Y1025" s="126"/>
      <c r="AE1025" s="126"/>
      <c r="AG1025" s="126"/>
      <c r="AM1025" s="126"/>
    </row>
    <row r="1026" spans="9:39" x14ac:dyDescent="0.3">
      <c r="I1026" s="126"/>
      <c r="O1026" s="126"/>
      <c r="Q1026" s="126"/>
      <c r="W1026" s="126"/>
      <c r="Y1026" s="126"/>
      <c r="AE1026" s="126"/>
      <c r="AG1026" s="126"/>
      <c r="AM1026" s="126"/>
    </row>
    <row r="1027" spans="9:39" x14ac:dyDescent="0.3">
      <c r="I1027" s="126"/>
      <c r="O1027" s="126"/>
      <c r="Q1027" s="126"/>
      <c r="W1027" s="126"/>
      <c r="Y1027" s="126"/>
      <c r="AE1027" s="126"/>
      <c r="AG1027" s="126"/>
      <c r="AM1027" s="126"/>
    </row>
    <row r="1028" spans="9:39" x14ac:dyDescent="0.3">
      <c r="I1028" s="126"/>
      <c r="O1028" s="126"/>
      <c r="Q1028" s="126"/>
      <c r="W1028" s="126"/>
      <c r="Y1028" s="126"/>
      <c r="AE1028" s="126"/>
      <c r="AG1028" s="126"/>
      <c r="AM1028" s="126"/>
    </row>
    <row r="1029" spans="9:39" x14ac:dyDescent="0.3">
      <c r="I1029" s="126"/>
      <c r="O1029" s="126"/>
      <c r="Q1029" s="126"/>
      <c r="W1029" s="126"/>
      <c r="Y1029" s="126"/>
      <c r="AE1029" s="126"/>
      <c r="AG1029" s="126"/>
      <c r="AM1029" s="126"/>
    </row>
    <row r="1030" spans="9:39" x14ac:dyDescent="0.3">
      <c r="I1030" s="126"/>
      <c r="O1030" s="126"/>
      <c r="Q1030" s="126"/>
      <c r="W1030" s="126"/>
      <c r="Y1030" s="126"/>
      <c r="AE1030" s="126"/>
      <c r="AG1030" s="126"/>
      <c r="AM1030" s="126"/>
    </row>
    <row r="1031" spans="9:39" x14ac:dyDescent="0.3">
      <c r="I1031" s="126"/>
      <c r="O1031" s="126"/>
      <c r="Q1031" s="126"/>
      <c r="W1031" s="126"/>
      <c r="Y1031" s="126"/>
      <c r="AE1031" s="126"/>
      <c r="AG1031" s="126"/>
      <c r="AM1031" s="126"/>
    </row>
    <row r="1032" spans="9:39" x14ac:dyDescent="0.3">
      <c r="I1032" s="126"/>
      <c r="O1032" s="126"/>
      <c r="Q1032" s="126"/>
      <c r="W1032" s="126"/>
      <c r="Y1032" s="126"/>
      <c r="AE1032" s="126"/>
      <c r="AG1032" s="126"/>
      <c r="AM1032" s="126"/>
    </row>
    <row r="1033" spans="9:39" x14ac:dyDescent="0.3">
      <c r="I1033" s="126"/>
      <c r="O1033" s="126"/>
      <c r="Q1033" s="126"/>
      <c r="W1033" s="126"/>
      <c r="Y1033" s="126"/>
      <c r="AE1033" s="126"/>
      <c r="AG1033" s="126"/>
      <c r="AM1033" s="126"/>
    </row>
    <row r="1034" spans="9:39" x14ac:dyDescent="0.3">
      <c r="I1034" s="126"/>
      <c r="O1034" s="126"/>
      <c r="Q1034" s="126"/>
      <c r="W1034" s="126"/>
      <c r="Y1034" s="126"/>
      <c r="AE1034" s="126"/>
      <c r="AG1034" s="126"/>
      <c r="AM1034" s="126"/>
    </row>
    <row r="1035" spans="9:39" x14ac:dyDescent="0.3">
      <c r="I1035" s="126"/>
      <c r="O1035" s="126"/>
      <c r="Q1035" s="126"/>
      <c r="W1035" s="126"/>
      <c r="Y1035" s="126"/>
      <c r="AE1035" s="126"/>
      <c r="AG1035" s="126"/>
      <c r="AM1035" s="126"/>
    </row>
    <row r="1036" spans="9:39" x14ac:dyDescent="0.3">
      <c r="I1036" s="126"/>
      <c r="O1036" s="126"/>
      <c r="Q1036" s="126"/>
      <c r="W1036" s="126"/>
      <c r="Y1036" s="126"/>
      <c r="AE1036" s="126"/>
      <c r="AG1036" s="126"/>
      <c r="AM1036" s="126"/>
    </row>
    <row r="1037" spans="9:39" x14ac:dyDescent="0.3">
      <c r="I1037" s="126"/>
      <c r="O1037" s="126"/>
      <c r="Q1037" s="126"/>
      <c r="W1037" s="126"/>
      <c r="Y1037" s="126"/>
      <c r="AE1037" s="126"/>
      <c r="AG1037" s="126"/>
      <c r="AM1037" s="126"/>
    </row>
    <row r="1038" spans="9:39" x14ac:dyDescent="0.3">
      <c r="I1038" s="126"/>
      <c r="O1038" s="126"/>
      <c r="Q1038" s="126"/>
      <c r="W1038" s="126"/>
      <c r="Y1038" s="126"/>
      <c r="AE1038" s="126"/>
      <c r="AG1038" s="126"/>
      <c r="AM1038" s="126"/>
    </row>
    <row r="1039" spans="9:39" x14ac:dyDescent="0.3">
      <c r="I1039" s="126"/>
      <c r="O1039" s="126"/>
      <c r="Q1039" s="126"/>
      <c r="W1039" s="126"/>
      <c r="Y1039" s="126"/>
      <c r="AE1039" s="126"/>
      <c r="AG1039" s="126"/>
      <c r="AM1039" s="126"/>
    </row>
    <row r="1040" spans="9:39" x14ac:dyDescent="0.3">
      <c r="I1040" s="126"/>
      <c r="O1040" s="126"/>
      <c r="Q1040" s="126"/>
      <c r="W1040" s="126"/>
      <c r="Y1040" s="126"/>
      <c r="AE1040" s="126"/>
      <c r="AG1040" s="126"/>
      <c r="AM1040" s="126"/>
    </row>
    <row r="1041" spans="9:39" x14ac:dyDescent="0.3">
      <c r="I1041" s="126"/>
      <c r="O1041" s="126"/>
      <c r="Q1041" s="126"/>
      <c r="W1041" s="126"/>
      <c r="Y1041" s="126"/>
      <c r="AE1041" s="126"/>
      <c r="AG1041" s="126"/>
      <c r="AM1041" s="126"/>
    </row>
    <row r="1042" spans="9:39" x14ac:dyDescent="0.3">
      <c r="I1042" s="126"/>
      <c r="O1042" s="126"/>
      <c r="Q1042" s="126"/>
      <c r="W1042" s="126"/>
      <c r="Y1042" s="126"/>
      <c r="AE1042" s="126"/>
      <c r="AG1042" s="126"/>
      <c r="AM1042" s="126"/>
    </row>
    <row r="1043" spans="9:39" x14ac:dyDescent="0.3">
      <c r="I1043" s="126"/>
      <c r="O1043" s="126"/>
      <c r="Q1043" s="126"/>
      <c r="W1043" s="126"/>
      <c r="Y1043" s="126"/>
      <c r="AE1043" s="126"/>
      <c r="AG1043" s="126"/>
      <c r="AM1043" s="126"/>
    </row>
    <row r="1044" spans="9:39" x14ac:dyDescent="0.3">
      <c r="I1044" s="126"/>
      <c r="O1044" s="126"/>
      <c r="Q1044" s="126"/>
      <c r="W1044" s="126"/>
      <c r="Y1044" s="126"/>
      <c r="AE1044" s="126"/>
      <c r="AG1044" s="126"/>
      <c r="AM1044" s="126"/>
    </row>
    <row r="1045" spans="9:39" x14ac:dyDescent="0.3">
      <c r="I1045" s="126"/>
      <c r="O1045" s="126"/>
      <c r="Q1045" s="126"/>
      <c r="W1045" s="126"/>
      <c r="Y1045" s="126"/>
      <c r="AE1045" s="126"/>
      <c r="AG1045" s="126"/>
      <c r="AM1045" s="126"/>
    </row>
    <row r="1046" spans="9:39" x14ac:dyDescent="0.3">
      <c r="I1046" s="126"/>
      <c r="O1046" s="126"/>
      <c r="Q1046" s="126"/>
      <c r="W1046" s="126"/>
      <c r="Y1046" s="126"/>
      <c r="AE1046" s="126"/>
      <c r="AG1046" s="126"/>
      <c r="AM1046" s="126"/>
    </row>
    <row r="1047" spans="9:39" x14ac:dyDescent="0.3">
      <c r="I1047" s="126"/>
      <c r="O1047" s="126"/>
      <c r="Q1047" s="126"/>
      <c r="W1047" s="126"/>
      <c r="Y1047" s="126"/>
      <c r="AE1047" s="126"/>
      <c r="AG1047" s="126"/>
      <c r="AM1047" s="126"/>
    </row>
    <row r="1048" spans="9:39" x14ac:dyDescent="0.3">
      <c r="I1048" s="126"/>
      <c r="O1048" s="126"/>
      <c r="Q1048" s="126"/>
      <c r="W1048" s="126"/>
      <c r="Y1048" s="126"/>
      <c r="AE1048" s="126"/>
      <c r="AG1048" s="126"/>
      <c r="AM1048" s="126"/>
    </row>
    <row r="1049" spans="9:39" x14ac:dyDescent="0.3">
      <c r="I1049" s="126"/>
      <c r="O1049" s="126"/>
      <c r="Q1049" s="126"/>
      <c r="W1049" s="126"/>
      <c r="Y1049" s="126"/>
      <c r="AE1049" s="126"/>
      <c r="AG1049" s="126"/>
      <c r="AM1049" s="126"/>
    </row>
    <row r="1050" spans="9:39" x14ac:dyDescent="0.3">
      <c r="I1050" s="126"/>
      <c r="O1050" s="126"/>
      <c r="Q1050" s="126"/>
      <c r="W1050" s="126"/>
      <c r="Y1050" s="126"/>
      <c r="AE1050" s="126"/>
      <c r="AG1050" s="126"/>
      <c r="AM1050" s="126"/>
    </row>
    <row r="1051" spans="9:39" x14ac:dyDescent="0.3">
      <c r="I1051" s="126"/>
      <c r="O1051" s="126"/>
      <c r="Q1051" s="126"/>
      <c r="W1051" s="126"/>
      <c r="Y1051" s="126"/>
      <c r="AE1051" s="126"/>
      <c r="AG1051" s="126"/>
      <c r="AM1051" s="126"/>
    </row>
    <row r="1052" spans="9:39" x14ac:dyDescent="0.3">
      <c r="I1052" s="126"/>
      <c r="O1052" s="126"/>
      <c r="Q1052" s="126"/>
      <c r="W1052" s="126"/>
      <c r="Y1052" s="126"/>
      <c r="AE1052" s="126"/>
      <c r="AG1052" s="126"/>
      <c r="AM1052" s="126"/>
    </row>
    <row r="1053" spans="9:39" x14ac:dyDescent="0.3">
      <c r="I1053" s="126"/>
      <c r="O1053" s="126"/>
      <c r="Q1053" s="126"/>
      <c r="W1053" s="126"/>
      <c r="Y1053" s="126"/>
      <c r="AE1053" s="126"/>
      <c r="AG1053" s="126"/>
      <c r="AM1053" s="126"/>
    </row>
    <row r="1054" spans="9:39" x14ac:dyDescent="0.3">
      <c r="I1054" s="126"/>
      <c r="O1054" s="126"/>
      <c r="Q1054" s="126"/>
      <c r="W1054" s="126"/>
      <c r="Y1054" s="126"/>
      <c r="AE1054" s="126"/>
      <c r="AG1054" s="126"/>
      <c r="AM1054" s="126"/>
    </row>
    <row r="1055" spans="9:39" x14ac:dyDescent="0.3">
      <c r="I1055" s="126"/>
      <c r="O1055" s="126"/>
      <c r="Q1055" s="126"/>
      <c r="W1055" s="126"/>
      <c r="Y1055" s="126"/>
      <c r="AE1055" s="126"/>
      <c r="AG1055" s="126"/>
      <c r="AM1055" s="126"/>
    </row>
    <row r="1056" spans="9:39" x14ac:dyDescent="0.3">
      <c r="I1056" s="126"/>
      <c r="O1056" s="126"/>
      <c r="Q1056" s="126"/>
      <c r="W1056" s="126"/>
      <c r="Y1056" s="126"/>
      <c r="AE1056" s="126"/>
      <c r="AG1056" s="126"/>
      <c r="AM1056" s="126"/>
    </row>
    <row r="1057" spans="9:39" x14ac:dyDescent="0.3">
      <c r="I1057" s="126"/>
      <c r="O1057" s="126"/>
      <c r="Q1057" s="126"/>
      <c r="W1057" s="126"/>
      <c r="Y1057" s="126"/>
      <c r="AE1057" s="126"/>
      <c r="AG1057" s="126"/>
      <c r="AM1057" s="126"/>
    </row>
    <row r="1058" spans="9:39" x14ac:dyDescent="0.3">
      <c r="I1058" s="126"/>
      <c r="O1058" s="126"/>
      <c r="Q1058" s="126"/>
      <c r="W1058" s="126"/>
      <c r="Y1058" s="126"/>
      <c r="AE1058" s="126"/>
      <c r="AG1058" s="126"/>
      <c r="AM1058" s="126"/>
    </row>
    <row r="1059" spans="9:39" x14ac:dyDescent="0.3">
      <c r="I1059" s="126"/>
      <c r="O1059" s="126"/>
      <c r="Q1059" s="126"/>
      <c r="W1059" s="126"/>
      <c r="Y1059" s="126"/>
      <c r="AE1059" s="126"/>
      <c r="AG1059" s="126"/>
      <c r="AM1059" s="126"/>
    </row>
    <row r="1060" spans="9:39" x14ac:dyDescent="0.3">
      <c r="I1060" s="126"/>
      <c r="O1060" s="126"/>
      <c r="Q1060" s="126"/>
      <c r="W1060" s="126"/>
      <c r="Y1060" s="126"/>
      <c r="AE1060" s="126"/>
      <c r="AG1060" s="126"/>
      <c r="AM1060" s="126"/>
    </row>
    <row r="1061" spans="9:39" x14ac:dyDescent="0.3">
      <c r="I1061" s="126"/>
      <c r="O1061" s="126"/>
      <c r="Q1061" s="126"/>
      <c r="W1061" s="126"/>
      <c r="Y1061" s="126"/>
      <c r="AE1061" s="126"/>
      <c r="AG1061" s="126"/>
      <c r="AM1061" s="126"/>
    </row>
    <row r="1062" spans="9:39" x14ac:dyDescent="0.3">
      <c r="I1062" s="126"/>
      <c r="O1062" s="126"/>
      <c r="Q1062" s="126"/>
      <c r="W1062" s="126"/>
      <c r="Y1062" s="126"/>
      <c r="AE1062" s="126"/>
      <c r="AG1062" s="126"/>
      <c r="AM1062" s="126"/>
    </row>
    <row r="1063" spans="9:39" x14ac:dyDescent="0.3">
      <c r="I1063" s="126"/>
      <c r="O1063" s="126"/>
      <c r="Q1063" s="126"/>
      <c r="W1063" s="126"/>
      <c r="Y1063" s="126"/>
      <c r="AE1063" s="126"/>
      <c r="AG1063" s="126"/>
      <c r="AM1063" s="126"/>
    </row>
    <row r="1064" spans="9:39" x14ac:dyDescent="0.3">
      <c r="I1064" s="126"/>
      <c r="O1064" s="126"/>
      <c r="Q1064" s="126"/>
      <c r="W1064" s="126"/>
      <c r="Y1064" s="126"/>
      <c r="AE1064" s="126"/>
      <c r="AG1064" s="126"/>
      <c r="AM1064" s="126"/>
    </row>
    <row r="1065" spans="9:39" x14ac:dyDescent="0.3">
      <c r="I1065" s="126"/>
      <c r="O1065" s="126"/>
      <c r="Q1065" s="126"/>
      <c r="W1065" s="126"/>
      <c r="Y1065" s="126"/>
      <c r="AE1065" s="126"/>
      <c r="AG1065" s="126"/>
      <c r="AM1065" s="126"/>
    </row>
    <row r="1066" spans="9:39" x14ac:dyDescent="0.3">
      <c r="I1066" s="126"/>
      <c r="O1066" s="126"/>
      <c r="Q1066" s="126"/>
      <c r="W1066" s="126"/>
      <c r="Y1066" s="126"/>
      <c r="AE1066" s="126"/>
      <c r="AG1066" s="126"/>
      <c r="AM1066" s="126"/>
    </row>
    <row r="1067" spans="9:39" x14ac:dyDescent="0.3">
      <c r="I1067" s="126"/>
      <c r="O1067" s="126"/>
      <c r="Q1067" s="126"/>
      <c r="W1067" s="126"/>
      <c r="Y1067" s="126"/>
      <c r="AE1067" s="126"/>
      <c r="AG1067" s="126"/>
      <c r="AM1067" s="126"/>
    </row>
    <row r="1068" spans="9:39" x14ac:dyDescent="0.3">
      <c r="I1068" s="126"/>
      <c r="O1068" s="126"/>
      <c r="Q1068" s="126"/>
      <c r="W1068" s="126"/>
      <c r="Y1068" s="126"/>
      <c r="AE1068" s="126"/>
      <c r="AG1068" s="126"/>
      <c r="AM1068" s="126"/>
    </row>
    <row r="1069" spans="9:39" x14ac:dyDescent="0.3">
      <c r="I1069" s="126"/>
      <c r="O1069" s="126"/>
      <c r="Q1069" s="126"/>
      <c r="W1069" s="126"/>
      <c r="Y1069" s="126"/>
      <c r="AE1069" s="126"/>
      <c r="AG1069" s="126"/>
      <c r="AM1069" s="126"/>
    </row>
    <row r="1070" spans="9:39" x14ac:dyDescent="0.3">
      <c r="I1070" s="126"/>
      <c r="O1070" s="126"/>
      <c r="Q1070" s="126"/>
      <c r="W1070" s="126"/>
      <c r="Y1070" s="126"/>
      <c r="AE1070" s="126"/>
      <c r="AG1070" s="126"/>
      <c r="AM1070" s="126"/>
    </row>
    <row r="1071" spans="9:39" x14ac:dyDescent="0.3">
      <c r="I1071" s="126"/>
      <c r="O1071" s="126"/>
      <c r="Q1071" s="126"/>
      <c r="W1071" s="126"/>
      <c r="Y1071" s="126"/>
      <c r="AE1071" s="126"/>
      <c r="AG1071" s="126"/>
      <c r="AM1071" s="126"/>
    </row>
    <row r="1072" spans="9:39" x14ac:dyDescent="0.3">
      <c r="I1072" s="126"/>
      <c r="O1072" s="126"/>
      <c r="Q1072" s="126"/>
      <c r="W1072" s="126"/>
      <c r="Y1072" s="126"/>
      <c r="AE1072" s="126"/>
      <c r="AG1072" s="126"/>
      <c r="AM1072" s="126"/>
    </row>
    <row r="1073" spans="9:39" x14ac:dyDescent="0.3">
      <c r="I1073" s="126"/>
      <c r="O1073" s="126"/>
      <c r="Q1073" s="126"/>
      <c r="W1073" s="126"/>
      <c r="Y1073" s="126"/>
      <c r="AE1073" s="126"/>
      <c r="AG1073" s="126"/>
      <c r="AM1073" s="126"/>
    </row>
    <row r="1074" spans="9:39" x14ac:dyDescent="0.3">
      <c r="I1074" s="126"/>
      <c r="O1074" s="126"/>
      <c r="Q1074" s="126"/>
      <c r="W1074" s="126"/>
      <c r="Y1074" s="126"/>
      <c r="AE1074" s="126"/>
      <c r="AG1074" s="126"/>
      <c r="AM1074" s="126"/>
    </row>
    <row r="1075" spans="9:39" x14ac:dyDescent="0.3">
      <c r="I1075" s="126"/>
      <c r="O1075" s="126"/>
      <c r="Q1075" s="126"/>
      <c r="W1075" s="126"/>
      <c r="Y1075" s="126"/>
      <c r="AE1075" s="126"/>
      <c r="AG1075" s="126"/>
      <c r="AM1075" s="126"/>
    </row>
    <row r="1076" spans="9:39" x14ac:dyDescent="0.3">
      <c r="I1076" s="126"/>
      <c r="O1076" s="126"/>
      <c r="Q1076" s="126"/>
      <c r="W1076" s="126"/>
      <c r="Y1076" s="126"/>
      <c r="AE1076" s="126"/>
      <c r="AG1076" s="126"/>
      <c r="AM1076" s="126"/>
    </row>
    <row r="1077" spans="9:39" x14ac:dyDescent="0.3">
      <c r="I1077" s="126"/>
      <c r="O1077" s="126"/>
      <c r="Q1077" s="126"/>
      <c r="W1077" s="126"/>
      <c r="Y1077" s="126"/>
      <c r="AE1077" s="126"/>
      <c r="AG1077" s="126"/>
      <c r="AM1077" s="126"/>
    </row>
    <row r="1078" spans="9:39" x14ac:dyDescent="0.3">
      <c r="I1078" s="126"/>
      <c r="O1078" s="126"/>
      <c r="Q1078" s="126"/>
      <c r="W1078" s="126"/>
      <c r="Y1078" s="126"/>
      <c r="AE1078" s="126"/>
      <c r="AG1078" s="126"/>
      <c r="AM1078" s="126"/>
    </row>
    <row r="1079" spans="9:39" x14ac:dyDescent="0.3">
      <c r="I1079" s="126"/>
      <c r="O1079" s="126"/>
      <c r="Q1079" s="126"/>
      <c r="W1079" s="126"/>
      <c r="Y1079" s="126"/>
      <c r="AE1079" s="126"/>
      <c r="AG1079" s="126"/>
      <c r="AM1079" s="126"/>
    </row>
    <row r="1080" spans="9:39" x14ac:dyDescent="0.3">
      <c r="I1080" s="126"/>
      <c r="O1080" s="126"/>
      <c r="Q1080" s="126"/>
      <c r="W1080" s="126"/>
      <c r="Y1080" s="126"/>
      <c r="AE1080" s="126"/>
      <c r="AG1080" s="126"/>
      <c r="AM1080" s="126"/>
    </row>
    <row r="1081" spans="9:39" x14ac:dyDescent="0.3">
      <c r="I1081" s="126"/>
      <c r="O1081" s="126"/>
      <c r="Q1081" s="126"/>
      <c r="W1081" s="126"/>
      <c r="Y1081" s="126"/>
      <c r="AE1081" s="126"/>
      <c r="AG1081" s="126"/>
      <c r="AM1081" s="126"/>
    </row>
    <row r="1082" spans="9:39" x14ac:dyDescent="0.3">
      <c r="I1082" s="126"/>
      <c r="O1082" s="126"/>
      <c r="Q1082" s="126"/>
      <c r="W1082" s="126"/>
      <c r="Y1082" s="126"/>
      <c r="AE1082" s="126"/>
      <c r="AG1082" s="126"/>
      <c r="AM1082" s="126"/>
    </row>
    <row r="1083" spans="9:39" x14ac:dyDescent="0.3">
      <c r="I1083" s="126"/>
      <c r="O1083" s="126"/>
      <c r="Q1083" s="126"/>
      <c r="W1083" s="126"/>
      <c r="Y1083" s="126"/>
      <c r="AE1083" s="126"/>
      <c r="AG1083" s="126"/>
      <c r="AM1083" s="126"/>
    </row>
    <row r="1084" spans="9:39" x14ac:dyDescent="0.3">
      <c r="I1084" s="126"/>
      <c r="O1084" s="126"/>
      <c r="Q1084" s="126"/>
      <c r="W1084" s="126"/>
      <c r="Y1084" s="126"/>
      <c r="AE1084" s="126"/>
      <c r="AG1084" s="126"/>
      <c r="AM1084" s="126"/>
    </row>
    <row r="1085" spans="9:39" x14ac:dyDescent="0.3">
      <c r="I1085" s="126"/>
      <c r="O1085" s="126"/>
      <c r="Q1085" s="126"/>
      <c r="W1085" s="126"/>
      <c r="Y1085" s="126"/>
      <c r="AE1085" s="126"/>
      <c r="AG1085" s="126"/>
      <c r="AM1085" s="126"/>
    </row>
    <row r="1086" spans="9:39" x14ac:dyDescent="0.3">
      <c r="I1086" s="126"/>
      <c r="O1086" s="126"/>
      <c r="Q1086" s="126"/>
      <c r="W1086" s="126"/>
      <c r="Y1086" s="126"/>
      <c r="AE1086" s="126"/>
      <c r="AG1086" s="126"/>
      <c r="AM1086" s="126"/>
    </row>
    <row r="1087" spans="9:39" x14ac:dyDescent="0.3">
      <c r="I1087" s="126"/>
      <c r="O1087" s="126"/>
      <c r="Q1087" s="126"/>
      <c r="W1087" s="126"/>
      <c r="Y1087" s="126"/>
      <c r="AE1087" s="126"/>
      <c r="AG1087" s="126"/>
      <c r="AM1087" s="126"/>
    </row>
    <row r="1088" spans="9:39" x14ac:dyDescent="0.3">
      <c r="I1088" s="126"/>
      <c r="O1088" s="126"/>
      <c r="Q1088" s="126"/>
      <c r="W1088" s="126"/>
      <c r="Y1088" s="126"/>
      <c r="AE1088" s="126"/>
      <c r="AG1088" s="126"/>
      <c r="AM1088" s="126"/>
    </row>
    <row r="1089" spans="9:39" x14ac:dyDescent="0.3">
      <c r="I1089" s="126"/>
      <c r="O1089" s="126"/>
      <c r="Q1089" s="126"/>
      <c r="W1089" s="126"/>
      <c r="Y1089" s="126"/>
      <c r="AE1089" s="126"/>
      <c r="AG1089" s="126"/>
      <c r="AM1089" s="126"/>
    </row>
    <row r="1090" spans="9:39" x14ac:dyDescent="0.3">
      <c r="I1090" s="126"/>
      <c r="O1090" s="126"/>
      <c r="Q1090" s="126"/>
      <c r="W1090" s="126"/>
      <c r="Y1090" s="126"/>
      <c r="AE1090" s="126"/>
      <c r="AG1090" s="126"/>
      <c r="AM1090" s="126"/>
    </row>
    <row r="1091" spans="9:39" x14ac:dyDescent="0.3">
      <c r="I1091" s="126"/>
      <c r="O1091" s="126"/>
      <c r="Q1091" s="126"/>
      <c r="W1091" s="126"/>
      <c r="Y1091" s="126"/>
      <c r="AE1091" s="126"/>
      <c r="AG1091" s="126"/>
      <c r="AM1091" s="126"/>
    </row>
    <row r="1092" spans="9:39" x14ac:dyDescent="0.3">
      <c r="I1092" s="126"/>
      <c r="O1092" s="126"/>
      <c r="Q1092" s="126"/>
      <c r="W1092" s="126"/>
      <c r="Y1092" s="126"/>
      <c r="AE1092" s="126"/>
      <c r="AG1092" s="126"/>
      <c r="AM1092" s="126"/>
    </row>
    <row r="1093" spans="9:39" x14ac:dyDescent="0.3">
      <c r="I1093" s="126"/>
      <c r="O1093" s="126"/>
      <c r="Q1093" s="126"/>
      <c r="W1093" s="126"/>
      <c r="Y1093" s="126"/>
      <c r="AE1093" s="126"/>
      <c r="AG1093" s="126"/>
      <c r="AM1093" s="126"/>
    </row>
    <row r="1094" spans="9:39" x14ac:dyDescent="0.3">
      <c r="I1094" s="126"/>
      <c r="O1094" s="126"/>
      <c r="Q1094" s="126"/>
      <c r="W1094" s="126"/>
      <c r="Y1094" s="126"/>
      <c r="AE1094" s="126"/>
      <c r="AG1094" s="126"/>
      <c r="AM1094" s="126"/>
    </row>
    <row r="1095" spans="9:39" x14ac:dyDescent="0.3">
      <c r="I1095" s="126"/>
      <c r="O1095" s="126"/>
      <c r="Q1095" s="126"/>
      <c r="W1095" s="126"/>
      <c r="Y1095" s="126"/>
      <c r="AE1095" s="126"/>
      <c r="AG1095" s="126"/>
      <c r="AM1095" s="126"/>
    </row>
    <row r="1096" spans="9:39" x14ac:dyDescent="0.3">
      <c r="I1096" s="126"/>
      <c r="O1096" s="126"/>
      <c r="Q1096" s="126"/>
      <c r="W1096" s="126"/>
      <c r="Y1096" s="126"/>
      <c r="AE1096" s="126"/>
      <c r="AG1096" s="126"/>
      <c r="AM1096" s="126"/>
    </row>
    <row r="1097" spans="9:39" x14ac:dyDescent="0.3">
      <c r="I1097" s="126"/>
      <c r="O1097" s="126"/>
      <c r="Q1097" s="126"/>
      <c r="W1097" s="126"/>
      <c r="Y1097" s="126"/>
      <c r="AE1097" s="126"/>
      <c r="AG1097" s="126"/>
      <c r="AM1097" s="126"/>
    </row>
    <row r="1098" spans="9:39" x14ac:dyDescent="0.3">
      <c r="I1098" s="126"/>
      <c r="O1098" s="126"/>
      <c r="Q1098" s="126"/>
      <c r="W1098" s="126"/>
      <c r="Y1098" s="126"/>
      <c r="AE1098" s="126"/>
      <c r="AG1098" s="126"/>
      <c r="AM1098" s="126"/>
    </row>
    <row r="1099" spans="9:39" x14ac:dyDescent="0.3">
      <c r="I1099" s="126"/>
      <c r="O1099" s="126"/>
      <c r="Q1099" s="126"/>
      <c r="W1099" s="126"/>
      <c r="Y1099" s="126"/>
      <c r="AE1099" s="126"/>
      <c r="AG1099" s="126"/>
      <c r="AM1099" s="126"/>
    </row>
    <row r="1100" spans="9:39" x14ac:dyDescent="0.3">
      <c r="I1100" s="126"/>
      <c r="O1100" s="126"/>
      <c r="Q1100" s="126"/>
      <c r="W1100" s="126"/>
      <c r="Y1100" s="126"/>
      <c r="AE1100" s="126"/>
      <c r="AG1100" s="126"/>
      <c r="AM1100" s="126"/>
    </row>
    <row r="1101" spans="9:39" x14ac:dyDescent="0.3">
      <c r="I1101" s="126"/>
      <c r="O1101" s="126"/>
      <c r="Q1101" s="126"/>
      <c r="W1101" s="126"/>
      <c r="Y1101" s="126"/>
      <c r="AE1101" s="126"/>
      <c r="AG1101" s="126"/>
      <c r="AM1101" s="126"/>
    </row>
    <row r="1102" spans="9:39" x14ac:dyDescent="0.3">
      <c r="I1102" s="126"/>
      <c r="O1102" s="126"/>
      <c r="Q1102" s="126"/>
      <c r="W1102" s="126"/>
      <c r="Y1102" s="126"/>
      <c r="AE1102" s="126"/>
      <c r="AG1102" s="126"/>
      <c r="AM1102" s="126"/>
    </row>
    <row r="1103" spans="9:39" x14ac:dyDescent="0.3">
      <c r="I1103" s="126"/>
      <c r="O1103" s="126"/>
      <c r="Q1103" s="126"/>
      <c r="W1103" s="126"/>
      <c r="Y1103" s="126"/>
      <c r="AE1103" s="126"/>
      <c r="AG1103" s="126"/>
      <c r="AM1103" s="126"/>
    </row>
    <row r="1104" spans="9:39" x14ac:dyDescent="0.3">
      <c r="I1104" s="126"/>
      <c r="O1104" s="126"/>
      <c r="Q1104" s="126"/>
      <c r="W1104" s="126"/>
      <c r="Y1104" s="126"/>
      <c r="AE1104" s="126"/>
      <c r="AG1104" s="126"/>
      <c r="AM1104" s="126"/>
    </row>
    <row r="1105" spans="9:39" x14ac:dyDescent="0.3">
      <c r="I1105" s="126"/>
      <c r="O1105" s="126"/>
      <c r="Q1105" s="126"/>
      <c r="W1105" s="126"/>
      <c r="Y1105" s="126"/>
      <c r="AE1105" s="126"/>
      <c r="AG1105" s="126"/>
      <c r="AM1105" s="126"/>
    </row>
    <row r="1106" spans="9:39" x14ac:dyDescent="0.3">
      <c r="I1106" s="126"/>
      <c r="O1106" s="126"/>
      <c r="Q1106" s="126"/>
      <c r="W1106" s="126"/>
      <c r="Y1106" s="126"/>
      <c r="AE1106" s="126"/>
      <c r="AG1106" s="126"/>
      <c r="AM1106" s="126"/>
    </row>
    <row r="1107" spans="9:39" x14ac:dyDescent="0.3">
      <c r="I1107" s="126"/>
      <c r="O1107" s="126"/>
      <c r="Q1107" s="126"/>
      <c r="W1107" s="126"/>
      <c r="Y1107" s="126"/>
      <c r="AE1107" s="126"/>
      <c r="AG1107" s="126"/>
      <c r="AM1107" s="126"/>
    </row>
    <row r="1108" spans="9:39" x14ac:dyDescent="0.3">
      <c r="I1108" s="126"/>
      <c r="O1108" s="126"/>
      <c r="Q1108" s="126"/>
      <c r="W1108" s="126"/>
      <c r="Y1108" s="126"/>
      <c r="AE1108" s="126"/>
      <c r="AG1108" s="126"/>
      <c r="AM1108" s="126"/>
    </row>
    <row r="1109" spans="9:39" x14ac:dyDescent="0.3">
      <c r="I1109" s="126"/>
      <c r="O1109" s="126"/>
      <c r="Q1109" s="126"/>
      <c r="W1109" s="126"/>
      <c r="Y1109" s="126"/>
      <c r="AE1109" s="126"/>
      <c r="AG1109" s="126"/>
      <c r="AM1109" s="126"/>
    </row>
    <row r="1110" spans="9:39" x14ac:dyDescent="0.3">
      <c r="I1110" s="126"/>
      <c r="O1110" s="126"/>
      <c r="Q1110" s="126"/>
      <c r="W1110" s="126"/>
      <c r="Y1110" s="126"/>
      <c r="AE1110" s="126"/>
      <c r="AG1110" s="126"/>
      <c r="AM1110" s="126"/>
    </row>
    <row r="1111" spans="9:39" x14ac:dyDescent="0.3">
      <c r="I1111" s="126"/>
      <c r="O1111" s="126"/>
      <c r="Q1111" s="126"/>
      <c r="W1111" s="126"/>
      <c r="Y1111" s="126"/>
      <c r="AE1111" s="126"/>
      <c r="AG1111" s="126"/>
      <c r="AM1111" s="126"/>
    </row>
    <row r="1112" spans="9:39" x14ac:dyDescent="0.3">
      <c r="I1112" s="126"/>
      <c r="O1112" s="126"/>
      <c r="Q1112" s="126"/>
      <c r="W1112" s="126"/>
      <c r="Y1112" s="126"/>
      <c r="AE1112" s="126"/>
      <c r="AG1112" s="126"/>
      <c r="AM1112" s="126"/>
    </row>
    <row r="1113" spans="9:39" x14ac:dyDescent="0.3">
      <c r="I1113" s="126"/>
      <c r="O1113" s="126"/>
      <c r="Q1113" s="126"/>
      <c r="W1113" s="126"/>
      <c r="Y1113" s="126"/>
      <c r="AE1113" s="126"/>
      <c r="AG1113" s="126"/>
      <c r="AM1113" s="126"/>
    </row>
    <row r="1114" spans="9:39" x14ac:dyDescent="0.3">
      <c r="I1114" s="126"/>
      <c r="O1114" s="126"/>
      <c r="Q1114" s="126"/>
      <c r="W1114" s="126"/>
      <c r="Y1114" s="126"/>
      <c r="AE1114" s="126"/>
      <c r="AG1114" s="126"/>
      <c r="AM1114" s="126"/>
    </row>
    <row r="1115" spans="9:39" x14ac:dyDescent="0.3">
      <c r="I1115" s="126"/>
      <c r="O1115" s="126"/>
      <c r="Q1115" s="126"/>
      <c r="W1115" s="126"/>
      <c r="Y1115" s="126"/>
      <c r="AE1115" s="126"/>
      <c r="AG1115" s="126"/>
      <c r="AM1115" s="126"/>
    </row>
    <row r="1116" spans="9:39" x14ac:dyDescent="0.3">
      <c r="I1116" s="126"/>
      <c r="O1116" s="126"/>
      <c r="Q1116" s="126"/>
      <c r="W1116" s="126"/>
      <c r="Y1116" s="126"/>
      <c r="AE1116" s="126"/>
      <c r="AG1116" s="126"/>
      <c r="AM1116" s="126"/>
    </row>
    <row r="1117" spans="9:39" x14ac:dyDescent="0.3">
      <c r="I1117" s="126"/>
      <c r="O1117" s="126"/>
      <c r="Q1117" s="126"/>
      <c r="W1117" s="126"/>
      <c r="Y1117" s="126"/>
      <c r="AE1117" s="126"/>
      <c r="AG1117" s="126"/>
      <c r="AM1117" s="126"/>
    </row>
    <row r="1118" spans="9:39" x14ac:dyDescent="0.3">
      <c r="I1118" s="126"/>
      <c r="O1118" s="126"/>
      <c r="Q1118" s="126"/>
      <c r="W1118" s="126"/>
      <c r="Y1118" s="126"/>
      <c r="AE1118" s="126"/>
      <c r="AG1118" s="126"/>
      <c r="AM1118" s="126"/>
    </row>
    <row r="1119" spans="9:39" x14ac:dyDescent="0.3">
      <c r="I1119" s="126"/>
      <c r="O1119" s="126"/>
      <c r="Q1119" s="126"/>
      <c r="W1119" s="126"/>
      <c r="Y1119" s="126"/>
      <c r="AE1119" s="126"/>
      <c r="AG1119" s="126"/>
      <c r="AM1119" s="126"/>
    </row>
    <row r="1120" spans="9:39" x14ac:dyDescent="0.3">
      <c r="I1120" s="126"/>
      <c r="O1120" s="126"/>
      <c r="Q1120" s="126"/>
      <c r="W1120" s="126"/>
      <c r="Y1120" s="126"/>
      <c r="AE1120" s="126"/>
      <c r="AG1120" s="126"/>
      <c r="AM1120" s="126"/>
    </row>
    <row r="1121" spans="9:39" x14ac:dyDescent="0.3">
      <c r="I1121" s="126"/>
      <c r="O1121" s="126"/>
      <c r="Q1121" s="126"/>
      <c r="W1121" s="126"/>
      <c r="Y1121" s="126"/>
      <c r="AE1121" s="126"/>
      <c r="AG1121" s="126"/>
      <c r="AM1121" s="126"/>
    </row>
    <row r="1122" spans="9:39" x14ac:dyDescent="0.3">
      <c r="I1122" s="126"/>
      <c r="O1122" s="126"/>
      <c r="Q1122" s="126"/>
      <c r="W1122" s="126"/>
      <c r="Y1122" s="126"/>
      <c r="AE1122" s="126"/>
      <c r="AG1122" s="126"/>
      <c r="AM1122" s="126"/>
    </row>
    <row r="1123" spans="9:39" x14ac:dyDescent="0.3">
      <c r="I1123" s="126"/>
      <c r="O1123" s="126"/>
      <c r="Q1123" s="126"/>
      <c r="W1123" s="126"/>
      <c r="Y1123" s="126"/>
      <c r="AE1123" s="126"/>
      <c r="AG1123" s="126"/>
      <c r="AM1123" s="126"/>
    </row>
    <row r="1124" spans="9:39" x14ac:dyDescent="0.3">
      <c r="I1124" s="126"/>
      <c r="O1124" s="126"/>
      <c r="Q1124" s="126"/>
      <c r="W1124" s="126"/>
      <c r="Y1124" s="126"/>
      <c r="AE1124" s="126"/>
      <c r="AG1124" s="126"/>
      <c r="AM1124" s="126"/>
    </row>
    <row r="1125" spans="9:39" x14ac:dyDescent="0.3">
      <c r="I1125" s="126"/>
      <c r="O1125" s="126"/>
      <c r="Q1125" s="126"/>
      <c r="W1125" s="126"/>
      <c r="Y1125" s="126"/>
      <c r="AE1125" s="126"/>
      <c r="AG1125" s="126"/>
      <c r="AM1125" s="126"/>
    </row>
    <row r="1126" spans="9:39" x14ac:dyDescent="0.3">
      <c r="I1126" s="126"/>
      <c r="O1126" s="126"/>
      <c r="Q1126" s="126"/>
      <c r="W1126" s="126"/>
      <c r="Y1126" s="126"/>
      <c r="AE1126" s="126"/>
      <c r="AG1126" s="126"/>
      <c r="AM1126" s="126"/>
    </row>
    <row r="1127" spans="9:39" x14ac:dyDescent="0.3">
      <c r="I1127" s="126"/>
      <c r="O1127" s="126"/>
      <c r="Q1127" s="126"/>
      <c r="W1127" s="126"/>
      <c r="Y1127" s="126"/>
      <c r="AE1127" s="126"/>
      <c r="AG1127" s="126"/>
      <c r="AM1127" s="126"/>
    </row>
    <row r="1128" spans="9:39" x14ac:dyDescent="0.3">
      <c r="I1128" s="126"/>
      <c r="O1128" s="126"/>
      <c r="Q1128" s="126"/>
      <c r="W1128" s="126"/>
      <c r="Y1128" s="126"/>
      <c r="AE1128" s="126"/>
      <c r="AG1128" s="126"/>
      <c r="AM1128" s="126"/>
    </row>
    <row r="1129" spans="9:39" x14ac:dyDescent="0.3">
      <c r="I1129" s="126"/>
      <c r="O1129" s="126"/>
      <c r="Q1129" s="126"/>
      <c r="W1129" s="126"/>
      <c r="Y1129" s="126"/>
      <c r="AE1129" s="126"/>
      <c r="AG1129" s="126"/>
      <c r="AM1129" s="126"/>
    </row>
    <row r="1130" spans="9:39" x14ac:dyDescent="0.3">
      <c r="I1130" s="126"/>
      <c r="O1130" s="126"/>
      <c r="Q1130" s="126"/>
      <c r="W1130" s="126"/>
      <c r="Y1130" s="126"/>
      <c r="AE1130" s="126"/>
      <c r="AG1130" s="126"/>
      <c r="AM1130" s="126"/>
    </row>
    <row r="1131" spans="9:39" x14ac:dyDescent="0.3">
      <c r="I1131" s="126"/>
      <c r="O1131" s="126"/>
      <c r="Q1131" s="126"/>
      <c r="W1131" s="126"/>
      <c r="Y1131" s="126"/>
      <c r="AE1131" s="126"/>
      <c r="AG1131" s="126"/>
      <c r="AM1131" s="126"/>
    </row>
    <row r="1132" spans="9:39" x14ac:dyDescent="0.3">
      <c r="I1132" s="126"/>
      <c r="O1132" s="126"/>
      <c r="Q1132" s="126"/>
      <c r="W1132" s="126"/>
      <c r="Y1132" s="126"/>
      <c r="AE1132" s="126"/>
      <c r="AG1132" s="126"/>
      <c r="AM1132" s="126"/>
    </row>
    <row r="1133" spans="9:39" x14ac:dyDescent="0.3">
      <c r="I1133" s="126"/>
      <c r="O1133" s="126"/>
      <c r="Q1133" s="126"/>
      <c r="W1133" s="126"/>
      <c r="Y1133" s="126"/>
      <c r="AE1133" s="126"/>
      <c r="AG1133" s="126"/>
      <c r="AM1133" s="126"/>
    </row>
    <row r="1134" spans="9:39" x14ac:dyDescent="0.3">
      <c r="I1134" s="126"/>
      <c r="O1134" s="126"/>
      <c r="Q1134" s="126"/>
      <c r="W1134" s="126"/>
      <c r="Y1134" s="126"/>
      <c r="AE1134" s="126"/>
      <c r="AG1134" s="126"/>
      <c r="AM1134" s="126"/>
    </row>
    <row r="1135" spans="9:39" x14ac:dyDescent="0.3">
      <c r="I1135" s="126"/>
      <c r="O1135" s="126"/>
      <c r="Q1135" s="126"/>
      <c r="W1135" s="126"/>
      <c r="Y1135" s="126"/>
      <c r="AE1135" s="126"/>
      <c r="AG1135" s="126"/>
      <c r="AM1135" s="126"/>
    </row>
    <row r="1136" spans="9:39" x14ac:dyDescent="0.3">
      <c r="I1136" s="126"/>
      <c r="O1136" s="126"/>
      <c r="Q1136" s="126"/>
      <c r="W1136" s="126"/>
      <c r="Y1136" s="126"/>
      <c r="AE1136" s="126"/>
      <c r="AG1136" s="126"/>
      <c r="AM1136" s="126"/>
    </row>
    <row r="1137" spans="9:39" x14ac:dyDescent="0.3">
      <c r="I1137" s="126"/>
      <c r="O1137" s="126"/>
      <c r="Q1137" s="126"/>
      <c r="W1137" s="126"/>
      <c r="Y1137" s="126"/>
      <c r="AE1137" s="126"/>
      <c r="AG1137" s="126"/>
      <c r="AM1137" s="126"/>
    </row>
    <row r="1138" spans="9:39" x14ac:dyDescent="0.3">
      <c r="I1138" s="126"/>
      <c r="O1138" s="126"/>
      <c r="Q1138" s="126"/>
      <c r="W1138" s="126"/>
      <c r="Y1138" s="126"/>
      <c r="AE1138" s="126"/>
      <c r="AG1138" s="126"/>
      <c r="AM1138" s="126"/>
    </row>
    <row r="1139" spans="9:39" x14ac:dyDescent="0.3">
      <c r="I1139" s="126"/>
      <c r="O1139" s="126"/>
      <c r="Q1139" s="126"/>
      <c r="W1139" s="126"/>
      <c r="Y1139" s="126"/>
      <c r="AE1139" s="126"/>
      <c r="AG1139" s="126"/>
      <c r="AM1139" s="126"/>
    </row>
    <row r="1140" spans="9:39" x14ac:dyDescent="0.3">
      <c r="I1140" s="126"/>
      <c r="O1140" s="126"/>
      <c r="Q1140" s="126"/>
      <c r="W1140" s="126"/>
      <c r="Y1140" s="126"/>
      <c r="AE1140" s="126"/>
      <c r="AG1140" s="126"/>
      <c r="AM1140" s="126"/>
    </row>
    <row r="1141" spans="9:39" x14ac:dyDescent="0.3">
      <c r="I1141" s="126"/>
      <c r="O1141" s="126"/>
      <c r="Q1141" s="126"/>
      <c r="W1141" s="126"/>
      <c r="Y1141" s="126"/>
      <c r="AE1141" s="126"/>
      <c r="AG1141" s="126"/>
      <c r="AM1141" s="126"/>
    </row>
    <row r="1142" spans="9:39" x14ac:dyDescent="0.3">
      <c r="I1142" s="126"/>
      <c r="O1142" s="126"/>
      <c r="Q1142" s="126"/>
      <c r="W1142" s="126"/>
      <c r="Y1142" s="126"/>
      <c r="AE1142" s="126"/>
      <c r="AG1142" s="126"/>
      <c r="AM1142" s="126"/>
    </row>
    <row r="1143" spans="9:39" x14ac:dyDescent="0.3">
      <c r="I1143" s="126"/>
      <c r="O1143" s="126"/>
      <c r="Q1143" s="126"/>
      <c r="W1143" s="126"/>
      <c r="Y1143" s="126"/>
      <c r="AE1143" s="126"/>
      <c r="AG1143" s="126"/>
      <c r="AM1143" s="126"/>
    </row>
    <row r="1144" spans="9:39" x14ac:dyDescent="0.3">
      <c r="I1144" s="126"/>
      <c r="O1144" s="126"/>
      <c r="Q1144" s="126"/>
      <c r="W1144" s="126"/>
      <c r="Y1144" s="126"/>
      <c r="AE1144" s="126"/>
      <c r="AG1144" s="126"/>
      <c r="AM1144" s="126"/>
    </row>
    <row r="1145" spans="9:39" x14ac:dyDescent="0.3">
      <c r="I1145" s="126"/>
      <c r="O1145" s="126"/>
      <c r="Q1145" s="126"/>
      <c r="W1145" s="126"/>
      <c r="Y1145" s="126"/>
      <c r="AE1145" s="126"/>
      <c r="AG1145" s="126"/>
      <c r="AM1145" s="126"/>
    </row>
    <row r="1146" spans="9:39" x14ac:dyDescent="0.3">
      <c r="I1146" s="126"/>
      <c r="O1146" s="126"/>
      <c r="Q1146" s="126"/>
      <c r="W1146" s="126"/>
      <c r="Y1146" s="126"/>
      <c r="AE1146" s="126"/>
      <c r="AG1146" s="126"/>
      <c r="AM1146" s="126"/>
    </row>
    <row r="1147" spans="9:39" x14ac:dyDescent="0.3">
      <c r="I1147" s="126"/>
      <c r="O1147" s="126"/>
      <c r="Q1147" s="126"/>
      <c r="W1147" s="126"/>
      <c r="Y1147" s="126"/>
      <c r="AE1147" s="126"/>
      <c r="AG1147" s="126"/>
      <c r="AM1147" s="126"/>
    </row>
    <row r="1148" spans="9:39" x14ac:dyDescent="0.3">
      <c r="I1148" s="126"/>
      <c r="O1148" s="126"/>
      <c r="Q1148" s="126"/>
      <c r="W1148" s="126"/>
      <c r="Y1148" s="126"/>
      <c r="AE1148" s="126"/>
      <c r="AG1148" s="126"/>
      <c r="AM1148" s="126"/>
    </row>
    <row r="1149" spans="9:39" x14ac:dyDescent="0.3">
      <c r="I1149" s="126"/>
      <c r="O1149" s="126"/>
      <c r="Q1149" s="126"/>
      <c r="W1149" s="126"/>
      <c r="Y1149" s="126"/>
      <c r="AE1149" s="126"/>
      <c r="AG1149" s="126"/>
      <c r="AM1149" s="126"/>
    </row>
    <row r="1150" spans="9:39" x14ac:dyDescent="0.3">
      <c r="I1150" s="126"/>
      <c r="O1150" s="126"/>
      <c r="Q1150" s="126"/>
      <c r="W1150" s="126"/>
      <c r="Y1150" s="126"/>
      <c r="AE1150" s="126"/>
      <c r="AG1150" s="126"/>
      <c r="AM1150" s="126"/>
    </row>
    <row r="1151" spans="9:39" x14ac:dyDescent="0.3">
      <c r="I1151" s="126"/>
      <c r="O1151" s="126"/>
      <c r="Q1151" s="126"/>
      <c r="W1151" s="126"/>
      <c r="Y1151" s="126"/>
      <c r="AE1151" s="126"/>
      <c r="AG1151" s="126"/>
      <c r="AM1151" s="126"/>
    </row>
    <row r="1152" spans="9:39" x14ac:dyDescent="0.3">
      <c r="I1152" s="126"/>
      <c r="O1152" s="126"/>
      <c r="Q1152" s="126"/>
      <c r="W1152" s="126"/>
      <c r="Y1152" s="126"/>
      <c r="AE1152" s="126"/>
      <c r="AG1152" s="126"/>
      <c r="AM1152" s="126"/>
    </row>
    <row r="1153" spans="9:39" x14ac:dyDescent="0.3">
      <c r="I1153" s="126"/>
      <c r="O1153" s="126"/>
      <c r="Q1153" s="126"/>
      <c r="W1153" s="126"/>
      <c r="Y1153" s="126"/>
      <c r="AE1153" s="126"/>
      <c r="AG1153" s="126"/>
      <c r="AM1153" s="126"/>
    </row>
    <row r="1154" spans="9:39" x14ac:dyDescent="0.3">
      <c r="I1154" s="126"/>
      <c r="O1154" s="126"/>
      <c r="Q1154" s="126"/>
      <c r="W1154" s="126"/>
      <c r="Y1154" s="126"/>
      <c r="AE1154" s="126"/>
      <c r="AG1154" s="126"/>
      <c r="AM1154" s="126"/>
    </row>
    <row r="1155" spans="9:39" x14ac:dyDescent="0.3">
      <c r="I1155" s="126"/>
      <c r="O1155" s="126"/>
      <c r="Q1155" s="126"/>
      <c r="W1155" s="126"/>
      <c r="Y1155" s="126"/>
      <c r="AE1155" s="126"/>
      <c r="AG1155" s="126"/>
      <c r="AM1155" s="126"/>
    </row>
    <row r="1156" spans="9:39" x14ac:dyDescent="0.3">
      <c r="I1156" s="126"/>
      <c r="O1156" s="126"/>
      <c r="Q1156" s="126"/>
      <c r="W1156" s="126"/>
      <c r="Y1156" s="126"/>
      <c r="AE1156" s="126"/>
      <c r="AG1156" s="126"/>
      <c r="AM1156" s="126"/>
    </row>
    <row r="1157" spans="9:39" x14ac:dyDescent="0.3">
      <c r="I1157" s="126"/>
      <c r="O1157" s="126"/>
      <c r="Q1157" s="126"/>
      <c r="W1157" s="126"/>
      <c r="Y1157" s="126"/>
      <c r="AE1157" s="126"/>
      <c r="AG1157" s="126"/>
      <c r="AM1157" s="126"/>
    </row>
    <row r="1158" spans="9:39" x14ac:dyDescent="0.3">
      <c r="I1158" s="126"/>
      <c r="O1158" s="126"/>
      <c r="Q1158" s="126"/>
      <c r="W1158" s="126"/>
      <c r="Y1158" s="126"/>
      <c r="AE1158" s="126"/>
      <c r="AG1158" s="126"/>
      <c r="AM1158" s="126"/>
    </row>
    <row r="1159" spans="9:39" x14ac:dyDescent="0.3">
      <c r="I1159" s="126"/>
      <c r="O1159" s="126"/>
      <c r="Q1159" s="126"/>
      <c r="W1159" s="126"/>
      <c r="Y1159" s="126"/>
      <c r="AE1159" s="126"/>
      <c r="AG1159" s="126"/>
      <c r="AM1159" s="126"/>
    </row>
    <row r="1160" spans="9:39" x14ac:dyDescent="0.3">
      <c r="I1160" s="126"/>
      <c r="O1160" s="126"/>
      <c r="Q1160" s="126"/>
      <c r="W1160" s="126"/>
      <c r="Y1160" s="126"/>
      <c r="AE1160" s="126"/>
      <c r="AG1160" s="126"/>
      <c r="AM1160" s="126"/>
    </row>
    <row r="1161" spans="9:39" x14ac:dyDescent="0.3">
      <c r="I1161" s="126"/>
      <c r="O1161" s="126"/>
      <c r="Q1161" s="126"/>
      <c r="W1161" s="126"/>
      <c r="Y1161" s="126"/>
      <c r="AE1161" s="126"/>
      <c r="AG1161" s="126"/>
      <c r="AM1161" s="126"/>
    </row>
    <row r="1162" spans="9:39" x14ac:dyDescent="0.3">
      <c r="I1162" s="126"/>
      <c r="O1162" s="126"/>
      <c r="Q1162" s="126"/>
      <c r="W1162" s="126"/>
      <c r="Y1162" s="126"/>
      <c r="AE1162" s="126"/>
      <c r="AG1162" s="126"/>
      <c r="AM1162" s="126"/>
    </row>
    <row r="1163" spans="9:39" x14ac:dyDescent="0.3">
      <c r="I1163" s="126"/>
      <c r="O1163" s="126"/>
      <c r="Q1163" s="126"/>
      <c r="W1163" s="126"/>
      <c r="Y1163" s="126"/>
      <c r="AE1163" s="126"/>
      <c r="AG1163" s="126"/>
      <c r="AM1163" s="126"/>
    </row>
    <row r="1164" spans="9:39" x14ac:dyDescent="0.3">
      <c r="I1164" s="126"/>
      <c r="O1164" s="126"/>
      <c r="Q1164" s="126"/>
      <c r="W1164" s="126"/>
      <c r="Y1164" s="126"/>
      <c r="AE1164" s="126"/>
      <c r="AG1164" s="126"/>
      <c r="AM1164" s="126"/>
    </row>
    <row r="1165" spans="9:39" x14ac:dyDescent="0.3">
      <c r="I1165" s="126"/>
      <c r="O1165" s="126"/>
      <c r="Q1165" s="126"/>
      <c r="W1165" s="126"/>
      <c r="Y1165" s="126"/>
      <c r="AE1165" s="126"/>
      <c r="AG1165" s="126"/>
      <c r="AM1165" s="126"/>
    </row>
    <row r="1166" spans="9:39" x14ac:dyDescent="0.3">
      <c r="I1166" s="126"/>
      <c r="O1166" s="126"/>
      <c r="Q1166" s="126"/>
      <c r="W1166" s="126"/>
      <c r="Y1166" s="126"/>
      <c r="AE1166" s="126"/>
      <c r="AG1166" s="126"/>
      <c r="AM1166" s="126"/>
    </row>
    <row r="1167" spans="9:39" x14ac:dyDescent="0.3">
      <c r="I1167" s="126"/>
      <c r="O1167" s="126"/>
      <c r="Q1167" s="126"/>
      <c r="W1167" s="126"/>
      <c r="Y1167" s="126"/>
      <c r="AE1167" s="126"/>
      <c r="AG1167" s="126"/>
      <c r="AM1167" s="126"/>
    </row>
    <row r="1168" spans="9:39" x14ac:dyDescent="0.3">
      <c r="I1168" s="126"/>
      <c r="O1168" s="126"/>
      <c r="Q1168" s="126"/>
      <c r="W1168" s="126"/>
      <c r="Y1168" s="126"/>
      <c r="AE1168" s="126"/>
      <c r="AG1168" s="126"/>
      <c r="AM1168" s="126"/>
    </row>
    <row r="1169" spans="9:39" x14ac:dyDescent="0.3">
      <c r="I1169" s="126"/>
      <c r="O1169" s="126"/>
      <c r="Q1169" s="126"/>
      <c r="W1169" s="126"/>
      <c r="Y1169" s="126"/>
      <c r="AE1169" s="126"/>
      <c r="AG1169" s="126"/>
      <c r="AM1169" s="126"/>
    </row>
    <row r="1170" spans="9:39" x14ac:dyDescent="0.3">
      <c r="I1170" s="126"/>
      <c r="O1170" s="126"/>
      <c r="Q1170" s="126"/>
      <c r="W1170" s="126"/>
      <c r="Y1170" s="126"/>
      <c r="AE1170" s="126"/>
      <c r="AG1170" s="126"/>
      <c r="AM1170" s="126"/>
    </row>
    <row r="1171" spans="9:39" x14ac:dyDescent="0.3">
      <c r="I1171" s="126"/>
      <c r="O1171" s="126"/>
      <c r="Q1171" s="126"/>
      <c r="W1171" s="126"/>
      <c r="Y1171" s="126"/>
      <c r="AE1171" s="126"/>
      <c r="AG1171" s="126"/>
      <c r="AM1171" s="126"/>
    </row>
    <row r="1172" spans="9:39" x14ac:dyDescent="0.3">
      <c r="I1172" s="126"/>
      <c r="O1172" s="126"/>
      <c r="Q1172" s="126"/>
      <c r="W1172" s="126"/>
      <c r="Y1172" s="126"/>
      <c r="AE1172" s="126"/>
      <c r="AG1172" s="126"/>
      <c r="AM1172" s="126"/>
    </row>
    <row r="1173" spans="9:39" x14ac:dyDescent="0.3">
      <c r="I1173" s="126"/>
      <c r="O1173" s="126"/>
      <c r="Q1173" s="126"/>
      <c r="W1173" s="126"/>
      <c r="Y1173" s="126"/>
      <c r="AE1173" s="126"/>
      <c r="AG1173" s="126"/>
      <c r="AM1173" s="126"/>
    </row>
    <row r="1174" spans="9:39" x14ac:dyDescent="0.3">
      <c r="I1174" s="126"/>
      <c r="O1174" s="126"/>
      <c r="Q1174" s="126"/>
      <c r="W1174" s="126"/>
      <c r="Y1174" s="126"/>
      <c r="AE1174" s="126"/>
      <c r="AG1174" s="126"/>
      <c r="AM1174" s="126"/>
    </row>
    <row r="1175" spans="9:39" x14ac:dyDescent="0.3">
      <c r="I1175" s="126"/>
      <c r="O1175" s="126"/>
      <c r="Q1175" s="126"/>
      <c r="W1175" s="126"/>
      <c r="Y1175" s="126"/>
      <c r="AE1175" s="126"/>
      <c r="AG1175" s="126"/>
      <c r="AM1175" s="126"/>
    </row>
    <row r="1176" spans="9:39" x14ac:dyDescent="0.3">
      <c r="I1176" s="126"/>
      <c r="O1176" s="126"/>
      <c r="Q1176" s="126"/>
      <c r="W1176" s="126"/>
      <c r="Y1176" s="126"/>
      <c r="AE1176" s="126"/>
      <c r="AG1176" s="126"/>
      <c r="AM1176" s="126"/>
    </row>
    <row r="1177" spans="9:39" x14ac:dyDescent="0.3">
      <c r="I1177" s="126"/>
      <c r="O1177" s="126"/>
      <c r="Q1177" s="126"/>
      <c r="W1177" s="126"/>
      <c r="Y1177" s="126"/>
      <c r="AE1177" s="126"/>
      <c r="AG1177" s="126"/>
      <c r="AM1177" s="126"/>
    </row>
    <row r="1178" spans="9:39" x14ac:dyDescent="0.3">
      <c r="I1178" s="126"/>
      <c r="O1178" s="126"/>
      <c r="Q1178" s="126"/>
      <c r="W1178" s="126"/>
      <c r="Y1178" s="126"/>
      <c r="AE1178" s="126"/>
      <c r="AG1178" s="126"/>
      <c r="AM1178" s="126"/>
    </row>
    <row r="1179" spans="9:39" x14ac:dyDescent="0.3">
      <c r="I1179" s="126"/>
      <c r="O1179" s="126"/>
      <c r="Q1179" s="126"/>
      <c r="W1179" s="126"/>
      <c r="Y1179" s="126"/>
      <c r="AE1179" s="126"/>
      <c r="AG1179" s="126"/>
      <c r="AM1179" s="126"/>
    </row>
    <row r="1180" spans="9:39" x14ac:dyDescent="0.3">
      <c r="I1180" s="126"/>
      <c r="O1180" s="126"/>
      <c r="Q1180" s="126"/>
      <c r="W1180" s="126"/>
      <c r="Y1180" s="126"/>
      <c r="AE1180" s="126"/>
      <c r="AG1180" s="126"/>
      <c r="AM1180" s="126"/>
    </row>
    <row r="1181" spans="9:39" x14ac:dyDescent="0.3">
      <c r="I1181" s="126"/>
      <c r="O1181" s="126"/>
      <c r="Q1181" s="126"/>
      <c r="W1181" s="126"/>
      <c r="Y1181" s="126"/>
      <c r="AE1181" s="126"/>
      <c r="AG1181" s="126"/>
      <c r="AM1181" s="126"/>
    </row>
    <row r="1182" spans="9:39" x14ac:dyDescent="0.3">
      <c r="I1182" s="126"/>
      <c r="O1182" s="126"/>
      <c r="Q1182" s="126"/>
      <c r="W1182" s="126"/>
      <c r="Y1182" s="126"/>
      <c r="AE1182" s="126"/>
      <c r="AG1182" s="126"/>
      <c r="AM1182" s="126"/>
    </row>
    <row r="1183" spans="9:39" x14ac:dyDescent="0.3">
      <c r="I1183" s="126"/>
      <c r="O1183" s="126"/>
      <c r="Q1183" s="126"/>
      <c r="W1183" s="126"/>
      <c r="Y1183" s="126"/>
      <c r="AE1183" s="126"/>
      <c r="AG1183" s="126"/>
      <c r="AM1183" s="126"/>
    </row>
    <row r="1184" spans="9:39" x14ac:dyDescent="0.3">
      <c r="I1184" s="126"/>
      <c r="O1184" s="126"/>
      <c r="Q1184" s="126"/>
      <c r="W1184" s="126"/>
      <c r="Y1184" s="126"/>
      <c r="AE1184" s="126"/>
      <c r="AG1184" s="126"/>
      <c r="AM1184" s="126"/>
    </row>
    <row r="1185" spans="9:39" x14ac:dyDescent="0.3">
      <c r="I1185" s="126"/>
      <c r="O1185" s="126"/>
      <c r="Q1185" s="126"/>
      <c r="W1185" s="126"/>
      <c r="Y1185" s="126"/>
      <c r="AE1185" s="126"/>
      <c r="AG1185" s="126"/>
      <c r="AM1185" s="126"/>
    </row>
    <row r="1186" spans="9:39" x14ac:dyDescent="0.3">
      <c r="I1186" s="126"/>
      <c r="O1186" s="126"/>
      <c r="Q1186" s="126"/>
      <c r="W1186" s="126"/>
      <c r="Y1186" s="126"/>
      <c r="AE1186" s="126"/>
      <c r="AG1186" s="126"/>
      <c r="AM1186" s="126"/>
    </row>
    <row r="1187" spans="9:39" x14ac:dyDescent="0.3">
      <c r="I1187" s="126"/>
      <c r="O1187" s="126"/>
      <c r="Q1187" s="126"/>
      <c r="W1187" s="126"/>
      <c r="Y1187" s="126"/>
      <c r="AE1187" s="126"/>
      <c r="AG1187" s="126"/>
      <c r="AM1187" s="126"/>
    </row>
    <row r="1188" spans="9:39" x14ac:dyDescent="0.3">
      <c r="I1188" s="126"/>
      <c r="O1188" s="126"/>
      <c r="Q1188" s="126"/>
      <c r="W1188" s="126"/>
      <c r="Y1188" s="126"/>
      <c r="AE1188" s="126"/>
      <c r="AG1188" s="126"/>
      <c r="AM1188" s="126"/>
    </row>
    <row r="1189" spans="9:39" x14ac:dyDescent="0.3">
      <c r="I1189" s="126"/>
      <c r="O1189" s="126"/>
      <c r="Q1189" s="126"/>
      <c r="W1189" s="126"/>
      <c r="Y1189" s="126"/>
      <c r="AE1189" s="126"/>
      <c r="AG1189" s="126"/>
      <c r="AM1189" s="126"/>
    </row>
    <row r="1190" spans="9:39" x14ac:dyDescent="0.3">
      <c r="I1190" s="126"/>
      <c r="O1190" s="126"/>
      <c r="Q1190" s="126"/>
      <c r="W1190" s="126"/>
      <c r="Y1190" s="126"/>
      <c r="AE1190" s="126"/>
      <c r="AG1190" s="126"/>
      <c r="AM1190" s="126"/>
    </row>
    <row r="1191" spans="9:39" x14ac:dyDescent="0.3">
      <c r="I1191" s="126"/>
      <c r="O1191" s="126"/>
      <c r="Q1191" s="126"/>
      <c r="W1191" s="126"/>
      <c r="Y1191" s="126"/>
      <c r="AE1191" s="126"/>
      <c r="AG1191" s="126"/>
      <c r="AM1191" s="126"/>
    </row>
    <row r="1192" spans="9:39" x14ac:dyDescent="0.3">
      <c r="I1192" s="126"/>
      <c r="O1192" s="126"/>
      <c r="Q1192" s="126"/>
      <c r="W1192" s="126"/>
      <c r="Y1192" s="126"/>
      <c r="AE1192" s="126"/>
      <c r="AG1192" s="126"/>
      <c r="AM1192" s="126"/>
    </row>
    <row r="1193" spans="9:39" x14ac:dyDescent="0.3">
      <c r="I1193" s="126"/>
      <c r="O1193" s="126"/>
      <c r="Q1193" s="126"/>
      <c r="W1193" s="126"/>
      <c r="Y1193" s="126"/>
      <c r="AE1193" s="126"/>
      <c r="AG1193" s="126"/>
      <c r="AM1193" s="126"/>
    </row>
    <row r="1194" spans="9:39" x14ac:dyDescent="0.3">
      <c r="I1194" s="126"/>
      <c r="O1194" s="126"/>
      <c r="Q1194" s="126"/>
      <c r="W1194" s="126"/>
      <c r="Y1194" s="126"/>
      <c r="AE1194" s="126"/>
      <c r="AG1194" s="126"/>
      <c r="AM1194" s="126"/>
    </row>
    <row r="1195" spans="9:39" x14ac:dyDescent="0.3">
      <c r="I1195" s="126"/>
      <c r="O1195" s="126"/>
      <c r="Q1195" s="126"/>
      <c r="W1195" s="126"/>
      <c r="Y1195" s="126"/>
      <c r="AE1195" s="126"/>
      <c r="AG1195" s="126"/>
      <c r="AM1195" s="126"/>
    </row>
    <row r="1196" spans="9:39" x14ac:dyDescent="0.3">
      <c r="I1196" s="126"/>
      <c r="O1196" s="126"/>
      <c r="Q1196" s="126"/>
      <c r="W1196" s="126"/>
      <c r="Y1196" s="126"/>
      <c r="AE1196" s="126"/>
      <c r="AG1196" s="126"/>
      <c r="AM1196" s="126"/>
    </row>
    <row r="1197" spans="9:39" x14ac:dyDescent="0.3">
      <c r="I1197" s="126"/>
      <c r="O1197" s="126"/>
      <c r="Q1197" s="126"/>
      <c r="W1197" s="126"/>
      <c r="Y1197" s="126"/>
      <c r="AE1197" s="126"/>
      <c r="AG1197" s="126"/>
      <c r="AM1197" s="126"/>
    </row>
    <row r="1198" spans="9:39" x14ac:dyDescent="0.3">
      <c r="I1198" s="126"/>
      <c r="O1198" s="126"/>
      <c r="Q1198" s="126"/>
      <c r="W1198" s="126"/>
      <c r="Y1198" s="126"/>
      <c r="AE1198" s="126"/>
      <c r="AG1198" s="126"/>
      <c r="AM1198" s="126"/>
    </row>
    <row r="1199" spans="9:39" x14ac:dyDescent="0.3">
      <c r="I1199" s="126"/>
      <c r="O1199" s="126"/>
      <c r="Q1199" s="126"/>
      <c r="W1199" s="126"/>
      <c r="Y1199" s="126"/>
      <c r="AE1199" s="126"/>
      <c r="AG1199" s="126"/>
      <c r="AM1199" s="126"/>
    </row>
    <row r="1200" spans="9:39" x14ac:dyDescent="0.3">
      <c r="I1200" s="126"/>
      <c r="O1200" s="126"/>
      <c r="Q1200" s="126"/>
      <c r="W1200" s="126"/>
      <c r="Y1200" s="126"/>
      <c r="AE1200" s="126"/>
      <c r="AG1200" s="126"/>
      <c r="AM1200" s="126"/>
    </row>
    <row r="1201" spans="9:39" x14ac:dyDescent="0.3">
      <c r="I1201" s="126"/>
      <c r="O1201" s="126"/>
      <c r="Q1201" s="126"/>
      <c r="W1201" s="126"/>
      <c r="Y1201" s="126"/>
      <c r="AE1201" s="126"/>
      <c r="AG1201" s="126"/>
      <c r="AM1201" s="126"/>
    </row>
    <row r="1202" spans="9:39" x14ac:dyDescent="0.3">
      <c r="I1202" s="126"/>
      <c r="O1202" s="126"/>
      <c r="Q1202" s="126"/>
      <c r="W1202" s="126"/>
      <c r="Y1202" s="126"/>
      <c r="AE1202" s="126"/>
      <c r="AG1202" s="126"/>
      <c r="AM1202" s="126"/>
    </row>
    <row r="1203" spans="9:39" x14ac:dyDescent="0.3">
      <c r="I1203" s="126"/>
      <c r="O1203" s="126"/>
      <c r="Q1203" s="126"/>
      <c r="W1203" s="126"/>
      <c r="Y1203" s="126"/>
      <c r="AE1203" s="126"/>
      <c r="AG1203" s="126"/>
      <c r="AM1203" s="126"/>
    </row>
    <row r="1204" spans="9:39" x14ac:dyDescent="0.3">
      <c r="I1204" s="126"/>
      <c r="O1204" s="126"/>
      <c r="Q1204" s="126"/>
      <c r="W1204" s="126"/>
      <c r="Y1204" s="126"/>
      <c r="AE1204" s="126"/>
      <c r="AG1204" s="126"/>
      <c r="AM1204" s="126"/>
    </row>
    <row r="1205" spans="9:39" x14ac:dyDescent="0.3">
      <c r="I1205" s="126"/>
      <c r="O1205" s="126"/>
      <c r="Q1205" s="126"/>
      <c r="W1205" s="126"/>
      <c r="Y1205" s="126"/>
      <c r="AE1205" s="126"/>
      <c r="AG1205" s="126"/>
      <c r="AM1205" s="126"/>
    </row>
    <row r="1206" spans="9:39" x14ac:dyDescent="0.3">
      <c r="I1206" s="126"/>
      <c r="O1206" s="126"/>
      <c r="Q1206" s="126"/>
      <c r="W1206" s="126"/>
      <c r="Y1206" s="126"/>
      <c r="AE1206" s="126"/>
      <c r="AG1206" s="126"/>
      <c r="AM1206" s="126"/>
    </row>
    <row r="1207" spans="9:39" x14ac:dyDescent="0.3">
      <c r="I1207" s="126"/>
      <c r="O1207" s="126"/>
      <c r="Q1207" s="126"/>
      <c r="W1207" s="126"/>
      <c r="Y1207" s="126"/>
      <c r="AE1207" s="126"/>
      <c r="AG1207" s="126"/>
      <c r="AM1207" s="126"/>
    </row>
    <row r="1208" spans="9:39" x14ac:dyDescent="0.3">
      <c r="I1208" s="126"/>
      <c r="O1208" s="126"/>
      <c r="Q1208" s="126"/>
      <c r="W1208" s="126"/>
      <c r="Y1208" s="126"/>
      <c r="AE1208" s="126"/>
      <c r="AG1208" s="126"/>
      <c r="AM1208" s="126"/>
    </row>
    <row r="1209" spans="9:39" x14ac:dyDescent="0.3">
      <c r="I1209" s="126"/>
      <c r="O1209" s="126"/>
      <c r="Q1209" s="126"/>
      <c r="W1209" s="126"/>
      <c r="Y1209" s="126"/>
      <c r="AE1209" s="126"/>
      <c r="AG1209" s="126"/>
      <c r="AM1209" s="126"/>
    </row>
    <row r="1210" spans="9:39" x14ac:dyDescent="0.3">
      <c r="I1210" s="126"/>
      <c r="O1210" s="126"/>
      <c r="Q1210" s="126"/>
      <c r="W1210" s="126"/>
      <c r="Y1210" s="126"/>
      <c r="AE1210" s="126"/>
      <c r="AG1210" s="126"/>
      <c r="AM1210" s="126"/>
    </row>
    <row r="1211" spans="9:39" x14ac:dyDescent="0.3">
      <c r="I1211" s="126"/>
      <c r="O1211" s="126"/>
      <c r="Q1211" s="126"/>
      <c r="W1211" s="126"/>
      <c r="Y1211" s="126"/>
      <c r="AE1211" s="126"/>
      <c r="AG1211" s="126"/>
      <c r="AM1211" s="126"/>
    </row>
    <row r="1212" spans="9:39" x14ac:dyDescent="0.3">
      <c r="I1212" s="126"/>
      <c r="O1212" s="126"/>
      <c r="Q1212" s="126"/>
      <c r="W1212" s="126"/>
      <c r="Y1212" s="126"/>
      <c r="AE1212" s="126"/>
      <c r="AG1212" s="126"/>
      <c r="AM1212" s="126"/>
    </row>
    <row r="1213" spans="9:39" x14ac:dyDescent="0.3">
      <c r="I1213" s="126"/>
      <c r="O1213" s="126"/>
      <c r="Q1213" s="126"/>
      <c r="W1213" s="126"/>
      <c r="Y1213" s="126"/>
      <c r="AE1213" s="126"/>
      <c r="AG1213" s="126"/>
      <c r="AM1213" s="126"/>
    </row>
    <row r="1214" spans="9:39" x14ac:dyDescent="0.3">
      <c r="I1214" s="126"/>
      <c r="O1214" s="126"/>
      <c r="Q1214" s="126"/>
      <c r="W1214" s="126"/>
      <c r="Y1214" s="126"/>
      <c r="AE1214" s="126"/>
      <c r="AG1214" s="126"/>
      <c r="AM1214" s="126"/>
    </row>
    <row r="1215" spans="9:39" x14ac:dyDescent="0.3">
      <c r="I1215" s="126"/>
      <c r="O1215" s="126"/>
      <c r="Q1215" s="126"/>
      <c r="W1215" s="126"/>
      <c r="Y1215" s="126"/>
      <c r="AE1215" s="126"/>
      <c r="AG1215" s="126"/>
      <c r="AM1215" s="126"/>
    </row>
    <row r="1216" spans="9:39" x14ac:dyDescent="0.3">
      <c r="I1216" s="126"/>
      <c r="O1216" s="126"/>
      <c r="Q1216" s="126"/>
      <c r="W1216" s="126"/>
      <c r="Y1216" s="126"/>
      <c r="AE1216" s="126"/>
      <c r="AG1216" s="126"/>
      <c r="AM1216" s="126"/>
    </row>
    <row r="1217" spans="9:39" x14ac:dyDescent="0.3">
      <c r="I1217" s="126"/>
      <c r="O1217" s="126"/>
      <c r="Q1217" s="126"/>
      <c r="W1217" s="126"/>
      <c r="Y1217" s="126"/>
      <c r="AE1217" s="126"/>
      <c r="AG1217" s="126"/>
      <c r="AM1217" s="126"/>
    </row>
    <row r="1218" spans="9:39" x14ac:dyDescent="0.3">
      <c r="I1218" s="126"/>
      <c r="O1218" s="126"/>
      <c r="Q1218" s="126"/>
      <c r="W1218" s="126"/>
      <c r="Y1218" s="126"/>
      <c r="AE1218" s="126"/>
      <c r="AG1218" s="126"/>
      <c r="AM1218" s="126"/>
    </row>
    <row r="1219" spans="9:39" x14ac:dyDescent="0.3">
      <c r="I1219" s="126"/>
      <c r="O1219" s="126"/>
      <c r="Q1219" s="126"/>
      <c r="W1219" s="126"/>
      <c r="Y1219" s="126"/>
      <c r="AE1219" s="126"/>
      <c r="AG1219" s="126"/>
      <c r="AM1219" s="126"/>
    </row>
    <row r="1220" spans="9:39" x14ac:dyDescent="0.3">
      <c r="I1220" s="126"/>
      <c r="O1220" s="126"/>
      <c r="Q1220" s="126"/>
      <c r="W1220" s="126"/>
      <c r="Y1220" s="126"/>
      <c r="AE1220" s="126"/>
      <c r="AG1220" s="126"/>
      <c r="AM1220" s="126"/>
    </row>
    <row r="1221" spans="9:39" x14ac:dyDescent="0.3">
      <c r="I1221" s="126"/>
      <c r="O1221" s="126"/>
      <c r="Q1221" s="126"/>
      <c r="W1221" s="126"/>
      <c r="Y1221" s="126"/>
      <c r="AE1221" s="126"/>
      <c r="AG1221" s="126"/>
      <c r="AM1221" s="126"/>
    </row>
    <row r="1222" spans="9:39" x14ac:dyDescent="0.3">
      <c r="I1222" s="126"/>
      <c r="O1222" s="126"/>
      <c r="Q1222" s="126"/>
      <c r="W1222" s="126"/>
      <c r="Y1222" s="126"/>
      <c r="AE1222" s="126"/>
      <c r="AG1222" s="126"/>
      <c r="AM1222" s="126"/>
    </row>
    <row r="1223" spans="9:39" x14ac:dyDescent="0.3">
      <c r="I1223" s="126"/>
      <c r="O1223" s="126"/>
      <c r="Q1223" s="126"/>
      <c r="W1223" s="126"/>
      <c r="Y1223" s="126"/>
      <c r="AE1223" s="126"/>
      <c r="AG1223" s="126"/>
      <c r="AM1223" s="126"/>
    </row>
    <row r="1224" spans="9:39" x14ac:dyDescent="0.3">
      <c r="I1224" s="126"/>
      <c r="O1224" s="126"/>
      <c r="Q1224" s="126"/>
      <c r="W1224" s="126"/>
      <c r="Y1224" s="126"/>
      <c r="AE1224" s="126"/>
      <c r="AG1224" s="126"/>
      <c r="AM1224" s="126"/>
    </row>
    <row r="1225" spans="9:39" x14ac:dyDescent="0.3">
      <c r="I1225" s="126"/>
      <c r="O1225" s="126"/>
      <c r="Q1225" s="126"/>
      <c r="W1225" s="126"/>
      <c r="Y1225" s="126"/>
      <c r="AE1225" s="126"/>
      <c r="AG1225" s="126"/>
      <c r="AM1225" s="126"/>
    </row>
    <row r="1226" spans="9:39" x14ac:dyDescent="0.3">
      <c r="I1226" s="126"/>
      <c r="O1226" s="126"/>
      <c r="Q1226" s="126"/>
      <c r="W1226" s="126"/>
      <c r="Y1226" s="126"/>
      <c r="AE1226" s="126"/>
      <c r="AG1226" s="126"/>
      <c r="AM1226" s="126"/>
    </row>
    <row r="1227" spans="9:39" x14ac:dyDescent="0.3">
      <c r="I1227" s="126"/>
      <c r="O1227" s="126"/>
      <c r="Q1227" s="126"/>
      <c r="W1227" s="126"/>
      <c r="Y1227" s="126"/>
      <c r="AE1227" s="126"/>
      <c r="AG1227" s="126"/>
      <c r="AM1227" s="126"/>
    </row>
    <row r="1228" spans="9:39" x14ac:dyDescent="0.3">
      <c r="I1228" s="126"/>
      <c r="O1228" s="126"/>
      <c r="Q1228" s="126"/>
      <c r="W1228" s="126"/>
      <c r="Y1228" s="126"/>
      <c r="AE1228" s="126"/>
      <c r="AG1228" s="126"/>
      <c r="AM1228" s="126"/>
    </row>
    <row r="1229" spans="9:39" x14ac:dyDescent="0.3">
      <c r="I1229" s="126"/>
      <c r="O1229" s="126"/>
      <c r="Q1229" s="126"/>
      <c r="W1229" s="126"/>
      <c r="Y1229" s="126"/>
      <c r="AE1229" s="126"/>
      <c r="AG1229" s="126"/>
      <c r="AM1229" s="126"/>
    </row>
    <row r="1230" spans="9:39" x14ac:dyDescent="0.3">
      <c r="I1230" s="126"/>
      <c r="O1230" s="126"/>
      <c r="Q1230" s="126"/>
      <c r="W1230" s="126"/>
      <c r="Y1230" s="126"/>
      <c r="AE1230" s="126"/>
      <c r="AG1230" s="126"/>
      <c r="AM1230" s="126"/>
    </row>
    <row r="1231" spans="9:39" x14ac:dyDescent="0.3">
      <c r="I1231" s="126"/>
      <c r="O1231" s="126"/>
      <c r="Q1231" s="126"/>
      <c r="W1231" s="126"/>
      <c r="Y1231" s="126"/>
      <c r="AE1231" s="126"/>
      <c r="AG1231" s="126"/>
      <c r="AM1231" s="126"/>
    </row>
    <row r="1232" spans="9:39" x14ac:dyDescent="0.3">
      <c r="I1232" s="126"/>
      <c r="O1232" s="126"/>
      <c r="Q1232" s="126"/>
      <c r="W1232" s="126"/>
      <c r="Y1232" s="126"/>
      <c r="AE1232" s="126"/>
      <c r="AG1232" s="126"/>
      <c r="AM1232" s="126"/>
    </row>
    <row r="1233" spans="9:39" x14ac:dyDescent="0.3">
      <c r="I1233" s="126"/>
      <c r="O1233" s="126"/>
      <c r="Q1233" s="126"/>
      <c r="W1233" s="126"/>
      <c r="Y1233" s="126"/>
      <c r="AE1233" s="126"/>
      <c r="AG1233" s="126"/>
      <c r="AM1233" s="126"/>
    </row>
    <row r="1234" spans="9:39" x14ac:dyDescent="0.3">
      <c r="I1234" s="126"/>
      <c r="O1234" s="126"/>
      <c r="Q1234" s="126"/>
      <c r="W1234" s="126"/>
      <c r="Y1234" s="126"/>
      <c r="AE1234" s="126"/>
      <c r="AG1234" s="126"/>
      <c r="AM1234" s="126"/>
    </row>
    <row r="1235" spans="9:39" x14ac:dyDescent="0.3">
      <c r="I1235" s="126"/>
      <c r="O1235" s="126"/>
      <c r="Q1235" s="126"/>
      <c r="W1235" s="126"/>
      <c r="Y1235" s="126"/>
      <c r="AE1235" s="126"/>
      <c r="AG1235" s="126"/>
      <c r="AM1235" s="126"/>
    </row>
    <row r="1236" spans="9:39" x14ac:dyDescent="0.3">
      <c r="I1236" s="126"/>
      <c r="O1236" s="126"/>
      <c r="Q1236" s="126"/>
      <c r="W1236" s="126"/>
      <c r="Y1236" s="126"/>
      <c r="AE1236" s="126"/>
      <c r="AG1236" s="126"/>
      <c r="AM1236" s="126"/>
    </row>
    <row r="1237" spans="9:39" x14ac:dyDescent="0.3">
      <c r="I1237" s="126"/>
      <c r="O1237" s="126"/>
      <c r="Q1237" s="126"/>
      <c r="W1237" s="126"/>
      <c r="Y1237" s="126"/>
      <c r="AE1237" s="126"/>
      <c r="AG1237" s="126"/>
      <c r="AM1237" s="126"/>
    </row>
    <row r="1238" spans="9:39" x14ac:dyDescent="0.3">
      <c r="I1238" s="126"/>
      <c r="O1238" s="126"/>
      <c r="Q1238" s="126"/>
      <c r="W1238" s="126"/>
      <c r="Y1238" s="126"/>
      <c r="AE1238" s="126"/>
      <c r="AG1238" s="126"/>
      <c r="AM1238" s="126"/>
    </row>
    <row r="1239" spans="9:39" x14ac:dyDescent="0.3">
      <c r="I1239" s="126"/>
      <c r="O1239" s="126"/>
      <c r="Q1239" s="126"/>
      <c r="W1239" s="126"/>
      <c r="Y1239" s="126"/>
      <c r="AE1239" s="126"/>
      <c r="AG1239" s="126"/>
      <c r="AM1239" s="126"/>
    </row>
    <row r="1240" spans="9:39" x14ac:dyDescent="0.3">
      <c r="I1240" s="126"/>
      <c r="O1240" s="126"/>
      <c r="Q1240" s="126"/>
      <c r="W1240" s="126"/>
      <c r="Y1240" s="126"/>
      <c r="AE1240" s="126"/>
      <c r="AG1240" s="126"/>
      <c r="AM1240" s="126"/>
    </row>
    <row r="1241" spans="9:39" x14ac:dyDescent="0.3">
      <c r="I1241" s="126"/>
      <c r="O1241" s="126"/>
      <c r="Q1241" s="126"/>
      <c r="W1241" s="126"/>
      <c r="Y1241" s="126"/>
      <c r="AE1241" s="126"/>
      <c r="AG1241" s="126"/>
      <c r="AM1241" s="126"/>
    </row>
    <row r="1242" spans="9:39" x14ac:dyDescent="0.3">
      <c r="I1242" s="126"/>
      <c r="O1242" s="126"/>
      <c r="Q1242" s="126"/>
      <c r="W1242" s="126"/>
      <c r="Y1242" s="126"/>
      <c r="AE1242" s="126"/>
      <c r="AG1242" s="126"/>
      <c r="AM1242" s="126"/>
    </row>
    <row r="1243" spans="9:39" x14ac:dyDescent="0.3">
      <c r="I1243" s="126"/>
      <c r="O1243" s="126"/>
      <c r="Q1243" s="126"/>
      <c r="W1243" s="126"/>
      <c r="Y1243" s="126"/>
      <c r="AE1243" s="126"/>
      <c r="AG1243" s="126"/>
      <c r="AM1243" s="126"/>
    </row>
    <row r="1244" spans="9:39" x14ac:dyDescent="0.3">
      <c r="I1244" s="126"/>
      <c r="O1244" s="126"/>
      <c r="Q1244" s="126"/>
      <c r="W1244" s="126"/>
      <c r="Y1244" s="126"/>
      <c r="AE1244" s="126"/>
      <c r="AG1244" s="126"/>
      <c r="AM1244" s="126"/>
    </row>
    <row r="1245" spans="9:39" x14ac:dyDescent="0.3">
      <c r="I1245" s="126"/>
      <c r="O1245" s="126"/>
      <c r="Q1245" s="126"/>
      <c r="W1245" s="126"/>
      <c r="Y1245" s="126"/>
      <c r="AE1245" s="126"/>
      <c r="AG1245" s="126"/>
      <c r="AM1245" s="126"/>
    </row>
    <row r="1246" spans="9:39" x14ac:dyDescent="0.3">
      <c r="I1246" s="126"/>
      <c r="O1246" s="126"/>
      <c r="Q1246" s="126"/>
      <c r="W1246" s="126"/>
      <c r="Y1246" s="126"/>
      <c r="AE1246" s="126"/>
      <c r="AG1246" s="126"/>
      <c r="AM1246" s="126"/>
    </row>
    <row r="1247" spans="9:39" x14ac:dyDescent="0.3">
      <c r="I1247" s="126"/>
      <c r="O1247" s="126"/>
      <c r="Q1247" s="126"/>
      <c r="W1247" s="126"/>
      <c r="Y1247" s="126"/>
      <c r="AE1247" s="126"/>
      <c r="AG1247" s="126"/>
      <c r="AM1247" s="126"/>
    </row>
    <row r="1248" spans="9:39" x14ac:dyDescent="0.3">
      <c r="I1248" s="126"/>
      <c r="O1248" s="126"/>
      <c r="Q1248" s="126"/>
      <c r="W1248" s="126"/>
      <c r="Y1248" s="126"/>
      <c r="AE1248" s="126"/>
      <c r="AG1248" s="126"/>
      <c r="AM1248" s="126"/>
    </row>
    <row r="1249" spans="9:39" x14ac:dyDescent="0.3">
      <c r="I1249" s="126"/>
      <c r="O1249" s="126"/>
      <c r="Q1249" s="126"/>
      <c r="W1249" s="126"/>
      <c r="Y1249" s="126"/>
      <c r="AE1249" s="126"/>
      <c r="AG1249" s="126"/>
      <c r="AM1249" s="126"/>
    </row>
    <row r="1250" spans="9:39" x14ac:dyDescent="0.3">
      <c r="I1250" s="126"/>
      <c r="O1250" s="126"/>
      <c r="Q1250" s="126"/>
      <c r="W1250" s="126"/>
      <c r="Y1250" s="126"/>
      <c r="AE1250" s="126"/>
      <c r="AG1250" s="126"/>
      <c r="AM1250" s="126"/>
    </row>
    <row r="1251" spans="9:39" x14ac:dyDescent="0.3">
      <c r="I1251" s="126"/>
      <c r="O1251" s="126"/>
      <c r="Q1251" s="126"/>
      <c r="W1251" s="126"/>
      <c r="Y1251" s="126"/>
      <c r="AE1251" s="126"/>
      <c r="AG1251" s="126"/>
      <c r="AM1251" s="126"/>
    </row>
    <row r="1252" spans="9:39" x14ac:dyDescent="0.3">
      <c r="I1252" s="126"/>
      <c r="O1252" s="126"/>
      <c r="Q1252" s="126"/>
      <c r="W1252" s="126"/>
      <c r="Y1252" s="126"/>
      <c r="AE1252" s="126"/>
      <c r="AG1252" s="126"/>
      <c r="AM1252" s="126"/>
    </row>
    <row r="1253" spans="9:39" x14ac:dyDescent="0.3">
      <c r="I1253" s="126"/>
      <c r="O1253" s="126"/>
      <c r="Q1253" s="126"/>
      <c r="W1253" s="126"/>
      <c r="Y1253" s="126"/>
      <c r="AE1253" s="126"/>
      <c r="AG1253" s="126"/>
      <c r="AM1253" s="126"/>
    </row>
    <row r="1254" spans="9:39" x14ac:dyDescent="0.3">
      <c r="I1254" s="126"/>
      <c r="O1254" s="126"/>
      <c r="Q1254" s="126"/>
      <c r="W1254" s="126"/>
      <c r="Y1254" s="126"/>
      <c r="AE1254" s="126"/>
      <c r="AG1254" s="126"/>
      <c r="AM1254" s="126"/>
    </row>
    <row r="1255" spans="9:39" x14ac:dyDescent="0.3">
      <c r="I1255" s="126"/>
      <c r="O1255" s="126"/>
      <c r="Q1255" s="126"/>
      <c r="W1255" s="126"/>
      <c r="Y1255" s="126"/>
      <c r="AE1255" s="126"/>
      <c r="AG1255" s="126"/>
      <c r="AM1255" s="126"/>
    </row>
    <row r="1256" spans="9:39" x14ac:dyDescent="0.3">
      <c r="I1256" s="126"/>
      <c r="O1256" s="126"/>
      <c r="Q1256" s="126"/>
      <c r="W1256" s="126"/>
      <c r="Y1256" s="126"/>
      <c r="AE1256" s="126"/>
      <c r="AG1256" s="126"/>
      <c r="AM1256" s="126"/>
    </row>
    <row r="1257" spans="9:39" x14ac:dyDescent="0.3">
      <c r="I1257" s="126"/>
      <c r="O1257" s="126"/>
      <c r="Q1257" s="126"/>
      <c r="W1257" s="126"/>
      <c r="Y1257" s="126"/>
      <c r="AE1257" s="126"/>
      <c r="AG1257" s="126"/>
      <c r="AM1257" s="126"/>
    </row>
    <row r="1258" spans="9:39" x14ac:dyDescent="0.3">
      <c r="I1258" s="126"/>
      <c r="O1258" s="126"/>
      <c r="Q1258" s="126"/>
      <c r="W1258" s="126"/>
      <c r="Y1258" s="126"/>
      <c r="AE1258" s="126"/>
      <c r="AG1258" s="126"/>
      <c r="AM1258" s="126"/>
    </row>
    <row r="1259" spans="9:39" x14ac:dyDescent="0.3">
      <c r="I1259" s="126"/>
      <c r="O1259" s="126"/>
      <c r="Q1259" s="126"/>
      <c r="W1259" s="126"/>
      <c r="Y1259" s="126"/>
      <c r="AE1259" s="126"/>
      <c r="AG1259" s="126"/>
      <c r="AM1259" s="126"/>
    </row>
    <row r="1260" spans="9:39" x14ac:dyDescent="0.3">
      <c r="I1260" s="126"/>
      <c r="O1260" s="126"/>
      <c r="Q1260" s="126"/>
      <c r="W1260" s="126"/>
      <c r="Y1260" s="126"/>
      <c r="AE1260" s="126"/>
      <c r="AG1260" s="126"/>
      <c r="AM1260" s="126"/>
    </row>
    <row r="1261" spans="9:39" x14ac:dyDescent="0.3">
      <c r="I1261" s="126"/>
      <c r="O1261" s="126"/>
      <c r="Q1261" s="126"/>
      <c r="W1261" s="126"/>
      <c r="Y1261" s="126"/>
      <c r="AE1261" s="126"/>
      <c r="AG1261" s="126"/>
      <c r="AM1261" s="126"/>
    </row>
    <row r="1262" spans="9:39" x14ac:dyDescent="0.3">
      <c r="I1262" s="126"/>
      <c r="O1262" s="126"/>
      <c r="Q1262" s="126"/>
      <c r="W1262" s="126"/>
      <c r="Y1262" s="126"/>
      <c r="AE1262" s="126"/>
      <c r="AG1262" s="126"/>
      <c r="AM1262" s="126"/>
    </row>
    <row r="1263" spans="9:39" x14ac:dyDescent="0.3">
      <c r="I1263" s="126"/>
      <c r="O1263" s="126"/>
      <c r="Q1263" s="126"/>
      <c r="W1263" s="126"/>
      <c r="Y1263" s="126"/>
      <c r="AE1263" s="126"/>
      <c r="AG1263" s="126"/>
      <c r="AM1263" s="126"/>
    </row>
    <row r="1264" spans="9:39" x14ac:dyDescent="0.3">
      <c r="I1264" s="126"/>
      <c r="O1264" s="126"/>
      <c r="Q1264" s="126"/>
      <c r="W1264" s="126"/>
      <c r="Y1264" s="126"/>
      <c r="AE1264" s="126"/>
      <c r="AG1264" s="126"/>
      <c r="AM1264" s="126"/>
    </row>
    <row r="1265" spans="9:39" x14ac:dyDescent="0.3">
      <c r="I1265" s="126"/>
      <c r="O1265" s="126"/>
      <c r="Q1265" s="126"/>
      <c r="W1265" s="126"/>
      <c r="Y1265" s="126"/>
      <c r="AE1265" s="126"/>
      <c r="AG1265" s="126"/>
      <c r="AM1265" s="126"/>
    </row>
    <row r="1266" spans="9:39" x14ac:dyDescent="0.3">
      <c r="I1266" s="126"/>
      <c r="O1266" s="126"/>
      <c r="Q1266" s="126"/>
      <c r="W1266" s="126"/>
      <c r="Y1266" s="126"/>
      <c r="AE1266" s="126"/>
      <c r="AG1266" s="126"/>
      <c r="AM1266" s="126"/>
    </row>
    <row r="1267" spans="9:39" x14ac:dyDescent="0.3">
      <c r="I1267" s="126"/>
      <c r="O1267" s="126"/>
      <c r="Q1267" s="126"/>
      <c r="W1267" s="126"/>
      <c r="Y1267" s="126"/>
      <c r="AE1267" s="126"/>
      <c r="AG1267" s="126"/>
      <c r="AM1267" s="126"/>
    </row>
    <row r="1268" spans="9:39" x14ac:dyDescent="0.3">
      <c r="I1268" s="126"/>
      <c r="O1268" s="126"/>
      <c r="Q1268" s="126"/>
      <c r="W1268" s="126"/>
      <c r="Y1268" s="126"/>
      <c r="AE1268" s="126"/>
      <c r="AG1268" s="126"/>
      <c r="AM1268" s="126"/>
    </row>
    <row r="1269" spans="9:39" x14ac:dyDescent="0.3">
      <c r="I1269" s="126"/>
      <c r="O1269" s="126"/>
      <c r="Q1269" s="126"/>
      <c r="W1269" s="126"/>
      <c r="Y1269" s="126"/>
      <c r="AE1269" s="126"/>
      <c r="AG1269" s="126"/>
      <c r="AM1269" s="126"/>
    </row>
    <row r="1270" spans="9:39" x14ac:dyDescent="0.3">
      <c r="I1270" s="126"/>
      <c r="O1270" s="126"/>
      <c r="Q1270" s="126"/>
      <c r="W1270" s="126"/>
      <c r="Y1270" s="126"/>
      <c r="AE1270" s="126"/>
      <c r="AG1270" s="126"/>
      <c r="AM1270" s="126"/>
    </row>
    <row r="1271" spans="9:39" x14ac:dyDescent="0.3">
      <c r="I1271" s="126"/>
      <c r="O1271" s="126"/>
      <c r="Q1271" s="126"/>
      <c r="W1271" s="126"/>
      <c r="Y1271" s="126"/>
      <c r="AE1271" s="126"/>
      <c r="AG1271" s="126"/>
      <c r="AM1271" s="126"/>
    </row>
    <row r="1272" spans="9:39" x14ac:dyDescent="0.3">
      <c r="I1272" s="126"/>
      <c r="O1272" s="126"/>
      <c r="Q1272" s="126"/>
      <c r="W1272" s="126"/>
      <c r="Y1272" s="126"/>
      <c r="AE1272" s="126"/>
      <c r="AG1272" s="126"/>
      <c r="AM1272" s="126"/>
    </row>
    <row r="1273" spans="9:39" x14ac:dyDescent="0.3">
      <c r="I1273" s="126"/>
      <c r="O1273" s="126"/>
      <c r="Q1273" s="126"/>
      <c r="W1273" s="126"/>
      <c r="Y1273" s="126"/>
      <c r="AE1273" s="126"/>
      <c r="AG1273" s="126"/>
      <c r="AM1273" s="126"/>
    </row>
    <row r="1274" spans="9:39" x14ac:dyDescent="0.3">
      <c r="I1274" s="126"/>
      <c r="O1274" s="126"/>
      <c r="Q1274" s="126"/>
      <c r="W1274" s="126"/>
      <c r="Y1274" s="126"/>
      <c r="AE1274" s="126"/>
      <c r="AG1274" s="126"/>
      <c r="AM1274" s="126"/>
    </row>
    <row r="1275" spans="9:39" x14ac:dyDescent="0.3">
      <c r="I1275" s="126"/>
      <c r="O1275" s="126"/>
      <c r="Q1275" s="126"/>
      <c r="W1275" s="126"/>
      <c r="Y1275" s="126"/>
      <c r="AE1275" s="126"/>
      <c r="AG1275" s="126"/>
      <c r="AM1275" s="126"/>
    </row>
    <row r="1276" spans="9:39" x14ac:dyDescent="0.3">
      <c r="I1276" s="126"/>
      <c r="O1276" s="126"/>
      <c r="Q1276" s="126"/>
      <c r="W1276" s="126"/>
      <c r="Y1276" s="126"/>
      <c r="AE1276" s="126"/>
      <c r="AG1276" s="126"/>
      <c r="AM1276" s="126"/>
    </row>
    <row r="1277" spans="9:39" x14ac:dyDescent="0.3">
      <c r="I1277" s="126"/>
      <c r="O1277" s="126"/>
      <c r="Q1277" s="126"/>
      <c r="W1277" s="126"/>
      <c r="Y1277" s="126"/>
      <c r="AE1277" s="126"/>
      <c r="AG1277" s="126"/>
      <c r="AM1277" s="126"/>
    </row>
    <row r="1278" spans="9:39" x14ac:dyDescent="0.3">
      <c r="I1278" s="126"/>
      <c r="O1278" s="126"/>
      <c r="Q1278" s="126"/>
      <c r="W1278" s="126"/>
      <c r="Y1278" s="126"/>
      <c r="AE1278" s="126"/>
      <c r="AG1278" s="126"/>
      <c r="AM1278" s="126"/>
    </row>
    <row r="1279" spans="9:39" x14ac:dyDescent="0.3">
      <c r="I1279" s="126"/>
      <c r="O1279" s="126"/>
      <c r="Q1279" s="126"/>
      <c r="W1279" s="126"/>
      <c r="Y1279" s="126"/>
      <c r="AE1279" s="126"/>
      <c r="AG1279" s="126"/>
      <c r="AM1279" s="126"/>
    </row>
    <row r="1280" spans="9:39" x14ac:dyDescent="0.3">
      <c r="I1280" s="126"/>
      <c r="O1280" s="126"/>
      <c r="Q1280" s="126"/>
      <c r="W1280" s="126"/>
      <c r="Y1280" s="126"/>
      <c r="AE1280" s="126"/>
      <c r="AG1280" s="126"/>
      <c r="AM1280" s="126"/>
    </row>
    <row r="1281" spans="9:39" x14ac:dyDescent="0.3">
      <c r="I1281" s="126"/>
      <c r="O1281" s="126"/>
      <c r="Q1281" s="126"/>
      <c r="W1281" s="126"/>
      <c r="Y1281" s="126"/>
      <c r="AE1281" s="126"/>
      <c r="AG1281" s="126"/>
      <c r="AM1281" s="126"/>
    </row>
    <row r="1282" spans="9:39" x14ac:dyDescent="0.3">
      <c r="I1282" s="126"/>
      <c r="O1282" s="126"/>
      <c r="Q1282" s="126"/>
      <c r="W1282" s="126"/>
      <c r="Y1282" s="126"/>
      <c r="AE1282" s="126"/>
      <c r="AG1282" s="126"/>
      <c r="AM1282" s="126"/>
    </row>
    <row r="1283" spans="9:39" x14ac:dyDescent="0.3">
      <c r="I1283" s="126"/>
      <c r="O1283" s="126"/>
      <c r="Q1283" s="126"/>
      <c r="W1283" s="126"/>
      <c r="Y1283" s="126"/>
      <c r="AE1283" s="126"/>
      <c r="AG1283" s="126"/>
      <c r="AM1283" s="126"/>
    </row>
    <row r="1284" spans="9:39" x14ac:dyDescent="0.3">
      <c r="I1284" s="126"/>
      <c r="O1284" s="126"/>
      <c r="Q1284" s="126"/>
      <c r="W1284" s="126"/>
      <c r="Y1284" s="126"/>
      <c r="AE1284" s="126"/>
      <c r="AG1284" s="126"/>
      <c r="AM1284" s="126"/>
    </row>
    <row r="1285" spans="9:39" x14ac:dyDescent="0.3">
      <c r="I1285" s="126"/>
      <c r="O1285" s="126"/>
      <c r="Q1285" s="126"/>
      <c r="W1285" s="126"/>
      <c r="Y1285" s="126"/>
      <c r="AE1285" s="126"/>
      <c r="AG1285" s="126"/>
      <c r="AM1285" s="126"/>
    </row>
    <row r="1286" spans="9:39" x14ac:dyDescent="0.3">
      <c r="I1286" s="126"/>
      <c r="O1286" s="126"/>
      <c r="Q1286" s="126"/>
      <c r="W1286" s="126"/>
      <c r="Y1286" s="126"/>
      <c r="AE1286" s="126"/>
      <c r="AG1286" s="126"/>
      <c r="AM1286" s="126"/>
    </row>
    <row r="1287" spans="9:39" x14ac:dyDescent="0.3">
      <c r="I1287" s="126"/>
      <c r="O1287" s="126"/>
      <c r="Q1287" s="126"/>
      <c r="W1287" s="126"/>
      <c r="Y1287" s="126"/>
      <c r="AE1287" s="126"/>
      <c r="AG1287" s="126"/>
      <c r="AM1287" s="126"/>
    </row>
    <row r="1288" spans="9:39" x14ac:dyDescent="0.3">
      <c r="I1288" s="126"/>
      <c r="O1288" s="126"/>
      <c r="Q1288" s="126"/>
      <c r="W1288" s="126"/>
      <c r="Y1288" s="126"/>
      <c r="AE1288" s="126"/>
      <c r="AG1288" s="126"/>
      <c r="AM1288" s="126"/>
    </row>
    <row r="1289" spans="9:39" x14ac:dyDescent="0.3">
      <c r="I1289" s="126"/>
      <c r="O1289" s="126"/>
      <c r="Q1289" s="126"/>
      <c r="W1289" s="126"/>
      <c r="Y1289" s="126"/>
      <c r="AE1289" s="126"/>
      <c r="AG1289" s="126"/>
      <c r="AM1289" s="126"/>
    </row>
    <row r="1290" spans="9:39" x14ac:dyDescent="0.3">
      <c r="I1290" s="126"/>
      <c r="O1290" s="126"/>
      <c r="Q1290" s="126"/>
      <c r="W1290" s="126"/>
      <c r="Y1290" s="126"/>
      <c r="AE1290" s="126"/>
      <c r="AG1290" s="126"/>
      <c r="AM1290" s="126"/>
    </row>
    <row r="1291" spans="9:39" x14ac:dyDescent="0.3">
      <c r="I1291" s="126"/>
      <c r="O1291" s="126"/>
      <c r="Q1291" s="126"/>
      <c r="W1291" s="126"/>
      <c r="Y1291" s="126"/>
      <c r="AE1291" s="126"/>
      <c r="AG1291" s="126"/>
      <c r="AM1291" s="126"/>
    </row>
    <row r="1292" spans="9:39" x14ac:dyDescent="0.3">
      <c r="I1292" s="126"/>
      <c r="O1292" s="126"/>
      <c r="Q1292" s="126"/>
      <c r="W1292" s="126"/>
      <c r="Y1292" s="126"/>
      <c r="AE1292" s="126"/>
      <c r="AG1292" s="126"/>
      <c r="AM1292" s="126"/>
    </row>
    <row r="1293" spans="9:39" x14ac:dyDescent="0.3">
      <c r="I1293" s="126"/>
      <c r="O1293" s="126"/>
      <c r="Q1293" s="126"/>
      <c r="W1293" s="126"/>
      <c r="Y1293" s="126"/>
      <c r="AE1293" s="126"/>
      <c r="AG1293" s="126"/>
      <c r="AM1293" s="126"/>
    </row>
    <row r="1294" spans="9:39" x14ac:dyDescent="0.3">
      <c r="I1294" s="126"/>
      <c r="O1294" s="126"/>
      <c r="Q1294" s="126"/>
      <c r="W1294" s="126"/>
      <c r="Y1294" s="126"/>
      <c r="AE1294" s="126"/>
      <c r="AG1294" s="126"/>
      <c r="AM1294" s="126"/>
    </row>
    <row r="1295" spans="9:39" x14ac:dyDescent="0.3">
      <c r="I1295" s="126"/>
      <c r="O1295" s="126"/>
      <c r="Q1295" s="126"/>
      <c r="W1295" s="126"/>
      <c r="Y1295" s="126"/>
      <c r="AE1295" s="126"/>
      <c r="AG1295" s="126"/>
      <c r="AM1295" s="126"/>
    </row>
    <row r="1296" spans="9:39" x14ac:dyDescent="0.3">
      <c r="I1296" s="126"/>
      <c r="O1296" s="126"/>
      <c r="Q1296" s="126"/>
      <c r="W1296" s="126"/>
      <c r="Y1296" s="126"/>
      <c r="AE1296" s="126"/>
      <c r="AG1296" s="126"/>
      <c r="AM1296" s="126"/>
    </row>
    <row r="1297" spans="9:39" x14ac:dyDescent="0.3">
      <c r="I1297" s="126"/>
      <c r="O1297" s="126"/>
      <c r="Q1297" s="126"/>
      <c r="W1297" s="126"/>
      <c r="Y1297" s="126"/>
      <c r="AE1297" s="126"/>
      <c r="AG1297" s="126"/>
      <c r="AM1297" s="126"/>
    </row>
    <row r="1298" spans="9:39" x14ac:dyDescent="0.3">
      <c r="I1298" s="126"/>
      <c r="O1298" s="126"/>
      <c r="Q1298" s="126"/>
      <c r="W1298" s="126"/>
      <c r="Y1298" s="126"/>
      <c r="AE1298" s="126"/>
      <c r="AG1298" s="126"/>
      <c r="AM1298" s="126"/>
    </row>
    <row r="1299" spans="9:39" x14ac:dyDescent="0.3">
      <c r="I1299" s="126"/>
      <c r="O1299" s="126"/>
      <c r="Q1299" s="126"/>
      <c r="W1299" s="126"/>
      <c r="Y1299" s="126"/>
      <c r="AE1299" s="126"/>
      <c r="AG1299" s="126"/>
      <c r="AM1299" s="126"/>
    </row>
    <row r="1300" spans="9:39" x14ac:dyDescent="0.3">
      <c r="I1300" s="126"/>
      <c r="O1300" s="126"/>
      <c r="Q1300" s="126"/>
      <c r="W1300" s="126"/>
      <c r="Y1300" s="126"/>
      <c r="AE1300" s="126"/>
      <c r="AG1300" s="126"/>
      <c r="AM1300" s="126"/>
    </row>
    <row r="1301" spans="9:39" x14ac:dyDescent="0.3">
      <c r="I1301" s="126"/>
      <c r="O1301" s="126"/>
      <c r="Q1301" s="126"/>
      <c r="W1301" s="126"/>
      <c r="Y1301" s="126"/>
      <c r="AE1301" s="126"/>
      <c r="AG1301" s="126"/>
      <c r="AM1301" s="126"/>
    </row>
    <row r="1302" spans="9:39" x14ac:dyDescent="0.3">
      <c r="I1302" s="126"/>
      <c r="O1302" s="126"/>
      <c r="Q1302" s="126"/>
      <c r="W1302" s="126"/>
      <c r="Y1302" s="126"/>
      <c r="AE1302" s="126"/>
      <c r="AG1302" s="126"/>
      <c r="AM1302" s="126"/>
    </row>
    <row r="1303" spans="9:39" x14ac:dyDescent="0.3">
      <c r="I1303" s="126"/>
      <c r="O1303" s="126"/>
      <c r="Q1303" s="126"/>
      <c r="W1303" s="126"/>
      <c r="Y1303" s="126"/>
      <c r="AE1303" s="126"/>
      <c r="AG1303" s="126"/>
      <c r="AM1303" s="126"/>
    </row>
    <row r="1304" spans="9:39" x14ac:dyDescent="0.3">
      <c r="I1304" s="126"/>
      <c r="O1304" s="126"/>
      <c r="Q1304" s="126"/>
      <c r="W1304" s="126"/>
      <c r="Y1304" s="126"/>
      <c r="AE1304" s="126"/>
      <c r="AG1304" s="126"/>
      <c r="AM1304" s="126"/>
    </row>
    <row r="1305" spans="9:39" x14ac:dyDescent="0.3">
      <c r="I1305" s="126"/>
      <c r="O1305" s="126"/>
      <c r="Q1305" s="126"/>
      <c r="W1305" s="126"/>
      <c r="Y1305" s="126"/>
      <c r="AE1305" s="126"/>
      <c r="AG1305" s="126"/>
      <c r="AM1305" s="126"/>
    </row>
    <row r="1306" spans="9:39" x14ac:dyDescent="0.3">
      <c r="I1306" s="126"/>
      <c r="O1306" s="126"/>
      <c r="Q1306" s="126"/>
      <c r="W1306" s="126"/>
      <c r="Y1306" s="126"/>
      <c r="AE1306" s="126"/>
      <c r="AG1306" s="126"/>
      <c r="AM1306" s="126"/>
    </row>
    <row r="1307" spans="9:39" x14ac:dyDescent="0.3">
      <c r="I1307" s="126"/>
      <c r="O1307" s="126"/>
      <c r="Q1307" s="126"/>
      <c r="W1307" s="126"/>
      <c r="Y1307" s="126"/>
      <c r="AE1307" s="126"/>
      <c r="AG1307" s="126"/>
      <c r="AM1307" s="126"/>
    </row>
    <row r="1308" spans="9:39" x14ac:dyDescent="0.3">
      <c r="I1308" s="126"/>
      <c r="O1308" s="126"/>
      <c r="Q1308" s="126"/>
      <c r="W1308" s="126"/>
      <c r="Y1308" s="126"/>
      <c r="AE1308" s="126"/>
      <c r="AG1308" s="126"/>
      <c r="AM1308" s="126"/>
    </row>
    <row r="1309" spans="9:39" x14ac:dyDescent="0.3">
      <c r="I1309" s="126"/>
      <c r="O1309" s="126"/>
      <c r="Q1309" s="126"/>
      <c r="W1309" s="126"/>
      <c r="Y1309" s="126"/>
      <c r="AE1309" s="126"/>
      <c r="AG1309" s="126"/>
      <c r="AM1309" s="126"/>
    </row>
    <row r="1310" spans="9:39" x14ac:dyDescent="0.3">
      <c r="I1310" s="126"/>
      <c r="O1310" s="126"/>
      <c r="Q1310" s="126"/>
      <c r="W1310" s="126"/>
      <c r="Y1310" s="126"/>
      <c r="AE1310" s="126"/>
      <c r="AG1310" s="126"/>
      <c r="AM1310" s="126"/>
    </row>
    <row r="1311" spans="9:39" x14ac:dyDescent="0.3">
      <c r="I1311" s="126"/>
      <c r="O1311" s="126"/>
      <c r="Q1311" s="126"/>
      <c r="W1311" s="126"/>
      <c r="Y1311" s="126"/>
      <c r="AE1311" s="126"/>
      <c r="AG1311" s="126"/>
      <c r="AM1311" s="126"/>
    </row>
    <row r="1312" spans="9:39" x14ac:dyDescent="0.3">
      <c r="I1312" s="126"/>
      <c r="O1312" s="126"/>
      <c r="Q1312" s="126"/>
      <c r="W1312" s="126"/>
      <c r="Y1312" s="126"/>
      <c r="AE1312" s="126"/>
      <c r="AG1312" s="126"/>
      <c r="AM1312" s="126"/>
    </row>
    <row r="1313" spans="9:39" x14ac:dyDescent="0.3">
      <c r="I1313" s="126"/>
      <c r="O1313" s="126"/>
      <c r="Q1313" s="126"/>
      <c r="W1313" s="126"/>
      <c r="Y1313" s="126"/>
      <c r="AE1313" s="126"/>
      <c r="AG1313" s="126"/>
      <c r="AM1313" s="126"/>
    </row>
    <row r="1314" spans="9:39" x14ac:dyDescent="0.3">
      <c r="I1314" s="126"/>
      <c r="O1314" s="126"/>
      <c r="Q1314" s="126"/>
      <c r="W1314" s="126"/>
      <c r="Y1314" s="126"/>
      <c r="AE1314" s="126"/>
      <c r="AG1314" s="126"/>
      <c r="AM1314" s="126"/>
    </row>
    <row r="1315" spans="9:39" x14ac:dyDescent="0.3">
      <c r="I1315" s="126"/>
      <c r="O1315" s="126"/>
      <c r="Q1315" s="126"/>
      <c r="W1315" s="126"/>
      <c r="Y1315" s="126"/>
      <c r="AE1315" s="126"/>
      <c r="AG1315" s="126"/>
      <c r="AM1315" s="126"/>
    </row>
    <row r="1316" spans="9:39" x14ac:dyDescent="0.3">
      <c r="I1316" s="126"/>
      <c r="O1316" s="126"/>
      <c r="Q1316" s="126"/>
      <c r="W1316" s="126"/>
      <c r="Y1316" s="126"/>
      <c r="AE1316" s="126"/>
      <c r="AG1316" s="126"/>
      <c r="AM1316" s="126"/>
    </row>
    <row r="1317" spans="9:39" x14ac:dyDescent="0.3">
      <c r="I1317" s="126"/>
      <c r="O1317" s="126"/>
      <c r="Q1317" s="126"/>
      <c r="W1317" s="126"/>
      <c r="Y1317" s="126"/>
      <c r="AE1317" s="126"/>
      <c r="AG1317" s="126"/>
      <c r="AM1317" s="126"/>
    </row>
    <row r="1318" spans="9:39" x14ac:dyDescent="0.3">
      <c r="I1318" s="126"/>
      <c r="O1318" s="126"/>
      <c r="Q1318" s="126"/>
      <c r="W1318" s="126"/>
      <c r="Y1318" s="126"/>
      <c r="AE1318" s="126"/>
      <c r="AG1318" s="126"/>
      <c r="AM1318" s="126"/>
    </row>
    <row r="1319" spans="9:39" x14ac:dyDescent="0.3">
      <c r="I1319" s="126"/>
      <c r="O1319" s="126"/>
      <c r="Q1319" s="126"/>
      <c r="W1319" s="126"/>
      <c r="Y1319" s="126"/>
      <c r="AE1319" s="126"/>
      <c r="AG1319" s="126"/>
      <c r="AM1319" s="126"/>
    </row>
    <row r="1320" spans="9:39" x14ac:dyDescent="0.3">
      <c r="I1320" s="126"/>
      <c r="O1320" s="126"/>
      <c r="Q1320" s="126"/>
      <c r="W1320" s="126"/>
      <c r="Y1320" s="126"/>
      <c r="AE1320" s="126"/>
      <c r="AG1320" s="126"/>
      <c r="AM1320" s="126"/>
    </row>
    <row r="1321" spans="9:39" x14ac:dyDescent="0.3">
      <c r="I1321" s="126"/>
      <c r="O1321" s="126"/>
      <c r="Q1321" s="126"/>
      <c r="W1321" s="126"/>
      <c r="Y1321" s="126"/>
      <c r="AE1321" s="126"/>
      <c r="AG1321" s="126"/>
      <c r="AM1321" s="126"/>
    </row>
    <row r="1322" spans="9:39" x14ac:dyDescent="0.3">
      <c r="I1322" s="126"/>
      <c r="O1322" s="126"/>
      <c r="Q1322" s="126"/>
      <c r="W1322" s="126"/>
      <c r="Y1322" s="126"/>
      <c r="AE1322" s="126"/>
      <c r="AG1322" s="126"/>
      <c r="AM1322" s="126"/>
    </row>
    <row r="1323" spans="9:39" x14ac:dyDescent="0.3">
      <c r="I1323" s="126"/>
      <c r="O1323" s="126"/>
      <c r="Q1323" s="126"/>
      <c r="W1323" s="126"/>
      <c r="Y1323" s="126"/>
      <c r="AE1323" s="126"/>
      <c r="AG1323" s="126"/>
      <c r="AM1323" s="126"/>
    </row>
    <row r="1324" spans="9:39" x14ac:dyDescent="0.3">
      <c r="I1324" s="126"/>
      <c r="O1324" s="126"/>
      <c r="Q1324" s="126"/>
      <c r="W1324" s="126"/>
      <c r="Y1324" s="126"/>
      <c r="AE1324" s="126"/>
      <c r="AG1324" s="126"/>
      <c r="AM1324" s="126"/>
    </row>
    <row r="1325" spans="9:39" x14ac:dyDescent="0.3">
      <c r="I1325" s="126"/>
      <c r="O1325" s="126"/>
      <c r="Q1325" s="126"/>
      <c r="W1325" s="126"/>
      <c r="Y1325" s="126"/>
      <c r="AE1325" s="126"/>
      <c r="AG1325" s="126"/>
      <c r="AM1325" s="126"/>
    </row>
    <row r="1326" spans="9:39" x14ac:dyDescent="0.3">
      <c r="I1326" s="126"/>
      <c r="O1326" s="126"/>
      <c r="Q1326" s="126"/>
      <c r="W1326" s="126"/>
      <c r="Y1326" s="126"/>
      <c r="AE1326" s="126"/>
      <c r="AG1326" s="126"/>
      <c r="AM1326" s="126"/>
    </row>
    <row r="1327" spans="9:39" x14ac:dyDescent="0.3">
      <c r="I1327" s="126"/>
      <c r="O1327" s="126"/>
      <c r="Q1327" s="126"/>
      <c r="W1327" s="126"/>
      <c r="Y1327" s="126"/>
      <c r="AE1327" s="126"/>
      <c r="AG1327" s="126"/>
      <c r="AM1327" s="126"/>
    </row>
    <row r="1328" spans="9:39" x14ac:dyDescent="0.3">
      <c r="I1328" s="126"/>
      <c r="O1328" s="126"/>
      <c r="Q1328" s="126"/>
      <c r="W1328" s="126"/>
      <c r="Y1328" s="126"/>
      <c r="AE1328" s="126"/>
      <c r="AG1328" s="126"/>
      <c r="AM1328" s="126"/>
    </row>
    <row r="1329" spans="9:39" x14ac:dyDescent="0.3">
      <c r="I1329" s="126"/>
      <c r="O1329" s="126"/>
      <c r="Q1329" s="126"/>
      <c r="W1329" s="126"/>
      <c r="Y1329" s="126"/>
      <c r="AE1329" s="126"/>
      <c r="AG1329" s="126"/>
      <c r="AM1329" s="126"/>
    </row>
    <row r="1330" spans="9:39" x14ac:dyDescent="0.3">
      <c r="I1330" s="126"/>
      <c r="O1330" s="126"/>
      <c r="Q1330" s="126"/>
      <c r="W1330" s="126"/>
      <c r="Y1330" s="126"/>
      <c r="AE1330" s="126"/>
      <c r="AG1330" s="126"/>
      <c r="AM1330" s="126"/>
    </row>
    <row r="1331" spans="9:39" x14ac:dyDescent="0.3">
      <c r="I1331" s="126"/>
      <c r="O1331" s="126"/>
      <c r="Q1331" s="126"/>
      <c r="W1331" s="126"/>
      <c r="Y1331" s="126"/>
      <c r="AE1331" s="126"/>
      <c r="AG1331" s="126"/>
      <c r="AM1331" s="126"/>
    </row>
    <row r="1332" spans="9:39" x14ac:dyDescent="0.3">
      <c r="I1332" s="126"/>
      <c r="O1332" s="126"/>
      <c r="Q1332" s="126"/>
      <c r="W1332" s="126"/>
      <c r="Y1332" s="126"/>
      <c r="AE1332" s="126"/>
      <c r="AG1332" s="126"/>
      <c r="AM1332" s="126"/>
    </row>
    <row r="1333" spans="9:39" x14ac:dyDescent="0.3">
      <c r="I1333" s="126"/>
      <c r="O1333" s="126"/>
      <c r="Q1333" s="126"/>
      <c r="W1333" s="126"/>
      <c r="Y1333" s="126"/>
      <c r="AE1333" s="126"/>
      <c r="AG1333" s="126"/>
      <c r="AM1333" s="126"/>
    </row>
    <row r="1334" spans="9:39" x14ac:dyDescent="0.3">
      <c r="I1334" s="126"/>
      <c r="O1334" s="126"/>
      <c r="Q1334" s="126"/>
      <c r="W1334" s="126"/>
      <c r="Y1334" s="126"/>
      <c r="AE1334" s="126"/>
      <c r="AG1334" s="126"/>
      <c r="AM1334" s="126"/>
    </row>
    <row r="1335" spans="9:39" x14ac:dyDescent="0.3">
      <c r="I1335" s="126"/>
      <c r="O1335" s="126"/>
      <c r="Q1335" s="126"/>
      <c r="W1335" s="126"/>
      <c r="Y1335" s="126"/>
      <c r="AE1335" s="126"/>
      <c r="AG1335" s="126"/>
      <c r="AM1335" s="126"/>
    </row>
    <row r="1336" spans="9:39" x14ac:dyDescent="0.3">
      <c r="I1336" s="126"/>
      <c r="O1336" s="126"/>
      <c r="Q1336" s="126"/>
      <c r="W1336" s="126"/>
      <c r="Y1336" s="126"/>
      <c r="AE1336" s="126"/>
      <c r="AG1336" s="126"/>
      <c r="AM1336" s="126"/>
    </row>
    <row r="1337" spans="9:39" x14ac:dyDescent="0.3">
      <c r="I1337" s="126"/>
      <c r="O1337" s="126"/>
      <c r="Q1337" s="126"/>
      <c r="W1337" s="126"/>
      <c r="Y1337" s="126"/>
      <c r="AE1337" s="126"/>
      <c r="AG1337" s="126"/>
      <c r="AM1337" s="126"/>
    </row>
    <row r="1338" spans="9:39" x14ac:dyDescent="0.3">
      <c r="I1338" s="126"/>
      <c r="O1338" s="126"/>
      <c r="Q1338" s="126"/>
      <c r="W1338" s="126"/>
      <c r="Y1338" s="126"/>
      <c r="AE1338" s="126"/>
      <c r="AG1338" s="126"/>
      <c r="AM1338" s="126"/>
    </row>
    <row r="1339" spans="9:39" x14ac:dyDescent="0.3">
      <c r="I1339" s="126"/>
      <c r="O1339" s="126"/>
      <c r="Q1339" s="126"/>
      <c r="W1339" s="126"/>
      <c r="Y1339" s="126"/>
      <c r="AE1339" s="126"/>
      <c r="AG1339" s="126"/>
      <c r="AM1339" s="126"/>
    </row>
    <row r="1340" spans="9:39" x14ac:dyDescent="0.3">
      <c r="I1340" s="126"/>
      <c r="O1340" s="126"/>
      <c r="Q1340" s="126"/>
      <c r="W1340" s="126"/>
      <c r="Y1340" s="126"/>
      <c r="AE1340" s="126"/>
      <c r="AG1340" s="126"/>
      <c r="AM1340" s="126"/>
    </row>
    <row r="1341" spans="9:39" x14ac:dyDescent="0.3">
      <c r="I1341" s="126"/>
      <c r="O1341" s="126"/>
      <c r="Q1341" s="126"/>
      <c r="W1341" s="126"/>
      <c r="Y1341" s="126"/>
      <c r="AE1341" s="126"/>
      <c r="AG1341" s="126"/>
      <c r="AM1341" s="126"/>
    </row>
    <row r="1342" spans="9:39" x14ac:dyDescent="0.3">
      <c r="I1342" s="126"/>
      <c r="O1342" s="126"/>
      <c r="Q1342" s="126"/>
      <c r="W1342" s="126"/>
      <c r="Y1342" s="126"/>
      <c r="AE1342" s="126"/>
      <c r="AG1342" s="126"/>
      <c r="AM1342" s="126"/>
    </row>
    <row r="1343" spans="9:39" x14ac:dyDescent="0.3">
      <c r="I1343" s="126"/>
      <c r="O1343" s="126"/>
      <c r="Q1343" s="126"/>
      <c r="W1343" s="126"/>
      <c r="Y1343" s="126"/>
      <c r="AE1343" s="126"/>
      <c r="AG1343" s="126"/>
      <c r="AM1343" s="126"/>
    </row>
    <row r="1344" spans="9:39" x14ac:dyDescent="0.3">
      <c r="I1344" s="126"/>
      <c r="O1344" s="126"/>
      <c r="Q1344" s="126"/>
      <c r="W1344" s="126"/>
      <c r="Y1344" s="126"/>
      <c r="AE1344" s="126"/>
      <c r="AG1344" s="126"/>
      <c r="AM1344" s="126"/>
    </row>
    <row r="1345" spans="9:39" x14ac:dyDescent="0.3">
      <c r="I1345" s="126"/>
      <c r="O1345" s="126"/>
      <c r="Q1345" s="126"/>
      <c r="W1345" s="126"/>
      <c r="Y1345" s="126"/>
      <c r="AE1345" s="126"/>
      <c r="AG1345" s="126"/>
      <c r="AM1345" s="126"/>
    </row>
    <row r="1346" spans="9:39" x14ac:dyDescent="0.3">
      <c r="I1346" s="126"/>
      <c r="O1346" s="126"/>
      <c r="Q1346" s="126"/>
      <c r="W1346" s="126"/>
      <c r="Y1346" s="126"/>
      <c r="AE1346" s="126"/>
      <c r="AG1346" s="126"/>
      <c r="AM1346" s="126"/>
    </row>
    <row r="1347" spans="9:39" x14ac:dyDescent="0.3">
      <c r="I1347" s="126"/>
      <c r="O1347" s="126"/>
      <c r="Q1347" s="126"/>
      <c r="W1347" s="126"/>
      <c r="Y1347" s="126"/>
      <c r="AE1347" s="126"/>
      <c r="AG1347" s="126"/>
      <c r="AM1347" s="126"/>
    </row>
    <row r="1348" spans="9:39" x14ac:dyDescent="0.3">
      <c r="I1348" s="126"/>
      <c r="O1348" s="126"/>
      <c r="Q1348" s="126"/>
      <c r="W1348" s="126"/>
      <c r="Y1348" s="126"/>
      <c r="AE1348" s="126"/>
      <c r="AG1348" s="126"/>
      <c r="AM1348" s="126"/>
    </row>
    <row r="1349" spans="9:39" x14ac:dyDescent="0.3">
      <c r="I1349" s="126"/>
      <c r="O1349" s="126"/>
      <c r="Q1349" s="126"/>
      <c r="W1349" s="126"/>
      <c r="Y1349" s="126"/>
      <c r="AE1349" s="126"/>
      <c r="AG1349" s="126"/>
      <c r="AM1349" s="126"/>
    </row>
    <row r="1350" spans="9:39" x14ac:dyDescent="0.3">
      <c r="I1350" s="126"/>
      <c r="O1350" s="126"/>
      <c r="Q1350" s="126"/>
      <c r="W1350" s="126"/>
      <c r="Y1350" s="126"/>
      <c r="AE1350" s="126"/>
      <c r="AG1350" s="126"/>
      <c r="AM1350" s="126"/>
    </row>
    <row r="1351" spans="9:39" x14ac:dyDescent="0.3">
      <c r="I1351" s="126"/>
      <c r="O1351" s="126"/>
      <c r="Q1351" s="126"/>
      <c r="W1351" s="126"/>
      <c r="Y1351" s="126"/>
      <c r="AE1351" s="126"/>
      <c r="AG1351" s="126"/>
      <c r="AM1351" s="126"/>
    </row>
    <row r="1352" spans="9:39" x14ac:dyDescent="0.3">
      <c r="I1352" s="126"/>
      <c r="O1352" s="126"/>
      <c r="Q1352" s="126"/>
      <c r="W1352" s="126"/>
      <c r="Y1352" s="126"/>
      <c r="AE1352" s="126"/>
      <c r="AG1352" s="126"/>
      <c r="AM1352" s="126"/>
    </row>
    <row r="1353" spans="9:39" x14ac:dyDescent="0.3">
      <c r="I1353" s="126"/>
      <c r="O1353" s="126"/>
      <c r="Q1353" s="126"/>
      <c r="W1353" s="126"/>
      <c r="Y1353" s="126"/>
      <c r="AE1353" s="126"/>
      <c r="AG1353" s="126"/>
      <c r="AM1353" s="126"/>
    </row>
    <row r="1354" spans="9:39" x14ac:dyDescent="0.3">
      <c r="I1354" s="126"/>
      <c r="O1354" s="126"/>
      <c r="Q1354" s="126"/>
      <c r="W1354" s="126"/>
      <c r="Y1354" s="126"/>
      <c r="AE1354" s="126"/>
      <c r="AG1354" s="126"/>
      <c r="AM1354" s="126"/>
    </row>
    <row r="1355" spans="9:39" x14ac:dyDescent="0.3">
      <c r="I1355" s="126"/>
      <c r="O1355" s="126"/>
      <c r="Q1355" s="126"/>
      <c r="W1355" s="126"/>
      <c r="Y1355" s="126"/>
      <c r="AE1355" s="126"/>
      <c r="AG1355" s="126"/>
      <c r="AM1355" s="126"/>
    </row>
    <row r="1356" spans="9:39" x14ac:dyDescent="0.3">
      <c r="I1356" s="126"/>
      <c r="O1356" s="126"/>
      <c r="Q1356" s="126"/>
      <c r="W1356" s="126"/>
      <c r="Y1356" s="126"/>
      <c r="AE1356" s="126"/>
      <c r="AG1356" s="126"/>
      <c r="AM1356" s="126"/>
    </row>
    <row r="1357" spans="9:39" x14ac:dyDescent="0.3">
      <c r="I1357" s="126"/>
      <c r="O1357" s="126"/>
      <c r="Q1357" s="126"/>
      <c r="W1357" s="126"/>
      <c r="Y1357" s="126"/>
      <c r="AE1357" s="126"/>
      <c r="AG1357" s="126"/>
      <c r="AM1357" s="126"/>
    </row>
    <row r="1358" spans="9:39" x14ac:dyDescent="0.3">
      <c r="I1358" s="126"/>
      <c r="O1358" s="126"/>
      <c r="Q1358" s="126"/>
      <c r="W1358" s="126"/>
      <c r="Y1358" s="126"/>
      <c r="AE1358" s="126"/>
      <c r="AG1358" s="126"/>
      <c r="AM1358" s="126"/>
    </row>
    <row r="1359" spans="9:39" x14ac:dyDescent="0.3">
      <c r="I1359" s="126"/>
      <c r="O1359" s="126"/>
      <c r="Q1359" s="126"/>
      <c r="W1359" s="126"/>
      <c r="Y1359" s="126"/>
      <c r="AE1359" s="126"/>
      <c r="AG1359" s="126"/>
      <c r="AM1359" s="126"/>
    </row>
    <row r="1360" spans="9:39" x14ac:dyDescent="0.3">
      <c r="I1360" s="126"/>
      <c r="O1360" s="126"/>
      <c r="Q1360" s="126"/>
      <c r="W1360" s="126"/>
      <c r="Y1360" s="126"/>
      <c r="AE1360" s="126"/>
      <c r="AG1360" s="126"/>
      <c r="AM1360" s="126"/>
    </row>
    <row r="1361" spans="9:39" x14ac:dyDescent="0.3">
      <c r="I1361" s="126"/>
      <c r="O1361" s="126"/>
      <c r="Q1361" s="126"/>
      <c r="W1361" s="126"/>
      <c r="Y1361" s="126"/>
      <c r="AE1361" s="126"/>
      <c r="AG1361" s="126"/>
      <c r="AM1361" s="126"/>
    </row>
    <row r="1362" spans="9:39" x14ac:dyDescent="0.3">
      <c r="I1362" s="126"/>
      <c r="O1362" s="126"/>
      <c r="Q1362" s="126"/>
      <c r="W1362" s="126"/>
      <c r="Y1362" s="126"/>
      <c r="AE1362" s="126"/>
      <c r="AG1362" s="126"/>
      <c r="AM1362" s="126"/>
    </row>
    <row r="1363" spans="9:39" x14ac:dyDescent="0.3">
      <c r="I1363" s="126"/>
      <c r="O1363" s="126"/>
      <c r="Q1363" s="126"/>
      <c r="W1363" s="126"/>
      <c r="Y1363" s="126"/>
      <c r="AE1363" s="126"/>
      <c r="AG1363" s="126"/>
      <c r="AM1363" s="126"/>
    </row>
    <row r="1364" spans="9:39" x14ac:dyDescent="0.3">
      <c r="I1364" s="126"/>
      <c r="O1364" s="126"/>
      <c r="Q1364" s="126"/>
      <c r="W1364" s="126"/>
      <c r="Y1364" s="126"/>
      <c r="AE1364" s="126"/>
      <c r="AG1364" s="126"/>
      <c r="AM1364" s="126"/>
    </row>
    <row r="1365" spans="9:39" x14ac:dyDescent="0.3">
      <c r="I1365" s="126"/>
      <c r="O1365" s="126"/>
      <c r="Q1365" s="126"/>
      <c r="W1365" s="126"/>
      <c r="Y1365" s="126"/>
      <c r="AE1365" s="126"/>
      <c r="AG1365" s="126"/>
      <c r="AM1365" s="126"/>
    </row>
    <row r="1366" spans="9:39" x14ac:dyDescent="0.3">
      <c r="I1366" s="126"/>
      <c r="O1366" s="126"/>
      <c r="Q1366" s="126"/>
      <c r="W1366" s="126"/>
      <c r="Y1366" s="126"/>
      <c r="AE1366" s="126"/>
      <c r="AG1366" s="126"/>
      <c r="AM1366" s="126"/>
    </row>
    <row r="1367" spans="9:39" x14ac:dyDescent="0.3">
      <c r="I1367" s="126"/>
      <c r="O1367" s="126"/>
      <c r="Q1367" s="126"/>
      <c r="W1367" s="126"/>
      <c r="Y1367" s="126"/>
      <c r="AE1367" s="126"/>
      <c r="AG1367" s="126"/>
      <c r="AM1367" s="126"/>
    </row>
    <row r="1368" spans="9:39" x14ac:dyDescent="0.3">
      <c r="I1368" s="126"/>
      <c r="O1368" s="126"/>
      <c r="Q1368" s="126"/>
      <c r="W1368" s="126"/>
      <c r="Y1368" s="126"/>
      <c r="AE1368" s="126"/>
      <c r="AG1368" s="126"/>
      <c r="AM1368" s="126"/>
    </row>
    <row r="1369" spans="9:39" x14ac:dyDescent="0.3">
      <c r="I1369" s="126"/>
      <c r="O1369" s="126"/>
      <c r="Q1369" s="126"/>
      <c r="W1369" s="126"/>
      <c r="Y1369" s="126"/>
      <c r="AE1369" s="126"/>
      <c r="AG1369" s="126"/>
      <c r="AM1369" s="126"/>
    </row>
    <row r="1370" spans="9:39" x14ac:dyDescent="0.3">
      <c r="I1370" s="126"/>
      <c r="O1370" s="126"/>
      <c r="Q1370" s="126"/>
      <c r="W1370" s="126"/>
      <c r="Y1370" s="126"/>
      <c r="AE1370" s="126"/>
      <c r="AG1370" s="126"/>
      <c r="AM1370" s="126"/>
    </row>
    <row r="1371" spans="9:39" x14ac:dyDescent="0.3">
      <c r="I1371" s="126"/>
      <c r="O1371" s="126"/>
      <c r="Q1371" s="126"/>
      <c r="W1371" s="126"/>
      <c r="Y1371" s="126"/>
      <c r="AE1371" s="126"/>
      <c r="AG1371" s="126"/>
      <c r="AM1371" s="126"/>
    </row>
    <row r="1372" spans="9:39" x14ac:dyDescent="0.3">
      <c r="I1372" s="126"/>
      <c r="O1372" s="126"/>
      <c r="Q1372" s="126"/>
      <c r="W1372" s="126"/>
      <c r="Y1372" s="126"/>
      <c r="AE1372" s="126"/>
      <c r="AG1372" s="126"/>
      <c r="AM1372" s="126"/>
    </row>
    <row r="1373" spans="9:39" x14ac:dyDescent="0.3">
      <c r="I1373" s="126"/>
      <c r="O1373" s="126"/>
      <c r="Q1373" s="126"/>
      <c r="W1373" s="126"/>
      <c r="Y1373" s="126"/>
      <c r="AE1373" s="126"/>
      <c r="AG1373" s="126"/>
      <c r="AM1373" s="126"/>
    </row>
    <row r="1374" spans="9:39" x14ac:dyDescent="0.3">
      <c r="I1374" s="126"/>
      <c r="O1374" s="126"/>
      <c r="Q1374" s="126"/>
      <c r="W1374" s="126"/>
      <c r="Y1374" s="126"/>
      <c r="AE1374" s="126"/>
      <c r="AG1374" s="126"/>
      <c r="AM1374" s="126"/>
    </row>
    <row r="1375" spans="9:39" x14ac:dyDescent="0.3">
      <c r="I1375" s="126"/>
      <c r="O1375" s="126"/>
      <c r="Q1375" s="126"/>
      <c r="W1375" s="126"/>
      <c r="Y1375" s="126"/>
      <c r="AE1375" s="126"/>
      <c r="AG1375" s="126"/>
      <c r="AM1375" s="126"/>
    </row>
    <row r="1376" spans="9:39" x14ac:dyDescent="0.3">
      <c r="I1376" s="126"/>
      <c r="O1376" s="126"/>
      <c r="Q1376" s="126"/>
      <c r="W1376" s="126"/>
      <c r="Y1376" s="126"/>
      <c r="AE1376" s="126"/>
      <c r="AG1376" s="126"/>
      <c r="AM1376" s="126"/>
    </row>
    <row r="1377" spans="9:39" x14ac:dyDescent="0.3">
      <c r="I1377" s="126"/>
      <c r="O1377" s="126"/>
      <c r="Q1377" s="126"/>
      <c r="W1377" s="126"/>
      <c r="Y1377" s="126"/>
      <c r="AE1377" s="126"/>
      <c r="AG1377" s="126"/>
      <c r="AM1377" s="126"/>
    </row>
    <row r="1378" spans="9:39" x14ac:dyDescent="0.3">
      <c r="I1378" s="126"/>
      <c r="O1378" s="126"/>
      <c r="Q1378" s="126"/>
      <c r="W1378" s="126"/>
      <c r="Y1378" s="126"/>
      <c r="AE1378" s="126"/>
      <c r="AG1378" s="126"/>
      <c r="AM1378" s="126"/>
    </row>
    <row r="1379" spans="9:39" x14ac:dyDescent="0.3">
      <c r="I1379" s="126"/>
      <c r="O1379" s="126"/>
      <c r="Q1379" s="126"/>
      <c r="W1379" s="126"/>
      <c r="Y1379" s="126"/>
      <c r="AE1379" s="126"/>
      <c r="AG1379" s="126"/>
      <c r="AM1379" s="126"/>
    </row>
    <row r="1380" spans="9:39" x14ac:dyDescent="0.3">
      <c r="I1380" s="126"/>
      <c r="O1380" s="126"/>
      <c r="Q1380" s="126"/>
      <c r="W1380" s="126"/>
      <c r="Y1380" s="126"/>
      <c r="AE1380" s="126"/>
      <c r="AG1380" s="126"/>
      <c r="AM1380" s="126"/>
    </row>
    <row r="1381" spans="9:39" x14ac:dyDescent="0.3">
      <c r="I1381" s="126"/>
      <c r="O1381" s="126"/>
      <c r="Q1381" s="126"/>
      <c r="W1381" s="126"/>
      <c r="Y1381" s="126"/>
      <c r="AE1381" s="126"/>
      <c r="AG1381" s="126"/>
      <c r="AM1381" s="126"/>
    </row>
    <row r="1382" spans="9:39" x14ac:dyDescent="0.3">
      <c r="I1382" s="126"/>
      <c r="O1382" s="126"/>
      <c r="Q1382" s="126"/>
      <c r="W1382" s="126"/>
      <c r="Y1382" s="126"/>
      <c r="AE1382" s="126"/>
      <c r="AG1382" s="126"/>
      <c r="AM1382" s="126"/>
    </row>
    <row r="1383" spans="9:39" x14ac:dyDescent="0.3">
      <c r="I1383" s="126"/>
      <c r="O1383" s="126"/>
      <c r="Q1383" s="126"/>
      <c r="W1383" s="126"/>
      <c r="Y1383" s="126"/>
      <c r="AE1383" s="126"/>
      <c r="AG1383" s="126"/>
      <c r="AM1383" s="126"/>
    </row>
    <row r="1384" spans="9:39" x14ac:dyDescent="0.3">
      <c r="I1384" s="126"/>
      <c r="O1384" s="126"/>
      <c r="Q1384" s="126"/>
      <c r="W1384" s="126"/>
      <c r="Y1384" s="126"/>
      <c r="AE1384" s="126"/>
      <c r="AG1384" s="126"/>
      <c r="AM1384" s="126"/>
    </row>
    <row r="1385" spans="9:39" x14ac:dyDescent="0.3">
      <c r="I1385" s="126"/>
      <c r="O1385" s="126"/>
      <c r="Q1385" s="126"/>
      <c r="W1385" s="126"/>
      <c r="Y1385" s="126"/>
      <c r="AE1385" s="126"/>
      <c r="AG1385" s="126"/>
      <c r="AM1385" s="126"/>
    </row>
    <row r="1386" spans="9:39" x14ac:dyDescent="0.3">
      <c r="I1386" s="126"/>
      <c r="O1386" s="126"/>
      <c r="Q1386" s="126"/>
      <c r="W1386" s="126"/>
      <c r="Y1386" s="126"/>
      <c r="AE1386" s="126"/>
      <c r="AG1386" s="126"/>
      <c r="AM1386" s="126"/>
    </row>
    <row r="1387" spans="9:39" x14ac:dyDescent="0.3">
      <c r="I1387" s="126"/>
      <c r="O1387" s="126"/>
      <c r="Q1387" s="126"/>
      <c r="W1387" s="126"/>
      <c r="Y1387" s="126"/>
      <c r="AE1387" s="126"/>
      <c r="AG1387" s="126"/>
      <c r="AM1387" s="126"/>
    </row>
    <row r="1388" spans="9:39" x14ac:dyDescent="0.3">
      <c r="I1388" s="126"/>
      <c r="O1388" s="126"/>
      <c r="Q1388" s="126"/>
      <c r="W1388" s="126"/>
      <c r="Y1388" s="126"/>
      <c r="AE1388" s="126"/>
      <c r="AG1388" s="126"/>
      <c r="AM1388" s="126"/>
    </row>
    <row r="1389" spans="9:39" x14ac:dyDescent="0.3">
      <c r="I1389" s="126"/>
      <c r="O1389" s="126"/>
      <c r="Q1389" s="126"/>
      <c r="W1389" s="126"/>
      <c r="Y1389" s="126"/>
      <c r="AE1389" s="126"/>
      <c r="AG1389" s="126"/>
      <c r="AM1389" s="126"/>
    </row>
    <row r="1390" spans="9:39" x14ac:dyDescent="0.3">
      <c r="I1390" s="126"/>
      <c r="O1390" s="126"/>
      <c r="Q1390" s="126"/>
      <c r="W1390" s="126"/>
      <c r="Y1390" s="126"/>
      <c r="AE1390" s="126"/>
      <c r="AG1390" s="126"/>
      <c r="AM1390" s="126"/>
    </row>
    <row r="1391" spans="9:39" x14ac:dyDescent="0.3">
      <c r="I1391" s="126"/>
      <c r="O1391" s="126"/>
      <c r="Q1391" s="126"/>
      <c r="W1391" s="126"/>
      <c r="Y1391" s="126"/>
      <c r="AE1391" s="126"/>
      <c r="AG1391" s="126"/>
      <c r="AM1391" s="126"/>
    </row>
    <row r="1392" spans="9:39" x14ac:dyDescent="0.3">
      <c r="I1392" s="126"/>
      <c r="O1392" s="126"/>
      <c r="Q1392" s="126"/>
      <c r="W1392" s="126"/>
      <c r="Y1392" s="126"/>
      <c r="AE1392" s="126"/>
      <c r="AG1392" s="126"/>
      <c r="AM1392" s="126"/>
    </row>
    <row r="1393" spans="9:39" x14ac:dyDescent="0.3">
      <c r="I1393" s="126"/>
      <c r="O1393" s="126"/>
      <c r="Q1393" s="126"/>
      <c r="W1393" s="126"/>
      <c r="Y1393" s="126"/>
      <c r="AE1393" s="126"/>
      <c r="AG1393" s="126"/>
      <c r="AM1393" s="126"/>
    </row>
    <row r="1394" spans="9:39" x14ac:dyDescent="0.3">
      <c r="I1394" s="126"/>
      <c r="O1394" s="126"/>
      <c r="Q1394" s="126"/>
      <c r="W1394" s="126"/>
      <c r="Y1394" s="126"/>
      <c r="AE1394" s="126"/>
      <c r="AG1394" s="126"/>
      <c r="AM1394" s="126"/>
    </row>
    <row r="1395" spans="9:39" x14ac:dyDescent="0.3">
      <c r="I1395" s="126"/>
      <c r="O1395" s="126"/>
      <c r="Q1395" s="126"/>
      <c r="W1395" s="126"/>
      <c r="Y1395" s="126"/>
      <c r="AE1395" s="126"/>
      <c r="AG1395" s="126"/>
      <c r="AM1395" s="126"/>
    </row>
    <row r="1396" spans="9:39" x14ac:dyDescent="0.3">
      <c r="I1396" s="126"/>
      <c r="O1396" s="126"/>
      <c r="Q1396" s="126"/>
      <c r="W1396" s="126"/>
      <c r="Y1396" s="126"/>
      <c r="AE1396" s="126"/>
      <c r="AG1396" s="126"/>
      <c r="AM1396" s="126"/>
    </row>
    <row r="1397" spans="9:39" x14ac:dyDescent="0.3">
      <c r="I1397" s="126"/>
      <c r="O1397" s="126"/>
      <c r="Q1397" s="126"/>
      <c r="W1397" s="126"/>
      <c r="Y1397" s="126"/>
      <c r="AE1397" s="126"/>
      <c r="AG1397" s="126"/>
      <c r="AM1397" s="126"/>
    </row>
    <row r="1398" spans="9:39" x14ac:dyDescent="0.3">
      <c r="I1398" s="126"/>
      <c r="O1398" s="126"/>
      <c r="Q1398" s="126"/>
      <c r="W1398" s="126"/>
      <c r="Y1398" s="126"/>
      <c r="AE1398" s="126"/>
      <c r="AG1398" s="126"/>
      <c r="AM1398" s="126"/>
    </row>
    <row r="1399" spans="9:39" x14ac:dyDescent="0.3">
      <c r="I1399" s="126"/>
      <c r="O1399" s="126"/>
      <c r="Q1399" s="126"/>
      <c r="W1399" s="126"/>
      <c r="Y1399" s="126"/>
      <c r="AE1399" s="126"/>
      <c r="AG1399" s="126"/>
      <c r="AM1399" s="126"/>
    </row>
    <row r="1400" spans="9:39" x14ac:dyDescent="0.3">
      <c r="I1400" s="126"/>
      <c r="O1400" s="126"/>
      <c r="Q1400" s="126"/>
      <c r="W1400" s="126"/>
      <c r="Y1400" s="126"/>
      <c r="AE1400" s="126"/>
      <c r="AG1400" s="126"/>
      <c r="AM1400" s="126"/>
    </row>
    <row r="1401" spans="9:39" x14ac:dyDescent="0.3">
      <c r="I1401" s="126"/>
      <c r="O1401" s="126"/>
      <c r="Q1401" s="126"/>
      <c r="W1401" s="126"/>
      <c r="Y1401" s="126"/>
      <c r="AE1401" s="126"/>
      <c r="AG1401" s="126"/>
      <c r="AM1401" s="126"/>
    </row>
    <row r="1402" spans="9:39" x14ac:dyDescent="0.3">
      <c r="I1402" s="126"/>
      <c r="O1402" s="126"/>
      <c r="Q1402" s="126"/>
      <c r="W1402" s="126"/>
      <c r="Y1402" s="126"/>
      <c r="AE1402" s="126"/>
      <c r="AG1402" s="126"/>
      <c r="AM1402" s="126"/>
    </row>
    <row r="1403" spans="9:39" x14ac:dyDescent="0.3">
      <c r="I1403" s="126"/>
      <c r="O1403" s="126"/>
      <c r="Q1403" s="126"/>
      <c r="W1403" s="126"/>
      <c r="Y1403" s="126"/>
      <c r="AE1403" s="126"/>
      <c r="AG1403" s="126"/>
      <c r="AM1403" s="126"/>
    </row>
    <row r="1404" spans="9:39" x14ac:dyDescent="0.3">
      <c r="I1404" s="126"/>
      <c r="O1404" s="126"/>
      <c r="Q1404" s="126"/>
      <c r="W1404" s="126"/>
      <c r="Y1404" s="126"/>
      <c r="AE1404" s="126"/>
      <c r="AG1404" s="126"/>
      <c r="AM1404" s="126"/>
    </row>
    <row r="1405" spans="9:39" x14ac:dyDescent="0.3">
      <c r="I1405" s="126"/>
      <c r="O1405" s="126"/>
      <c r="Q1405" s="126"/>
      <c r="W1405" s="126"/>
      <c r="Y1405" s="126"/>
      <c r="AE1405" s="126"/>
      <c r="AG1405" s="126"/>
      <c r="AM1405" s="126"/>
    </row>
    <row r="1406" spans="9:39" x14ac:dyDescent="0.3">
      <c r="I1406" s="126"/>
      <c r="O1406" s="126"/>
      <c r="Q1406" s="126"/>
      <c r="W1406" s="126"/>
      <c r="Y1406" s="126"/>
      <c r="AE1406" s="126"/>
      <c r="AG1406" s="126"/>
      <c r="AM1406" s="126"/>
    </row>
    <row r="1407" spans="9:39" x14ac:dyDescent="0.3">
      <c r="I1407" s="126"/>
      <c r="O1407" s="126"/>
      <c r="Q1407" s="126"/>
      <c r="W1407" s="126"/>
      <c r="Y1407" s="126"/>
      <c r="AE1407" s="126"/>
      <c r="AG1407" s="126"/>
      <c r="AM1407" s="126"/>
    </row>
    <row r="1408" spans="9:39" x14ac:dyDescent="0.3">
      <c r="I1408" s="126"/>
      <c r="O1408" s="126"/>
      <c r="Q1408" s="126"/>
      <c r="W1408" s="126"/>
      <c r="Y1408" s="126"/>
      <c r="AE1408" s="126"/>
      <c r="AG1408" s="126"/>
      <c r="AM1408" s="126"/>
    </row>
    <row r="1409" spans="9:39" x14ac:dyDescent="0.3">
      <c r="I1409" s="126"/>
      <c r="O1409" s="126"/>
      <c r="Q1409" s="126"/>
      <c r="W1409" s="126"/>
      <c r="Y1409" s="126"/>
      <c r="AE1409" s="126"/>
      <c r="AG1409" s="126"/>
      <c r="AM1409" s="126"/>
    </row>
    <row r="1410" spans="9:39" x14ac:dyDescent="0.3">
      <c r="I1410" s="126"/>
      <c r="O1410" s="126"/>
      <c r="Q1410" s="126"/>
      <c r="W1410" s="126"/>
      <c r="Y1410" s="126"/>
      <c r="AE1410" s="126"/>
      <c r="AG1410" s="126"/>
      <c r="AM1410" s="126"/>
    </row>
    <row r="1411" spans="9:39" x14ac:dyDescent="0.3">
      <c r="I1411" s="126"/>
      <c r="O1411" s="126"/>
      <c r="Q1411" s="126"/>
      <c r="W1411" s="126"/>
      <c r="Y1411" s="126"/>
      <c r="AE1411" s="126"/>
      <c r="AG1411" s="126"/>
      <c r="AM1411" s="126"/>
    </row>
    <row r="1412" spans="9:39" x14ac:dyDescent="0.3">
      <c r="I1412" s="126"/>
      <c r="O1412" s="126"/>
      <c r="Q1412" s="126"/>
      <c r="W1412" s="126"/>
      <c r="Y1412" s="126"/>
      <c r="AE1412" s="126"/>
      <c r="AG1412" s="126"/>
      <c r="AM1412" s="126"/>
    </row>
    <row r="1413" spans="9:39" x14ac:dyDescent="0.3">
      <c r="I1413" s="126"/>
      <c r="O1413" s="126"/>
      <c r="Q1413" s="126"/>
      <c r="W1413" s="126"/>
      <c r="Y1413" s="126"/>
      <c r="AE1413" s="126"/>
      <c r="AG1413" s="126"/>
      <c r="AM1413" s="126"/>
    </row>
    <row r="1414" spans="9:39" x14ac:dyDescent="0.3">
      <c r="I1414" s="126"/>
      <c r="O1414" s="126"/>
      <c r="Q1414" s="126"/>
      <c r="W1414" s="126"/>
      <c r="Y1414" s="126"/>
      <c r="AE1414" s="126"/>
      <c r="AG1414" s="126"/>
      <c r="AM1414" s="126"/>
    </row>
    <row r="1415" spans="9:39" x14ac:dyDescent="0.3">
      <c r="I1415" s="126"/>
      <c r="O1415" s="126"/>
      <c r="Q1415" s="126"/>
      <c r="W1415" s="126"/>
      <c r="Y1415" s="126"/>
      <c r="AE1415" s="126"/>
      <c r="AG1415" s="126"/>
      <c r="AM1415" s="126"/>
    </row>
    <row r="1416" spans="9:39" x14ac:dyDescent="0.3">
      <c r="I1416" s="126"/>
      <c r="O1416" s="126"/>
      <c r="Q1416" s="126"/>
      <c r="W1416" s="126"/>
      <c r="Y1416" s="126"/>
      <c r="AE1416" s="126"/>
      <c r="AG1416" s="126"/>
      <c r="AM1416" s="126"/>
    </row>
    <row r="1417" spans="9:39" x14ac:dyDescent="0.3">
      <c r="I1417" s="126"/>
      <c r="O1417" s="126"/>
      <c r="Q1417" s="126"/>
      <c r="W1417" s="126"/>
      <c r="Y1417" s="126"/>
      <c r="AE1417" s="126"/>
      <c r="AG1417" s="126"/>
      <c r="AM1417" s="126"/>
    </row>
    <row r="1418" spans="9:39" x14ac:dyDescent="0.3">
      <c r="I1418" s="126"/>
      <c r="O1418" s="126"/>
      <c r="Q1418" s="126"/>
      <c r="W1418" s="126"/>
      <c r="Y1418" s="126"/>
      <c r="AE1418" s="126"/>
      <c r="AG1418" s="126"/>
      <c r="AM1418" s="126"/>
    </row>
    <row r="1419" spans="9:39" x14ac:dyDescent="0.3">
      <c r="I1419" s="126"/>
      <c r="O1419" s="126"/>
      <c r="Q1419" s="126"/>
      <c r="W1419" s="126"/>
      <c r="Y1419" s="126"/>
      <c r="AE1419" s="126"/>
      <c r="AG1419" s="126"/>
      <c r="AM1419" s="126"/>
    </row>
    <row r="1420" spans="9:39" x14ac:dyDescent="0.3">
      <c r="I1420" s="126"/>
      <c r="O1420" s="126"/>
      <c r="Q1420" s="126"/>
      <c r="W1420" s="126"/>
      <c r="Y1420" s="126"/>
      <c r="AE1420" s="126"/>
      <c r="AG1420" s="126"/>
      <c r="AM1420" s="126"/>
    </row>
    <row r="1421" spans="9:39" x14ac:dyDescent="0.3">
      <c r="I1421" s="126"/>
      <c r="O1421" s="126"/>
      <c r="Q1421" s="126"/>
      <c r="W1421" s="126"/>
      <c r="Y1421" s="126"/>
      <c r="AE1421" s="126"/>
      <c r="AG1421" s="126"/>
      <c r="AM1421" s="126"/>
    </row>
    <row r="1422" spans="9:39" x14ac:dyDescent="0.3">
      <c r="I1422" s="126"/>
      <c r="O1422" s="126"/>
      <c r="Q1422" s="126"/>
      <c r="W1422" s="126"/>
      <c r="Y1422" s="126"/>
      <c r="AE1422" s="126"/>
      <c r="AG1422" s="126"/>
      <c r="AM1422" s="126"/>
    </row>
    <row r="1423" spans="9:39" x14ac:dyDescent="0.3">
      <c r="I1423" s="126"/>
      <c r="O1423" s="126"/>
      <c r="Q1423" s="126"/>
      <c r="W1423" s="126"/>
      <c r="Y1423" s="126"/>
      <c r="AE1423" s="126"/>
      <c r="AG1423" s="126"/>
      <c r="AM1423" s="126"/>
    </row>
    <row r="1424" spans="9:39" x14ac:dyDescent="0.3">
      <c r="I1424" s="126"/>
      <c r="O1424" s="126"/>
      <c r="Q1424" s="126"/>
      <c r="W1424" s="126"/>
      <c r="Y1424" s="126"/>
      <c r="AE1424" s="126"/>
      <c r="AG1424" s="126"/>
      <c r="AM1424" s="126"/>
    </row>
    <row r="1425" spans="9:39" x14ac:dyDescent="0.3">
      <c r="I1425" s="126"/>
      <c r="O1425" s="126"/>
      <c r="Q1425" s="126"/>
      <c r="W1425" s="126"/>
      <c r="Y1425" s="126"/>
      <c r="AE1425" s="126"/>
      <c r="AG1425" s="126"/>
      <c r="AM1425" s="126"/>
    </row>
    <row r="1426" spans="9:39" x14ac:dyDescent="0.3">
      <c r="I1426" s="126"/>
      <c r="O1426" s="126"/>
      <c r="Q1426" s="126"/>
      <c r="W1426" s="126"/>
      <c r="Y1426" s="126"/>
      <c r="AE1426" s="126"/>
      <c r="AG1426" s="126"/>
      <c r="AM1426" s="126"/>
    </row>
    <row r="1427" spans="9:39" x14ac:dyDescent="0.3">
      <c r="I1427" s="126"/>
      <c r="O1427" s="126"/>
      <c r="Q1427" s="126"/>
      <c r="W1427" s="126"/>
      <c r="Y1427" s="126"/>
      <c r="AE1427" s="126"/>
      <c r="AG1427" s="126"/>
      <c r="AM1427" s="126"/>
    </row>
    <row r="1428" spans="9:39" x14ac:dyDescent="0.3">
      <c r="I1428" s="126"/>
      <c r="O1428" s="126"/>
      <c r="Q1428" s="126"/>
      <c r="W1428" s="126"/>
      <c r="Y1428" s="126"/>
      <c r="AE1428" s="126"/>
      <c r="AG1428" s="126"/>
      <c r="AM1428" s="126"/>
    </row>
    <row r="1429" spans="9:39" x14ac:dyDescent="0.3">
      <c r="I1429" s="126"/>
      <c r="O1429" s="126"/>
      <c r="Q1429" s="126"/>
      <c r="W1429" s="126"/>
      <c r="Y1429" s="126"/>
      <c r="AE1429" s="126"/>
      <c r="AG1429" s="126"/>
      <c r="AM1429" s="126"/>
    </row>
    <row r="1430" spans="9:39" x14ac:dyDescent="0.3">
      <c r="I1430" s="126"/>
      <c r="O1430" s="126"/>
      <c r="Q1430" s="126"/>
      <c r="W1430" s="126"/>
      <c r="Y1430" s="126"/>
      <c r="AE1430" s="126"/>
      <c r="AG1430" s="126"/>
      <c r="AM1430" s="126"/>
    </row>
    <row r="1431" spans="9:39" x14ac:dyDescent="0.3">
      <c r="I1431" s="126"/>
      <c r="O1431" s="126"/>
      <c r="Q1431" s="126"/>
      <c r="W1431" s="126"/>
      <c r="Y1431" s="126"/>
      <c r="AE1431" s="126"/>
      <c r="AG1431" s="126"/>
      <c r="AM1431" s="126"/>
    </row>
    <row r="1432" spans="9:39" x14ac:dyDescent="0.3">
      <c r="I1432" s="126"/>
      <c r="O1432" s="126"/>
      <c r="Q1432" s="126"/>
      <c r="W1432" s="126"/>
      <c r="Y1432" s="126"/>
      <c r="AE1432" s="126"/>
      <c r="AG1432" s="126"/>
      <c r="AM1432" s="126"/>
    </row>
    <row r="1433" spans="9:39" x14ac:dyDescent="0.3">
      <c r="I1433" s="126"/>
      <c r="O1433" s="126"/>
      <c r="Q1433" s="126"/>
      <c r="W1433" s="126"/>
      <c r="Y1433" s="126"/>
      <c r="AE1433" s="126"/>
      <c r="AG1433" s="126"/>
      <c r="AM1433" s="126"/>
    </row>
    <row r="1434" spans="9:39" x14ac:dyDescent="0.3">
      <c r="I1434" s="126"/>
      <c r="O1434" s="126"/>
      <c r="Q1434" s="126"/>
      <c r="W1434" s="126"/>
      <c r="Y1434" s="126"/>
      <c r="AE1434" s="126"/>
      <c r="AG1434" s="126"/>
      <c r="AM1434" s="126"/>
    </row>
    <row r="1435" spans="9:39" x14ac:dyDescent="0.3">
      <c r="I1435" s="126"/>
      <c r="O1435" s="126"/>
      <c r="Q1435" s="126"/>
      <c r="W1435" s="126"/>
      <c r="Y1435" s="126"/>
      <c r="AE1435" s="126"/>
      <c r="AG1435" s="126"/>
      <c r="AM1435" s="126"/>
    </row>
    <row r="1436" spans="9:39" x14ac:dyDescent="0.3">
      <c r="I1436" s="126"/>
      <c r="O1436" s="126"/>
      <c r="Q1436" s="126"/>
      <c r="W1436" s="126"/>
      <c r="Y1436" s="126"/>
      <c r="AE1436" s="126"/>
      <c r="AG1436" s="126"/>
      <c r="AM1436" s="126"/>
    </row>
    <row r="1437" spans="9:39" x14ac:dyDescent="0.3">
      <c r="I1437" s="126"/>
      <c r="O1437" s="126"/>
      <c r="Q1437" s="126"/>
      <c r="W1437" s="126"/>
      <c r="Y1437" s="126"/>
      <c r="AE1437" s="126"/>
      <c r="AG1437" s="126"/>
      <c r="AM1437" s="126"/>
    </row>
    <row r="1438" spans="9:39" x14ac:dyDescent="0.3">
      <c r="I1438" s="126"/>
      <c r="O1438" s="126"/>
      <c r="Q1438" s="126"/>
      <c r="W1438" s="126"/>
      <c r="Y1438" s="126"/>
      <c r="AE1438" s="126"/>
      <c r="AG1438" s="126"/>
      <c r="AM1438" s="126"/>
    </row>
    <row r="1439" spans="9:39" x14ac:dyDescent="0.3">
      <c r="I1439" s="126"/>
      <c r="O1439" s="126"/>
      <c r="Q1439" s="126"/>
      <c r="W1439" s="126"/>
      <c r="Y1439" s="126"/>
      <c r="AE1439" s="126"/>
      <c r="AG1439" s="126"/>
      <c r="AM1439" s="126"/>
    </row>
    <row r="1440" spans="9:39" x14ac:dyDescent="0.3">
      <c r="I1440" s="126"/>
      <c r="O1440" s="126"/>
      <c r="Q1440" s="126"/>
      <c r="W1440" s="126"/>
      <c r="Y1440" s="126"/>
      <c r="AE1440" s="126"/>
      <c r="AG1440" s="126"/>
      <c r="AM1440" s="126"/>
    </row>
    <row r="1441" spans="9:39" x14ac:dyDescent="0.3">
      <c r="I1441" s="126"/>
      <c r="O1441" s="126"/>
      <c r="Q1441" s="126"/>
      <c r="W1441" s="126"/>
      <c r="Y1441" s="126"/>
      <c r="AE1441" s="126"/>
      <c r="AG1441" s="126"/>
      <c r="AM1441" s="126"/>
    </row>
    <row r="1442" spans="9:39" x14ac:dyDescent="0.3">
      <c r="I1442" s="126"/>
      <c r="O1442" s="126"/>
      <c r="Q1442" s="126"/>
      <c r="W1442" s="126"/>
      <c r="Y1442" s="126"/>
      <c r="AE1442" s="126"/>
      <c r="AG1442" s="126"/>
      <c r="AM1442" s="126"/>
    </row>
    <row r="1443" spans="9:39" x14ac:dyDescent="0.3">
      <c r="I1443" s="126"/>
      <c r="O1443" s="126"/>
      <c r="Q1443" s="126"/>
      <c r="W1443" s="126"/>
      <c r="Y1443" s="126"/>
      <c r="AE1443" s="126"/>
      <c r="AG1443" s="126"/>
      <c r="AM1443" s="126"/>
    </row>
    <row r="1444" spans="9:39" x14ac:dyDescent="0.3">
      <c r="I1444" s="126"/>
      <c r="O1444" s="126"/>
      <c r="Q1444" s="126"/>
      <c r="W1444" s="126"/>
      <c r="Y1444" s="126"/>
      <c r="AE1444" s="126"/>
      <c r="AG1444" s="126"/>
      <c r="AM1444" s="126"/>
    </row>
    <row r="1445" spans="9:39" x14ac:dyDescent="0.3">
      <c r="I1445" s="126"/>
      <c r="O1445" s="126"/>
      <c r="Q1445" s="126"/>
      <c r="W1445" s="126"/>
      <c r="Y1445" s="126"/>
      <c r="AE1445" s="126"/>
      <c r="AG1445" s="126"/>
      <c r="AM1445" s="126"/>
    </row>
    <row r="1446" spans="9:39" x14ac:dyDescent="0.3">
      <c r="I1446" s="126"/>
      <c r="O1446" s="126"/>
      <c r="Q1446" s="126"/>
      <c r="W1446" s="126"/>
      <c r="Y1446" s="126"/>
      <c r="AE1446" s="126"/>
      <c r="AG1446" s="126"/>
      <c r="AM1446" s="126"/>
    </row>
    <row r="1447" spans="9:39" x14ac:dyDescent="0.3">
      <c r="I1447" s="126"/>
      <c r="O1447" s="126"/>
      <c r="Q1447" s="126"/>
      <c r="W1447" s="126"/>
      <c r="Y1447" s="126"/>
      <c r="AE1447" s="126"/>
      <c r="AG1447" s="126"/>
      <c r="AM1447" s="126"/>
    </row>
    <row r="1448" spans="9:39" x14ac:dyDescent="0.3">
      <c r="I1448" s="126"/>
      <c r="O1448" s="126"/>
      <c r="Q1448" s="126"/>
      <c r="W1448" s="126"/>
      <c r="Y1448" s="126"/>
      <c r="AE1448" s="126"/>
      <c r="AG1448" s="126"/>
      <c r="AM1448" s="126"/>
    </row>
    <row r="1449" spans="9:39" x14ac:dyDescent="0.3">
      <c r="I1449" s="126"/>
      <c r="O1449" s="126"/>
      <c r="Q1449" s="126"/>
      <c r="W1449" s="126"/>
      <c r="Y1449" s="126"/>
      <c r="AE1449" s="126"/>
      <c r="AG1449" s="126"/>
      <c r="AM1449" s="126"/>
    </row>
    <row r="1450" spans="9:39" x14ac:dyDescent="0.3">
      <c r="I1450" s="126"/>
      <c r="O1450" s="126"/>
      <c r="Q1450" s="126"/>
      <c r="W1450" s="126"/>
      <c r="Y1450" s="126"/>
      <c r="AE1450" s="126"/>
      <c r="AG1450" s="126"/>
      <c r="AM1450" s="126"/>
    </row>
    <row r="1451" spans="9:39" x14ac:dyDescent="0.3">
      <c r="I1451" s="126"/>
      <c r="O1451" s="126"/>
      <c r="Q1451" s="126"/>
      <c r="W1451" s="126"/>
      <c r="Y1451" s="126"/>
      <c r="AE1451" s="126"/>
      <c r="AG1451" s="126"/>
      <c r="AM1451" s="126"/>
    </row>
    <row r="1452" spans="9:39" x14ac:dyDescent="0.3">
      <c r="I1452" s="126"/>
      <c r="O1452" s="126"/>
      <c r="Q1452" s="126"/>
      <c r="W1452" s="126"/>
      <c r="Y1452" s="126"/>
      <c r="AE1452" s="126"/>
      <c r="AG1452" s="126"/>
      <c r="AM1452" s="126"/>
    </row>
    <row r="1453" spans="9:39" x14ac:dyDescent="0.3">
      <c r="I1453" s="126"/>
      <c r="O1453" s="126"/>
      <c r="Q1453" s="126"/>
      <c r="W1453" s="126"/>
      <c r="Y1453" s="126"/>
      <c r="AE1453" s="126"/>
      <c r="AG1453" s="126"/>
      <c r="AM1453" s="126"/>
    </row>
    <row r="1454" spans="9:39" x14ac:dyDescent="0.3">
      <c r="I1454" s="126"/>
      <c r="O1454" s="126"/>
      <c r="Q1454" s="126"/>
      <c r="W1454" s="126"/>
      <c r="Y1454" s="126"/>
      <c r="AE1454" s="126"/>
      <c r="AG1454" s="126"/>
      <c r="AM1454" s="126"/>
    </row>
    <row r="1455" spans="9:39" x14ac:dyDescent="0.3">
      <c r="I1455" s="126"/>
      <c r="O1455" s="126"/>
      <c r="Q1455" s="126"/>
      <c r="W1455" s="126"/>
      <c r="Y1455" s="126"/>
      <c r="AE1455" s="126"/>
      <c r="AG1455" s="126"/>
      <c r="AM1455" s="126"/>
    </row>
    <row r="1456" spans="9:39" x14ac:dyDescent="0.3">
      <c r="I1456" s="126"/>
      <c r="O1456" s="126"/>
      <c r="Q1456" s="126"/>
      <c r="W1456" s="126"/>
      <c r="Y1456" s="126"/>
      <c r="AE1456" s="126"/>
      <c r="AG1456" s="126"/>
      <c r="AM1456" s="126"/>
    </row>
    <row r="1457" spans="9:39" x14ac:dyDescent="0.3">
      <c r="I1457" s="126"/>
      <c r="O1457" s="126"/>
      <c r="Q1457" s="126"/>
      <c r="W1457" s="126"/>
      <c r="Y1457" s="126"/>
      <c r="AE1457" s="126"/>
      <c r="AG1457" s="126"/>
      <c r="AM1457" s="126"/>
    </row>
    <row r="1458" spans="9:39" x14ac:dyDescent="0.3">
      <c r="I1458" s="126"/>
      <c r="O1458" s="126"/>
      <c r="Q1458" s="126"/>
      <c r="W1458" s="126"/>
      <c r="Y1458" s="126"/>
      <c r="AE1458" s="126"/>
      <c r="AG1458" s="126"/>
      <c r="AM1458" s="126"/>
    </row>
    <row r="1459" spans="9:39" x14ac:dyDescent="0.3">
      <c r="I1459" s="126"/>
      <c r="O1459" s="126"/>
      <c r="Q1459" s="126"/>
      <c r="W1459" s="126"/>
      <c r="Y1459" s="126"/>
      <c r="AE1459" s="126"/>
      <c r="AG1459" s="126"/>
      <c r="AM1459" s="126"/>
    </row>
    <row r="1460" spans="9:39" x14ac:dyDescent="0.3">
      <c r="I1460" s="126"/>
      <c r="O1460" s="126"/>
      <c r="Q1460" s="126"/>
      <c r="W1460" s="126"/>
      <c r="Y1460" s="126"/>
      <c r="AE1460" s="126"/>
      <c r="AG1460" s="126"/>
      <c r="AM1460" s="126"/>
    </row>
    <row r="1461" spans="9:39" x14ac:dyDescent="0.3">
      <c r="I1461" s="126"/>
      <c r="O1461" s="126"/>
      <c r="Q1461" s="126"/>
      <c r="W1461" s="126"/>
      <c r="Y1461" s="126"/>
      <c r="AE1461" s="126"/>
      <c r="AG1461" s="126"/>
      <c r="AM1461" s="126"/>
    </row>
    <row r="1462" spans="9:39" x14ac:dyDescent="0.3">
      <c r="I1462" s="126"/>
      <c r="O1462" s="126"/>
      <c r="Q1462" s="126"/>
      <c r="W1462" s="126"/>
      <c r="Y1462" s="126"/>
      <c r="AE1462" s="126"/>
      <c r="AG1462" s="126"/>
      <c r="AM1462" s="126"/>
    </row>
    <row r="1463" spans="9:39" x14ac:dyDescent="0.3">
      <c r="I1463" s="126"/>
      <c r="O1463" s="126"/>
      <c r="Q1463" s="126"/>
      <c r="W1463" s="126"/>
      <c r="Y1463" s="126"/>
      <c r="AE1463" s="126"/>
      <c r="AG1463" s="126"/>
      <c r="AM1463" s="126"/>
    </row>
    <row r="1464" spans="9:39" x14ac:dyDescent="0.3">
      <c r="I1464" s="126"/>
      <c r="O1464" s="126"/>
      <c r="Q1464" s="126"/>
      <c r="W1464" s="126"/>
      <c r="Y1464" s="126"/>
      <c r="AE1464" s="126"/>
      <c r="AG1464" s="126"/>
      <c r="AM1464" s="126"/>
    </row>
    <row r="1465" spans="9:39" x14ac:dyDescent="0.3">
      <c r="I1465" s="126"/>
      <c r="O1465" s="126"/>
      <c r="Q1465" s="126"/>
      <c r="W1465" s="126"/>
      <c r="Y1465" s="126"/>
      <c r="AE1465" s="126"/>
      <c r="AG1465" s="126"/>
      <c r="AM1465" s="126"/>
    </row>
    <row r="1466" spans="9:39" x14ac:dyDescent="0.3">
      <c r="I1466" s="126"/>
      <c r="O1466" s="126"/>
      <c r="Q1466" s="126"/>
      <c r="W1466" s="126"/>
      <c r="Y1466" s="126"/>
      <c r="AE1466" s="126"/>
      <c r="AG1466" s="126"/>
      <c r="AM1466" s="126"/>
    </row>
    <row r="1467" spans="9:39" x14ac:dyDescent="0.3">
      <c r="I1467" s="126"/>
      <c r="O1467" s="126"/>
      <c r="Q1467" s="126"/>
      <c r="W1467" s="126"/>
      <c r="Y1467" s="126"/>
      <c r="AE1467" s="126"/>
      <c r="AG1467" s="126"/>
      <c r="AM1467" s="126"/>
    </row>
    <row r="1468" spans="9:39" x14ac:dyDescent="0.3">
      <c r="I1468" s="126"/>
      <c r="O1468" s="126"/>
      <c r="Q1468" s="126"/>
      <c r="W1468" s="126"/>
      <c r="Y1468" s="126"/>
      <c r="AE1468" s="126"/>
      <c r="AG1468" s="126"/>
      <c r="AM1468" s="126"/>
    </row>
    <row r="1469" spans="9:39" x14ac:dyDescent="0.3">
      <c r="I1469" s="126"/>
      <c r="O1469" s="126"/>
      <c r="Q1469" s="126"/>
      <c r="W1469" s="126"/>
      <c r="Y1469" s="126"/>
      <c r="AE1469" s="126"/>
      <c r="AG1469" s="126"/>
      <c r="AM1469" s="126"/>
    </row>
    <row r="1470" spans="9:39" x14ac:dyDescent="0.3">
      <c r="I1470" s="126"/>
      <c r="O1470" s="126"/>
      <c r="Q1470" s="126"/>
      <c r="W1470" s="126"/>
      <c r="Y1470" s="126"/>
      <c r="AE1470" s="126"/>
      <c r="AG1470" s="126"/>
      <c r="AM1470" s="126"/>
    </row>
    <row r="1471" spans="9:39" x14ac:dyDescent="0.3">
      <c r="I1471" s="126"/>
      <c r="O1471" s="126"/>
      <c r="Q1471" s="126"/>
      <c r="W1471" s="126"/>
      <c r="Y1471" s="126"/>
      <c r="AE1471" s="126"/>
      <c r="AG1471" s="126"/>
      <c r="AM1471" s="126"/>
    </row>
    <row r="1472" spans="9:39" x14ac:dyDescent="0.3">
      <c r="I1472" s="126"/>
      <c r="O1472" s="126"/>
      <c r="Q1472" s="126"/>
      <c r="W1472" s="126"/>
      <c r="Y1472" s="126"/>
      <c r="AE1472" s="126"/>
      <c r="AG1472" s="126"/>
      <c r="AM1472" s="126"/>
    </row>
    <row r="1473" spans="9:39" x14ac:dyDescent="0.3">
      <c r="I1473" s="126"/>
      <c r="O1473" s="126"/>
      <c r="Q1473" s="126"/>
      <c r="W1473" s="126"/>
      <c r="Y1473" s="126"/>
      <c r="AE1473" s="126"/>
      <c r="AG1473" s="126"/>
      <c r="AM1473" s="126"/>
    </row>
    <row r="1474" spans="9:39" x14ac:dyDescent="0.3">
      <c r="I1474" s="126"/>
      <c r="O1474" s="126"/>
      <c r="Q1474" s="126"/>
      <c r="W1474" s="126"/>
      <c r="Y1474" s="126"/>
      <c r="AE1474" s="126"/>
      <c r="AG1474" s="126"/>
      <c r="AM1474" s="126"/>
    </row>
    <row r="1475" spans="9:39" x14ac:dyDescent="0.3">
      <c r="I1475" s="126"/>
      <c r="O1475" s="126"/>
      <c r="Q1475" s="126"/>
      <c r="W1475" s="126"/>
      <c r="Y1475" s="126"/>
      <c r="AE1475" s="126"/>
      <c r="AG1475" s="126"/>
      <c r="AM1475" s="126"/>
    </row>
    <row r="1476" spans="9:39" x14ac:dyDescent="0.3">
      <c r="I1476" s="126"/>
      <c r="O1476" s="126"/>
      <c r="Q1476" s="126"/>
      <c r="W1476" s="126"/>
      <c r="Y1476" s="126"/>
      <c r="AE1476" s="126"/>
      <c r="AG1476" s="126"/>
      <c r="AM1476" s="126"/>
    </row>
    <row r="1477" spans="9:39" x14ac:dyDescent="0.3">
      <c r="I1477" s="126"/>
      <c r="O1477" s="126"/>
      <c r="Q1477" s="126"/>
      <c r="W1477" s="126"/>
      <c r="Y1477" s="126"/>
      <c r="AE1477" s="126"/>
      <c r="AG1477" s="126"/>
      <c r="AM1477" s="126"/>
    </row>
    <row r="1478" spans="9:39" x14ac:dyDescent="0.3">
      <c r="I1478" s="126"/>
      <c r="O1478" s="126"/>
      <c r="Q1478" s="126"/>
      <c r="W1478" s="126"/>
      <c r="Y1478" s="126"/>
      <c r="AE1478" s="126"/>
      <c r="AG1478" s="126"/>
      <c r="AM1478" s="126"/>
    </row>
    <row r="1479" spans="9:39" x14ac:dyDescent="0.3">
      <c r="I1479" s="126"/>
      <c r="O1479" s="126"/>
      <c r="Q1479" s="126"/>
      <c r="W1479" s="126"/>
      <c r="Y1479" s="126"/>
      <c r="AE1479" s="126"/>
      <c r="AG1479" s="126"/>
      <c r="AM1479" s="126"/>
    </row>
    <row r="1480" spans="9:39" x14ac:dyDescent="0.3">
      <c r="I1480" s="126"/>
      <c r="O1480" s="126"/>
      <c r="Q1480" s="126"/>
      <c r="W1480" s="126"/>
      <c r="Y1480" s="126"/>
      <c r="AE1480" s="126"/>
      <c r="AG1480" s="126"/>
      <c r="AM1480" s="126"/>
    </row>
    <row r="1481" spans="9:39" x14ac:dyDescent="0.3">
      <c r="I1481" s="126"/>
      <c r="O1481" s="126"/>
      <c r="Q1481" s="126"/>
      <c r="W1481" s="126"/>
      <c r="Y1481" s="126"/>
      <c r="AE1481" s="126"/>
      <c r="AG1481" s="126"/>
      <c r="AM1481" s="126"/>
    </row>
    <row r="1482" spans="9:39" x14ac:dyDescent="0.3">
      <c r="I1482" s="126"/>
      <c r="O1482" s="126"/>
      <c r="Q1482" s="126"/>
      <c r="W1482" s="126"/>
      <c r="Y1482" s="126"/>
      <c r="AE1482" s="126"/>
      <c r="AG1482" s="126"/>
      <c r="AM1482" s="126"/>
    </row>
    <row r="1483" spans="9:39" x14ac:dyDescent="0.3">
      <c r="I1483" s="126"/>
      <c r="O1483" s="126"/>
      <c r="Q1483" s="126"/>
      <c r="W1483" s="126"/>
      <c r="Y1483" s="126"/>
      <c r="AE1483" s="126"/>
      <c r="AG1483" s="126"/>
      <c r="AM1483" s="126"/>
    </row>
    <row r="1484" spans="9:39" x14ac:dyDescent="0.3">
      <c r="I1484" s="126"/>
      <c r="O1484" s="126"/>
      <c r="Q1484" s="126"/>
      <c r="W1484" s="126"/>
      <c r="Y1484" s="126"/>
      <c r="AE1484" s="126"/>
      <c r="AG1484" s="126"/>
      <c r="AM1484" s="126"/>
    </row>
    <row r="1485" spans="9:39" x14ac:dyDescent="0.3">
      <c r="I1485" s="126"/>
      <c r="O1485" s="126"/>
      <c r="Q1485" s="126"/>
      <c r="W1485" s="126"/>
      <c r="Y1485" s="126"/>
      <c r="AE1485" s="126"/>
      <c r="AG1485" s="126"/>
      <c r="AM1485" s="126"/>
    </row>
    <row r="1486" spans="9:39" x14ac:dyDescent="0.3">
      <c r="I1486" s="126"/>
      <c r="O1486" s="126"/>
      <c r="Q1486" s="126"/>
      <c r="W1486" s="126"/>
      <c r="Y1486" s="126"/>
      <c r="AE1486" s="126"/>
      <c r="AG1486" s="126"/>
      <c r="AM1486" s="126"/>
    </row>
    <row r="1487" spans="9:39" x14ac:dyDescent="0.3">
      <c r="I1487" s="126"/>
      <c r="O1487" s="126"/>
      <c r="Q1487" s="126"/>
      <c r="W1487" s="126"/>
      <c r="Y1487" s="126"/>
      <c r="AE1487" s="126"/>
      <c r="AG1487" s="126"/>
      <c r="AM1487" s="126"/>
    </row>
    <row r="1488" spans="9:39" x14ac:dyDescent="0.3">
      <c r="I1488" s="126"/>
      <c r="O1488" s="126"/>
      <c r="Q1488" s="126"/>
      <c r="W1488" s="126"/>
      <c r="Y1488" s="126"/>
      <c r="AE1488" s="126"/>
      <c r="AG1488" s="126"/>
      <c r="AM1488" s="126"/>
    </row>
    <row r="1489" spans="9:39" x14ac:dyDescent="0.3">
      <c r="I1489" s="126"/>
      <c r="O1489" s="126"/>
      <c r="Q1489" s="126"/>
      <c r="W1489" s="126"/>
      <c r="Y1489" s="126"/>
      <c r="AE1489" s="126"/>
      <c r="AG1489" s="126"/>
      <c r="AM1489" s="126"/>
    </row>
    <row r="1490" spans="9:39" x14ac:dyDescent="0.3">
      <c r="I1490" s="126"/>
      <c r="O1490" s="126"/>
      <c r="Q1490" s="126"/>
      <c r="W1490" s="126"/>
      <c r="Y1490" s="126"/>
      <c r="AE1490" s="126"/>
      <c r="AG1490" s="126"/>
      <c r="AM1490" s="126"/>
    </row>
    <row r="1491" spans="9:39" x14ac:dyDescent="0.3">
      <c r="I1491" s="126"/>
      <c r="O1491" s="126"/>
      <c r="Q1491" s="126"/>
      <c r="W1491" s="126"/>
      <c r="Y1491" s="126"/>
      <c r="AE1491" s="126"/>
      <c r="AG1491" s="126"/>
      <c r="AM1491" s="126"/>
    </row>
    <row r="1492" spans="9:39" x14ac:dyDescent="0.3">
      <c r="I1492" s="126"/>
      <c r="O1492" s="126"/>
      <c r="Q1492" s="126"/>
      <c r="W1492" s="126"/>
      <c r="Y1492" s="126"/>
      <c r="AE1492" s="126"/>
      <c r="AG1492" s="126"/>
      <c r="AM1492" s="126"/>
    </row>
    <row r="1493" spans="9:39" x14ac:dyDescent="0.3">
      <c r="I1493" s="126"/>
      <c r="O1493" s="126"/>
      <c r="Q1493" s="126"/>
      <c r="W1493" s="126"/>
      <c r="Y1493" s="126"/>
      <c r="AE1493" s="126"/>
      <c r="AG1493" s="126"/>
      <c r="AM1493" s="126"/>
    </row>
    <row r="1494" spans="9:39" x14ac:dyDescent="0.3">
      <c r="I1494" s="126"/>
      <c r="O1494" s="126"/>
      <c r="Q1494" s="126"/>
      <c r="W1494" s="126"/>
      <c r="Y1494" s="126"/>
      <c r="AE1494" s="126"/>
      <c r="AG1494" s="126"/>
      <c r="AM1494" s="126"/>
    </row>
    <row r="1495" spans="9:39" x14ac:dyDescent="0.3">
      <c r="I1495" s="126"/>
      <c r="O1495" s="126"/>
      <c r="Q1495" s="126"/>
      <c r="W1495" s="126"/>
      <c r="Y1495" s="126"/>
      <c r="AE1495" s="126"/>
      <c r="AG1495" s="126"/>
      <c r="AM1495" s="126"/>
    </row>
    <row r="1496" spans="9:39" x14ac:dyDescent="0.3">
      <c r="I1496" s="126"/>
      <c r="O1496" s="126"/>
      <c r="Q1496" s="126"/>
      <c r="W1496" s="126"/>
      <c r="Y1496" s="126"/>
      <c r="AE1496" s="126"/>
      <c r="AG1496" s="126"/>
      <c r="AM1496" s="126"/>
    </row>
    <row r="1497" spans="9:39" x14ac:dyDescent="0.3">
      <c r="I1497" s="126"/>
      <c r="O1497" s="126"/>
      <c r="Q1497" s="126"/>
      <c r="W1497" s="126"/>
      <c r="Y1497" s="126"/>
      <c r="AE1497" s="126"/>
      <c r="AG1497" s="126"/>
      <c r="AM1497" s="126"/>
    </row>
    <row r="1498" spans="9:39" x14ac:dyDescent="0.3">
      <c r="I1498" s="126"/>
      <c r="O1498" s="126"/>
      <c r="Q1498" s="126"/>
      <c r="W1498" s="126"/>
      <c r="Y1498" s="126"/>
      <c r="AE1498" s="126"/>
      <c r="AG1498" s="126"/>
      <c r="AM1498" s="126"/>
    </row>
    <row r="1499" spans="9:39" x14ac:dyDescent="0.3">
      <c r="I1499" s="126"/>
      <c r="O1499" s="126"/>
      <c r="Q1499" s="126"/>
      <c r="W1499" s="126"/>
      <c r="Y1499" s="126"/>
      <c r="AE1499" s="126"/>
      <c r="AG1499" s="126"/>
      <c r="AM1499" s="126"/>
    </row>
    <row r="1500" spans="9:39" x14ac:dyDescent="0.3">
      <c r="I1500" s="126"/>
      <c r="O1500" s="126"/>
      <c r="Q1500" s="126"/>
      <c r="W1500" s="126"/>
      <c r="Y1500" s="126"/>
      <c r="AE1500" s="126"/>
      <c r="AG1500" s="126"/>
      <c r="AM1500" s="126"/>
    </row>
    <row r="1501" spans="9:39" x14ac:dyDescent="0.3">
      <c r="I1501" s="126"/>
      <c r="O1501" s="126"/>
      <c r="Q1501" s="126"/>
      <c r="W1501" s="126"/>
      <c r="Y1501" s="126"/>
      <c r="AE1501" s="126"/>
      <c r="AG1501" s="126"/>
      <c r="AM1501" s="126"/>
    </row>
    <row r="1502" spans="9:39" x14ac:dyDescent="0.3">
      <c r="I1502" s="126"/>
      <c r="O1502" s="126"/>
      <c r="Q1502" s="126"/>
      <c r="W1502" s="126"/>
      <c r="Y1502" s="126"/>
      <c r="AE1502" s="126"/>
      <c r="AG1502" s="126"/>
      <c r="AM1502" s="126"/>
    </row>
    <row r="1503" spans="9:39" x14ac:dyDescent="0.3">
      <c r="I1503" s="126"/>
      <c r="O1503" s="126"/>
      <c r="Q1503" s="126"/>
      <c r="W1503" s="126"/>
      <c r="Y1503" s="126"/>
      <c r="AE1503" s="126"/>
      <c r="AG1503" s="126"/>
      <c r="AM1503" s="126"/>
    </row>
    <row r="1504" spans="9:39" x14ac:dyDescent="0.3">
      <c r="I1504" s="126"/>
      <c r="O1504" s="126"/>
      <c r="Q1504" s="126"/>
      <c r="W1504" s="126"/>
      <c r="Y1504" s="126"/>
      <c r="AE1504" s="126"/>
      <c r="AG1504" s="126"/>
      <c r="AM1504" s="126"/>
    </row>
    <row r="1505" spans="9:39" x14ac:dyDescent="0.3">
      <c r="I1505" s="126"/>
      <c r="O1505" s="126"/>
      <c r="Q1505" s="126"/>
      <c r="W1505" s="126"/>
      <c r="Y1505" s="126"/>
      <c r="AE1505" s="126"/>
      <c r="AG1505" s="126"/>
      <c r="AM1505" s="126"/>
    </row>
    <row r="1506" spans="9:39" x14ac:dyDescent="0.3">
      <c r="I1506" s="126"/>
      <c r="O1506" s="126"/>
      <c r="Q1506" s="126"/>
      <c r="W1506" s="126"/>
      <c r="Y1506" s="126"/>
      <c r="AE1506" s="126"/>
      <c r="AG1506" s="126"/>
      <c r="AM1506" s="126"/>
    </row>
    <row r="1507" spans="9:39" x14ac:dyDescent="0.3">
      <c r="I1507" s="126"/>
      <c r="O1507" s="126"/>
      <c r="Q1507" s="126"/>
      <c r="W1507" s="126"/>
      <c r="Y1507" s="126"/>
      <c r="AE1507" s="126"/>
      <c r="AG1507" s="126"/>
      <c r="AM1507" s="126"/>
    </row>
    <row r="1508" spans="9:39" x14ac:dyDescent="0.3">
      <c r="I1508" s="126"/>
      <c r="O1508" s="126"/>
      <c r="Q1508" s="126"/>
      <c r="W1508" s="126"/>
      <c r="Y1508" s="126"/>
      <c r="AE1508" s="126"/>
      <c r="AG1508" s="126"/>
      <c r="AM1508" s="126"/>
    </row>
    <row r="1509" spans="9:39" x14ac:dyDescent="0.3">
      <c r="I1509" s="126"/>
      <c r="O1509" s="126"/>
      <c r="Q1509" s="126"/>
      <c r="W1509" s="126"/>
      <c r="Y1509" s="126"/>
      <c r="AE1509" s="126"/>
      <c r="AG1509" s="126"/>
      <c r="AM1509" s="126"/>
    </row>
    <row r="1510" spans="9:39" x14ac:dyDescent="0.3">
      <c r="I1510" s="126"/>
      <c r="O1510" s="126"/>
      <c r="Q1510" s="126"/>
      <c r="W1510" s="126"/>
      <c r="Y1510" s="126"/>
      <c r="AE1510" s="126"/>
      <c r="AG1510" s="126"/>
      <c r="AM1510" s="126"/>
    </row>
    <row r="1511" spans="9:39" x14ac:dyDescent="0.3">
      <c r="I1511" s="126"/>
      <c r="O1511" s="126"/>
      <c r="Q1511" s="126"/>
      <c r="W1511" s="126"/>
      <c r="Y1511" s="126"/>
      <c r="AE1511" s="126"/>
      <c r="AG1511" s="126"/>
      <c r="AM1511" s="126"/>
    </row>
    <row r="1512" spans="9:39" x14ac:dyDescent="0.3">
      <c r="I1512" s="126"/>
      <c r="O1512" s="126"/>
      <c r="Q1512" s="126"/>
      <c r="W1512" s="126"/>
      <c r="Y1512" s="126"/>
      <c r="AE1512" s="126"/>
      <c r="AG1512" s="126"/>
      <c r="AM1512" s="126"/>
    </row>
    <row r="1513" spans="9:39" x14ac:dyDescent="0.3">
      <c r="I1513" s="126"/>
      <c r="O1513" s="126"/>
      <c r="Q1513" s="126"/>
      <c r="W1513" s="126"/>
      <c r="Y1513" s="126"/>
      <c r="AE1513" s="126"/>
      <c r="AG1513" s="126"/>
      <c r="AM1513" s="126"/>
    </row>
    <row r="1514" spans="9:39" x14ac:dyDescent="0.3">
      <c r="I1514" s="126"/>
      <c r="O1514" s="126"/>
      <c r="Q1514" s="126"/>
      <c r="W1514" s="126"/>
      <c r="Y1514" s="126"/>
      <c r="AE1514" s="126"/>
      <c r="AG1514" s="126"/>
      <c r="AM1514" s="126"/>
    </row>
    <row r="1515" spans="9:39" x14ac:dyDescent="0.3">
      <c r="I1515" s="126"/>
      <c r="O1515" s="126"/>
      <c r="Q1515" s="126"/>
      <c r="W1515" s="126"/>
      <c r="Y1515" s="126"/>
      <c r="AE1515" s="126"/>
      <c r="AG1515" s="126"/>
      <c r="AM1515" s="126"/>
    </row>
    <row r="1516" spans="9:39" x14ac:dyDescent="0.3">
      <c r="I1516" s="126"/>
      <c r="O1516" s="126"/>
      <c r="Q1516" s="126"/>
      <c r="W1516" s="126"/>
      <c r="Y1516" s="126"/>
      <c r="AE1516" s="126"/>
      <c r="AG1516" s="126"/>
      <c r="AM1516" s="126"/>
    </row>
    <row r="1517" spans="9:39" x14ac:dyDescent="0.3">
      <c r="I1517" s="126"/>
      <c r="O1517" s="126"/>
      <c r="Q1517" s="126"/>
      <c r="W1517" s="126"/>
      <c r="Y1517" s="126"/>
      <c r="AE1517" s="126"/>
      <c r="AG1517" s="126"/>
      <c r="AM1517" s="126"/>
    </row>
    <row r="1518" spans="9:39" x14ac:dyDescent="0.3">
      <c r="I1518" s="126"/>
      <c r="O1518" s="126"/>
      <c r="Q1518" s="126"/>
      <c r="W1518" s="126"/>
      <c r="Y1518" s="126"/>
      <c r="AE1518" s="126"/>
      <c r="AG1518" s="126"/>
      <c r="AM1518" s="126"/>
    </row>
    <row r="1519" spans="9:39" x14ac:dyDescent="0.3">
      <c r="I1519" s="126"/>
      <c r="O1519" s="126"/>
      <c r="Q1519" s="126"/>
      <c r="W1519" s="126"/>
      <c r="Y1519" s="126"/>
      <c r="AE1519" s="126"/>
      <c r="AG1519" s="126"/>
      <c r="AM1519" s="126"/>
    </row>
    <row r="1520" spans="9:39" x14ac:dyDescent="0.3">
      <c r="I1520" s="126"/>
      <c r="O1520" s="126"/>
      <c r="Q1520" s="126"/>
      <c r="W1520" s="126"/>
      <c r="Y1520" s="126"/>
      <c r="AE1520" s="126"/>
      <c r="AG1520" s="126"/>
      <c r="AM1520" s="126"/>
    </row>
    <row r="1521" spans="9:39" x14ac:dyDescent="0.3">
      <c r="I1521" s="126"/>
      <c r="O1521" s="126"/>
      <c r="Q1521" s="126"/>
      <c r="W1521" s="126"/>
      <c r="Y1521" s="126"/>
      <c r="AE1521" s="126"/>
      <c r="AG1521" s="126"/>
      <c r="AM1521" s="126"/>
    </row>
    <row r="1522" spans="9:39" x14ac:dyDescent="0.3">
      <c r="I1522" s="126"/>
      <c r="O1522" s="126"/>
      <c r="Q1522" s="126"/>
      <c r="W1522" s="126"/>
      <c r="Y1522" s="126"/>
      <c r="AE1522" s="126"/>
      <c r="AG1522" s="126"/>
      <c r="AM1522" s="126"/>
    </row>
    <row r="1523" spans="9:39" x14ac:dyDescent="0.3">
      <c r="I1523" s="126"/>
      <c r="O1523" s="126"/>
      <c r="Q1523" s="126"/>
      <c r="W1523" s="126"/>
      <c r="Y1523" s="126"/>
      <c r="AE1523" s="126"/>
      <c r="AG1523" s="126"/>
      <c r="AM1523" s="126"/>
    </row>
    <row r="1524" spans="9:39" x14ac:dyDescent="0.3">
      <c r="I1524" s="126"/>
      <c r="O1524" s="126"/>
      <c r="Q1524" s="126"/>
      <c r="W1524" s="126"/>
      <c r="Y1524" s="126"/>
      <c r="AE1524" s="126"/>
      <c r="AG1524" s="126"/>
      <c r="AM1524" s="126"/>
    </row>
    <row r="1525" spans="9:39" x14ac:dyDescent="0.3">
      <c r="I1525" s="126"/>
      <c r="O1525" s="126"/>
      <c r="Q1525" s="126"/>
      <c r="W1525" s="126"/>
      <c r="Y1525" s="126"/>
      <c r="AE1525" s="126"/>
      <c r="AG1525" s="126"/>
      <c r="AM1525" s="126"/>
    </row>
    <row r="1526" spans="9:39" x14ac:dyDescent="0.3">
      <c r="I1526" s="126"/>
      <c r="O1526" s="126"/>
      <c r="Q1526" s="126"/>
      <c r="W1526" s="126"/>
      <c r="Y1526" s="126"/>
      <c r="AE1526" s="126"/>
      <c r="AG1526" s="126"/>
      <c r="AM1526" s="126"/>
    </row>
    <row r="1527" spans="9:39" x14ac:dyDescent="0.3">
      <c r="I1527" s="126"/>
      <c r="O1527" s="126"/>
      <c r="Q1527" s="126"/>
      <c r="W1527" s="126"/>
      <c r="Y1527" s="126"/>
      <c r="AE1527" s="126"/>
      <c r="AG1527" s="126"/>
      <c r="AM1527" s="126"/>
    </row>
    <row r="1528" spans="9:39" x14ac:dyDescent="0.3">
      <c r="I1528" s="126"/>
      <c r="O1528" s="126"/>
      <c r="Q1528" s="126"/>
      <c r="W1528" s="126"/>
      <c r="Y1528" s="126"/>
      <c r="AE1528" s="126"/>
      <c r="AG1528" s="126"/>
      <c r="AM1528" s="126"/>
    </row>
    <row r="1529" spans="9:39" x14ac:dyDescent="0.3">
      <c r="I1529" s="126"/>
      <c r="O1529" s="126"/>
      <c r="Q1529" s="126"/>
      <c r="W1529" s="126"/>
      <c r="Y1529" s="126"/>
      <c r="AE1529" s="126"/>
      <c r="AG1529" s="126"/>
      <c r="AM1529" s="126"/>
    </row>
    <row r="1530" spans="9:39" x14ac:dyDescent="0.3">
      <c r="I1530" s="126"/>
      <c r="O1530" s="126"/>
      <c r="Q1530" s="126"/>
      <c r="W1530" s="126"/>
      <c r="Y1530" s="126"/>
      <c r="AE1530" s="126"/>
      <c r="AG1530" s="126"/>
      <c r="AM1530" s="126"/>
    </row>
    <row r="1531" spans="9:39" x14ac:dyDescent="0.3">
      <c r="I1531" s="126"/>
      <c r="O1531" s="126"/>
      <c r="Q1531" s="126"/>
      <c r="W1531" s="126"/>
      <c r="Y1531" s="126"/>
      <c r="AE1531" s="126"/>
      <c r="AG1531" s="126"/>
      <c r="AM1531" s="126"/>
    </row>
    <row r="1532" spans="9:39" x14ac:dyDescent="0.3">
      <c r="I1532" s="126"/>
      <c r="O1532" s="126"/>
      <c r="Q1532" s="126"/>
      <c r="W1532" s="126"/>
      <c r="Y1532" s="126"/>
      <c r="AE1532" s="126"/>
      <c r="AG1532" s="126"/>
      <c r="AM1532" s="126"/>
    </row>
    <row r="1533" spans="9:39" x14ac:dyDescent="0.3">
      <c r="I1533" s="126"/>
      <c r="O1533" s="126"/>
      <c r="Q1533" s="126"/>
      <c r="W1533" s="126"/>
      <c r="Y1533" s="126"/>
      <c r="AE1533" s="126"/>
      <c r="AG1533" s="126"/>
      <c r="AM1533" s="126"/>
    </row>
    <row r="1534" spans="9:39" x14ac:dyDescent="0.3">
      <c r="I1534" s="126"/>
      <c r="O1534" s="126"/>
      <c r="Q1534" s="126"/>
      <c r="W1534" s="126"/>
      <c r="Y1534" s="126"/>
      <c r="AE1534" s="126"/>
      <c r="AG1534" s="126"/>
      <c r="AM1534" s="126"/>
    </row>
    <row r="1535" spans="9:39" x14ac:dyDescent="0.3">
      <c r="I1535" s="126"/>
      <c r="O1535" s="126"/>
      <c r="Q1535" s="126"/>
      <c r="W1535" s="126"/>
      <c r="Y1535" s="126"/>
      <c r="AE1535" s="126"/>
      <c r="AG1535" s="126"/>
      <c r="AM1535" s="126"/>
    </row>
    <row r="1536" spans="9:39" x14ac:dyDescent="0.3">
      <c r="I1536" s="126"/>
      <c r="O1536" s="126"/>
      <c r="Q1536" s="126"/>
      <c r="W1536" s="126"/>
      <c r="Y1536" s="126"/>
      <c r="AE1536" s="126"/>
      <c r="AG1536" s="126"/>
      <c r="AM1536" s="126"/>
    </row>
    <row r="1537" spans="9:39" x14ac:dyDescent="0.3">
      <c r="I1537" s="126"/>
      <c r="O1537" s="126"/>
      <c r="Q1537" s="126"/>
      <c r="W1537" s="126"/>
      <c r="Y1537" s="126"/>
      <c r="AE1537" s="126"/>
      <c r="AG1537" s="126"/>
      <c r="AM1537" s="126"/>
    </row>
    <row r="1538" spans="9:39" x14ac:dyDescent="0.3">
      <c r="I1538" s="126"/>
      <c r="O1538" s="126"/>
      <c r="Q1538" s="126"/>
      <c r="W1538" s="126"/>
      <c r="Y1538" s="126"/>
      <c r="AE1538" s="126"/>
      <c r="AG1538" s="126"/>
      <c r="AM1538" s="126"/>
    </row>
    <row r="1539" spans="9:39" x14ac:dyDescent="0.3">
      <c r="I1539" s="126"/>
      <c r="O1539" s="126"/>
      <c r="Q1539" s="126"/>
      <c r="W1539" s="126"/>
      <c r="Y1539" s="126"/>
      <c r="AE1539" s="126"/>
      <c r="AG1539" s="126"/>
      <c r="AM1539" s="126"/>
    </row>
    <row r="1540" spans="9:39" x14ac:dyDescent="0.3">
      <c r="I1540" s="126"/>
      <c r="O1540" s="126"/>
      <c r="Q1540" s="126"/>
      <c r="W1540" s="126"/>
      <c r="Y1540" s="126"/>
      <c r="AE1540" s="126"/>
      <c r="AG1540" s="126"/>
      <c r="AM1540" s="126"/>
    </row>
    <row r="1541" spans="9:39" x14ac:dyDescent="0.3">
      <c r="I1541" s="126"/>
      <c r="O1541" s="126"/>
      <c r="Q1541" s="126"/>
      <c r="W1541" s="126"/>
      <c r="Y1541" s="126"/>
      <c r="AE1541" s="126"/>
      <c r="AG1541" s="126"/>
      <c r="AM1541" s="126"/>
    </row>
    <row r="1542" spans="9:39" x14ac:dyDescent="0.3">
      <c r="I1542" s="126"/>
      <c r="O1542" s="126"/>
      <c r="Q1542" s="126"/>
      <c r="W1542" s="126"/>
      <c r="Y1542" s="126"/>
      <c r="AE1542" s="126"/>
      <c r="AG1542" s="126"/>
      <c r="AM1542" s="126"/>
    </row>
    <row r="1543" spans="9:39" x14ac:dyDescent="0.3">
      <c r="I1543" s="126"/>
      <c r="O1543" s="126"/>
      <c r="Q1543" s="126"/>
      <c r="W1543" s="126"/>
      <c r="Y1543" s="126"/>
      <c r="AE1543" s="126"/>
      <c r="AG1543" s="126"/>
      <c r="AM1543" s="126"/>
    </row>
    <row r="1544" spans="9:39" x14ac:dyDescent="0.3">
      <c r="I1544" s="126"/>
      <c r="O1544" s="126"/>
      <c r="Q1544" s="126"/>
      <c r="W1544" s="126"/>
      <c r="Y1544" s="126"/>
      <c r="AE1544" s="126"/>
      <c r="AG1544" s="126"/>
      <c r="AM1544" s="126"/>
    </row>
    <row r="1545" spans="9:39" x14ac:dyDescent="0.3">
      <c r="I1545" s="126"/>
      <c r="O1545" s="126"/>
      <c r="Q1545" s="126"/>
      <c r="W1545" s="126"/>
      <c r="Y1545" s="126"/>
      <c r="AE1545" s="126"/>
      <c r="AG1545" s="126"/>
      <c r="AM1545" s="126"/>
    </row>
    <row r="1546" spans="9:39" x14ac:dyDescent="0.3">
      <c r="I1546" s="126"/>
      <c r="O1546" s="126"/>
      <c r="Q1546" s="126"/>
      <c r="W1546" s="126"/>
      <c r="Y1546" s="126"/>
      <c r="AE1546" s="126"/>
      <c r="AG1546" s="126"/>
      <c r="AM1546" s="126"/>
    </row>
    <row r="1547" spans="9:39" x14ac:dyDescent="0.3">
      <c r="I1547" s="126"/>
      <c r="O1547" s="126"/>
      <c r="Q1547" s="126"/>
      <c r="W1547" s="126"/>
      <c r="Y1547" s="126"/>
      <c r="AE1547" s="126"/>
      <c r="AG1547" s="126"/>
      <c r="AM1547" s="126"/>
    </row>
    <row r="1548" spans="9:39" x14ac:dyDescent="0.3">
      <c r="I1548" s="126"/>
      <c r="O1548" s="126"/>
      <c r="Q1548" s="126"/>
      <c r="W1548" s="126"/>
      <c r="Y1548" s="126"/>
      <c r="AE1548" s="126"/>
      <c r="AG1548" s="126"/>
      <c r="AM1548" s="126"/>
    </row>
    <row r="1549" spans="9:39" x14ac:dyDescent="0.3">
      <c r="I1549" s="126"/>
      <c r="O1549" s="126"/>
      <c r="Q1549" s="126"/>
      <c r="W1549" s="126"/>
      <c r="Y1549" s="126"/>
      <c r="AE1549" s="126"/>
      <c r="AG1549" s="126"/>
      <c r="AM1549" s="126"/>
    </row>
    <row r="1550" spans="9:39" x14ac:dyDescent="0.3">
      <c r="I1550" s="126"/>
      <c r="O1550" s="126"/>
      <c r="Q1550" s="126"/>
      <c r="W1550" s="126"/>
      <c r="Y1550" s="126"/>
      <c r="AE1550" s="126"/>
      <c r="AG1550" s="126"/>
      <c r="AM1550" s="126"/>
    </row>
    <row r="1551" spans="9:39" x14ac:dyDescent="0.3">
      <c r="I1551" s="126"/>
      <c r="O1551" s="126"/>
      <c r="Q1551" s="126"/>
      <c r="W1551" s="126"/>
      <c r="Y1551" s="126"/>
      <c r="AE1551" s="126"/>
      <c r="AG1551" s="126"/>
      <c r="AM1551" s="126"/>
    </row>
    <row r="1552" spans="9:39" x14ac:dyDescent="0.3">
      <c r="I1552" s="126"/>
      <c r="O1552" s="126"/>
      <c r="Q1552" s="126"/>
      <c r="W1552" s="126"/>
      <c r="Y1552" s="126"/>
      <c r="AE1552" s="126"/>
      <c r="AG1552" s="126"/>
      <c r="AM1552" s="126"/>
    </row>
    <row r="1553" spans="9:39" x14ac:dyDescent="0.3">
      <c r="I1553" s="126"/>
      <c r="O1553" s="126"/>
      <c r="Q1553" s="126"/>
      <c r="W1553" s="126"/>
      <c r="Y1553" s="126"/>
      <c r="AE1553" s="126"/>
      <c r="AG1553" s="126"/>
      <c r="AM1553" s="126"/>
    </row>
    <row r="1554" spans="9:39" x14ac:dyDescent="0.3">
      <c r="I1554" s="126"/>
      <c r="O1554" s="126"/>
      <c r="Q1554" s="126"/>
      <c r="W1554" s="126"/>
      <c r="Y1554" s="126"/>
      <c r="AE1554" s="126"/>
      <c r="AG1554" s="126"/>
      <c r="AM1554" s="126"/>
    </row>
    <row r="1555" spans="9:39" x14ac:dyDescent="0.3">
      <c r="I1555" s="126"/>
      <c r="O1555" s="126"/>
      <c r="Q1555" s="126"/>
      <c r="W1555" s="126"/>
      <c r="Y1555" s="126"/>
      <c r="AE1555" s="126"/>
      <c r="AG1555" s="126"/>
      <c r="AM1555" s="126"/>
    </row>
    <row r="1556" spans="9:39" x14ac:dyDescent="0.3">
      <c r="I1556" s="126"/>
      <c r="O1556" s="126"/>
      <c r="Q1556" s="126"/>
      <c r="W1556" s="126"/>
      <c r="Y1556" s="126"/>
      <c r="AE1556" s="126"/>
      <c r="AG1556" s="126"/>
      <c r="AM1556" s="126"/>
    </row>
    <row r="1557" spans="9:39" x14ac:dyDescent="0.3">
      <c r="I1557" s="126"/>
      <c r="O1557" s="126"/>
      <c r="Q1557" s="126"/>
      <c r="W1557" s="126"/>
      <c r="Y1557" s="126"/>
      <c r="AE1557" s="126"/>
      <c r="AG1557" s="126"/>
      <c r="AM1557" s="126"/>
    </row>
    <row r="1558" spans="9:39" x14ac:dyDescent="0.3">
      <c r="I1558" s="126"/>
      <c r="O1558" s="126"/>
      <c r="Q1558" s="126"/>
      <c r="W1558" s="126"/>
      <c r="Y1558" s="126"/>
      <c r="AE1558" s="126"/>
      <c r="AG1558" s="126"/>
      <c r="AM1558" s="126"/>
    </row>
    <row r="1559" spans="9:39" x14ac:dyDescent="0.3">
      <c r="I1559" s="126"/>
      <c r="O1559" s="126"/>
      <c r="Q1559" s="126"/>
      <c r="W1559" s="126"/>
      <c r="Y1559" s="126"/>
      <c r="AE1559" s="126"/>
      <c r="AG1559" s="126"/>
      <c r="AM1559" s="126"/>
    </row>
    <row r="1560" spans="9:39" x14ac:dyDescent="0.3">
      <c r="I1560" s="126"/>
      <c r="O1560" s="126"/>
      <c r="Q1560" s="126"/>
      <c r="W1560" s="126"/>
      <c r="Y1560" s="126"/>
      <c r="AE1560" s="126"/>
      <c r="AG1560" s="126"/>
      <c r="AM1560" s="126"/>
    </row>
    <row r="1561" spans="9:39" x14ac:dyDescent="0.3">
      <c r="I1561" s="126"/>
      <c r="O1561" s="126"/>
      <c r="Q1561" s="126"/>
      <c r="W1561" s="126"/>
      <c r="Y1561" s="126"/>
      <c r="AE1561" s="126"/>
      <c r="AG1561" s="126"/>
      <c r="AM1561" s="126"/>
    </row>
    <row r="1562" spans="9:39" x14ac:dyDescent="0.3">
      <c r="I1562" s="126"/>
      <c r="O1562" s="126"/>
      <c r="Q1562" s="126"/>
      <c r="W1562" s="126"/>
      <c r="Y1562" s="126"/>
      <c r="AE1562" s="126"/>
      <c r="AG1562" s="126"/>
      <c r="AM1562" s="126"/>
    </row>
    <row r="1563" spans="9:39" x14ac:dyDescent="0.3">
      <c r="I1563" s="126"/>
      <c r="O1563" s="126"/>
      <c r="Q1563" s="126"/>
      <c r="W1563" s="126"/>
      <c r="Y1563" s="126"/>
      <c r="AE1563" s="126"/>
      <c r="AG1563" s="126"/>
      <c r="AM1563" s="126"/>
    </row>
    <row r="1564" spans="9:39" x14ac:dyDescent="0.3">
      <c r="I1564" s="126"/>
      <c r="O1564" s="126"/>
      <c r="Q1564" s="126"/>
      <c r="W1564" s="126"/>
      <c r="Y1564" s="126"/>
      <c r="AE1564" s="126"/>
      <c r="AG1564" s="126"/>
      <c r="AM1564" s="126"/>
    </row>
    <row r="1565" spans="9:39" x14ac:dyDescent="0.3">
      <c r="I1565" s="126"/>
      <c r="O1565" s="126"/>
      <c r="Q1565" s="126"/>
      <c r="W1565" s="126"/>
      <c r="Y1565" s="126"/>
      <c r="AE1565" s="126"/>
      <c r="AG1565" s="126"/>
      <c r="AM1565" s="126"/>
    </row>
    <row r="1566" spans="9:39" x14ac:dyDescent="0.3">
      <c r="I1566" s="126"/>
      <c r="O1566" s="126"/>
      <c r="Q1566" s="126"/>
      <c r="W1566" s="126"/>
      <c r="Y1566" s="126"/>
      <c r="AE1566" s="126"/>
      <c r="AG1566" s="126"/>
      <c r="AM1566" s="126"/>
    </row>
    <row r="1567" spans="9:39" x14ac:dyDescent="0.3">
      <c r="I1567" s="126"/>
      <c r="O1567" s="126"/>
      <c r="Q1567" s="126"/>
      <c r="W1567" s="126"/>
      <c r="Y1567" s="126"/>
      <c r="AE1567" s="126"/>
      <c r="AG1567" s="126"/>
      <c r="AM1567" s="126"/>
    </row>
    <row r="1568" spans="9:39" x14ac:dyDescent="0.3">
      <c r="I1568" s="126"/>
      <c r="O1568" s="126"/>
      <c r="Q1568" s="126"/>
      <c r="W1568" s="126"/>
      <c r="Y1568" s="126"/>
      <c r="AE1568" s="126"/>
      <c r="AG1568" s="126"/>
      <c r="AM1568" s="126"/>
    </row>
    <row r="1569" spans="9:39" x14ac:dyDescent="0.3">
      <c r="I1569" s="126"/>
      <c r="O1569" s="126"/>
      <c r="Q1569" s="126"/>
      <c r="W1569" s="126"/>
      <c r="Y1569" s="126"/>
      <c r="AE1569" s="126"/>
      <c r="AG1569" s="126"/>
      <c r="AM1569" s="126"/>
    </row>
    <row r="1570" spans="9:39" x14ac:dyDescent="0.3">
      <c r="I1570" s="126"/>
      <c r="O1570" s="126"/>
      <c r="Q1570" s="126"/>
      <c r="W1570" s="126"/>
      <c r="Y1570" s="126"/>
      <c r="AE1570" s="126"/>
      <c r="AG1570" s="126"/>
      <c r="AM1570" s="126"/>
    </row>
    <row r="1571" spans="9:39" x14ac:dyDescent="0.3">
      <c r="I1571" s="126"/>
      <c r="O1571" s="126"/>
      <c r="Q1571" s="126"/>
      <c r="W1571" s="126"/>
      <c r="Y1571" s="126"/>
      <c r="AE1571" s="126"/>
      <c r="AG1571" s="126"/>
      <c r="AM1571" s="126"/>
    </row>
    <row r="1572" spans="9:39" x14ac:dyDescent="0.3">
      <c r="I1572" s="126"/>
      <c r="O1572" s="126"/>
      <c r="Q1572" s="126"/>
      <c r="W1572" s="126"/>
      <c r="Y1572" s="126"/>
      <c r="AE1572" s="126"/>
      <c r="AG1572" s="126"/>
      <c r="AM1572" s="126"/>
    </row>
    <row r="1573" spans="9:39" x14ac:dyDescent="0.3">
      <c r="I1573" s="126"/>
      <c r="O1573" s="126"/>
      <c r="Q1573" s="126"/>
      <c r="W1573" s="126"/>
      <c r="Y1573" s="126"/>
      <c r="AE1573" s="126"/>
      <c r="AG1573" s="126"/>
      <c r="AM1573" s="126"/>
    </row>
    <row r="1574" spans="9:39" x14ac:dyDescent="0.3">
      <c r="I1574" s="126"/>
      <c r="O1574" s="126"/>
      <c r="Q1574" s="126"/>
      <c r="W1574" s="126"/>
      <c r="Y1574" s="126"/>
      <c r="AE1574" s="126"/>
      <c r="AG1574" s="126"/>
      <c r="AM1574" s="126"/>
    </row>
    <row r="1575" spans="9:39" x14ac:dyDescent="0.3">
      <c r="I1575" s="126"/>
      <c r="O1575" s="126"/>
      <c r="Q1575" s="126"/>
      <c r="W1575" s="126"/>
      <c r="Y1575" s="126"/>
      <c r="AE1575" s="126"/>
      <c r="AG1575" s="126"/>
      <c r="AM1575" s="126"/>
    </row>
    <row r="1576" spans="9:39" x14ac:dyDescent="0.3">
      <c r="I1576" s="126"/>
      <c r="O1576" s="126"/>
      <c r="Q1576" s="126"/>
      <c r="W1576" s="126"/>
      <c r="Y1576" s="126"/>
      <c r="AE1576" s="126"/>
      <c r="AG1576" s="126"/>
      <c r="AM1576" s="126"/>
    </row>
    <row r="1577" spans="9:39" x14ac:dyDescent="0.3">
      <c r="I1577" s="126"/>
      <c r="O1577" s="126"/>
      <c r="Q1577" s="126"/>
      <c r="W1577" s="126"/>
      <c r="Y1577" s="126"/>
      <c r="AE1577" s="126"/>
      <c r="AG1577" s="126"/>
      <c r="AM1577" s="126"/>
    </row>
    <row r="1578" spans="9:39" x14ac:dyDescent="0.3">
      <c r="I1578" s="126"/>
      <c r="O1578" s="126"/>
      <c r="Q1578" s="126"/>
      <c r="W1578" s="126"/>
      <c r="Y1578" s="126"/>
      <c r="AE1578" s="126"/>
      <c r="AG1578" s="126"/>
      <c r="AM1578" s="126"/>
    </row>
    <row r="1579" spans="9:39" x14ac:dyDescent="0.3">
      <c r="I1579" s="126"/>
      <c r="O1579" s="126"/>
      <c r="Q1579" s="126"/>
      <c r="W1579" s="126"/>
      <c r="Y1579" s="126"/>
      <c r="AE1579" s="126"/>
      <c r="AG1579" s="126"/>
      <c r="AM1579" s="126"/>
    </row>
    <row r="1580" spans="9:39" x14ac:dyDescent="0.3">
      <c r="I1580" s="126"/>
      <c r="O1580" s="126"/>
      <c r="Q1580" s="126"/>
      <c r="W1580" s="126"/>
      <c r="Y1580" s="126"/>
      <c r="AE1580" s="126"/>
      <c r="AG1580" s="126"/>
      <c r="AM1580" s="126"/>
    </row>
    <row r="1581" spans="9:39" x14ac:dyDescent="0.3">
      <c r="I1581" s="126"/>
      <c r="O1581" s="126"/>
      <c r="Q1581" s="126"/>
      <c r="W1581" s="126"/>
      <c r="Y1581" s="126"/>
      <c r="AE1581" s="126"/>
      <c r="AG1581" s="126"/>
      <c r="AM1581" s="126"/>
    </row>
    <row r="1582" spans="9:39" x14ac:dyDescent="0.3">
      <c r="I1582" s="126"/>
      <c r="O1582" s="126"/>
      <c r="Q1582" s="126"/>
      <c r="W1582" s="126"/>
      <c r="Y1582" s="126"/>
      <c r="AE1582" s="126"/>
      <c r="AG1582" s="126"/>
      <c r="AM1582" s="126"/>
    </row>
    <row r="1583" spans="9:39" x14ac:dyDescent="0.3">
      <c r="I1583" s="126"/>
      <c r="O1583" s="126"/>
      <c r="Q1583" s="126"/>
      <c r="W1583" s="126"/>
      <c r="Y1583" s="126"/>
      <c r="AE1583" s="126"/>
      <c r="AG1583" s="126"/>
      <c r="AM1583" s="126"/>
    </row>
    <row r="1584" spans="9:39" x14ac:dyDescent="0.3">
      <c r="I1584" s="126"/>
      <c r="O1584" s="126"/>
      <c r="Q1584" s="126"/>
      <c r="W1584" s="126"/>
      <c r="Y1584" s="126"/>
      <c r="AE1584" s="126"/>
      <c r="AG1584" s="126"/>
      <c r="AM1584" s="126"/>
    </row>
    <row r="1585" spans="9:39" x14ac:dyDescent="0.3">
      <c r="I1585" s="126"/>
      <c r="O1585" s="126"/>
      <c r="Q1585" s="126"/>
      <c r="W1585" s="126"/>
      <c r="Y1585" s="126"/>
      <c r="AE1585" s="126"/>
      <c r="AG1585" s="126"/>
      <c r="AM1585" s="126"/>
    </row>
    <row r="1586" spans="9:39" x14ac:dyDescent="0.3">
      <c r="I1586" s="126"/>
      <c r="O1586" s="126"/>
      <c r="Q1586" s="126"/>
      <c r="W1586" s="126"/>
      <c r="Y1586" s="126"/>
      <c r="AE1586" s="126"/>
      <c r="AG1586" s="126"/>
      <c r="AM1586" s="126"/>
    </row>
    <row r="1587" spans="9:39" x14ac:dyDescent="0.3">
      <c r="I1587" s="126"/>
      <c r="O1587" s="126"/>
      <c r="Q1587" s="126"/>
      <c r="W1587" s="126"/>
      <c r="Y1587" s="126"/>
      <c r="AE1587" s="126"/>
      <c r="AG1587" s="126"/>
      <c r="AM1587" s="126"/>
    </row>
    <row r="1588" spans="9:39" x14ac:dyDescent="0.3">
      <c r="I1588" s="126"/>
      <c r="O1588" s="126"/>
      <c r="Q1588" s="126"/>
      <c r="W1588" s="126"/>
      <c r="Y1588" s="126"/>
      <c r="AE1588" s="126"/>
      <c r="AG1588" s="126"/>
      <c r="AM1588" s="126"/>
    </row>
    <row r="1589" spans="9:39" x14ac:dyDescent="0.3">
      <c r="I1589" s="126"/>
      <c r="O1589" s="126"/>
      <c r="Q1589" s="126"/>
      <c r="W1589" s="126"/>
      <c r="Y1589" s="126"/>
      <c r="AE1589" s="126"/>
      <c r="AG1589" s="126"/>
      <c r="AM1589" s="126"/>
    </row>
    <row r="1590" spans="9:39" x14ac:dyDescent="0.3">
      <c r="I1590" s="126"/>
      <c r="O1590" s="126"/>
      <c r="Q1590" s="126"/>
      <c r="W1590" s="126"/>
      <c r="Y1590" s="126"/>
      <c r="AE1590" s="126"/>
      <c r="AG1590" s="126"/>
      <c r="AM1590" s="126"/>
    </row>
    <row r="1591" spans="9:39" x14ac:dyDescent="0.3">
      <c r="I1591" s="126"/>
      <c r="O1591" s="126"/>
      <c r="Q1591" s="126"/>
      <c r="W1591" s="126"/>
      <c r="Y1591" s="126"/>
      <c r="AE1591" s="126"/>
      <c r="AG1591" s="126"/>
      <c r="AM1591" s="126"/>
    </row>
    <row r="1592" spans="9:39" x14ac:dyDescent="0.3">
      <c r="I1592" s="126"/>
      <c r="O1592" s="126"/>
      <c r="Q1592" s="126"/>
      <c r="W1592" s="126"/>
      <c r="Y1592" s="126"/>
      <c r="AE1592" s="126"/>
      <c r="AG1592" s="126"/>
      <c r="AM1592" s="126"/>
    </row>
    <row r="1593" spans="9:39" x14ac:dyDescent="0.3">
      <c r="I1593" s="126"/>
      <c r="O1593" s="126"/>
      <c r="Q1593" s="126"/>
      <c r="W1593" s="126"/>
      <c r="Y1593" s="126"/>
      <c r="AE1593" s="126"/>
      <c r="AG1593" s="126"/>
      <c r="AM1593" s="126"/>
    </row>
    <row r="1594" spans="9:39" x14ac:dyDescent="0.3">
      <c r="I1594" s="126"/>
      <c r="O1594" s="126"/>
      <c r="Q1594" s="126"/>
      <c r="W1594" s="126"/>
      <c r="Y1594" s="126"/>
      <c r="AE1594" s="126"/>
      <c r="AG1594" s="126"/>
      <c r="AM1594" s="126"/>
    </row>
    <row r="1595" spans="9:39" x14ac:dyDescent="0.3">
      <c r="I1595" s="126"/>
      <c r="O1595" s="126"/>
      <c r="Q1595" s="126"/>
      <c r="W1595" s="126"/>
      <c r="Y1595" s="126"/>
      <c r="AE1595" s="126"/>
      <c r="AG1595" s="126"/>
      <c r="AM1595" s="126"/>
    </row>
    <row r="1596" spans="9:39" x14ac:dyDescent="0.3">
      <c r="I1596" s="126"/>
      <c r="O1596" s="126"/>
      <c r="Q1596" s="126"/>
      <c r="W1596" s="126"/>
      <c r="Y1596" s="126"/>
      <c r="AE1596" s="126"/>
      <c r="AG1596" s="126"/>
      <c r="AM1596" s="126"/>
    </row>
    <row r="1597" spans="9:39" x14ac:dyDescent="0.3">
      <c r="I1597" s="126"/>
      <c r="O1597" s="126"/>
      <c r="Q1597" s="126"/>
      <c r="W1597" s="126"/>
      <c r="Y1597" s="126"/>
      <c r="AE1597" s="126"/>
      <c r="AG1597" s="126"/>
      <c r="AM1597" s="126"/>
    </row>
    <row r="1598" spans="9:39" x14ac:dyDescent="0.3">
      <c r="I1598" s="126"/>
      <c r="O1598" s="126"/>
      <c r="Q1598" s="126"/>
      <c r="W1598" s="126"/>
      <c r="Y1598" s="126"/>
      <c r="AE1598" s="126"/>
      <c r="AG1598" s="126"/>
      <c r="AM1598" s="126"/>
    </row>
    <row r="1599" spans="9:39" x14ac:dyDescent="0.3">
      <c r="I1599" s="126"/>
      <c r="O1599" s="126"/>
      <c r="Q1599" s="126"/>
      <c r="W1599" s="126"/>
      <c r="Y1599" s="126"/>
      <c r="AE1599" s="126"/>
      <c r="AG1599" s="126"/>
      <c r="AM1599" s="126"/>
    </row>
    <row r="1600" spans="9:39" x14ac:dyDescent="0.3">
      <c r="I1600" s="126"/>
      <c r="O1600" s="126"/>
      <c r="Q1600" s="126"/>
      <c r="W1600" s="126"/>
      <c r="Y1600" s="126"/>
      <c r="AE1600" s="126"/>
      <c r="AG1600" s="126"/>
      <c r="AM1600" s="126"/>
    </row>
    <row r="1601" spans="9:39" x14ac:dyDescent="0.3">
      <c r="I1601" s="126"/>
      <c r="O1601" s="126"/>
      <c r="Q1601" s="126"/>
      <c r="W1601" s="126"/>
      <c r="Y1601" s="126"/>
      <c r="AE1601" s="126"/>
      <c r="AG1601" s="126"/>
      <c r="AM1601" s="126"/>
    </row>
    <row r="1602" spans="9:39" x14ac:dyDescent="0.3">
      <c r="I1602" s="126"/>
      <c r="O1602" s="126"/>
      <c r="Q1602" s="126"/>
      <c r="W1602" s="126"/>
      <c r="Y1602" s="126"/>
      <c r="AE1602" s="126"/>
      <c r="AG1602" s="126"/>
      <c r="AM1602" s="126"/>
    </row>
    <row r="1603" spans="9:39" x14ac:dyDescent="0.3">
      <c r="I1603" s="126"/>
      <c r="O1603" s="126"/>
      <c r="Q1603" s="126"/>
      <c r="W1603" s="126"/>
      <c r="Y1603" s="126"/>
      <c r="AE1603" s="126"/>
      <c r="AG1603" s="126"/>
      <c r="AM1603" s="126"/>
    </row>
    <row r="1604" spans="9:39" x14ac:dyDescent="0.3">
      <c r="I1604" s="126"/>
      <c r="O1604" s="126"/>
      <c r="Q1604" s="126"/>
      <c r="W1604" s="126"/>
      <c r="Y1604" s="126"/>
      <c r="AE1604" s="126"/>
      <c r="AG1604" s="126"/>
      <c r="AM1604" s="126"/>
    </row>
    <row r="1605" spans="9:39" x14ac:dyDescent="0.3">
      <c r="I1605" s="126"/>
      <c r="O1605" s="126"/>
      <c r="Q1605" s="126"/>
      <c r="W1605" s="126"/>
      <c r="Y1605" s="126"/>
      <c r="AE1605" s="126"/>
      <c r="AG1605" s="126"/>
      <c r="AM1605" s="126"/>
    </row>
    <row r="1606" spans="9:39" x14ac:dyDescent="0.3">
      <c r="I1606" s="126"/>
      <c r="O1606" s="126"/>
      <c r="Q1606" s="126"/>
      <c r="W1606" s="126"/>
      <c r="Y1606" s="126"/>
      <c r="AE1606" s="126"/>
      <c r="AG1606" s="126"/>
      <c r="AM1606" s="126"/>
    </row>
    <row r="1607" spans="9:39" x14ac:dyDescent="0.3">
      <c r="I1607" s="126"/>
      <c r="O1607" s="126"/>
      <c r="Q1607" s="126"/>
      <c r="W1607" s="126"/>
      <c r="Y1607" s="126"/>
      <c r="AE1607" s="126"/>
      <c r="AG1607" s="126"/>
      <c r="AM1607" s="126"/>
    </row>
    <row r="1608" spans="9:39" x14ac:dyDescent="0.3">
      <c r="I1608" s="126"/>
      <c r="O1608" s="126"/>
      <c r="Q1608" s="126"/>
      <c r="W1608" s="126"/>
      <c r="Y1608" s="126"/>
      <c r="AE1608" s="126"/>
      <c r="AG1608" s="126"/>
      <c r="AM1608" s="126"/>
    </row>
    <row r="1609" spans="9:39" x14ac:dyDescent="0.3">
      <c r="I1609" s="126"/>
      <c r="O1609" s="126"/>
      <c r="Q1609" s="126"/>
      <c r="W1609" s="126"/>
      <c r="Y1609" s="126"/>
      <c r="AE1609" s="126"/>
      <c r="AG1609" s="126"/>
      <c r="AM1609" s="126"/>
    </row>
    <row r="1610" spans="9:39" x14ac:dyDescent="0.3">
      <c r="I1610" s="126"/>
      <c r="O1610" s="126"/>
      <c r="Q1610" s="126"/>
      <c r="W1610" s="126"/>
      <c r="Y1610" s="126"/>
      <c r="AE1610" s="126"/>
      <c r="AG1610" s="126"/>
      <c r="AM1610" s="126"/>
    </row>
    <row r="1611" spans="9:39" x14ac:dyDescent="0.3">
      <c r="I1611" s="126"/>
      <c r="O1611" s="126"/>
      <c r="Q1611" s="126"/>
      <c r="W1611" s="126"/>
      <c r="Y1611" s="126"/>
      <c r="AE1611" s="126"/>
      <c r="AG1611" s="126"/>
      <c r="AM1611" s="126"/>
    </row>
    <row r="1612" spans="9:39" x14ac:dyDescent="0.3">
      <c r="I1612" s="126"/>
      <c r="O1612" s="126"/>
      <c r="Q1612" s="126"/>
      <c r="W1612" s="126"/>
      <c r="Y1612" s="126"/>
      <c r="AE1612" s="126"/>
      <c r="AG1612" s="126"/>
      <c r="AM1612" s="126"/>
    </row>
    <row r="1613" spans="9:39" x14ac:dyDescent="0.3">
      <c r="I1613" s="126"/>
      <c r="O1613" s="126"/>
      <c r="Q1613" s="126"/>
      <c r="W1613" s="126"/>
      <c r="Y1613" s="126"/>
      <c r="AE1613" s="126"/>
      <c r="AG1613" s="126"/>
      <c r="AM1613" s="126"/>
    </row>
    <row r="1614" spans="9:39" x14ac:dyDescent="0.3">
      <c r="I1614" s="126"/>
      <c r="O1614" s="126"/>
      <c r="Q1614" s="126"/>
      <c r="W1614" s="126"/>
      <c r="Y1614" s="126"/>
      <c r="AE1614" s="126"/>
      <c r="AG1614" s="126"/>
      <c r="AM1614" s="126"/>
    </row>
    <row r="1615" spans="9:39" x14ac:dyDescent="0.3">
      <c r="I1615" s="126"/>
      <c r="O1615" s="126"/>
      <c r="Q1615" s="126"/>
      <c r="W1615" s="126"/>
      <c r="Y1615" s="126"/>
      <c r="AE1615" s="126"/>
      <c r="AG1615" s="126"/>
      <c r="AM1615" s="126"/>
    </row>
    <row r="1616" spans="9:39" x14ac:dyDescent="0.3">
      <c r="I1616" s="126"/>
      <c r="O1616" s="126"/>
      <c r="Q1616" s="126"/>
      <c r="W1616" s="126"/>
      <c r="Y1616" s="126"/>
      <c r="AE1616" s="126"/>
      <c r="AG1616" s="126"/>
      <c r="AM1616" s="126"/>
    </row>
    <row r="1617" spans="9:39" x14ac:dyDescent="0.3">
      <c r="I1617" s="126"/>
      <c r="O1617" s="126"/>
      <c r="Q1617" s="126"/>
      <c r="W1617" s="126"/>
      <c r="Y1617" s="126"/>
      <c r="AE1617" s="126"/>
      <c r="AG1617" s="126"/>
      <c r="AM1617" s="126"/>
    </row>
    <row r="1618" spans="9:39" x14ac:dyDescent="0.3">
      <c r="I1618" s="126"/>
      <c r="O1618" s="126"/>
      <c r="Q1618" s="126"/>
      <c r="W1618" s="126"/>
      <c r="Y1618" s="126"/>
      <c r="AE1618" s="126"/>
      <c r="AG1618" s="126"/>
      <c r="AM1618" s="126"/>
    </row>
    <row r="1619" spans="9:39" x14ac:dyDescent="0.3">
      <c r="I1619" s="126"/>
      <c r="O1619" s="126"/>
      <c r="Q1619" s="126"/>
      <c r="W1619" s="126"/>
      <c r="Y1619" s="126"/>
      <c r="AE1619" s="126"/>
      <c r="AG1619" s="126"/>
      <c r="AM1619" s="126"/>
    </row>
    <row r="1620" spans="9:39" x14ac:dyDescent="0.3">
      <c r="I1620" s="126"/>
      <c r="O1620" s="126"/>
      <c r="Q1620" s="126"/>
      <c r="W1620" s="126"/>
      <c r="Y1620" s="126"/>
      <c r="AE1620" s="126"/>
      <c r="AG1620" s="126"/>
      <c r="AM1620" s="126"/>
    </row>
    <row r="1621" spans="9:39" x14ac:dyDescent="0.3">
      <c r="I1621" s="126"/>
      <c r="O1621" s="126"/>
      <c r="Q1621" s="126"/>
      <c r="W1621" s="126"/>
      <c r="Y1621" s="126"/>
      <c r="AE1621" s="126"/>
      <c r="AG1621" s="126"/>
      <c r="AM1621" s="126"/>
    </row>
    <row r="1622" spans="9:39" x14ac:dyDescent="0.3">
      <c r="I1622" s="126"/>
      <c r="O1622" s="126"/>
      <c r="Q1622" s="126"/>
      <c r="W1622" s="126"/>
      <c r="Y1622" s="126"/>
      <c r="AE1622" s="126"/>
      <c r="AG1622" s="126"/>
      <c r="AM1622" s="126"/>
    </row>
    <row r="1623" spans="9:39" x14ac:dyDescent="0.3">
      <c r="I1623" s="126"/>
      <c r="O1623" s="126"/>
      <c r="Q1623" s="126"/>
      <c r="W1623" s="126"/>
      <c r="Y1623" s="126"/>
      <c r="AE1623" s="126"/>
      <c r="AG1623" s="126"/>
      <c r="AM1623" s="126"/>
    </row>
    <row r="1624" spans="9:39" x14ac:dyDescent="0.3">
      <c r="I1624" s="126"/>
      <c r="O1624" s="126"/>
      <c r="Q1624" s="126"/>
      <c r="W1624" s="126"/>
      <c r="Y1624" s="126"/>
      <c r="AE1624" s="126"/>
      <c r="AG1624" s="126"/>
      <c r="AM1624" s="126"/>
    </row>
    <row r="1625" spans="9:39" x14ac:dyDescent="0.3">
      <c r="I1625" s="126"/>
      <c r="O1625" s="126"/>
      <c r="Q1625" s="126"/>
      <c r="W1625" s="126"/>
      <c r="Y1625" s="126"/>
      <c r="AE1625" s="126"/>
      <c r="AG1625" s="126"/>
      <c r="AM1625" s="126"/>
    </row>
    <row r="1626" spans="9:39" x14ac:dyDescent="0.3">
      <c r="I1626" s="126"/>
      <c r="O1626" s="126"/>
      <c r="Q1626" s="126"/>
      <c r="W1626" s="126"/>
      <c r="Y1626" s="126"/>
      <c r="AE1626" s="126"/>
      <c r="AG1626" s="126"/>
      <c r="AM1626" s="126"/>
    </row>
    <row r="1627" spans="9:39" x14ac:dyDescent="0.3">
      <c r="I1627" s="126"/>
      <c r="O1627" s="126"/>
      <c r="Q1627" s="126"/>
      <c r="W1627" s="126"/>
      <c r="Y1627" s="126"/>
      <c r="AE1627" s="126"/>
      <c r="AG1627" s="126"/>
      <c r="AM1627" s="126"/>
    </row>
    <row r="1628" spans="9:39" x14ac:dyDescent="0.3">
      <c r="I1628" s="126"/>
      <c r="O1628" s="126"/>
      <c r="Q1628" s="126"/>
      <c r="W1628" s="126"/>
      <c r="Y1628" s="126"/>
      <c r="AE1628" s="126"/>
      <c r="AG1628" s="126"/>
      <c r="AM1628" s="126"/>
    </row>
    <row r="1629" spans="9:39" x14ac:dyDescent="0.3">
      <c r="I1629" s="126"/>
      <c r="O1629" s="126"/>
      <c r="Q1629" s="126"/>
      <c r="W1629" s="126"/>
      <c r="Y1629" s="126"/>
      <c r="AE1629" s="126"/>
      <c r="AG1629" s="126"/>
      <c r="AM1629" s="126"/>
    </row>
    <row r="1630" spans="9:39" x14ac:dyDescent="0.3">
      <c r="I1630" s="126"/>
      <c r="O1630" s="126"/>
      <c r="Q1630" s="126"/>
      <c r="W1630" s="126"/>
      <c r="Y1630" s="126"/>
      <c r="AE1630" s="126"/>
      <c r="AG1630" s="126"/>
      <c r="AM1630" s="126"/>
    </row>
    <row r="1631" spans="9:39" x14ac:dyDescent="0.3">
      <c r="I1631" s="126"/>
      <c r="O1631" s="126"/>
      <c r="Q1631" s="126"/>
      <c r="W1631" s="126"/>
      <c r="Y1631" s="126"/>
      <c r="AE1631" s="126"/>
      <c r="AG1631" s="126"/>
      <c r="AM1631" s="126"/>
    </row>
    <row r="1632" spans="9:39" x14ac:dyDescent="0.3">
      <c r="I1632" s="126"/>
      <c r="O1632" s="126"/>
      <c r="Q1632" s="126"/>
      <c r="W1632" s="126"/>
      <c r="Y1632" s="126"/>
      <c r="AE1632" s="126"/>
      <c r="AG1632" s="126"/>
      <c r="AM1632" s="126"/>
    </row>
    <row r="1633" spans="9:39" x14ac:dyDescent="0.3">
      <c r="I1633" s="126"/>
      <c r="O1633" s="126"/>
      <c r="Q1633" s="126"/>
      <c r="W1633" s="126"/>
      <c r="Y1633" s="126"/>
      <c r="AE1633" s="126"/>
      <c r="AG1633" s="126"/>
      <c r="AM1633" s="126"/>
    </row>
    <row r="1634" spans="9:39" x14ac:dyDescent="0.3">
      <c r="I1634" s="126"/>
      <c r="O1634" s="126"/>
      <c r="Q1634" s="126"/>
      <c r="W1634" s="126"/>
      <c r="Y1634" s="126"/>
      <c r="AE1634" s="126"/>
      <c r="AG1634" s="126"/>
      <c r="AM1634" s="126"/>
    </row>
    <row r="1635" spans="9:39" x14ac:dyDescent="0.3">
      <c r="I1635" s="126"/>
      <c r="O1635" s="126"/>
      <c r="Q1635" s="126"/>
      <c r="W1635" s="126"/>
      <c r="Y1635" s="126"/>
      <c r="AE1635" s="126"/>
      <c r="AG1635" s="126"/>
      <c r="AM1635" s="126"/>
    </row>
    <row r="1636" spans="9:39" x14ac:dyDescent="0.3">
      <c r="I1636" s="126"/>
      <c r="O1636" s="126"/>
      <c r="Q1636" s="126"/>
      <c r="W1636" s="126"/>
      <c r="Y1636" s="126"/>
      <c r="AE1636" s="126"/>
      <c r="AG1636" s="126"/>
      <c r="AM1636" s="126"/>
    </row>
    <row r="1637" spans="9:39" x14ac:dyDescent="0.3">
      <c r="I1637" s="126"/>
      <c r="O1637" s="126"/>
      <c r="Q1637" s="126"/>
      <c r="W1637" s="126"/>
      <c r="Y1637" s="126"/>
      <c r="AE1637" s="126"/>
      <c r="AG1637" s="126"/>
      <c r="AM1637" s="126"/>
    </row>
    <row r="1638" spans="9:39" x14ac:dyDescent="0.3">
      <c r="I1638" s="126"/>
      <c r="O1638" s="126"/>
      <c r="Q1638" s="126"/>
      <c r="W1638" s="126"/>
      <c r="Y1638" s="126"/>
      <c r="AE1638" s="126"/>
      <c r="AG1638" s="126"/>
      <c r="AM1638" s="126"/>
    </row>
    <row r="1639" spans="9:39" x14ac:dyDescent="0.3">
      <c r="I1639" s="126"/>
      <c r="O1639" s="126"/>
      <c r="Q1639" s="126"/>
      <c r="W1639" s="126"/>
      <c r="Y1639" s="126"/>
      <c r="AE1639" s="126"/>
      <c r="AG1639" s="126"/>
      <c r="AM1639" s="126"/>
    </row>
    <row r="1640" spans="9:39" x14ac:dyDescent="0.3">
      <c r="I1640" s="126"/>
      <c r="O1640" s="126"/>
      <c r="Q1640" s="126"/>
      <c r="W1640" s="126"/>
      <c r="Y1640" s="126"/>
      <c r="AE1640" s="126"/>
      <c r="AG1640" s="126"/>
      <c r="AM1640" s="126"/>
    </row>
    <row r="1641" spans="9:39" x14ac:dyDescent="0.3">
      <c r="I1641" s="126"/>
      <c r="O1641" s="126"/>
      <c r="Q1641" s="126"/>
      <c r="W1641" s="126"/>
      <c r="Y1641" s="126"/>
      <c r="AE1641" s="126"/>
      <c r="AG1641" s="126"/>
      <c r="AM1641" s="126"/>
    </row>
    <row r="1642" spans="9:39" x14ac:dyDescent="0.3">
      <c r="I1642" s="126"/>
      <c r="O1642" s="126"/>
      <c r="Q1642" s="126"/>
      <c r="W1642" s="126"/>
      <c r="Y1642" s="126"/>
      <c r="AE1642" s="126"/>
      <c r="AG1642" s="126"/>
      <c r="AM1642" s="126"/>
    </row>
    <row r="1643" spans="9:39" x14ac:dyDescent="0.3">
      <c r="I1643" s="126"/>
      <c r="O1643" s="126"/>
      <c r="Q1643" s="126"/>
      <c r="W1643" s="126"/>
      <c r="Y1643" s="126"/>
      <c r="AE1643" s="126"/>
      <c r="AG1643" s="126"/>
      <c r="AM1643" s="126"/>
    </row>
    <row r="1644" spans="9:39" x14ac:dyDescent="0.3">
      <c r="I1644" s="126"/>
      <c r="O1644" s="126"/>
      <c r="Q1644" s="126"/>
      <c r="W1644" s="126"/>
      <c r="Y1644" s="126"/>
      <c r="AE1644" s="126"/>
      <c r="AG1644" s="126"/>
      <c r="AM1644" s="126"/>
    </row>
    <row r="1645" spans="9:39" x14ac:dyDescent="0.3">
      <c r="I1645" s="126"/>
      <c r="O1645" s="126"/>
      <c r="Q1645" s="126"/>
      <c r="W1645" s="126"/>
      <c r="Y1645" s="126"/>
      <c r="AE1645" s="126"/>
      <c r="AG1645" s="126"/>
      <c r="AM1645" s="126"/>
    </row>
    <row r="1646" spans="9:39" x14ac:dyDescent="0.3">
      <c r="I1646" s="126"/>
      <c r="O1646" s="126"/>
      <c r="Q1646" s="126"/>
      <c r="W1646" s="126"/>
      <c r="Y1646" s="126"/>
      <c r="AE1646" s="126"/>
      <c r="AG1646" s="126"/>
      <c r="AM1646" s="126"/>
    </row>
    <row r="1647" spans="9:39" x14ac:dyDescent="0.3">
      <c r="I1647" s="126"/>
      <c r="O1647" s="126"/>
      <c r="Q1647" s="126"/>
      <c r="W1647" s="126"/>
      <c r="Y1647" s="126"/>
      <c r="AE1647" s="126"/>
      <c r="AG1647" s="126"/>
      <c r="AM1647" s="126"/>
    </row>
    <row r="1648" spans="9:39" x14ac:dyDescent="0.3">
      <c r="I1648" s="126"/>
      <c r="O1648" s="126"/>
      <c r="Q1648" s="126"/>
      <c r="W1648" s="126"/>
      <c r="Y1648" s="126"/>
      <c r="AE1648" s="126"/>
      <c r="AG1648" s="126"/>
      <c r="AM1648" s="126"/>
    </row>
    <row r="1649" spans="9:39" x14ac:dyDescent="0.3">
      <c r="I1649" s="126"/>
      <c r="O1649" s="126"/>
      <c r="Q1649" s="126"/>
      <c r="W1649" s="126"/>
      <c r="Y1649" s="126"/>
      <c r="AE1649" s="126"/>
      <c r="AG1649" s="126"/>
      <c r="AM1649" s="126"/>
    </row>
    <row r="1650" spans="9:39" x14ac:dyDescent="0.3">
      <c r="I1650" s="126"/>
      <c r="O1650" s="126"/>
      <c r="Q1650" s="126"/>
      <c r="W1650" s="126"/>
      <c r="Y1650" s="126"/>
      <c r="AE1650" s="126"/>
      <c r="AG1650" s="126"/>
      <c r="AM1650" s="126"/>
    </row>
    <row r="1651" spans="9:39" x14ac:dyDescent="0.3">
      <c r="I1651" s="126"/>
      <c r="O1651" s="126"/>
      <c r="Q1651" s="126"/>
      <c r="W1651" s="126"/>
      <c r="Y1651" s="126"/>
      <c r="AE1651" s="126"/>
      <c r="AG1651" s="126"/>
      <c r="AM1651" s="126"/>
    </row>
    <row r="1652" spans="9:39" x14ac:dyDescent="0.3">
      <c r="I1652" s="126"/>
      <c r="O1652" s="126"/>
      <c r="Q1652" s="126"/>
      <c r="W1652" s="126"/>
      <c r="Y1652" s="126"/>
      <c r="AE1652" s="126"/>
      <c r="AG1652" s="126"/>
      <c r="AM1652" s="126"/>
    </row>
    <row r="1653" spans="9:39" x14ac:dyDescent="0.3">
      <c r="I1653" s="126"/>
      <c r="O1653" s="126"/>
      <c r="Q1653" s="126"/>
      <c r="W1653" s="126"/>
      <c r="Y1653" s="126"/>
      <c r="AE1653" s="126"/>
      <c r="AG1653" s="126"/>
      <c r="AM1653" s="126"/>
    </row>
    <row r="1654" spans="9:39" x14ac:dyDescent="0.3">
      <c r="I1654" s="126"/>
      <c r="O1654" s="126"/>
      <c r="Q1654" s="126"/>
      <c r="W1654" s="126"/>
      <c r="Y1654" s="126"/>
      <c r="AE1654" s="126"/>
      <c r="AG1654" s="126"/>
      <c r="AM1654" s="126"/>
    </row>
    <row r="1655" spans="9:39" x14ac:dyDescent="0.3">
      <c r="I1655" s="126"/>
      <c r="O1655" s="126"/>
      <c r="Q1655" s="126"/>
      <c r="W1655" s="126"/>
      <c r="Y1655" s="126"/>
      <c r="AE1655" s="126"/>
      <c r="AG1655" s="126"/>
      <c r="AM1655" s="126"/>
    </row>
    <row r="1656" spans="9:39" x14ac:dyDescent="0.3">
      <c r="I1656" s="126"/>
      <c r="O1656" s="126"/>
      <c r="Q1656" s="126"/>
      <c r="W1656" s="126"/>
      <c r="Y1656" s="126"/>
      <c r="AE1656" s="126"/>
      <c r="AG1656" s="126"/>
      <c r="AM1656" s="126"/>
    </row>
    <row r="1657" spans="9:39" x14ac:dyDescent="0.3">
      <c r="I1657" s="126"/>
      <c r="O1657" s="126"/>
      <c r="Q1657" s="126"/>
      <c r="W1657" s="126"/>
      <c r="Y1657" s="126"/>
      <c r="AE1657" s="126"/>
      <c r="AG1657" s="126"/>
      <c r="AM1657" s="126"/>
    </row>
    <row r="1658" spans="9:39" x14ac:dyDescent="0.3">
      <c r="I1658" s="126"/>
      <c r="O1658" s="126"/>
      <c r="Q1658" s="126"/>
      <c r="W1658" s="126"/>
      <c r="Y1658" s="126"/>
      <c r="AE1658" s="126"/>
      <c r="AG1658" s="126"/>
      <c r="AM1658" s="126"/>
    </row>
    <row r="1659" spans="9:39" x14ac:dyDescent="0.3">
      <c r="I1659" s="126"/>
      <c r="O1659" s="126"/>
      <c r="Q1659" s="126"/>
      <c r="W1659" s="126"/>
      <c r="Y1659" s="126"/>
      <c r="AE1659" s="126"/>
      <c r="AG1659" s="126"/>
      <c r="AM1659" s="126"/>
    </row>
    <row r="1660" spans="9:39" x14ac:dyDescent="0.3">
      <c r="I1660" s="126"/>
      <c r="O1660" s="126"/>
      <c r="Q1660" s="126"/>
      <c r="W1660" s="126"/>
      <c r="Y1660" s="126"/>
      <c r="AE1660" s="126"/>
      <c r="AG1660" s="126"/>
      <c r="AM1660" s="126"/>
    </row>
    <row r="1661" spans="9:39" x14ac:dyDescent="0.3">
      <c r="I1661" s="126"/>
      <c r="O1661" s="126"/>
      <c r="Q1661" s="126"/>
      <c r="W1661" s="126"/>
      <c r="Y1661" s="126"/>
      <c r="AE1661" s="126"/>
      <c r="AG1661" s="126"/>
      <c r="AM1661" s="126"/>
    </row>
    <row r="1662" spans="9:39" x14ac:dyDescent="0.3">
      <c r="I1662" s="126"/>
      <c r="O1662" s="126"/>
      <c r="Q1662" s="126"/>
      <c r="W1662" s="126"/>
      <c r="Y1662" s="126"/>
      <c r="AE1662" s="126"/>
      <c r="AG1662" s="126"/>
      <c r="AM1662" s="126"/>
    </row>
    <row r="1663" spans="9:39" x14ac:dyDescent="0.3">
      <c r="I1663" s="126"/>
      <c r="O1663" s="126"/>
      <c r="Q1663" s="126"/>
      <c r="W1663" s="126"/>
      <c r="Y1663" s="126"/>
      <c r="AE1663" s="126"/>
      <c r="AG1663" s="126"/>
      <c r="AM1663" s="126"/>
    </row>
    <row r="1664" spans="9:39" x14ac:dyDescent="0.3">
      <c r="I1664" s="126"/>
      <c r="O1664" s="126"/>
      <c r="Q1664" s="126"/>
      <c r="W1664" s="126"/>
      <c r="Y1664" s="126"/>
      <c r="AE1664" s="126"/>
      <c r="AG1664" s="126"/>
      <c r="AM1664" s="126"/>
    </row>
    <row r="1665" spans="9:39" x14ac:dyDescent="0.3">
      <c r="I1665" s="126"/>
      <c r="O1665" s="126"/>
      <c r="Q1665" s="126"/>
      <c r="W1665" s="126"/>
      <c r="Y1665" s="126"/>
      <c r="AE1665" s="126"/>
      <c r="AG1665" s="126"/>
      <c r="AM1665" s="126"/>
    </row>
    <row r="1666" spans="9:39" x14ac:dyDescent="0.3">
      <c r="I1666" s="126"/>
      <c r="O1666" s="126"/>
      <c r="Q1666" s="126"/>
      <c r="W1666" s="126"/>
      <c r="Y1666" s="126"/>
      <c r="AE1666" s="126"/>
      <c r="AG1666" s="126"/>
      <c r="AM1666" s="126"/>
    </row>
    <row r="1667" spans="9:39" x14ac:dyDescent="0.3">
      <c r="I1667" s="126"/>
      <c r="O1667" s="126"/>
      <c r="Q1667" s="126"/>
      <c r="W1667" s="126"/>
      <c r="Y1667" s="126"/>
      <c r="AE1667" s="126"/>
      <c r="AG1667" s="126"/>
      <c r="AM1667" s="126"/>
    </row>
    <row r="1668" spans="9:39" x14ac:dyDescent="0.3">
      <c r="I1668" s="126"/>
      <c r="O1668" s="126"/>
      <c r="Q1668" s="126"/>
      <c r="W1668" s="126"/>
      <c r="Y1668" s="126"/>
      <c r="AE1668" s="126"/>
      <c r="AG1668" s="126"/>
      <c r="AM1668" s="126"/>
    </row>
    <row r="1669" spans="9:39" x14ac:dyDescent="0.3">
      <c r="I1669" s="126"/>
      <c r="O1669" s="126"/>
      <c r="Q1669" s="126"/>
      <c r="W1669" s="126"/>
      <c r="Y1669" s="126"/>
      <c r="AE1669" s="126"/>
      <c r="AG1669" s="126"/>
      <c r="AM1669" s="126"/>
    </row>
    <row r="1670" spans="9:39" x14ac:dyDescent="0.3">
      <c r="I1670" s="126"/>
      <c r="O1670" s="126"/>
      <c r="Q1670" s="126"/>
      <c r="W1670" s="126"/>
      <c r="Y1670" s="126"/>
      <c r="AE1670" s="126"/>
      <c r="AG1670" s="126"/>
      <c r="AM1670" s="126"/>
    </row>
    <row r="1671" spans="9:39" x14ac:dyDescent="0.3">
      <c r="I1671" s="126"/>
      <c r="O1671" s="126"/>
      <c r="Q1671" s="126"/>
      <c r="W1671" s="126"/>
      <c r="Y1671" s="126"/>
      <c r="AE1671" s="126"/>
      <c r="AG1671" s="126"/>
      <c r="AM1671" s="126"/>
    </row>
    <row r="1672" spans="9:39" x14ac:dyDescent="0.3">
      <c r="I1672" s="126"/>
      <c r="O1672" s="126"/>
      <c r="Q1672" s="126"/>
      <c r="W1672" s="126"/>
      <c r="Y1672" s="126"/>
      <c r="AE1672" s="126"/>
      <c r="AG1672" s="126"/>
      <c r="AM1672" s="126"/>
    </row>
    <row r="1673" spans="9:39" x14ac:dyDescent="0.3">
      <c r="I1673" s="126"/>
      <c r="O1673" s="126"/>
      <c r="Q1673" s="126"/>
      <c r="W1673" s="126"/>
      <c r="Y1673" s="126"/>
      <c r="AE1673" s="126"/>
      <c r="AG1673" s="126"/>
      <c r="AM1673" s="126"/>
    </row>
    <row r="1674" spans="9:39" x14ac:dyDescent="0.3">
      <c r="I1674" s="126"/>
      <c r="O1674" s="126"/>
      <c r="Q1674" s="126"/>
      <c r="W1674" s="126"/>
      <c r="Y1674" s="126"/>
      <c r="AE1674" s="126"/>
      <c r="AG1674" s="126"/>
      <c r="AM1674" s="126"/>
    </row>
    <row r="1675" spans="9:39" x14ac:dyDescent="0.3">
      <c r="I1675" s="126"/>
      <c r="O1675" s="126"/>
      <c r="Q1675" s="126"/>
      <c r="W1675" s="126"/>
      <c r="Y1675" s="126"/>
      <c r="AE1675" s="126"/>
      <c r="AG1675" s="126"/>
      <c r="AM1675" s="126"/>
    </row>
    <row r="1676" spans="9:39" x14ac:dyDescent="0.3">
      <c r="I1676" s="126"/>
      <c r="O1676" s="126"/>
      <c r="Q1676" s="126"/>
      <c r="W1676" s="126"/>
      <c r="Y1676" s="126"/>
      <c r="AE1676" s="126"/>
      <c r="AG1676" s="126"/>
      <c r="AM1676" s="126"/>
    </row>
    <row r="1677" spans="9:39" x14ac:dyDescent="0.3">
      <c r="I1677" s="126"/>
      <c r="O1677" s="126"/>
      <c r="Q1677" s="126"/>
      <c r="W1677" s="126"/>
      <c r="Y1677" s="126"/>
      <c r="AE1677" s="126"/>
      <c r="AG1677" s="126"/>
      <c r="AM1677" s="126"/>
    </row>
    <row r="1678" spans="9:39" x14ac:dyDescent="0.3">
      <c r="I1678" s="126"/>
      <c r="O1678" s="126"/>
      <c r="Q1678" s="126"/>
      <c r="W1678" s="126"/>
      <c r="Y1678" s="126"/>
      <c r="AE1678" s="126"/>
      <c r="AG1678" s="126"/>
      <c r="AM1678" s="126"/>
    </row>
    <row r="1679" spans="9:39" x14ac:dyDescent="0.3">
      <c r="I1679" s="126"/>
      <c r="O1679" s="126"/>
      <c r="Q1679" s="126"/>
      <c r="W1679" s="126"/>
      <c r="Y1679" s="126"/>
      <c r="AE1679" s="126"/>
      <c r="AG1679" s="126"/>
      <c r="AM1679" s="126"/>
    </row>
    <row r="1680" spans="9:39" x14ac:dyDescent="0.3">
      <c r="I1680" s="126"/>
      <c r="O1680" s="126"/>
      <c r="Q1680" s="126"/>
      <c r="W1680" s="126"/>
      <c r="Y1680" s="126"/>
      <c r="AE1680" s="126"/>
      <c r="AG1680" s="126"/>
      <c r="AM1680" s="126"/>
    </row>
    <row r="1681" spans="9:39" x14ac:dyDescent="0.3">
      <c r="I1681" s="126"/>
      <c r="O1681" s="126"/>
      <c r="Q1681" s="126"/>
      <c r="W1681" s="126"/>
      <c r="Y1681" s="126"/>
      <c r="AE1681" s="126"/>
      <c r="AG1681" s="126"/>
      <c r="AM1681" s="126"/>
    </row>
    <row r="1682" spans="9:39" x14ac:dyDescent="0.3">
      <c r="I1682" s="126"/>
      <c r="O1682" s="126"/>
      <c r="Q1682" s="126"/>
      <c r="W1682" s="126"/>
      <c r="Y1682" s="126"/>
      <c r="AE1682" s="126"/>
      <c r="AG1682" s="126"/>
      <c r="AM1682" s="126"/>
    </row>
    <row r="1683" spans="9:39" x14ac:dyDescent="0.3">
      <c r="I1683" s="126"/>
      <c r="O1683" s="126"/>
      <c r="Q1683" s="126"/>
      <c r="W1683" s="126"/>
      <c r="Y1683" s="126"/>
      <c r="AE1683" s="126"/>
      <c r="AG1683" s="126"/>
      <c r="AM1683" s="126"/>
    </row>
    <row r="1684" spans="9:39" x14ac:dyDescent="0.3">
      <c r="I1684" s="126"/>
      <c r="O1684" s="126"/>
      <c r="Q1684" s="126"/>
      <c r="W1684" s="126"/>
      <c r="Y1684" s="126"/>
      <c r="AE1684" s="126"/>
      <c r="AG1684" s="126"/>
      <c r="AM1684" s="126"/>
    </row>
    <row r="1685" spans="9:39" x14ac:dyDescent="0.3">
      <c r="I1685" s="126"/>
      <c r="O1685" s="126"/>
      <c r="Q1685" s="126"/>
      <c r="W1685" s="126"/>
      <c r="Y1685" s="126"/>
      <c r="AE1685" s="126"/>
      <c r="AG1685" s="126"/>
      <c r="AM1685" s="126"/>
    </row>
    <row r="1686" spans="9:39" x14ac:dyDescent="0.3">
      <c r="I1686" s="126"/>
      <c r="O1686" s="126"/>
      <c r="Q1686" s="126"/>
      <c r="W1686" s="126"/>
      <c r="Y1686" s="126"/>
      <c r="AE1686" s="126"/>
      <c r="AG1686" s="126"/>
      <c r="AM1686" s="126"/>
    </row>
    <row r="1687" spans="9:39" x14ac:dyDescent="0.3">
      <c r="I1687" s="126"/>
      <c r="O1687" s="126"/>
      <c r="Q1687" s="126"/>
      <c r="W1687" s="126"/>
      <c r="Y1687" s="126"/>
      <c r="AE1687" s="126"/>
      <c r="AG1687" s="126"/>
      <c r="AM1687" s="126"/>
    </row>
    <row r="1688" spans="9:39" x14ac:dyDescent="0.3">
      <c r="I1688" s="126"/>
      <c r="O1688" s="126"/>
      <c r="Q1688" s="126"/>
      <c r="W1688" s="126"/>
      <c r="Y1688" s="126"/>
      <c r="AE1688" s="126"/>
      <c r="AG1688" s="126"/>
      <c r="AM1688" s="126"/>
    </row>
    <row r="1689" spans="9:39" x14ac:dyDescent="0.3">
      <c r="I1689" s="126"/>
      <c r="O1689" s="126"/>
      <c r="Q1689" s="126"/>
      <c r="W1689" s="126"/>
      <c r="Y1689" s="126"/>
      <c r="AE1689" s="126"/>
      <c r="AG1689" s="126"/>
      <c r="AM1689" s="126"/>
    </row>
    <row r="1690" spans="9:39" x14ac:dyDescent="0.3">
      <c r="I1690" s="126"/>
      <c r="O1690" s="126"/>
      <c r="Q1690" s="126"/>
      <c r="W1690" s="126"/>
      <c r="Y1690" s="126"/>
      <c r="AE1690" s="126"/>
      <c r="AG1690" s="126"/>
      <c r="AM1690" s="126"/>
    </row>
    <row r="1691" spans="9:39" x14ac:dyDescent="0.3">
      <c r="I1691" s="126"/>
      <c r="O1691" s="126"/>
      <c r="Q1691" s="126"/>
      <c r="W1691" s="126"/>
      <c r="Y1691" s="126"/>
      <c r="AE1691" s="126"/>
      <c r="AG1691" s="126"/>
      <c r="AM1691" s="126"/>
    </row>
    <row r="1692" spans="9:39" x14ac:dyDescent="0.3">
      <c r="I1692" s="126"/>
      <c r="O1692" s="126"/>
      <c r="Q1692" s="126"/>
      <c r="W1692" s="126"/>
      <c r="Y1692" s="126"/>
      <c r="AE1692" s="126"/>
      <c r="AG1692" s="126"/>
      <c r="AM1692" s="126"/>
    </row>
    <row r="1693" spans="9:39" x14ac:dyDescent="0.3">
      <c r="I1693" s="126"/>
      <c r="O1693" s="126"/>
      <c r="Q1693" s="126"/>
      <c r="W1693" s="126"/>
      <c r="Y1693" s="126"/>
      <c r="AE1693" s="126"/>
      <c r="AG1693" s="126"/>
      <c r="AM1693" s="126"/>
    </row>
    <row r="1694" spans="9:39" x14ac:dyDescent="0.3">
      <c r="I1694" s="126"/>
      <c r="O1694" s="126"/>
      <c r="Q1694" s="126"/>
      <c r="W1694" s="126"/>
      <c r="Y1694" s="126"/>
      <c r="AE1694" s="126"/>
      <c r="AG1694" s="126"/>
      <c r="AM1694" s="126"/>
    </row>
    <row r="1695" spans="9:39" x14ac:dyDescent="0.3">
      <c r="I1695" s="126"/>
      <c r="O1695" s="126"/>
      <c r="Q1695" s="126"/>
      <c r="W1695" s="126"/>
      <c r="Y1695" s="126"/>
      <c r="AE1695" s="126"/>
      <c r="AG1695" s="126"/>
      <c r="AM1695" s="126"/>
    </row>
    <row r="1696" spans="9:39" x14ac:dyDescent="0.3">
      <c r="I1696" s="126"/>
      <c r="O1696" s="126"/>
      <c r="Q1696" s="126"/>
      <c r="W1696" s="126"/>
      <c r="Y1696" s="126"/>
      <c r="AE1696" s="126"/>
      <c r="AG1696" s="126"/>
      <c r="AM1696" s="126"/>
    </row>
    <row r="1697" spans="9:39" x14ac:dyDescent="0.3">
      <c r="I1697" s="126"/>
      <c r="O1697" s="126"/>
      <c r="Q1697" s="126"/>
      <c r="W1697" s="126"/>
      <c r="Y1697" s="126"/>
      <c r="AE1697" s="126"/>
      <c r="AG1697" s="126"/>
      <c r="AM1697" s="126"/>
    </row>
    <row r="1698" spans="9:39" x14ac:dyDescent="0.3">
      <c r="I1698" s="126"/>
      <c r="O1698" s="126"/>
      <c r="Q1698" s="126"/>
      <c r="W1698" s="126"/>
      <c r="Y1698" s="126"/>
      <c r="AE1698" s="126"/>
      <c r="AG1698" s="126"/>
      <c r="AM1698" s="126"/>
    </row>
    <row r="1699" spans="9:39" x14ac:dyDescent="0.3">
      <c r="I1699" s="126"/>
      <c r="O1699" s="126"/>
      <c r="Q1699" s="126"/>
      <c r="W1699" s="126"/>
      <c r="Y1699" s="126"/>
      <c r="AE1699" s="126"/>
      <c r="AG1699" s="126"/>
      <c r="AM1699" s="126"/>
    </row>
    <row r="1700" spans="9:39" x14ac:dyDescent="0.3">
      <c r="I1700" s="126"/>
      <c r="O1700" s="126"/>
      <c r="Q1700" s="126"/>
      <c r="W1700" s="126"/>
      <c r="Y1700" s="126"/>
      <c r="AE1700" s="126"/>
      <c r="AG1700" s="126"/>
      <c r="AM1700" s="126"/>
    </row>
    <row r="1701" spans="9:39" x14ac:dyDescent="0.3">
      <c r="I1701" s="126"/>
      <c r="O1701" s="126"/>
      <c r="Q1701" s="126"/>
      <c r="W1701" s="126"/>
      <c r="Y1701" s="126"/>
      <c r="AE1701" s="126"/>
      <c r="AG1701" s="126"/>
      <c r="AM1701" s="126"/>
    </row>
    <row r="1702" spans="9:39" x14ac:dyDescent="0.3">
      <c r="I1702" s="126"/>
      <c r="O1702" s="126"/>
      <c r="Q1702" s="126"/>
      <c r="W1702" s="126"/>
      <c r="Y1702" s="126"/>
      <c r="AE1702" s="126"/>
      <c r="AG1702" s="126"/>
      <c r="AM1702" s="126"/>
    </row>
    <row r="1703" spans="9:39" x14ac:dyDescent="0.3">
      <c r="I1703" s="126"/>
      <c r="O1703" s="126"/>
      <c r="Q1703" s="126"/>
      <c r="W1703" s="126"/>
      <c r="Y1703" s="126"/>
      <c r="AE1703" s="126"/>
      <c r="AG1703" s="126"/>
      <c r="AM1703" s="126"/>
    </row>
    <row r="1704" spans="9:39" x14ac:dyDescent="0.3">
      <c r="I1704" s="126"/>
      <c r="O1704" s="126"/>
      <c r="Q1704" s="126"/>
      <c r="W1704" s="126"/>
      <c r="Y1704" s="126"/>
      <c r="AE1704" s="126"/>
      <c r="AG1704" s="126"/>
      <c r="AM1704" s="126"/>
    </row>
    <row r="1705" spans="9:39" x14ac:dyDescent="0.3">
      <c r="I1705" s="126"/>
      <c r="O1705" s="126"/>
      <c r="Q1705" s="126"/>
      <c r="W1705" s="126"/>
      <c r="Y1705" s="126"/>
      <c r="AE1705" s="126"/>
      <c r="AG1705" s="126"/>
      <c r="AM1705" s="126"/>
    </row>
    <row r="1706" spans="9:39" x14ac:dyDescent="0.3">
      <c r="I1706" s="126"/>
      <c r="O1706" s="126"/>
      <c r="Q1706" s="126"/>
      <c r="W1706" s="126"/>
      <c r="Y1706" s="126"/>
      <c r="AE1706" s="126"/>
      <c r="AG1706" s="126"/>
      <c r="AM1706" s="126"/>
    </row>
    <row r="1707" spans="9:39" x14ac:dyDescent="0.3">
      <c r="I1707" s="126"/>
      <c r="O1707" s="126"/>
      <c r="Q1707" s="126"/>
      <c r="W1707" s="126"/>
      <c r="Y1707" s="126"/>
      <c r="AE1707" s="126"/>
      <c r="AG1707" s="126"/>
      <c r="AM1707" s="126"/>
    </row>
    <row r="1708" spans="9:39" x14ac:dyDescent="0.3">
      <c r="I1708" s="126"/>
      <c r="O1708" s="126"/>
      <c r="Q1708" s="126"/>
      <c r="W1708" s="126"/>
      <c r="Y1708" s="126"/>
      <c r="AE1708" s="126"/>
      <c r="AG1708" s="126"/>
      <c r="AM1708" s="126"/>
    </row>
    <row r="1709" spans="9:39" x14ac:dyDescent="0.3">
      <c r="I1709" s="126"/>
      <c r="O1709" s="126"/>
      <c r="Q1709" s="126"/>
      <c r="W1709" s="126"/>
      <c r="Y1709" s="126"/>
      <c r="AE1709" s="126"/>
      <c r="AG1709" s="126"/>
      <c r="AM1709" s="126"/>
    </row>
    <row r="1710" spans="9:39" x14ac:dyDescent="0.3">
      <c r="I1710" s="126"/>
      <c r="O1710" s="126"/>
      <c r="Q1710" s="126"/>
      <c r="W1710" s="126"/>
      <c r="Y1710" s="126"/>
      <c r="AE1710" s="126"/>
      <c r="AG1710" s="126"/>
      <c r="AM1710" s="126"/>
    </row>
    <row r="1711" spans="9:39" x14ac:dyDescent="0.3">
      <c r="I1711" s="126"/>
      <c r="O1711" s="126"/>
      <c r="Q1711" s="126"/>
      <c r="W1711" s="126"/>
      <c r="Y1711" s="126"/>
      <c r="AE1711" s="126"/>
      <c r="AG1711" s="126"/>
      <c r="AM1711" s="126"/>
    </row>
    <row r="1712" spans="9:39" x14ac:dyDescent="0.3">
      <c r="I1712" s="126"/>
      <c r="O1712" s="126"/>
      <c r="Q1712" s="126"/>
      <c r="W1712" s="126"/>
      <c r="Y1712" s="126"/>
      <c r="AE1712" s="126"/>
      <c r="AG1712" s="126"/>
      <c r="AM1712" s="126"/>
    </row>
    <row r="1713" spans="9:39" x14ac:dyDescent="0.3">
      <c r="I1713" s="126"/>
      <c r="O1713" s="126"/>
      <c r="Q1713" s="126"/>
      <c r="W1713" s="126"/>
      <c r="Y1713" s="126"/>
      <c r="AE1713" s="126"/>
      <c r="AG1713" s="126"/>
      <c r="AM1713" s="126"/>
    </row>
    <row r="1714" spans="9:39" x14ac:dyDescent="0.3">
      <c r="I1714" s="126"/>
      <c r="O1714" s="126"/>
      <c r="Q1714" s="126"/>
      <c r="W1714" s="126"/>
      <c r="Y1714" s="126"/>
      <c r="AE1714" s="126"/>
      <c r="AG1714" s="126"/>
      <c r="AM1714" s="126"/>
    </row>
    <row r="1715" spans="9:39" x14ac:dyDescent="0.3">
      <c r="I1715" s="126"/>
      <c r="O1715" s="126"/>
      <c r="Q1715" s="126"/>
      <c r="W1715" s="126"/>
      <c r="Y1715" s="126"/>
      <c r="AE1715" s="126"/>
      <c r="AG1715" s="126"/>
      <c r="AM1715" s="126"/>
    </row>
    <row r="1716" spans="9:39" x14ac:dyDescent="0.3">
      <c r="I1716" s="126"/>
      <c r="O1716" s="126"/>
      <c r="Q1716" s="126"/>
      <c r="W1716" s="126"/>
      <c r="Y1716" s="126"/>
      <c r="AE1716" s="126"/>
      <c r="AG1716" s="126"/>
      <c r="AM1716" s="126"/>
    </row>
    <row r="1717" spans="9:39" x14ac:dyDescent="0.3">
      <c r="I1717" s="126"/>
      <c r="O1717" s="126"/>
      <c r="Q1717" s="126"/>
      <c r="W1717" s="126"/>
      <c r="Y1717" s="126"/>
      <c r="AE1717" s="126"/>
      <c r="AG1717" s="126"/>
      <c r="AM1717" s="126"/>
    </row>
    <row r="1718" spans="9:39" x14ac:dyDescent="0.3">
      <c r="I1718" s="126"/>
      <c r="O1718" s="126"/>
      <c r="Q1718" s="126"/>
      <c r="W1718" s="126"/>
      <c r="Y1718" s="126"/>
      <c r="AE1718" s="126"/>
      <c r="AG1718" s="126"/>
      <c r="AM1718" s="126"/>
    </row>
    <row r="1719" spans="9:39" x14ac:dyDescent="0.3">
      <c r="I1719" s="126"/>
      <c r="O1719" s="126"/>
      <c r="Q1719" s="126"/>
      <c r="W1719" s="126"/>
      <c r="Y1719" s="126"/>
      <c r="AE1719" s="126"/>
      <c r="AG1719" s="126"/>
      <c r="AM1719" s="126"/>
    </row>
    <row r="1720" spans="9:39" x14ac:dyDescent="0.3">
      <c r="I1720" s="126"/>
      <c r="O1720" s="126"/>
      <c r="Q1720" s="126"/>
      <c r="W1720" s="126"/>
      <c r="Y1720" s="126"/>
      <c r="AE1720" s="126"/>
      <c r="AG1720" s="126"/>
      <c r="AM1720" s="126"/>
    </row>
    <row r="1721" spans="9:39" x14ac:dyDescent="0.3">
      <c r="I1721" s="126"/>
      <c r="O1721" s="126"/>
      <c r="Q1721" s="126"/>
      <c r="W1721" s="126"/>
      <c r="Y1721" s="126"/>
      <c r="AE1721" s="126"/>
      <c r="AG1721" s="126"/>
      <c r="AM1721" s="126"/>
    </row>
    <row r="1722" spans="9:39" x14ac:dyDescent="0.3">
      <c r="I1722" s="126"/>
      <c r="O1722" s="126"/>
      <c r="Q1722" s="126"/>
      <c r="W1722" s="126"/>
      <c r="Y1722" s="126"/>
      <c r="AE1722" s="126"/>
      <c r="AG1722" s="126"/>
      <c r="AM1722" s="126"/>
    </row>
    <row r="1723" spans="9:39" x14ac:dyDescent="0.3">
      <c r="I1723" s="126"/>
      <c r="O1723" s="126"/>
      <c r="Q1723" s="126"/>
      <c r="W1723" s="126"/>
      <c r="Y1723" s="126"/>
      <c r="AE1723" s="126"/>
      <c r="AG1723" s="126"/>
      <c r="AM1723" s="126"/>
    </row>
    <row r="1724" spans="9:39" x14ac:dyDescent="0.3">
      <c r="I1724" s="126"/>
      <c r="O1724" s="126"/>
      <c r="Q1724" s="126"/>
      <c r="W1724" s="126"/>
      <c r="Y1724" s="126"/>
      <c r="AE1724" s="126"/>
      <c r="AG1724" s="126"/>
      <c r="AM1724" s="126"/>
    </row>
    <row r="1725" spans="9:39" x14ac:dyDescent="0.3">
      <c r="I1725" s="126"/>
      <c r="O1725" s="126"/>
      <c r="Q1725" s="126"/>
      <c r="W1725" s="126"/>
      <c r="Y1725" s="126"/>
      <c r="AE1725" s="126"/>
      <c r="AG1725" s="126"/>
      <c r="AM1725" s="126"/>
    </row>
    <row r="1726" spans="9:39" x14ac:dyDescent="0.3">
      <c r="I1726" s="126"/>
      <c r="O1726" s="126"/>
      <c r="Q1726" s="126"/>
      <c r="W1726" s="126"/>
      <c r="Y1726" s="126"/>
      <c r="AE1726" s="126"/>
      <c r="AG1726" s="126"/>
      <c r="AM1726" s="126"/>
    </row>
    <row r="1727" spans="9:39" x14ac:dyDescent="0.3">
      <c r="I1727" s="126"/>
      <c r="O1727" s="126"/>
      <c r="Q1727" s="126"/>
      <c r="W1727" s="126"/>
      <c r="Y1727" s="126"/>
      <c r="AE1727" s="126"/>
      <c r="AG1727" s="126"/>
      <c r="AM1727" s="126"/>
    </row>
    <row r="1728" spans="9:39" x14ac:dyDescent="0.3">
      <c r="I1728" s="126"/>
      <c r="O1728" s="126"/>
      <c r="Q1728" s="126"/>
      <c r="W1728" s="126"/>
      <c r="Y1728" s="126"/>
      <c r="AE1728" s="126"/>
      <c r="AG1728" s="126"/>
      <c r="AM1728" s="126"/>
    </row>
    <row r="1729" spans="9:39" x14ac:dyDescent="0.3">
      <c r="I1729" s="126"/>
      <c r="O1729" s="126"/>
      <c r="Q1729" s="126"/>
      <c r="W1729" s="126"/>
      <c r="Y1729" s="126"/>
      <c r="AE1729" s="126"/>
      <c r="AG1729" s="126"/>
      <c r="AM1729" s="126"/>
    </row>
    <row r="1730" spans="9:39" x14ac:dyDescent="0.3">
      <c r="I1730" s="126"/>
      <c r="O1730" s="126"/>
      <c r="Q1730" s="126"/>
      <c r="W1730" s="126"/>
      <c r="Y1730" s="126"/>
      <c r="AE1730" s="126"/>
      <c r="AG1730" s="126"/>
      <c r="AM1730" s="126"/>
    </row>
    <row r="1731" spans="9:39" x14ac:dyDescent="0.3">
      <c r="I1731" s="126"/>
      <c r="O1731" s="126"/>
      <c r="Q1731" s="126"/>
      <c r="W1731" s="126"/>
      <c r="Y1731" s="126"/>
      <c r="AE1731" s="126"/>
      <c r="AG1731" s="126"/>
      <c r="AM1731" s="126"/>
    </row>
    <row r="1732" spans="9:39" x14ac:dyDescent="0.3">
      <c r="I1732" s="126"/>
      <c r="O1732" s="126"/>
      <c r="Q1732" s="126"/>
      <c r="W1732" s="126"/>
      <c r="Y1732" s="126"/>
      <c r="AE1732" s="126"/>
      <c r="AG1732" s="126"/>
      <c r="AM1732" s="126"/>
    </row>
    <row r="1733" spans="9:39" x14ac:dyDescent="0.3">
      <c r="I1733" s="126"/>
      <c r="O1733" s="126"/>
      <c r="Q1733" s="126"/>
      <c r="W1733" s="126"/>
      <c r="Y1733" s="126"/>
      <c r="AE1733" s="126"/>
      <c r="AG1733" s="126"/>
      <c r="AM1733" s="126"/>
    </row>
    <row r="1734" spans="9:39" x14ac:dyDescent="0.3">
      <c r="I1734" s="126"/>
      <c r="O1734" s="126"/>
      <c r="Q1734" s="126"/>
      <c r="W1734" s="126"/>
      <c r="Y1734" s="126"/>
      <c r="AE1734" s="126"/>
      <c r="AG1734" s="126"/>
      <c r="AM1734" s="126"/>
    </row>
    <row r="1735" spans="9:39" x14ac:dyDescent="0.3">
      <c r="I1735" s="126"/>
      <c r="O1735" s="126"/>
      <c r="Q1735" s="126"/>
      <c r="W1735" s="126"/>
      <c r="Y1735" s="126"/>
      <c r="AE1735" s="126"/>
      <c r="AG1735" s="126"/>
      <c r="AM1735" s="126"/>
    </row>
    <row r="1736" spans="9:39" x14ac:dyDescent="0.3">
      <c r="I1736" s="126"/>
      <c r="O1736" s="126"/>
      <c r="Q1736" s="126"/>
      <c r="W1736" s="126"/>
      <c r="Y1736" s="126"/>
      <c r="AE1736" s="126"/>
      <c r="AG1736" s="126"/>
      <c r="AM1736" s="126"/>
    </row>
    <row r="1737" spans="9:39" x14ac:dyDescent="0.3">
      <c r="I1737" s="126"/>
      <c r="O1737" s="126"/>
      <c r="Q1737" s="126"/>
      <c r="W1737" s="126"/>
      <c r="Y1737" s="126"/>
      <c r="AE1737" s="126"/>
      <c r="AG1737" s="126"/>
      <c r="AM1737" s="126"/>
    </row>
    <row r="1738" spans="9:39" x14ac:dyDescent="0.3">
      <c r="I1738" s="126"/>
      <c r="O1738" s="126"/>
      <c r="Q1738" s="126"/>
      <c r="W1738" s="126"/>
      <c r="Y1738" s="126"/>
      <c r="AE1738" s="126"/>
      <c r="AG1738" s="126"/>
      <c r="AM1738" s="126"/>
    </row>
    <row r="1739" spans="9:39" x14ac:dyDescent="0.3">
      <c r="I1739" s="126"/>
      <c r="O1739" s="126"/>
      <c r="Q1739" s="126"/>
      <c r="W1739" s="126"/>
      <c r="Y1739" s="126"/>
      <c r="AE1739" s="126"/>
      <c r="AG1739" s="126"/>
      <c r="AM1739" s="126"/>
    </row>
    <row r="1740" spans="9:39" x14ac:dyDescent="0.3">
      <c r="I1740" s="126"/>
      <c r="O1740" s="126"/>
      <c r="Q1740" s="126"/>
      <c r="W1740" s="126"/>
      <c r="Y1740" s="126"/>
      <c r="AE1740" s="126"/>
      <c r="AG1740" s="126"/>
      <c r="AM1740" s="126"/>
    </row>
    <row r="1741" spans="9:39" x14ac:dyDescent="0.3">
      <c r="I1741" s="126"/>
      <c r="O1741" s="126"/>
      <c r="Q1741" s="126"/>
      <c r="W1741" s="126"/>
      <c r="Y1741" s="126"/>
      <c r="AE1741" s="126"/>
      <c r="AG1741" s="126"/>
      <c r="AM1741" s="126"/>
    </row>
    <row r="1742" spans="9:39" x14ac:dyDescent="0.3">
      <c r="I1742" s="126"/>
      <c r="O1742" s="126"/>
      <c r="Q1742" s="126"/>
      <c r="W1742" s="126"/>
      <c r="Y1742" s="126"/>
      <c r="AE1742" s="126"/>
      <c r="AG1742" s="126"/>
      <c r="AM1742" s="126"/>
    </row>
    <row r="1743" spans="9:39" x14ac:dyDescent="0.3">
      <c r="I1743" s="126"/>
      <c r="O1743" s="126"/>
      <c r="Q1743" s="126"/>
      <c r="W1743" s="126"/>
      <c r="Y1743" s="126"/>
      <c r="AE1743" s="126"/>
      <c r="AG1743" s="126"/>
      <c r="AM1743" s="126"/>
    </row>
    <row r="1744" spans="9:39" x14ac:dyDescent="0.3">
      <c r="I1744" s="126"/>
      <c r="O1744" s="126"/>
      <c r="Q1744" s="126"/>
      <c r="W1744" s="126"/>
      <c r="Y1744" s="126"/>
      <c r="AE1744" s="126"/>
      <c r="AG1744" s="126"/>
      <c r="AM1744" s="126"/>
    </row>
    <row r="1745" spans="9:39" x14ac:dyDescent="0.3">
      <c r="I1745" s="126"/>
      <c r="O1745" s="126"/>
      <c r="Q1745" s="126"/>
      <c r="W1745" s="126"/>
      <c r="Y1745" s="126"/>
      <c r="AE1745" s="126"/>
      <c r="AG1745" s="126"/>
      <c r="AM1745" s="126"/>
    </row>
    <row r="1746" spans="9:39" x14ac:dyDescent="0.3">
      <c r="I1746" s="126"/>
      <c r="O1746" s="126"/>
      <c r="Q1746" s="126"/>
      <c r="W1746" s="126"/>
      <c r="Y1746" s="126"/>
      <c r="AE1746" s="126"/>
      <c r="AG1746" s="126"/>
      <c r="AM1746" s="126"/>
    </row>
    <row r="1747" spans="9:39" x14ac:dyDescent="0.3">
      <c r="I1747" s="126"/>
      <c r="O1747" s="126"/>
      <c r="Q1747" s="126"/>
      <c r="W1747" s="126"/>
      <c r="Y1747" s="126"/>
      <c r="AE1747" s="126"/>
      <c r="AG1747" s="126"/>
      <c r="AM1747" s="126"/>
    </row>
    <row r="1748" spans="9:39" x14ac:dyDescent="0.3">
      <c r="I1748" s="126"/>
      <c r="O1748" s="126"/>
      <c r="Q1748" s="126"/>
      <c r="W1748" s="126"/>
      <c r="Y1748" s="126"/>
      <c r="AE1748" s="126"/>
      <c r="AG1748" s="126"/>
      <c r="AM1748" s="126"/>
    </row>
    <row r="1749" spans="9:39" x14ac:dyDescent="0.3">
      <c r="I1749" s="126"/>
      <c r="O1749" s="126"/>
      <c r="Q1749" s="126"/>
      <c r="W1749" s="126"/>
      <c r="Y1749" s="126"/>
      <c r="AE1749" s="126"/>
      <c r="AG1749" s="126"/>
      <c r="AM1749" s="126"/>
    </row>
    <row r="1750" spans="9:39" x14ac:dyDescent="0.3">
      <c r="I1750" s="126"/>
      <c r="O1750" s="126"/>
      <c r="Q1750" s="126"/>
      <c r="W1750" s="126"/>
      <c r="Y1750" s="126"/>
      <c r="AE1750" s="126"/>
      <c r="AG1750" s="126"/>
      <c r="AM1750" s="126"/>
    </row>
    <row r="1751" spans="9:39" x14ac:dyDescent="0.3">
      <c r="I1751" s="126"/>
      <c r="O1751" s="126"/>
      <c r="Q1751" s="126"/>
      <c r="W1751" s="126"/>
      <c r="Y1751" s="126"/>
      <c r="AE1751" s="126"/>
      <c r="AG1751" s="126"/>
      <c r="AM1751" s="126"/>
    </row>
    <row r="1752" spans="9:39" x14ac:dyDescent="0.3">
      <c r="I1752" s="126"/>
      <c r="O1752" s="126"/>
      <c r="Q1752" s="126"/>
      <c r="W1752" s="126"/>
      <c r="Y1752" s="126"/>
      <c r="AE1752" s="126"/>
      <c r="AG1752" s="126"/>
      <c r="AM1752" s="126"/>
    </row>
    <row r="1753" spans="9:39" x14ac:dyDescent="0.3">
      <c r="I1753" s="126"/>
      <c r="O1753" s="126"/>
      <c r="Q1753" s="126"/>
      <c r="W1753" s="126"/>
      <c r="Y1753" s="126"/>
      <c r="AE1753" s="126"/>
      <c r="AG1753" s="126"/>
      <c r="AM1753" s="126"/>
    </row>
    <row r="1754" spans="9:39" x14ac:dyDescent="0.3">
      <c r="I1754" s="126"/>
      <c r="O1754" s="126"/>
      <c r="Q1754" s="126"/>
      <c r="W1754" s="126"/>
      <c r="Y1754" s="126"/>
      <c r="AE1754" s="126"/>
      <c r="AG1754" s="126"/>
      <c r="AM1754" s="126"/>
    </row>
  </sheetData>
  <mergeCells count="65">
    <mergeCell ref="BB11:BC11"/>
    <mergeCell ref="BD11:BE11"/>
    <mergeCell ref="A8:A9"/>
    <mergeCell ref="B8:B9"/>
    <mergeCell ref="C8:C9"/>
    <mergeCell ref="I8:P8"/>
    <mergeCell ref="Q8:X8"/>
    <mergeCell ref="Y8:AF8"/>
    <mergeCell ref="AG8:AN8"/>
    <mergeCell ref="AO8:AQ8"/>
    <mergeCell ref="AR8:AT8"/>
    <mergeCell ref="AU8:AW8"/>
    <mergeCell ref="AZ9:BE9"/>
    <mergeCell ref="E182:F182"/>
    <mergeCell ref="AO182:AQ182"/>
    <mergeCell ref="E183:F183"/>
    <mergeCell ref="AO183:AQ183"/>
    <mergeCell ref="AO184:AQ184"/>
    <mergeCell ref="AR185:AW185"/>
    <mergeCell ref="A192:A193"/>
    <mergeCell ref="B192:B193"/>
    <mergeCell ref="C192:C193"/>
    <mergeCell ref="I192:P192"/>
    <mergeCell ref="Q192:X192"/>
    <mergeCell ref="Y192:AF192"/>
    <mergeCell ref="AG192:AN192"/>
    <mergeCell ref="AO192:AQ192"/>
    <mergeCell ref="AR192:AT192"/>
    <mergeCell ref="AO185:AQ185"/>
    <mergeCell ref="AU192:AW192"/>
    <mergeCell ref="AZ193:BE193"/>
    <mergeCell ref="BB195:BC195"/>
    <mergeCell ref="BD195:BE195"/>
    <mergeCell ref="E337:F337"/>
    <mergeCell ref="AO337:AQ337"/>
    <mergeCell ref="A347:A348"/>
    <mergeCell ref="B347:B348"/>
    <mergeCell ref="C347:C348"/>
    <mergeCell ref="I347:P347"/>
    <mergeCell ref="Q347:X347"/>
    <mergeCell ref="AZ348:BE348"/>
    <mergeCell ref="E338:F338"/>
    <mergeCell ref="AO338:AQ338"/>
    <mergeCell ref="AO339:AQ339"/>
    <mergeCell ref="AO340:AQ340"/>
    <mergeCell ref="AR340:AW340"/>
    <mergeCell ref="Y347:AF347"/>
    <mergeCell ref="AG347:AN347"/>
    <mergeCell ref="AO347:AQ347"/>
    <mergeCell ref="AR347:AT347"/>
    <mergeCell ref="AU347:AW347"/>
    <mergeCell ref="BB350:BC350"/>
    <mergeCell ref="BD350:BE350"/>
    <mergeCell ref="E478:F478"/>
    <mergeCell ref="AO478:AQ478"/>
    <mergeCell ref="E479:F479"/>
    <mergeCell ref="AO479:AQ479"/>
    <mergeCell ref="AO480:AQ480"/>
    <mergeCell ref="AO481:AQ481"/>
    <mergeCell ref="AR481:AW481"/>
    <mergeCell ref="B489:L489"/>
    <mergeCell ref="B490:B491"/>
    <mergeCell ref="C490:C491"/>
    <mergeCell ref="D490:D491"/>
    <mergeCell ref="E490:L490"/>
  </mergeCells>
  <pageMargins left="0.7" right="0.7" top="0.75" bottom="0.75" header="0.3" footer="0.3"/>
  <pageSetup orientation="portrait" verticalDpi="0" r:id="rId2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E5" sqref="E5"/>
    </sheetView>
  </sheetViews>
  <sheetFormatPr defaultRowHeight="14.4" x14ac:dyDescent="0.3"/>
  <cols>
    <col min="3" max="3" width="14.109375" customWidth="1"/>
    <col min="4" max="4" width="18.33203125" customWidth="1"/>
  </cols>
  <sheetData>
    <row r="2" spans="2:11" ht="15" thickBot="1" x14ac:dyDescent="0.35">
      <c r="H2" t="s">
        <v>676</v>
      </c>
    </row>
    <row r="3" spans="2:11" ht="15" thickBot="1" x14ac:dyDescent="0.35">
      <c r="B3" s="1008" t="s">
        <v>603</v>
      </c>
      <c r="C3" s="1009"/>
      <c r="D3" s="1009"/>
      <c r="E3" s="1010"/>
      <c r="H3" s="1008" t="s">
        <v>603</v>
      </c>
      <c r="I3" s="1009"/>
      <c r="J3" s="1009"/>
      <c r="K3" s="1010"/>
    </row>
    <row r="4" spans="2:11" ht="27.6" x14ac:dyDescent="0.3">
      <c r="B4" s="525" t="s">
        <v>41</v>
      </c>
      <c r="C4" s="1095" t="s">
        <v>556</v>
      </c>
      <c r="D4" s="1096"/>
      <c r="E4" s="526" t="s">
        <v>604</v>
      </c>
      <c r="H4" s="525" t="s">
        <v>41</v>
      </c>
      <c r="I4" s="1095" t="s">
        <v>556</v>
      </c>
      <c r="J4" s="1096"/>
      <c r="K4" s="526" t="s">
        <v>604</v>
      </c>
    </row>
    <row r="5" spans="2:11" ht="15" customHeight="1" x14ac:dyDescent="0.3">
      <c r="B5" s="527">
        <v>1</v>
      </c>
      <c r="C5" s="1014" t="s">
        <v>605</v>
      </c>
      <c r="D5" s="1014"/>
      <c r="E5" s="528">
        <f>'[2]Brick Work 150mm (2)'!$E$132</f>
        <v>64.443360000000013</v>
      </c>
      <c r="H5" s="527">
        <v>1</v>
      </c>
      <c r="I5" s="1014" t="s">
        <v>605</v>
      </c>
      <c r="J5" s="1014"/>
      <c r="K5" s="528">
        <f>'[2]Brick Work 100mm (2)'!$H$95*0.5</f>
        <v>41.762325000000018</v>
      </c>
    </row>
    <row r="6" spans="2:11" ht="15" customHeight="1" x14ac:dyDescent="0.3">
      <c r="B6" s="527">
        <v>3</v>
      </c>
      <c r="C6" s="1014" t="s">
        <v>606</v>
      </c>
      <c r="D6" s="1014"/>
      <c r="E6" s="528">
        <f>E5-((E5/(0.22*0.1*0.16))*(0.21*0.09*0.15))</f>
        <v>12.540824318181834</v>
      </c>
      <c r="H6" s="527">
        <v>3</v>
      </c>
      <c r="I6" s="1014" t="s">
        <v>606</v>
      </c>
      <c r="J6" s="1014"/>
      <c r="K6" s="528">
        <f>K5-((K5/(0.22*0.1*0.16))*(0.21*0.09*0.15))</f>
        <v>8.1270433593750084</v>
      </c>
    </row>
    <row r="7" spans="2:11" ht="15" customHeight="1" x14ac:dyDescent="0.3">
      <c r="B7" s="527">
        <v>4</v>
      </c>
      <c r="C7" s="1014" t="s">
        <v>607</v>
      </c>
      <c r="D7" s="1014"/>
      <c r="E7" s="528">
        <f>E6*1.3</f>
        <v>16.303071613636384</v>
      </c>
      <c r="H7" s="527">
        <v>4</v>
      </c>
      <c r="I7" s="1014" t="s">
        <v>607</v>
      </c>
      <c r="J7" s="1014"/>
      <c r="K7" s="528">
        <f>K6*1.3</f>
        <v>10.565156367187511</v>
      </c>
    </row>
    <row r="8" spans="2:11" ht="15" customHeight="1" x14ac:dyDescent="0.3">
      <c r="B8" s="527">
        <v>5</v>
      </c>
      <c r="C8" s="1014" t="s">
        <v>608</v>
      </c>
      <c r="D8" s="1014"/>
      <c r="E8" s="529">
        <f>((E7/(5+1))*1000)/35</f>
        <v>77.633674350649443</v>
      </c>
      <c r="H8" s="527">
        <v>5</v>
      </c>
      <c r="I8" s="1014" t="s">
        <v>608</v>
      </c>
      <c r="J8" s="1014"/>
      <c r="K8" s="529">
        <f>((K7/(5+1))*1000)/35</f>
        <v>50.310268415178626</v>
      </c>
    </row>
    <row r="9" spans="2:11" ht="15" customHeight="1" x14ac:dyDescent="0.3">
      <c r="B9" s="527">
        <v>6</v>
      </c>
      <c r="C9" s="1014" t="s">
        <v>609</v>
      </c>
      <c r="D9" s="1014"/>
      <c r="E9" s="528">
        <f>(E7/6)*5</f>
        <v>13.585893011363652</v>
      </c>
      <c r="F9" s="544"/>
      <c r="G9" s="544"/>
      <c r="H9" s="527">
        <v>6</v>
      </c>
      <c r="I9" s="1014" t="s">
        <v>609</v>
      </c>
      <c r="J9" s="1014"/>
      <c r="K9" s="528">
        <f>(K7/6)*5</f>
        <v>8.8042969726562585</v>
      </c>
    </row>
    <row r="10" spans="2:11" ht="15" customHeight="1" x14ac:dyDescent="0.3">
      <c r="B10" s="527">
        <v>7</v>
      </c>
      <c r="C10" s="1014" t="s">
        <v>610</v>
      </c>
      <c r="D10" s="1014"/>
      <c r="E10" s="528">
        <f>E9*35.3</f>
        <v>479.58202330113687</v>
      </c>
      <c r="H10" s="527">
        <v>7</v>
      </c>
      <c r="I10" s="1014" t="s">
        <v>610</v>
      </c>
      <c r="J10" s="1014"/>
      <c r="K10" s="528">
        <f>K9*35.3</f>
        <v>310.79168313476589</v>
      </c>
    </row>
    <row r="11" spans="2:11" ht="15" customHeight="1" x14ac:dyDescent="0.3">
      <c r="B11" s="527">
        <v>8</v>
      </c>
      <c r="C11" s="1014" t="s">
        <v>611</v>
      </c>
      <c r="D11" s="1014"/>
      <c r="E11" s="529">
        <f>E10/100</f>
        <v>4.7958202330113684</v>
      </c>
      <c r="H11" s="527">
        <v>8</v>
      </c>
      <c r="I11" s="1014" t="s">
        <v>611</v>
      </c>
      <c r="J11" s="1014"/>
      <c r="K11" s="529">
        <f>K10/100</f>
        <v>3.1079168313476591</v>
      </c>
    </row>
    <row r="12" spans="2:11" ht="15" customHeight="1" x14ac:dyDescent="0.3">
      <c r="B12" s="527">
        <v>9</v>
      </c>
      <c r="C12" s="1014" t="s">
        <v>612</v>
      </c>
      <c r="D12" s="1014"/>
      <c r="E12" s="530">
        <f>ROUND((E5-E6)/(0.21*0.09*0.15),0)</f>
        <v>18308</v>
      </c>
      <c r="F12" s="544"/>
      <c r="H12" s="527">
        <v>9</v>
      </c>
      <c r="I12" s="1014" t="s">
        <v>612</v>
      </c>
      <c r="J12" s="1014"/>
      <c r="K12" s="530">
        <f>ROUND((K5-K6)/(0.21*0.09*0.15),0)</f>
        <v>11864</v>
      </c>
    </row>
    <row r="14" spans="2:11" ht="15" thickBot="1" x14ac:dyDescent="0.35"/>
    <row r="15" spans="2:11" ht="15" thickBot="1" x14ac:dyDescent="0.35">
      <c r="B15" s="1008" t="s">
        <v>613</v>
      </c>
      <c r="C15" s="1009"/>
      <c r="D15" s="1009"/>
      <c r="E15" s="1010"/>
    </row>
    <row r="16" spans="2:11" ht="27.6" x14ac:dyDescent="0.3">
      <c r="B16" s="525" t="s">
        <v>41</v>
      </c>
      <c r="C16" s="1095" t="s">
        <v>556</v>
      </c>
      <c r="D16" s="1096"/>
      <c r="E16" s="526" t="s">
        <v>614</v>
      </c>
    </row>
    <row r="17" spans="2:5" x14ac:dyDescent="0.3">
      <c r="B17" s="527">
        <v>1</v>
      </c>
      <c r="C17" s="1014" t="s">
        <v>605</v>
      </c>
      <c r="D17" s="1014"/>
      <c r="E17" s="528">
        <f>'[2]Brick Work 100mm (2)'!$E$65</f>
        <v>19.244520000000001</v>
      </c>
    </row>
    <row r="18" spans="2:5" x14ac:dyDescent="0.3">
      <c r="B18" s="527">
        <v>3</v>
      </c>
      <c r="C18" s="1014" t="s">
        <v>606</v>
      </c>
      <c r="D18" s="1014"/>
      <c r="E18" s="528">
        <f>E17-((E17/(0.22*0.08*0.11))*(0.21*0.07*0.1))</f>
        <v>4.6322036776859523</v>
      </c>
    </row>
    <row r="19" spans="2:5" x14ac:dyDescent="0.3">
      <c r="B19" s="527">
        <v>4</v>
      </c>
      <c r="C19" s="1014" t="s">
        <v>607</v>
      </c>
      <c r="D19" s="1014"/>
      <c r="E19" s="528">
        <f>E18*1.3</f>
        <v>6.0218647809917378</v>
      </c>
    </row>
    <row r="20" spans="2:5" x14ac:dyDescent="0.3">
      <c r="B20" s="527">
        <v>5</v>
      </c>
      <c r="C20" s="1014" t="s">
        <v>608</v>
      </c>
      <c r="D20" s="1014"/>
      <c r="E20" s="529">
        <f>((E19/(5+1))*1000)/35</f>
        <v>28.675546576151135</v>
      </c>
    </row>
    <row r="21" spans="2:5" x14ac:dyDescent="0.3">
      <c r="B21" s="527">
        <v>6</v>
      </c>
      <c r="C21" s="1014" t="s">
        <v>609</v>
      </c>
      <c r="D21" s="1014"/>
      <c r="E21" s="528">
        <f>(E19/6)*5</f>
        <v>5.0182206508264482</v>
      </c>
    </row>
    <row r="22" spans="2:5" x14ac:dyDescent="0.3">
      <c r="B22" s="527">
        <v>7</v>
      </c>
      <c r="C22" s="1014" t="s">
        <v>610</v>
      </c>
      <c r="D22" s="1014"/>
      <c r="E22" s="528">
        <f>E21*35.3</f>
        <v>177.1431889741736</v>
      </c>
    </row>
    <row r="23" spans="2:5" x14ac:dyDescent="0.3">
      <c r="B23" s="527">
        <v>8</v>
      </c>
      <c r="C23" s="1014" t="s">
        <v>611</v>
      </c>
      <c r="D23" s="1014"/>
      <c r="E23" s="529">
        <f>E22/100</f>
        <v>1.771431889741736</v>
      </c>
    </row>
    <row r="24" spans="2:5" x14ac:dyDescent="0.3">
      <c r="B24" s="527">
        <v>9</v>
      </c>
      <c r="C24" s="1014" t="s">
        <v>612</v>
      </c>
      <c r="D24" s="1014"/>
      <c r="E24" s="530">
        <f>ROUND((E17-E18)/(0.21*0.07*0.1),0)</f>
        <v>9940</v>
      </c>
    </row>
  </sheetData>
  <mergeCells count="30">
    <mergeCell ref="C16:D16"/>
    <mergeCell ref="B3:E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B15:E15"/>
    <mergeCell ref="C23:D23"/>
    <mergeCell ref="C24:D24"/>
    <mergeCell ref="C17:D17"/>
    <mergeCell ref="C18:D18"/>
    <mergeCell ref="C19:D19"/>
    <mergeCell ref="C20:D20"/>
    <mergeCell ref="C21:D21"/>
    <mergeCell ref="C22:D22"/>
    <mergeCell ref="H3:K3"/>
    <mergeCell ref="I4:J4"/>
    <mergeCell ref="I5:J5"/>
    <mergeCell ref="I6:J6"/>
    <mergeCell ref="I7:J7"/>
    <mergeCell ref="I8:J8"/>
    <mergeCell ref="I9:J9"/>
    <mergeCell ref="I10:J10"/>
    <mergeCell ref="I11:J11"/>
    <mergeCell ref="I12:J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0"/>
  <sheetViews>
    <sheetView workbookViewId="0">
      <selection activeCell="E14" sqref="E14"/>
    </sheetView>
  </sheetViews>
  <sheetFormatPr defaultRowHeight="14.4" x14ac:dyDescent="0.3"/>
  <cols>
    <col min="3" max="3" width="24.33203125" customWidth="1"/>
    <col min="5" max="5" width="13.88671875" customWidth="1"/>
    <col min="9" max="9" width="18.6640625" customWidth="1"/>
  </cols>
  <sheetData>
    <row r="2" spans="2:10" ht="15" thickBot="1" x14ac:dyDescent="0.35"/>
    <row r="3" spans="2:10" x14ac:dyDescent="0.3">
      <c r="B3" s="1100" t="s">
        <v>791</v>
      </c>
      <c r="C3" s="1101"/>
      <c r="D3" s="1101"/>
      <c r="E3" s="1102"/>
      <c r="G3" s="1100" t="s">
        <v>792</v>
      </c>
      <c r="H3" s="1101"/>
      <c r="I3" s="1101"/>
      <c r="J3" s="1102"/>
    </row>
    <row r="4" spans="2:10" ht="15" thickBot="1" x14ac:dyDescent="0.35">
      <c r="B4" s="532" t="s">
        <v>41</v>
      </c>
      <c r="C4" s="1103" t="s">
        <v>556</v>
      </c>
      <c r="D4" s="1103"/>
      <c r="E4" s="533" t="s">
        <v>179</v>
      </c>
      <c r="G4" s="532" t="s">
        <v>41</v>
      </c>
      <c r="H4" s="1103" t="s">
        <v>556</v>
      </c>
      <c r="I4" s="1103"/>
      <c r="J4" s="533" t="s">
        <v>179</v>
      </c>
    </row>
    <row r="5" spans="2:10" x14ac:dyDescent="0.3">
      <c r="B5" s="534">
        <v>1</v>
      </c>
      <c r="C5" s="1012" t="s">
        <v>623</v>
      </c>
      <c r="D5" s="1013"/>
      <c r="E5" s="535">
        <f>'[2]Internal Plaster'!$G$72</f>
        <v>1573.1812999999997</v>
      </c>
      <c r="G5" s="534">
        <v>1</v>
      </c>
      <c r="H5" s="1012" t="s">
        <v>623</v>
      </c>
      <c r="I5" s="1013"/>
      <c r="J5" s="535">
        <f>'[2]Celing Plaster'!$F$35</f>
        <v>566.49540000000002</v>
      </c>
    </row>
    <row r="6" spans="2:10" x14ac:dyDescent="0.3">
      <c r="B6" s="527">
        <v>2</v>
      </c>
      <c r="C6" s="1014" t="s">
        <v>624</v>
      </c>
      <c r="D6" s="1015"/>
      <c r="E6" s="536">
        <f>E5*0.0125</f>
        <v>19.66476625</v>
      </c>
      <c r="G6" s="527">
        <v>2</v>
      </c>
      <c r="H6" s="1014" t="s">
        <v>624</v>
      </c>
      <c r="I6" s="1015"/>
      <c r="J6" s="536">
        <f>J5*0.01</f>
        <v>5.6649540000000007</v>
      </c>
    </row>
    <row r="7" spans="2:10" ht="15" customHeight="1" x14ac:dyDescent="0.3">
      <c r="B7" s="527">
        <v>4</v>
      </c>
      <c r="C7" s="1014" t="s">
        <v>821</v>
      </c>
      <c r="D7" s="1015"/>
      <c r="E7" s="536">
        <f>E6*1.4</f>
        <v>27.530672749999997</v>
      </c>
      <c r="G7" s="527">
        <v>4</v>
      </c>
      <c r="H7" s="1014" t="s">
        <v>821</v>
      </c>
      <c r="I7" s="1015"/>
      <c r="J7" s="536">
        <f>J6*1.4</f>
        <v>7.9309356000000006</v>
      </c>
    </row>
    <row r="8" spans="2:10" x14ac:dyDescent="0.3">
      <c r="B8" s="527">
        <v>5</v>
      </c>
      <c r="C8" s="1014" t="s">
        <v>608</v>
      </c>
      <c r="D8" s="1015"/>
      <c r="E8" s="850">
        <f>ROUND(((E7/(5+1))*1000)/35,0)</f>
        <v>131</v>
      </c>
      <c r="G8" s="527">
        <v>5</v>
      </c>
      <c r="H8" s="1014" t="s">
        <v>608</v>
      </c>
      <c r="I8" s="1015"/>
      <c r="J8" s="850">
        <f>ROUND(((J7/(5+1))*1000)/35,0)</f>
        <v>38</v>
      </c>
    </row>
    <row r="9" spans="2:10" x14ac:dyDescent="0.3">
      <c r="B9" s="527">
        <v>6</v>
      </c>
      <c r="C9" s="1014" t="s">
        <v>609</v>
      </c>
      <c r="D9" s="1015"/>
      <c r="E9" s="536">
        <f>(E7/6)*5</f>
        <v>22.942227291666665</v>
      </c>
      <c r="G9" s="527">
        <v>6</v>
      </c>
      <c r="H9" s="1014" t="s">
        <v>609</v>
      </c>
      <c r="I9" s="1015"/>
      <c r="J9" s="536">
        <f>(J7/6)*5</f>
        <v>6.6091130000000007</v>
      </c>
    </row>
    <row r="10" spans="2:10" x14ac:dyDescent="0.3">
      <c r="B10" s="527">
        <v>7</v>
      </c>
      <c r="C10" s="1014" t="s">
        <v>610</v>
      </c>
      <c r="D10" s="1015"/>
      <c r="E10" s="536">
        <f>E9*35.28</f>
        <v>809.40177884999991</v>
      </c>
      <c r="G10" s="527">
        <v>7</v>
      </c>
      <c r="H10" s="1014" t="s">
        <v>610</v>
      </c>
      <c r="I10" s="1015"/>
      <c r="J10" s="536">
        <f>J9*35.28</f>
        <v>233.16950664000004</v>
      </c>
    </row>
    <row r="11" spans="2:10" ht="15" thickBot="1" x14ac:dyDescent="0.35">
      <c r="B11" s="537">
        <v>8</v>
      </c>
      <c r="C11" s="1097" t="s">
        <v>611</v>
      </c>
      <c r="D11" s="1098"/>
      <c r="E11" s="851">
        <f>E10/100</f>
        <v>8.0940177884999986</v>
      </c>
      <c r="G11" s="537">
        <v>8</v>
      </c>
      <c r="H11" s="1097" t="s">
        <v>611</v>
      </c>
      <c r="I11" s="1098"/>
      <c r="J11" s="851">
        <f>J10/100</f>
        <v>2.3316950664000005</v>
      </c>
    </row>
    <row r="13" spans="2:10" ht="15" thickBot="1" x14ac:dyDescent="0.35">
      <c r="G13" t="s">
        <v>852</v>
      </c>
    </row>
    <row r="14" spans="2:10" x14ac:dyDescent="0.3">
      <c r="G14" s="1100" t="s">
        <v>792</v>
      </c>
      <c r="H14" s="1101"/>
      <c r="I14" s="1101"/>
      <c r="J14" s="1102"/>
    </row>
    <row r="15" spans="2:10" ht="15" thickBot="1" x14ac:dyDescent="0.35">
      <c r="G15" s="532" t="s">
        <v>41</v>
      </c>
      <c r="H15" s="1103" t="s">
        <v>556</v>
      </c>
      <c r="I15" s="1103"/>
      <c r="J15" s="533" t="s">
        <v>179</v>
      </c>
    </row>
    <row r="16" spans="2:10" x14ac:dyDescent="0.3">
      <c r="G16" s="534">
        <v>1</v>
      </c>
      <c r="H16" s="1012" t="s">
        <v>623</v>
      </c>
      <c r="I16" s="1013"/>
      <c r="J16" s="535">
        <f>'[2]Balcony Ceiling'!$F$26</f>
        <v>85.706000000000003</v>
      </c>
    </row>
    <row r="17" spans="2:10" x14ac:dyDescent="0.3">
      <c r="G17" s="527">
        <v>2</v>
      </c>
      <c r="H17" s="1014" t="s">
        <v>624</v>
      </c>
      <c r="I17" s="1015"/>
      <c r="J17" s="536">
        <f>J16*0.01</f>
        <v>0.85706000000000004</v>
      </c>
    </row>
    <row r="18" spans="2:10" ht="15" customHeight="1" x14ac:dyDescent="0.3">
      <c r="G18" s="527">
        <v>4</v>
      </c>
      <c r="H18" s="1014" t="s">
        <v>821</v>
      </c>
      <c r="I18" s="1015"/>
      <c r="J18" s="536">
        <f>J17*1.4</f>
        <v>1.199884</v>
      </c>
    </row>
    <row r="19" spans="2:10" x14ac:dyDescent="0.3">
      <c r="G19" s="527">
        <v>5</v>
      </c>
      <c r="H19" s="1014" t="s">
        <v>608</v>
      </c>
      <c r="I19" s="1015"/>
      <c r="J19" s="536">
        <f>ROUND(((J18/(5+1))*1000)/35,0)</f>
        <v>6</v>
      </c>
    </row>
    <row r="20" spans="2:10" x14ac:dyDescent="0.3">
      <c r="G20" s="527">
        <v>6</v>
      </c>
      <c r="H20" s="1014" t="s">
        <v>609</v>
      </c>
      <c r="I20" s="1015"/>
      <c r="J20" s="536">
        <f>(J18/6)*5</f>
        <v>0.99990333333333337</v>
      </c>
    </row>
    <row r="21" spans="2:10" x14ac:dyDescent="0.3">
      <c r="G21" s="527">
        <v>7</v>
      </c>
      <c r="H21" s="1014" t="s">
        <v>610</v>
      </c>
      <c r="I21" s="1015"/>
      <c r="J21" s="536">
        <f>J20*35.28</f>
        <v>35.276589600000001</v>
      </c>
    </row>
    <row r="22" spans="2:10" ht="15" thickBot="1" x14ac:dyDescent="0.35">
      <c r="G22" s="537">
        <v>8</v>
      </c>
      <c r="H22" s="1097" t="s">
        <v>611</v>
      </c>
      <c r="I22" s="1098"/>
      <c r="J22" s="538">
        <f>J21/100</f>
        <v>0.35276589600000002</v>
      </c>
    </row>
    <row r="26" spans="2:10" x14ac:dyDescent="0.3">
      <c r="B26" s="1099" t="s">
        <v>783</v>
      </c>
      <c r="C26" s="1099"/>
      <c r="D26" s="1099"/>
      <c r="E26" s="1099"/>
      <c r="F26" s="1099"/>
      <c r="G26" s="1099"/>
      <c r="H26" s="1099"/>
      <c r="I26" s="1099"/>
    </row>
    <row r="27" spans="2:10" x14ac:dyDescent="0.3">
      <c r="B27" s="1105" t="s">
        <v>640</v>
      </c>
      <c r="C27" s="1106" t="s">
        <v>641</v>
      </c>
      <c r="D27" s="1105" t="s">
        <v>181</v>
      </c>
      <c r="E27" s="1105" t="s">
        <v>642</v>
      </c>
      <c r="F27" s="1105"/>
      <c r="G27" s="1105"/>
      <c r="H27" s="1105"/>
      <c r="I27" s="737"/>
    </row>
    <row r="28" spans="2:10" x14ac:dyDescent="0.3">
      <c r="B28" s="1105"/>
      <c r="C28" s="1106"/>
      <c r="D28" s="1105"/>
      <c r="E28" s="738" t="s">
        <v>643</v>
      </c>
      <c r="F28" s="738" t="s">
        <v>644</v>
      </c>
      <c r="G28" s="738" t="s">
        <v>577</v>
      </c>
      <c r="H28" s="738" t="s">
        <v>645</v>
      </c>
      <c r="I28" s="738" t="s">
        <v>204</v>
      </c>
    </row>
    <row r="29" spans="2:10" x14ac:dyDescent="0.3">
      <c r="B29" s="1104" t="s">
        <v>646</v>
      </c>
      <c r="C29" s="1104"/>
      <c r="D29" s="1104"/>
      <c r="E29" s="1104"/>
      <c r="F29" s="1104"/>
      <c r="G29" s="1104"/>
      <c r="H29" s="1104"/>
      <c r="I29" s="1104"/>
    </row>
    <row r="30" spans="2:10" x14ac:dyDescent="0.3">
      <c r="B30" s="743"/>
      <c r="C30" s="744" t="s">
        <v>726</v>
      </c>
      <c r="D30" s="745"/>
      <c r="E30" s="745"/>
      <c r="F30" s="745"/>
      <c r="G30" s="745"/>
      <c r="H30" s="745"/>
      <c r="I30" s="746"/>
    </row>
    <row r="31" spans="2:10" x14ac:dyDescent="0.3">
      <c r="B31" s="747"/>
      <c r="C31" s="748" t="s">
        <v>781</v>
      </c>
      <c r="D31" s="748">
        <v>1</v>
      </c>
      <c r="E31" s="748">
        <v>6.68</v>
      </c>
      <c r="F31" s="748">
        <v>2.7</v>
      </c>
      <c r="G31" s="739"/>
      <c r="H31" s="749">
        <f t="shared" ref="H31:H33" si="0">((E31*F31)+(G31))*D31</f>
        <v>18.036000000000001</v>
      </c>
      <c r="I31" s="750"/>
    </row>
    <row r="32" spans="2:10" x14ac:dyDescent="0.3">
      <c r="B32" s="747"/>
      <c r="C32" s="748" t="s">
        <v>729</v>
      </c>
      <c r="D32" s="748">
        <v>1</v>
      </c>
      <c r="E32" s="748">
        <v>8.1999999999999993</v>
      </c>
      <c r="F32" s="748">
        <v>2.7</v>
      </c>
      <c r="G32" s="748"/>
      <c r="H32" s="749">
        <f t="shared" si="0"/>
        <v>22.14</v>
      </c>
      <c r="I32" s="750"/>
    </row>
    <row r="33" spans="2:9" x14ac:dyDescent="0.3">
      <c r="B33" s="747"/>
      <c r="C33" s="748" t="s">
        <v>730</v>
      </c>
      <c r="D33" s="748">
        <v>1</v>
      </c>
      <c r="E33" s="748">
        <v>7</v>
      </c>
      <c r="F33" s="748">
        <v>2.7</v>
      </c>
      <c r="G33" s="748"/>
      <c r="H33" s="749">
        <f t="shared" si="0"/>
        <v>18.900000000000002</v>
      </c>
      <c r="I33" s="750"/>
    </row>
    <row r="34" spans="2:9" x14ac:dyDescent="0.3">
      <c r="B34" s="747"/>
      <c r="C34" s="748" t="s">
        <v>730</v>
      </c>
      <c r="D34" s="748">
        <v>1</v>
      </c>
      <c r="E34" s="748">
        <v>7.6</v>
      </c>
      <c r="F34" s="748">
        <v>2.7</v>
      </c>
      <c r="G34" s="748"/>
      <c r="H34" s="749">
        <f>((E34*F34)+(G34))*D34</f>
        <v>20.52</v>
      </c>
      <c r="I34" s="750"/>
    </row>
    <row r="35" spans="2:9" x14ac:dyDescent="0.3">
      <c r="B35" s="747"/>
      <c r="C35" s="548" t="s">
        <v>649</v>
      </c>
      <c r="D35" s="548">
        <v>1</v>
      </c>
      <c r="E35" s="548">
        <v>-1.35</v>
      </c>
      <c r="F35" s="548">
        <v>2.0499999999999998</v>
      </c>
      <c r="G35" s="549"/>
      <c r="H35" s="758">
        <f>F35*E35*D35</f>
        <v>-2.7675000000000001</v>
      </c>
      <c r="I35" s="550" t="s">
        <v>650</v>
      </c>
    </row>
    <row r="36" spans="2:9" x14ac:dyDescent="0.3">
      <c r="B36" s="747"/>
      <c r="C36" s="548" t="s">
        <v>649</v>
      </c>
      <c r="D36" s="548">
        <v>1</v>
      </c>
      <c r="E36" s="548">
        <v>-2</v>
      </c>
      <c r="F36" s="548">
        <v>2.0499999999999998</v>
      </c>
      <c r="G36" s="549"/>
      <c r="H36" s="758">
        <f t="shared" ref="H36:H38" si="1">F36*E36*D36</f>
        <v>-4.0999999999999996</v>
      </c>
      <c r="I36" s="550" t="s">
        <v>651</v>
      </c>
    </row>
    <row r="37" spans="2:9" x14ac:dyDescent="0.3">
      <c r="B37" s="747"/>
      <c r="C37" s="548" t="s">
        <v>649</v>
      </c>
      <c r="D37" s="548">
        <v>2</v>
      </c>
      <c r="E37" s="548">
        <v>-2</v>
      </c>
      <c r="F37" s="548">
        <v>2.0499999999999998</v>
      </c>
      <c r="G37" s="549"/>
      <c r="H37" s="758">
        <f t="shared" si="1"/>
        <v>-8.1999999999999993</v>
      </c>
      <c r="I37" s="550" t="s">
        <v>652</v>
      </c>
    </row>
    <row r="38" spans="2:9" x14ac:dyDescent="0.3">
      <c r="B38" s="747"/>
      <c r="C38" s="748" t="s">
        <v>782</v>
      </c>
      <c r="D38" s="748">
        <v>-1</v>
      </c>
      <c r="E38" s="748">
        <f>2.59+0.9+3.05+2.75+3.05+0.9</f>
        <v>13.24</v>
      </c>
      <c r="F38" s="748">
        <f>2.9-0.6-0.3</f>
        <v>1.9999999999999998</v>
      </c>
      <c r="G38" s="748"/>
      <c r="H38" s="758">
        <f t="shared" si="1"/>
        <v>-26.479999999999997</v>
      </c>
      <c r="I38" s="750"/>
    </row>
    <row r="39" spans="2:9" x14ac:dyDescent="0.3">
      <c r="B39" s="747"/>
      <c r="C39" s="748"/>
      <c r="D39" s="748"/>
      <c r="E39" s="748"/>
      <c r="F39" s="748"/>
      <c r="G39" s="748"/>
      <c r="H39" s="749"/>
      <c r="I39" s="750"/>
    </row>
    <row r="40" spans="2:9" x14ac:dyDescent="0.3">
      <c r="B40" s="1099" t="s">
        <v>731</v>
      </c>
      <c r="C40" s="1099"/>
      <c r="D40" s="1099"/>
      <c r="E40" s="1099"/>
      <c r="F40" s="1099"/>
      <c r="G40" s="751">
        <f>SUM(G31:G34)*2</f>
        <v>0</v>
      </c>
      <c r="H40" s="751">
        <f>SUM(H31:H39)*2</f>
        <v>76.097000000000023</v>
      </c>
      <c r="I40" s="752" t="s">
        <v>672</v>
      </c>
    </row>
    <row r="41" spans="2:9" x14ac:dyDescent="0.3">
      <c r="B41" s="740"/>
      <c r="C41" s="741"/>
      <c r="D41" s="741"/>
      <c r="E41" s="741"/>
      <c r="F41" s="741"/>
      <c r="G41" s="741"/>
      <c r="H41" s="753"/>
      <c r="I41" s="754"/>
    </row>
    <row r="42" spans="2:9" x14ac:dyDescent="0.3">
      <c r="B42" s="743"/>
      <c r="C42" s="744" t="s">
        <v>732</v>
      </c>
      <c r="D42" s="745"/>
      <c r="E42" s="745"/>
      <c r="F42" s="745"/>
      <c r="G42" s="745"/>
      <c r="H42" s="745"/>
      <c r="I42" s="746"/>
    </row>
    <row r="43" spans="2:9" x14ac:dyDescent="0.3">
      <c r="B43" s="747"/>
      <c r="C43" s="748" t="s">
        <v>733</v>
      </c>
      <c r="D43" s="748">
        <v>1</v>
      </c>
      <c r="E43" s="748">
        <v>6.08</v>
      </c>
      <c r="F43" s="748">
        <v>2.7</v>
      </c>
      <c r="G43" s="748"/>
      <c r="H43" s="749">
        <f t="shared" ref="H43:H46" si="2">((E43*F43)+(G43))*D43</f>
        <v>16.416</v>
      </c>
      <c r="I43" s="750"/>
    </row>
    <row r="44" spans="2:9" x14ac:dyDescent="0.3">
      <c r="B44" s="747"/>
      <c r="C44" s="748" t="s">
        <v>729</v>
      </c>
      <c r="D44" s="748">
        <v>1</v>
      </c>
      <c r="E44" s="748">
        <v>8.1999999999999993</v>
      </c>
      <c r="F44" s="748">
        <v>2.7</v>
      </c>
      <c r="G44" s="748"/>
      <c r="H44" s="749">
        <f t="shared" si="2"/>
        <v>22.14</v>
      </c>
      <c r="I44" s="750"/>
    </row>
    <row r="45" spans="2:9" x14ac:dyDescent="0.3">
      <c r="B45" s="747"/>
      <c r="C45" s="748" t="s">
        <v>730</v>
      </c>
      <c r="D45" s="748">
        <v>1</v>
      </c>
      <c r="E45" s="748">
        <v>7.6</v>
      </c>
      <c r="F45" s="748">
        <v>2.7</v>
      </c>
      <c r="G45" s="748"/>
      <c r="H45" s="749">
        <f>((E45*F45)+(G45))*D45</f>
        <v>20.52</v>
      </c>
      <c r="I45" s="750"/>
    </row>
    <row r="46" spans="2:9" x14ac:dyDescent="0.3">
      <c r="B46" s="747"/>
      <c r="C46" s="748" t="s">
        <v>730</v>
      </c>
      <c r="D46" s="748">
        <v>1</v>
      </c>
      <c r="E46" s="748">
        <v>7.62</v>
      </c>
      <c r="F46" s="748">
        <v>2.7</v>
      </c>
      <c r="G46" s="748"/>
      <c r="H46" s="749">
        <f t="shared" si="2"/>
        <v>20.574000000000002</v>
      </c>
      <c r="I46" s="750"/>
    </row>
    <row r="47" spans="2:9" x14ac:dyDescent="0.3">
      <c r="B47" s="747"/>
      <c r="C47" s="548" t="s">
        <v>649</v>
      </c>
      <c r="D47" s="548">
        <v>1</v>
      </c>
      <c r="E47" s="548">
        <v>-1.35</v>
      </c>
      <c r="F47" s="548">
        <v>2.0499999999999998</v>
      </c>
      <c r="G47" s="549"/>
      <c r="H47" s="758">
        <f>F47*E47*D47</f>
        <v>-2.7675000000000001</v>
      </c>
      <c r="I47" s="550" t="s">
        <v>650</v>
      </c>
    </row>
    <row r="48" spans="2:9" x14ac:dyDescent="0.3">
      <c r="B48" s="747"/>
      <c r="C48" s="548" t="s">
        <v>649</v>
      </c>
      <c r="D48" s="548">
        <v>1</v>
      </c>
      <c r="E48" s="548">
        <v>-2</v>
      </c>
      <c r="F48" s="548">
        <v>2.0499999999999998</v>
      </c>
      <c r="G48" s="549"/>
      <c r="H48" s="758">
        <f t="shared" ref="H48:H50" si="3">F48*E48*D48</f>
        <v>-4.0999999999999996</v>
      </c>
      <c r="I48" s="550" t="s">
        <v>651</v>
      </c>
    </row>
    <row r="49" spans="2:9" x14ac:dyDescent="0.3">
      <c r="B49" s="747"/>
      <c r="C49" s="548" t="s">
        <v>649</v>
      </c>
      <c r="D49" s="548">
        <v>2</v>
      </c>
      <c r="E49" s="548">
        <v>-2</v>
      </c>
      <c r="F49" s="548">
        <v>2.0499999999999998</v>
      </c>
      <c r="G49" s="549"/>
      <c r="H49" s="758">
        <f t="shared" si="3"/>
        <v>-8.1999999999999993</v>
      </c>
      <c r="I49" s="550" t="s">
        <v>652</v>
      </c>
    </row>
    <row r="50" spans="2:9" x14ac:dyDescent="0.3">
      <c r="B50" s="747"/>
      <c r="C50" s="748" t="s">
        <v>782</v>
      </c>
      <c r="D50" s="748">
        <v>-1</v>
      </c>
      <c r="E50" s="748">
        <f>2.29+1.2+3.05+3.05+3.05+0.9</f>
        <v>13.540000000000001</v>
      </c>
      <c r="F50" s="748">
        <f>2.9-0.6-0.3</f>
        <v>1.9999999999999998</v>
      </c>
      <c r="G50" s="748"/>
      <c r="H50" s="758">
        <f t="shared" si="3"/>
        <v>-27.08</v>
      </c>
      <c r="I50" s="550"/>
    </row>
    <row r="51" spans="2:9" x14ac:dyDescent="0.3">
      <c r="B51" s="1099" t="s">
        <v>734</v>
      </c>
      <c r="C51" s="1099"/>
      <c r="D51" s="1099"/>
      <c r="E51" s="1099"/>
      <c r="F51" s="1099"/>
      <c r="G51" s="751"/>
      <c r="H51" s="751">
        <f>SUM(H43:H50)*2</f>
        <v>75.004999999999995</v>
      </c>
      <c r="I51" s="752" t="s">
        <v>672</v>
      </c>
    </row>
    <row r="52" spans="2:9" x14ac:dyDescent="0.3">
      <c r="B52" s="742"/>
      <c r="C52" s="742"/>
      <c r="D52" s="742"/>
      <c r="E52" s="742"/>
      <c r="F52" s="742"/>
      <c r="G52" s="742"/>
      <c r="H52" s="755"/>
      <c r="I52" s="756"/>
    </row>
    <row r="53" spans="2:9" x14ac:dyDescent="0.3">
      <c r="B53" s="743"/>
      <c r="C53" s="744" t="s">
        <v>735</v>
      </c>
      <c r="D53" s="745"/>
      <c r="E53" s="745"/>
      <c r="F53" s="745"/>
      <c r="G53" s="745"/>
      <c r="H53" s="745"/>
      <c r="I53" s="746"/>
    </row>
    <row r="54" spans="2:9" x14ac:dyDescent="0.3">
      <c r="B54" s="747"/>
      <c r="C54" s="748" t="s">
        <v>736</v>
      </c>
      <c r="D54" s="748">
        <v>1</v>
      </c>
      <c r="E54" s="748">
        <v>5.4</v>
      </c>
      <c r="F54" s="748">
        <v>2.7</v>
      </c>
      <c r="G54" s="748"/>
      <c r="H54" s="749">
        <f t="shared" ref="H54:H58" si="4">((E54*F54)+(G54))*D54</f>
        <v>14.580000000000002</v>
      </c>
      <c r="I54" s="750"/>
    </row>
    <row r="55" spans="2:9" x14ac:dyDescent="0.3">
      <c r="B55" s="747"/>
      <c r="C55" s="748" t="s">
        <v>729</v>
      </c>
      <c r="D55" s="748">
        <v>1</v>
      </c>
      <c r="E55" s="748">
        <v>7.2</v>
      </c>
      <c r="F55" s="748">
        <v>2.7</v>
      </c>
      <c r="G55" s="748"/>
      <c r="H55" s="749">
        <f t="shared" si="4"/>
        <v>19.440000000000001</v>
      </c>
      <c r="I55" s="750"/>
    </row>
    <row r="56" spans="2:9" x14ac:dyDescent="0.3">
      <c r="B56" s="747"/>
      <c r="C56" s="748" t="s">
        <v>730</v>
      </c>
      <c r="D56" s="748">
        <v>1</v>
      </c>
      <c r="E56" s="748">
        <v>7.29</v>
      </c>
      <c r="F56" s="748">
        <v>2.7</v>
      </c>
      <c r="G56" s="748"/>
      <c r="H56" s="749">
        <f>((E56*F56)+(G56))*D56</f>
        <v>19.683</v>
      </c>
      <c r="I56" s="750"/>
    </row>
    <row r="57" spans="2:9" x14ac:dyDescent="0.3">
      <c r="B57" s="747"/>
      <c r="C57" s="748" t="s">
        <v>730</v>
      </c>
      <c r="D57" s="748">
        <v>1</v>
      </c>
      <c r="E57" s="748">
        <v>7.29</v>
      </c>
      <c r="F57" s="748">
        <v>2.7</v>
      </c>
      <c r="G57" s="748"/>
      <c r="H57" s="749">
        <f>((E57*F57)+(G57))*D57</f>
        <v>19.683</v>
      </c>
      <c r="I57" s="750"/>
    </row>
    <row r="58" spans="2:9" x14ac:dyDescent="0.3">
      <c r="B58" s="747"/>
      <c r="C58" s="748" t="s">
        <v>730</v>
      </c>
      <c r="D58" s="748">
        <v>1</v>
      </c>
      <c r="E58" s="748">
        <v>7.29</v>
      </c>
      <c r="F58" s="748">
        <v>2.7</v>
      </c>
      <c r="G58" s="748"/>
      <c r="H58" s="749">
        <f t="shared" si="4"/>
        <v>19.683</v>
      </c>
      <c r="I58" s="750"/>
    </row>
    <row r="59" spans="2:9" x14ac:dyDescent="0.3">
      <c r="B59" s="747"/>
      <c r="C59" s="548" t="s">
        <v>649</v>
      </c>
      <c r="D59" s="548">
        <v>1</v>
      </c>
      <c r="E59" s="548">
        <v>-1.35</v>
      </c>
      <c r="F59" s="548">
        <v>2.0499999999999998</v>
      </c>
      <c r="G59" s="549"/>
      <c r="H59" s="758">
        <f>F59*E59*D59</f>
        <v>-2.7675000000000001</v>
      </c>
      <c r="I59" s="550" t="s">
        <v>650</v>
      </c>
    </row>
    <row r="60" spans="2:9" x14ac:dyDescent="0.3">
      <c r="B60" s="747"/>
      <c r="C60" s="548" t="s">
        <v>649</v>
      </c>
      <c r="D60" s="548">
        <v>1</v>
      </c>
      <c r="E60" s="548">
        <v>-2</v>
      </c>
      <c r="F60" s="548">
        <v>2.0499999999999998</v>
      </c>
      <c r="G60" s="549"/>
      <c r="H60" s="758">
        <f t="shared" ref="H60:H62" si="5">F60*E60*D60</f>
        <v>-4.0999999999999996</v>
      </c>
      <c r="I60" s="550" t="s">
        <v>651</v>
      </c>
    </row>
    <row r="61" spans="2:9" x14ac:dyDescent="0.3">
      <c r="B61" s="747"/>
      <c r="C61" s="548" t="s">
        <v>649</v>
      </c>
      <c r="D61" s="548">
        <v>3</v>
      </c>
      <c r="E61" s="548">
        <v>-2</v>
      </c>
      <c r="F61" s="548">
        <v>2.0499999999999998</v>
      </c>
      <c r="G61" s="549"/>
      <c r="H61" s="758">
        <f t="shared" si="5"/>
        <v>-12.299999999999999</v>
      </c>
      <c r="I61" s="550" t="s">
        <v>652</v>
      </c>
    </row>
    <row r="62" spans="2:9" x14ac:dyDescent="0.3">
      <c r="B62" s="747"/>
      <c r="C62" s="748" t="s">
        <v>782</v>
      </c>
      <c r="D62" s="748">
        <v>-1</v>
      </c>
      <c r="E62" s="748">
        <f>2.59+0.9+3.05+1.2+2.75+1.08+0.9+2.9+3.2+0.9+0.9</f>
        <v>20.369999999999997</v>
      </c>
      <c r="F62" s="748">
        <f>2.9-0.6-0.3</f>
        <v>1.9999999999999998</v>
      </c>
      <c r="G62" s="748"/>
      <c r="H62" s="758">
        <f t="shared" si="5"/>
        <v>-40.739999999999988</v>
      </c>
      <c r="I62" s="550"/>
    </row>
    <row r="63" spans="2:9" x14ac:dyDescent="0.3">
      <c r="B63" s="747"/>
      <c r="C63" s="548"/>
      <c r="D63" s="548"/>
      <c r="E63" s="548"/>
      <c r="F63" s="548"/>
      <c r="G63" s="549"/>
      <c r="H63" s="758"/>
      <c r="I63" s="550"/>
    </row>
    <row r="64" spans="2:9" x14ac:dyDescent="0.3">
      <c r="B64" s="1099" t="s">
        <v>737</v>
      </c>
      <c r="C64" s="1099"/>
      <c r="D64" s="1099"/>
      <c r="E64" s="1099"/>
      <c r="F64" s="1099"/>
      <c r="G64" s="751"/>
      <c r="H64" s="751">
        <f>SUM(H54:H63)*2</f>
        <v>66.323000000000022</v>
      </c>
      <c r="I64" s="752" t="s">
        <v>672</v>
      </c>
    </row>
    <row r="65" spans="2:9" x14ac:dyDescent="0.3">
      <c r="B65" s="742"/>
      <c r="C65" s="742"/>
      <c r="D65" s="742"/>
      <c r="E65" s="742"/>
      <c r="F65" s="742"/>
      <c r="G65" s="755"/>
      <c r="H65" s="755"/>
      <c r="I65" s="756"/>
    </row>
    <row r="66" spans="2:9" x14ac:dyDescent="0.3">
      <c r="B66" s="743"/>
      <c r="C66" s="744" t="s">
        <v>738</v>
      </c>
      <c r="D66" s="745"/>
      <c r="E66" s="745"/>
      <c r="F66" s="745"/>
      <c r="G66" s="745"/>
      <c r="H66" s="745"/>
      <c r="I66" s="746"/>
    </row>
    <row r="67" spans="2:9" x14ac:dyDescent="0.3">
      <c r="B67" s="747"/>
      <c r="C67" s="748" t="s">
        <v>733</v>
      </c>
      <c r="D67" s="748">
        <v>1</v>
      </c>
      <c r="E67" s="748">
        <v>6.38</v>
      </c>
      <c r="F67" s="748">
        <v>2.7</v>
      </c>
      <c r="G67" s="748"/>
      <c r="H67" s="749">
        <f t="shared" ref="H67:H70" si="6">((E67*F67)+(G67))*D67</f>
        <v>17.225999999999999</v>
      </c>
      <c r="I67" s="750"/>
    </row>
    <row r="68" spans="2:9" x14ac:dyDescent="0.3">
      <c r="B68" s="747"/>
      <c r="C68" s="748" t="s">
        <v>729</v>
      </c>
      <c r="D68" s="748">
        <v>1</v>
      </c>
      <c r="E68" s="748">
        <v>7.9</v>
      </c>
      <c r="F68" s="748">
        <v>2.7</v>
      </c>
      <c r="G68" s="748"/>
      <c r="H68" s="749">
        <f t="shared" si="6"/>
        <v>21.330000000000002</v>
      </c>
      <c r="I68" s="750"/>
    </row>
    <row r="69" spans="2:9" x14ac:dyDescent="0.3">
      <c r="B69" s="747"/>
      <c r="C69" s="748" t="s">
        <v>730</v>
      </c>
      <c r="D69" s="748">
        <v>1</v>
      </c>
      <c r="E69" s="748">
        <v>7.9</v>
      </c>
      <c r="F69" s="748">
        <v>2.7</v>
      </c>
      <c r="G69" s="748"/>
      <c r="H69" s="749">
        <f t="shared" si="6"/>
        <v>21.330000000000002</v>
      </c>
      <c r="I69" s="750"/>
    </row>
    <row r="70" spans="2:9" x14ac:dyDescent="0.3">
      <c r="B70" s="747"/>
      <c r="C70" s="748" t="s">
        <v>730</v>
      </c>
      <c r="D70" s="748">
        <v>1</v>
      </c>
      <c r="E70" s="748">
        <v>7.3</v>
      </c>
      <c r="F70" s="748">
        <v>2.7</v>
      </c>
      <c r="G70" s="748"/>
      <c r="H70" s="749">
        <f t="shared" si="6"/>
        <v>19.71</v>
      </c>
      <c r="I70" s="750"/>
    </row>
    <row r="71" spans="2:9" x14ac:dyDescent="0.3">
      <c r="B71" s="747"/>
      <c r="C71" s="548" t="s">
        <v>649</v>
      </c>
      <c r="D71" s="548">
        <v>1</v>
      </c>
      <c r="E71" s="548">
        <v>-1.35</v>
      </c>
      <c r="F71" s="548">
        <v>2.0499999999999998</v>
      </c>
      <c r="G71" s="549"/>
      <c r="H71" s="758">
        <f>F71*E71*D71</f>
        <v>-2.7675000000000001</v>
      </c>
      <c r="I71" s="550" t="s">
        <v>650</v>
      </c>
    </row>
    <row r="72" spans="2:9" x14ac:dyDescent="0.3">
      <c r="B72" s="747"/>
      <c r="C72" s="548" t="s">
        <v>649</v>
      </c>
      <c r="D72" s="548">
        <v>1</v>
      </c>
      <c r="E72" s="548">
        <v>-2</v>
      </c>
      <c r="F72" s="548">
        <v>2.0499999999999998</v>
      </c>
      <c r="G72" s="549"/>
      <c r="H72" s="758">
        <f t="shared" ref="H72:H74" si="7">F72*E72*D72</f>
        <v>-4.0999999999999996</v>
      </c>
      <c r="I72" s="550" t="s">
        <v>651</v>
      </c>
    </row>
    <row r="73" spans="2:9" x14ac:dyDescent="0.3">
      <c r="B73" s="747"/>
      <c r="C73" s="548" t="s">
        <v>649</v>
      </c>
      <c r="D73" s="548">
        <v>2</v>
      </c>
      <c r="E73" s="548">
        <v>-2</v>
      </c>
      <c r="F73" s="548">
        <v>2.0499999999999998</v>
      </c>
      <c r="G73" s="549"/>
      <c r="H73" s="758">
        <f t="shared" si="7"/>
        <v>-8.1999999999999993</v>
      </c>
      <c r="I73" s="550" t="s">
        <v>652</v>
      </c>
    </row>
    <row r="74" spans="2:9" x14ac:dyDescent="0.3">
      <c r="B74" s="747"/>
      <c r="C74" s="748" t="s">
        <v>782</v>
      </c>
      <c r="D74" s="748">
        <v>-1</v>
      </c>
      <c r="E74" s="748">
        <f>0.9+2.44+2.9+1.2+3.2+0.9+2.9</f>
        <v>14.440000000000001</v>
      </c>
      <c r="F74" s="748">
        <f>2.9-0.6-0.3</f>
        <v>1.9999999999999998</v>
      </c>
      <c r="G74" s="748"/>
      <c r="H74" s="758">
        <f t="shared" si="7"/>
        <v>-28.88</v>
      </c>
      <c r="I74" s="550"/>
    </row>
    <row r="75" spans="2:9" x14ac:dyDescent="0.3">
      <c r="B75" s="747"/>
      <c r="C75" s="748"/>
      <c r="D75" s="748"/>
      <c r="E75" s="748"/>
      <c r="F75" s="748"/>
      <c r="G75" s="748"/>
      <c r="H75" s="758"/>
      <c r="I75" s="550"/>
    </row>
    <row r="76" spans="2:9" x14ac:dyDescent="0.3">
      <c r="B76" s="1099" t="s">
        <v>734</v>
      </c>
      <c r="C76" s="1099"/>
      <c r="D76" s="1099"/>
      <c r="E76" s="1099"/>
      <c r="F76" s="1099"/>
      <c r="G76" s="751"/>
      <c r="H76" s="751">
        <f>SUM(H67:H75)*2</f>
        <v>71.297000000000025</v>
      </c>
      <c r="I76" s="752" t="s">
        <v>672</v>
      </c>
    </row>
    <row r="77" spans="2:9" x14ac:dyDescent="0.3">
      <c r="B77" s="742"/>
      <c r="C77" s="742"/>
      <c r="D77" s="742"/>
      <c r="E77" s="742"/>
      <c r="F77" s="742"/>
      <c r="G77" s="742"/>
      <c r="H77" s="755"/>
      <c r="I77" s="756"/>
    </row>
    <row r="78" spans="2:9" x14ac:dyDescent="0.3">
      <c r="B78" s="1099" t="s">
        <v>739</v>
      </c>
      <c r="C78" s="1099"/>
      <c r="D78" s="1099"/>
      <c r="E78" s="1099"/>
      <c r="F78" s="1099"/>
      <c r="G78" s="757"/>
      <c r="H78" s="757">
        <f>H64+H51+H40+H76</f>
        <v>288.72200000000009</v>
      </c>
      <c r="I78" s="752" t="s">
        <v>672</v>
      </c>
    </row>
    <row r="81" spans="2:10" ht="15" thickBot="1" x14ac:dyDescent="0.35">
      <c r="B81" t="s">
        <v>784</v>
      </c>
    </row>
    <row r="82" spans="2:10" x14ac:dyDescent="0.3">
      <c r="B82" s="1100" t="s">
        <v>780</v>
      </c>
      <c r="C82" s="1101"/>
      <c r="D82" s="1101"/>
      <c r="E82" s="1102"/>
      <c r="G82" s="1100" t="s">
        <v>792</v>
      </c>
      <c r="H82" s="1101"/>
      <c r="I82" s="1101"/>
      <c r="J82" s="1102"/>
    </row>
    <row r="83" spans="2:10" ht="15.75" customHeight="1" thickBot="1" x14ac:dyDescent="0.35">
      <c r="B83" s="532" t="s">
        <v>41</v>
      </c>
      <c r="C83" s="1103" t="s">
        <v>556</v>
      </c>
      <c r="D83" s="1103"/>
      <c r="E83" s="533" t="s">
        <v>179</v>
      </c>
      <c r="G83" s="532" t="s">
        <v>41</v>
      </c>
      <c r="H83" s="1103" t="s">
        <v>556</v>
      </c>
      <c r="I83" s="1103"/>
      <c r="J83" s="533" t="s">
        <v>179</v>
      </c>
    </row>
    <row r="84" spans="2:10" ht="15" customHeight="1" x14ac:dyDescent="0.3">
      <c r="B84" s="534">
        <v>1</v>
      </c>
      <c r="C84" s="1012" t="s">
        <v>623</v>
      </c>
      <c r="D84" s="1013"/>
      <c r="E84" s="535">
        <f>(H78*2)+(H78*0.75)</f>
        <v>793.98550000000023</v>
      </c>
      <c r="G84" s="534">
        <v>1</v>
      </c>
      <c r="H84" s="1012" t="s">
        <v>623</v>
      </c>
      <c r="I84" s="1013"/>
      <c r="J84" s="535">
        <f>('[2]Balcony Ceiling'!$F$26*2)+('[2]Balcony Ceiling'!$F$26*0.75)</f>
        <v>235.69150000000002</v>
      </c>
    </row>
    <row r="85" spans="2:10" ht="15" customHeight="1" x14ac:dyDescent="0.3">
      <c r="B85" s="527">
        <v>2</v>
      </c>
      <c r="C85" s="1014" t="s">
        <v>624</v>
      </c>
      <c r="D85" s="1015"/>
      <c r="E85" s="536">
        <f>E84*0.0125</f>
        <v>9.9248187500000036</v>
      </c>
      <c r="G85" s="527">
        <v>2</v>
      </c>
      <c r="H85" s="1014" t="s">
        <v>624</v>
      </c>
      <c r="I85" s="1015"/>
      <c r="J85" s="536">
        <f>J84*0.01</f>
        <v>2.3569150000000003</v>
      </c>
    </row>
    <row r="86" spans="2:10" ht="15" customHeight="1" x14ac:dyDescent="0.3">
      <c r="B86" s="527">
        <v>4</v>
      </c>
      <c r="C86" s="1014" t="s">
        <v>821</v>
      </c>
      <c r="D86" s="1015"/>
      <c r="E86" s="536">
        <f>E85*1.4</f>
        <v>13.894746250000004</v>
      </c>
      <c r="G86" s="527">
        <v>4</v>
      </c>
      <c r="H86" s="1014" t="s">
        <v>821</v>
      </c>
      <c r="I86" s="1015"/>
      <c r="J86" s="536">
        <f>J85*1.4</f>
        <v>3.2996810000000001</v>
      </c>
    </row>
    <row r="87" spans="2:10" ht="15" customHeight="1" x14ac:dyDescent="0.3">
      <c r="B87" s="527">
        <v>5</v>
      </c>
      <c r="C87" s="1014" t="s">
        <v>608</v>
      </c>
      <c r="D87" s="1015"/>
      <c r="E87" s="536">
        <f>ROUND(((E86/(5+1))*1000)/35,0)</f>
        <v>66</v>
      </c>
      <c r="G87" s="527">
        <v>5</v>
      </c>
      <c r="H87" s="1014" t="s">
        <v>608</v>
      </c>
      <c r="I87" s="1015"/>
      <c r="J87" s="536">
        <f>ROUND(((J86/(5+1))*1000)/35,0)</f>
        <v>16</v>
      </c>
    </row>
    <row r="88" spans="2:10" ht="15" customHeight="1" x14ac:dyDescent="0.3">
      <c r="B88" s="527">
        <v>6</v>
      </c>
      <c r="C88" s="1014" t="s">
        <v>609</v>
      </c>
      <c r="D88" s="1015"/>
      <c r="E88" s="536">
        <f>(E86/6)*5</f>
        <v>11.578955208333337</v>
      </c>
      <c r="G88" s="527">
        <v>6</v>
      </c>
      <c r="H88" s="1014" t="s">
        <v>609</v>
      </c>
      <c r="I88" s="1015"/>
      <c r="J88" s="536">
        <f>(J86/6)*5</f>
        <v>2.7497341666666668</v>
      </c>
    </row>
    <row r="89" spans="2:10" ht="15" customHeight="1" x14ac:dyDescent="0.3">
      <c r="B89" s="527">
        <v>7</v>
      </c>
      <c r="C89" s="1014" t="s">
        <v>610</v>
      </c>
      <c r="D89" s="1015"/>
      <c r="E89" s="536">
        <f>E88*35.28</f>
        <v>408.50553975000014</v>
      </c>
      <c r="G89" s="527">
        <v>7</v>
      </c>
      <c r="H89" s="1014" t="s">
        <v>610</v>
      </c>
      <c r="I89" s="1015"/>
      <c r="J89" s="536">
        <f>J88*35.28</f>
        <v>97.010621400000005</v>
      </c>
    </row>
    <row r="90" spans="2:10" ht="15.75" customHeight="1" thickBot="1" x14ac:dyDescent="0.35">
      <c r="B90" s="537">
        <v>8</v>
      </c>
      <c r="C90" s="1097" t="s">
        <v>611</v>
      </c>
      <c r="D90" s="1098"/>
      <c r="E90" s="538">
        <f>E89/100</f>
        <v>4.0850553975000015</v>
      </c>
      <c r="G90" s="537">
        <v>8</v>
      </c>
      <c r="H90" s="1097" t="s">
        <v>611</v>
      </c>
      <c r="I90" s="1098"/>
      <c r="J90" s="538">
        <f>J89/100</f>
        <v>0.97010621400000008</v>
      </c>
    </row>
  </sheetData>
  <mergeCells count="56">
    <mergeCell ref="H19:I19"/>
    <mergeCell ref="H20:I20"/>
    <mergeCell ref="H21:I21"/>
    <mergeCell ref="H22:I22"/>
    <mergeCell ref="H10:I10"/>
    <mergeCell ref="H11:I11"/>
    <mergeCell ref="G14:J14"/>
    <mergeCell ref="H15:I15"/>
    <mergeCell ref="H16:I16"/>
    <mergeCell ref="H17:I17"/>
    <mergeCell ref="H18:I18"/>
    <mergeCell ref="C9:D9"/>
    <mergeCell ref="C10:D10"/>
    <mergeCell ref="C11:D11"/>
    <mergeCell ref="H9:I9"/>
    <mergeCell ref="H8:I8"/>
    <mergeCell ref="C8:D8"/>
    <mergeCell ref="B3:E3"/>
    <mergeCell ref="C4:D4"/>
    <mergeCell ref="C5:D5"/>
    <mergeCell ref="C6:D6"/>
    <mergeCell ref="C7:D7"/>
    <mergeCell ref="G3:J3"/>
    <mergeCell ref="H4:I4"/>
    <mergeCell ref="H5:I5"/>
    <mergeCell ref="H6:I6"/>
    <mergeCell ref="H7:I7"/>
    <mergeCell ref="B26:I26"/>
    <mergeCell ref="B27:B28"/>
    <mergeCell ref="C27:C28"/>
    <mergeCell ref="D27:D28"/>
    <mergeCell ref="E27:H27"/>
    <mergeCell ref="B78:F78"/>
    <mergeCell ref="B82:E82"/>
    <mergeCell ref="C83:D83"/>
    <mergeCell ref="B29:I29"/>
    <mergeCell ref="B40:F40"/>
    <mergeCell ref="B51:F51"/>
    <mergeCell ref="B64:F64"/>
    <mergeCell ref="B76:F76"/>
    <mergeCell ref="G82:J82"/>
    <mergeCell ref="H83:I83"/>
    <mergeCell ref="C90:D90"/>
    <mergeCell ref="C87:D87"/>
    <mergeCell ref="C88:D88"/>
    <mergeCell ref="C89:D89"/>
    <mergeCell ref="C84:D84"/>
    <mergeCell ref="C85:D85"/>
    <mergeCell ref="C86:D86"/>
    <mergeCell ref="H89:I89"/>
    <mergeCell ref="H90:I90"/>
    <mergeCell ref="H84:I84"/>
    <mergeCell ref="H85:I85"/>
    <mergeCell ref="H86:I86"/>
    <mergeCell ref="H87:I87"/>
    <mergeCell ref="H88:I88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topLeftCell="A25" workbookViewId="0">
      <selection activeCell="E50" sqref="E50:F50"/>
    </sheetView>
  </sheetViews>
  <sheetFormatPr defaultColWidth="9.109375" defaultRowHeight="13.8" x14ac:dyDescent="0.3"/>
  <cols>
    <col min="1" max="1" width="9.109375" style="1"/>
    <col min="2" max="2" width="26" style="1" customWidth="1"/>
    <col min="3" max="3" width="9.109375" style="1"/>
    <col min="4" max="4" width="8.5546875" style="16" bestFit="1" customWidth="1"/>
    <col min="5" max="5" width="21.6640625" style="1" customWidth="1"/>
    <col min="6" max="6" width="19" style="1" bestFit="1" customWidth="1"/>
    <col min="7" max="7" width="20.88671875" style="1" customWidth="1"/>
    <col min="8" max="8" width="11" style="1" customWidth="1"/>
    <col min="9" max="9" width="15.88671875" style="1" bestFit="1" customWidth="1"/>
    <col min="10" max="10" width="11.44140625" style="1" customWidth="1"/>
    <col min="11" max="11" width="13.109375" style="1" customWidth="1"/>
    <col min="12" max="16384" width="9.109375" style="1"/>
  </cols>
  <sheetData>
    <row r="1" spans="2:11" ht="14.4" thickBot="1" x14ac:dyDescent="0.35">
      <c r="D1" s="2" t="s">
        <v>0</v>
      </c>
      <c r="E1" s="3" t="s">
        <v>1</v>
      </c>
      <c r="F1" s="3" t="s">
        <v>2</v>
      </c>
      <c r="G1" s="4" t="s">
        <v>3</v>
      </c>
    </row>
    <row r="2" spans="2:11" x14ac:dyDescent="0.3">
      <c r="D2" s="5">
        <v>1</v>
      </c>
      <c r="E2" s="6" t="s">
        <v>14</v>
      </c>
      <c r="F2" s="7"/>
      <c r="G2" s="8">
        <f>[4]SUMMARY!$G$2</f>
        <v>4420</v>
      </c>
    </row>
    <row r="3" spans="2:11" x14ac:dyDescent="0.3">
      <c r="D3" s="5">
        <v>2</v>
      </c>
      <c r="E3" s="6" t="s">
        <v>4</v>
      </c>
      <c r="F3" s="7">
        <v>44</v>
      </c>
      <c r="G3" s="8">
        <v>174.78</v>
      </c>
    </row>
    <row r="4" spans="2:11" x14ac:dyDescent="0.3">
      <c r="D4" s="9">
        <v>3</v>
      </c>
      <c r="E4" s="10" t="s">
        <v>5</v>
      </c>
      <c r="F4" s="11">
        <v>28</v>
      </c>
      <c r="G4" s="12">
        <v>124.68</v>
      </c>
    </row>
    <row r="5" spans="2:11" x14ac:dyDescent="0.3">
      <c r="D5" s="5">
        <v>4</v>
      </c>
      <c r="E5" s="10" t="s">
        <v>6</v>
      </c>
      <c r="F5" s="11">
        <v>16</v>
      </c>
      <c r="G5" s="12">
        <v>60.68</v>
      </c>
    </row>
    <row r="6" spans="2:11" x14ac:dyDescent="0.3">
      <c r="D6" s="5">
        <v>5</v>
      </c>
      <c r="E6" s="10" t="s">
        <v>7</v>
      </c>
      <c r="F6" s="11">
        <v>20</v>
      </c>
      <c r="G6" s="12">
        <v>86.46</v>
      </c>
    </row>
    <row r="7" spans="2:11" x14ac:dyDescent="0.3">
      <c r="D7" s="5">
        <v>6</v>
      </c>
      <c r="E7" s="10" t="s">
        <v>8</v>
      </c>
      <c r="F7" s="11">
        <v>9</v>
      </c>
      <c r="G7" s="12">
        <v>57044</v>
      </c>
    </row>
    <row r="8" spans="2:11" ht="14.4" thickBot="1" x14ac:dyDescent="0.35">
      <c r="D8" s="5">
        <v>7</v>
      </c>
      <c r="E8" s="13" t="s">
        <v>9</v>
      </c>
      <c r="F8" s="14">
        <v>25</v>
      </c>
      <c r="G8" s="15">
        <v>73000</v>
      </c>
    </row>
    <row r="11" spans="2:11" x14ac:dyDescent="0.3">
      <c r="B11" s="10" t="s">
        <v>10</v>
      </c>
      <c r="C11" s="10" t="s">
        <v>11</v>
      </c>
      <c r="D11" s="17" t="s">
        <v>12</v>
      </c>
      <c r="E11" s="10" t="s">
        <v>13</v>
      </c>
      <c r="F11" s="10" t="s">
        <v>5</v>
      </c>
      <c r="G11" s="10" t="s">
        <v>6</v>
      </c>
      <c r="H11" s="10" t="s">
        <v>7</v>
      </c>
      <c r="I11" s="10" t="s">
        <v>4</v>
      </c>
      <c r="J11" s="10" t="s">
        <v>8</v>
      </c>
      <c r="K11" s="10" t="s">
        <v>9</v>
      </c>
    </row>
    <row r="12" spans="2:11" x14ac:dyDescent="0.3">
      <c r="B12" s="10"/>
      <c r="C12" s="10"/>
      <c r="D12" s="17"/>
      <c r="E12" s="10">
        <f>G2</f>
        <v>4420</v>
      </c>
      <c r="F12" s="10">
        <f>G4</f>
        <v>124.68</v>
      </c>
      <c r="G12" s="10">
        <f>G5</f>
        <v>60.68</v>
      </c>
      <c r="H12" s="10">
        <f>G6</f>
        <v>86.46</v>
      </c>
      <c r="I12" s="10">
        <f>G3</f>
        <v>174.78</v>
      </c>
      <c r="J12" s="10">
        <f>G7</f>
        <v>57044</v>
      </c>
      <c r="K12" s="10">
        <f>G8</f>
        <v>73000</v>
      </c>
    </row>
    <row r="13" spans="2:11" x14ac:dyDescent="0.3">
      <c r="B13" s="10" t="s">
        <v>15</v>
      </c>
      <c r="C13" s="10"/>
      <c r="D13" s="17"/>
      <c r="E13" s="10"/>
      <c r="F13" s="10"/>
      <c r="G13" s="10"/>
      <c r="H13" s="10"/>
      <c r="I13" s="10"/>
      <c r="J13" s="10"/>
      <c r="K13" s="10"/>
    </row>
    <row r="14" spans="2:11" x14ac:dyDescent="0.3">
      <c r="B14" s="456" t="s">
        <v>16</v>
      </c>
      <c r="C14" s="10"/>
      <c r="D14" s="17"/>
      <c r="E14" s="10"/>
      <c r="F14" s="10"/>
      <c r="G14" s="10"/>
      <c r="H14" s="10"/>
      <c r="I14" s="10"/>
      <c r="J14" s="10"/>
      <c r="K14" s="10"/>
    </row>
    <row r="15" spans="2:11" x14ac:dyDescent="0.3">
      <c r="B15" s="10" t="s">
        <v>17</v>
      </c>
      <c r="C15" s="96">
        <f>(cOL!G136/2.9)*2.05</f>
        <v>36.45137517241379</v>
      </c>
      <c r="D15" s="17" t="s">
        <v>20</v>
      </c>
      <c r="E15" s="96">
        <v>300</v>
      </c>
      <c r="F15" s="96">
        <v>6.5</v>
      </c>
      <c r="G15" s="96">
        <v>4.71</v>
      </c>
      <c r="H15" s="96">
        <v>5.25</v>
      </c>
      <c r="I15" s="96"/>
      <c r="J15" s="10"/>
      <c r="K15" s="10"/>
    </row>
    <row r="16" spans="2:11" x14ac:dyDescent="0.3">
      <c r="B16" s="10" t="s">
        <v>18</v>
      </c>
      <c r="C16" s="97">
        <f>'[1]Summary(Wing-A) '!$D$29</f>
        <v>170.67512546947586</v>
      </c>
      <c r="D16" s="17" t="s">
        <v>29</v>
      </c>
      <c r="E16" s="96">
        <v>1725</v>
      </c>
      <c r="F16" s="96">
        <v>43</v>
      </c>
      <c r="G16" s="96">
        <v>18</v>
      </c>
      <c r="H16" s="96">
        <v>33</v>
      </c>
      <c r="I16" s="96"/>
      <c r="J16" s="10"/>
      <c r="K16" s="10"/>
    </row>
    <row r="17" spans="2:11" x14ac:dyDescent="0.3">
      <c r="B17" s="10" t="s">
        <v>560</v>
      </c>
      <c r="C17" s="455">
        <f>'Podium Beam'!H191+'Podium Slab'!G337</f>
        <v>91.585593458333321</v>
      </c>
      <c r="D17" s="17" t="s">
        <v>29</v>
      </c>
      <c r="E17" s="96">
        <f>355+332+834</f>
        <v>1521</v>
      </c>
      <c r="F17" s="96">
        <f>9+8.25+20</f>
        <v>37.25</v>
      </c>
      <c r="G17" s="96">
        <f>5.6+3.5+9</f>
        <v>18.100000000000001</v>
      </c>
      <c r="H17" s="96">
        <f>7+6.4+16</f>
        <v>29.4</v>
      </c>
      <c r="I17" s="10"/>
      <c r="J17" s="10"/>
      <c r="K17" s="10"/>
    </row>
    <row r="18" spans="2:11" x14ac:dyDescent="0.3">
      <c r="B18" s="10" t="s">
        <v>572</v>
      </c>
      <c r="C18" s="455">
        <f>cOL!J517</f>
        <v>4.8342000000000001</v>
      </c>
      <c r="D18" s="17" t="s">
        <v>21</v>
      </c>
      <c r="E18" s="96">
        <v>135</v>
      </c>
      <c r="F18" s="96">
        <v>3</v>
      </c>
      <c r="G18" s="96">
        <v>1.18</v>
      </c>
      <c r="H18" s="96">
        <v>2.36</v>
      </c>
      <c r="I18" s="10"/>
      <c r="J18" s="10"/>
      <c r="K18" s="10"/>
    </row>
    <row r="19" spans="2:11" x14ac:dyDescent="0.3">
      <c r="B19" s="10" t="s">
        <v>571</v>
      </c>
      <c r="C19" s="455">
        <f>cOL!J582</f>
        <v>8.927719999999999</v>
      </c>
      <c r="D19" s="17" t="s">
        <v>21</v>
      </c>
      <c r="E19" s="96">
        <v>0</v>
      </c>
      <c r="F19" s="96">
        <v>0</v>
      </c>
      <c r="G19" s="96">
        <v>0</v>
      </c>
      <c r="H19" s="96">
        <v>0</v>
      </c>
      <c r="I19" s="10"/>
      <c r="J19" s="10"/>
      <c r="K19" s="10"/>
    </row>
    <row r="20" spans="2:11" x14ac:dyDescent="0.3">
      <c r="B20" s="10"/>
      <c r="C20" s="10"/>
      <c r="D20" s="17"/>
      <c r="E20" s="10"/>
      <c r="F20" s="10"/>
      <c r="G20" s="10"/>
      <c r="H20" s="10"/>
      <c r="I20" s="10"/>
      <c r="J20" s="10"/>
      <c r="K20" s="10"/>
    </row>
    <row r="21" spans="2:11" x14ac:dyDescent="0.3">
      <c r="B21" s="456" t="s">
        <v>561</v>
      </c>
      <c r="C21" s="10"/>
      <c r="D21" s="17"/>
      <c r="E21" s="10"/>
      <c r="F21" s="10"/>
      <c r="G21" s="10"/>
      <c r="H21" s="10"/>
      <c r="I21" s="10"/>
      <c r="J21" s="10"/>
      <c r="K21" s="10"/>
    </row>
    <row r="22" spans="2:11" x14ac:dyDescent="0.3">
      <c r="B22" s="10" t="s">
        <v>562</v>
      </c>
      <c r="C22" s="470">
        <f>cOL!G288</f>
        <v>86.457120000000018</v>
      </c>
      <c r="D22" s="17" t="s">
        <v>20</v>
      </c>
      <c r="E22" s="96">
        <v>575</v>
      </c>
      <c r="F22" s="96">
        <v>14</v>
      </c>
      <c r="G22" s="96">
        <v>9</v>
      </c>
      <c r="H22" s="96">
        <v>11.5</v>
      </c>
      <c r="I22" s="10"/>
      <c r="J22" s="10"/>
      <c r="K22" s="10"/>
    </row>
    <row r="23" spans="2:11" x14ac:dyDescent="0.3">
      <c r="B23" s="10" t="s">
        <v>563</v>
      </c>
      <c r="C23" s="96">
        <f>'[1]Summary(Wing-C)'!$D$29/2</f>
        <v>35.312251135000018</v>
      </c>
      <c r="D23" s="17" t="s">
        <v>20</v>
      </c>
      <c r="E23" s="96">
        <v>837</v>
      </c>
      <c r="F23" s="96">
        <v>20.5</v>
      </c>
      <c r="G23" s="96">
        <v>13</v>
      </c>
      <c r="H23" s="96">
        <v>19.600000000000001</v>
      </c>
      <c r="I23" s="10"/>
      <c r="J23" s="10"/>
      <c r="K23" s="10"/>
    </row>
    <row r="24" spans="2:11" x14ac:dyDescent="0.3">
      <c r="B24" s="10" t="s">
        <v>563</v>
      </c>
      <c r="C24" s="96">
        <f>'[1]Summary(Wing-C)'!$D$29/2</f>
        <v>35.312251135000018</v>
      </c>
      <c r="D24" s="17" t="s">
        <v>29</v>
      </c>
      <c r="E24" s="96">
        <v>740</v>
      </c>
      <c r="F24" s="96">
        <v>18.5</v>
      </c>
      <c r="G24" s="96">
        <v>8</v>
      </c>
      <c r="H24" s="96">
        <v>15</v>
      </c>
      <c r="I24" s="10"/>
      <c r="J24" s="10"/>
      <c r="K24" s="10"/>
    </row>
    <row r="25" spans="2:11" x14ac:dyDescent="0.3">
      <c r="B25" s="10"/>
      <c r="C25" s="10"/>
      <c r="D25" s="17"/>
      <c r="E25" s="10"/>
      <c r="F25" s="10"/>
      <c r="G25" s="10"/>
      <c r="H25" s="10"/>
      <c r="I25" s="10"/>
      <c r="J25" s="10"/>
      <c r="K25" s="10"/>
    </row>
    <row r="26" spans="2:11" x14ac:dyDescent="0.3">
      <c r="B26" s="456" t="s">
        <v>600</v>
      </c>
      <c r="C26" s="10"/>
      <c r="D26" s="17"/>
      <c r="E26" s="10"/>
      <c r="F26" s="10"/>
      <c r="G26" s="10"/>
      <c r="H26" s="10"/>
      <c r="I26" s="10"/>
      <c r="J26" s="10"/>
      <c r="K26" s="10"/>
    </row>
    <row r="27" spans="2:11" x14ac:dyDescent="0.3">
      <c r="B27" s="456" t="s">
        <v>627</v>
      </c>
      <c r="C27" s="10"/>
      <c r="D27" s="17"/>
      <c r="E27" s="10"/>
      <c r="F27" s="10"/>
      <c r="G27" s="10"/>
      <c r="H27" s="10"/>
      <c r="I27" s="10"/>
      <c r="J27" s="10"/>
      <c r="K27" s="10"/>
    </row>
    <row r="28" spans="2:11" x14ac:dyDescent="0.3">
      <c r="B28" s="10" t="s">
        <v>615</v>
      </c>
      <c r="C28" s="10"/>
      <c r="D28" s="17"/>
      <c r="E28" s="10">
        <v>341</v>
      </c>
      <c r="F28" s="10">
        <v>24</v>
      </c>
      <c r="G28" s="10"/>
      <c r="H28" s="10"/>
      <c r="I28" s="10"/>
      <c r="J28" s="10">
        <v>29820</v>
      </c>
      <c r="K28" s="10">
        <v>54924</v>
      </c>
    </row>
    <row r="29" spans="2:11" x14ac:dyDescent="0.3">
      <c r="B29" s="456" t="s">
        <v>628</v>
      </c>
      <c r="C29" s="10"/>
      <c r="D29" s="17"/>
      <c r="E29" s="10"/>
      <c r="F29" s="10"/>
      <c r="G29" s="10"/>
      <c r="H29" s="10"/>
      <c r="I29" s="10"/>
      <c r="J29" s="10"/>
      <c r="K29" s="10"/>
    </row>
    <row r="30" spans="2:11" x14ac:dyDescent="0.3">
      <c r="B30" s="10" t="s">
        <v>629</v>
      </c>
      <c r="C30" s="10"/>
      <c r="D30" s="17"/>
      <c r="E30" s="10">
        <v>569</v>
      </c>
      <c r="F30" s="10">
        <v>40</v>
      </c>
      <c r="G30" s="10"/>
      <c r="H30" s="10"/>
      <c r="I30" s="10"/>
      <c r="J30" s="10">
        <v>49700</v>
      </c>
      <c r="K30" s="10">
        <v>91540</v>
      </c>
    </row>
    <row r="31" spans="2:11" x14ac:dyDescent="0.3">
      <c r="B31" s="10"/>
      <c r="C31" s="10"/>
      <c r="D31" s="17"/>
      <c r="E31" s="10"/>
      <c r="F31" s="10"/>
      <c r="G31" s="10"/>
      <c r="H31" s="10"/>
      <c r="I31" s="10"/>
      <c r="J31" s="10"/>
      <c r="K31" s="10"/>
    </row>
    <row r="32" spans="2:11" x14ac:dyDescent="0.3">
      <c r="B32" s="456" t="s">
        <v>619</v>
      </c>
      <c r="C32" s="10"/>
      <c r="D32" s="17"/>
      <c r="E32" s="10"/>
      <c r="F32" s="10"/>
      <c r="G32" s="10"/>
      <c r="H32" s="10"/>
      <c r="I32" s="10"/>
      <c r="J32" s="10"/>
      <c r="K32" s="10"/>
    </row>
    <row r="33" spans="2:11" x14ac:dyDescent="0.3">
      <c r="B33" s="10" t="s">
        <v>626</v>
      </c>
      <c r="C33" s="455">
        <f>SUMMARY!D35</f>
        <v>2139.6767</v>
      </c>
      <c r="D33" s="17"/>
      <c r="E33" s="10">
        <v>900</v>
      </c>
      <c r="F33" s="10"/>
      <c r="G33" s="10"/>
      <c r="H33" s="10"/>
      <c r="I33" s="10">
        <v>56.25</v>
      </c>
      <c r="J33" s="10"/>
      <c r="K33" s="10"/>
    </row>
    <row r="34" spans="2:11" x14ac:dyDescent="0.3">
      <c r="B34" s="10"/>
      <c r="C34" s="455"/>
      <c r="D34" s="17"/>
      <c r="E34" s="10"/>
      <c r="F34" s="10"/>
      <c r="G34" s="10"/>
      <c r="H34" s="10"/>
      <c r="I34" s="10"/>
      <c r="J34" s="10"/>
      <c r="K34" s="10"/>
    </row>
    <row r="35" spans="2:11" x14ac:dyDescent="0.3">
      <c r="B35" s="456" t="s">
        <v>679</v>
      </c>
      <c r="C35" s="10"/>
      <c r="D35" s="17"/>
      <c r="E35" s="10"/>
      <c r="F35" s="10"/>
      <c r="G35" s="10"/>
      <c r="H35" s="10"/>
      <c r="I35" s="10"/>
      <c r="J35" s="10"/>
      <c r="K35" s="10"/>
    </row>
    <row r="36" spans="2:11" x14ac:dyDescent="0.3">
      <c r="B36" s="10" t="s">
        <v>626</v>
      </c>
      <c r="C36" s="455"/>
      <c r="D36" s="17"/>
      <c r="E36" s="10">
        <f>2828.6+58</f>
        <v>2886.6</v>
      </c>
      <c r="F36" s="10"/>
      <c r="G36" s="10"/>
      <c r="H36" s="10"/>
      <c r="I36" s="10">
        <v>141.1</v>
      </c>
      <c r="J36" s="10"/>
      <c r="K36" s="10"/>
    </row>
    <row r="37" spans="2:11" x14ac:dyDescent="0.3">
      <c r="B37" s="10"/>
      <c r="C37" s="10"/>
      <c r="D37" s="17"/>
      <c r="E37" s="10"/>
      <c r="F37" s="10"/>
      <c r="G37" s="10"/>
      <c r="H37" s="10"/>
      <c r="I37" s="10"/>
      <c r="J37" s="10"/>
      <c r="K37" s="10"/>
    </row>
    <row r="38" spans="2:11" x14ac:dyDescent="0.3">
      <c r="B38" s="456" t="s">
        <v>95</v>
      </c>
      <c r="C38" s="456"/>
      <c r="D38" s="539"/>
      <c r="E38" s="540">
        <f>SUM(E14:E37)</f>
        <v>10529.6</v>
      </c>
      <c r="F38" s="540">
        <f>SUM(F14:F37)</f>
        <v>206.75</v>
      </c>
      <c r="G38" s="540">
        <f>SUM(G14:G37)</f>
        <v>71.990000000000009</v>
      </c>
      <c r="H38" s="540">
        <f>SUM(H14:H37)</f>
        <v>116.11000000000001</v>
      </c>
      <c r="I38" s="540">
        <f>SUM(I14:I37)</f>
        <v>197.35</v>
      </c>
      <c r="J38" s="540">
        <f t="shared" ref="J38:K38" si="0">SUM(J14:J37)</f>
        <v>79520</v>
      </c>
      <c r="K38" s="540">
        <f t="shared" si="0"/>
        <v>146464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D21" sqref="D21"/>
    </sheetView>
  </sheetViews>
  <sheetFormatPr defaultRowHeight="14.4" x14ac:dyDescent="0.3"/>
  <cols>
    <col min="4" max="4" width="12.6640625" customWidth="1"/>
    <col min="5" max="5" width="11.6640625" customWidth="1"/>
  </cols>
  <sheetData>
    <row r="2" spans="2:10" ht="15" thickBot="1" x14ac:dyDescent="0.35"/>
    <row r="3" spans="2:10" x14ac:dyDescent="0.3">
      <c r="B3" s="1100" t="s">
        <v>793</v>
      </c>
      <c r="C3" s="1101"/>
      <c r="D3" s="1101"/>
      <c r="E3" s="1102"/>
      <c r="G3" s="1100" t="s">
        <v>793</v>
      </c>
      <c r="H3" s="1101"/>
      <c r="I3" s="1101"/>
      <c r="J3" s="1102"/>
    </row>
    <row r="4" spans="2:10" ht="15" thickBot="1" x14ac:dyDescent="0.35">
      <c r="B4" s="532" t="s">
        <v>41</v>
      </c>
      <c r="C4" s="1103" t="s">
        <v>556</v>
      </c>
      <c r="D4" s="1103"/>
      <c r="E4" s="533" t="s">
        <v>179</v>
      </c>
      <c r="G4" s="532" t="s">
        <v>41</v>
      </c>
      <c r="H4" s="1103" t="s">
        <v>556</v>
      </c>
      <c r="I4" s="1103"/>
      <c r="J4" s="533" t="s">
        <v>179</v>
      </c>
    </row>
    <row r="5" spans="2:10" x14ac:dyDescent="0.3">
      <c r="B5" s="534">
        <v>1</v>
      </c>
      <c r="C5" s="1012" t="s">
        <v>692</v>
      </c>
      <c r="D5" s="1013"/>
      <c r="E5" s="535">
        <v>3596</v>
      </c>
      <c r="G5" s="534">
        <v>1</v>
      </c>
      <c r="H5" s="1012" t="s">
        <v>692</v>
      </c>
      <c r="I5" s="1013"/>
      <c r="J5" s="535">
        <v>7192</v>
      </c>
    </row>
    <row r="6" spans="2:10" x14ac:dyDescent="0.3">
      <c r="B6" s="527">
        <v>2</v>
      </c>
      <c r="C6" s="1014" t="s">
        <v>624</v>
      </c>
      <c r="D6" s="1015"/>
      <c r="E6" s="536">
        <f>(E5/3.28)*0.1*0.0508</f>
        <v>5.5694146341463426</v>
      </c>
      <c r="G6" s="527">
        <v>2</v>
      </c>
      <c r="H6" s="1014" t="s">
        <v>624</v>
      </c>
      <c r="I6" s="1015"/>
      <c r="J6" s="536">
        <f>(J5/3.28)*0.1*0.0508</f>
        <v>11.138829268292685</v>
      </c>
    </row>
    <row r="7" spans="2:10" x14ac:dyDescent="0.3">
      <c r="B7" s="527">
        <v>4</v>
      </c>
      <c r="C7" s="1014" t="s">
        <v>625</v>
      </c>
      <c r="D7" s="1015"/>
      <c r="E7" s="536">
        <f>E6*1.35</f>
        <v>7.5187097560975626</v>
      </c>
      <c r="G7" s="527">
        <v>4</v>
      </c>
      <c r="H7" s="1014" t="s">
        <v>625</v>
      </c>
      <c r="I7" s="1015"/>
      <c r="J7" s="536">
        <f>J6*1.35</f>
        <v>15.037419512195125</v>
      </c>
    </row>
    <row r="8" spans="2:10" x14ac:dyDescent="0.3">
      <c r="B8" s="527">
        <v>5</v>
      </c>
      <c r="C8" s="1014" t="s">
        <v>608</v>
      </c>
      <c r="D8" s="1015"/>
      <c r="E8" s="536">
        <f>ROUND(((E7/(4+1))*1000)/35,0)</f>
        <v>43</v>
      </c>
      <c r="G8" s="527">
        <v>5</v>
      </c>
      <c r="H8" s="1014" t="s">
        <v>608</v>
      </c>
      <c r="I8" s="1015"/>
      <c r="J8" s="536">
        <f>ROUND(((J7/(4+1))*1000)/35,0)</f>
        <v>86</v>
      </c>
    </row>
    <row r="9" spans="2:10" x14ac:dyDescent="0.3">
      <c r="B9" s="527">
        <v>6</v>
      </c>
      <c r="C9" s="1014" t="s">
        <v>609</v>
      </c>
      <c r="D9" s="1015"/>
      <c r="E9" s="536">
        <f>(E7/5)*4</f>
        <v>6.0149678048780499</v>
      </c>
      <c r="G9" s="527">
        <v>6</v>
      </c>
      <c r="H9" s="1014" t="s">
        <v>609</v>
      </c>
      <c r="I9" s="1015"/>
      <c r="J9" s="536">
        <f>(J7/5)*4</f>
        <v>12.0299356097561</v>
      </c>
    </row>
    <row r="10" spans="2:10" x14ac:dyDescent="0.3">
      <c r="B10" s="527">
        <v>7</v>
      </c>
      <c r="C10" s="1014" t="s">
        <v>610</v>
      </c>
      <c r="D10" s="1015"/>
      <c r="E10" s="536">
        <f>E9*35.28</f>
        <v>212.20806415609761</v>
      </c>
      <c r="G10" s="527">
        <v>7</v>
      </c>
      <c r="H10" s="1014" t="s">
        <v>610</v>
      </c>
      <c r="I10" s="1015"/>
      <c r="J10" s="536">
        <f>J9*35.28</f>
        <v>424.41612831219521</v>
      </c>
    </row>
    <row r="11" spans="2:10" ht="15" thickBot="1" x14ac:dyDescent="0.35">
      <c r="B11" s="537">
        <v>8</v>
      </c>
      <c r="C11" s="1097" t="s">
        <v>611</v>
      </c>
      <c r="D11" s="1098"/>
      <c r="E11" s="538">
        <f>E10/100</f>
        <v>2.1220806415609759</v>
      </c>
      <c r="G11" s="537">
        <v>8</v>
      </c>
      <c r="H11" s="1097" t="s">
        <v>611</v>
      </c>
      <c r="I11" s="1098"/>
      <c r="J11" s="538">
        <f>J10/100</f>
        <v>4.2441612831219517</v>
      </c>
    </row>
  </sheetData>
  <mergeCells count="18">
    <mergeCell ref="H10:I10"/>
    <mergeCell ref="H11:I11"/>
    <mergeCell ref="C9:D9"/>
    <mergeCell ref="C10:D10"/>
    <mergeCell ref="C11:D11"/>
    <mergeCell ref="H8:I8"/>
    <mergeCell ref="H9:I9"/>
    <mergeCell ref="B3:E3"/>
    <mergeCell ref="C4:D4"/>
    <mergeCell ref="C5:D5"/>
    <mergeCell ref="C6:D6"/>
    <mergeCell ref="C7:D7"/>
    <mergeCell ref="C8:D8"/>
    <mergeCell ref="G3:J3"/>
    <mergeCell ref="H4:I4"/>
    <mergeCell ref="H5:I5"/>
    <mergeCell ref="H6:I6"/>
    <mergeCell ref="H7:I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>
      <selection activeCell="E12" sqref="E12"/>
    </sheetView>
  </sheetViews>
  <sheetFormatPr defaultRowHeight="14.4" x14ac:dyDescent="0.3"/>
  <cols>
    <col min="2" max="2" width="18.6640625" customWidth="1"/>
    <col min="3" max="3" width="13.109375" customWidth="1"/>
    <col min="7" max="7" width="11" customWidth="1"/>
  </cols>
  <sheetData>
    <row r="3" spans="2:7" x14ac:dyDescent="0.3">
      <c r="B3" s="105" t="s">
        <v>697</v>
      </c>
      <c r="C3" s="105"/>
      <c r="D3" s="105"/>
      <c r="E3" s="105"/>
      <c r="F3" s="105"/>
      <c r="G3" s="105"/>
    </row>
    <row r="4" spans="2:7" x14ac:dyDescent="0.3">
      <c r="B4" s="105"/>
      <c r="C4" s="105"/>
      <c r="D4" s="105"/>
      <c r="E4" s="105"/>
      <c r="F4" s="105"/>
      <c r="G4" s="105"/>
    </row>
    <row r="5" spans="2:7" x14ac:dyDescent="0.3">
      <c r="B5" s="105" t="s">
        <v>556</v>
      </c>
      <c r="C5" s="105" t="s">
        <v>701</v>
      </c>
      <c r="D5" s="105" t="s">
        <v>50</v>
      </c>
      <c r="E5" s="105" t="s">
        <v>698</v>
      </c>
      <c r="F5" s="105" t="s">
        <v>699</v>
      </c>
      <c r="G5" s="105" t="s">
        <v>703</v>
      </c>
    </row>
    <row r="6" spans="2:7" x14ac:dyDescent="0.3">
      <c r="B6" s="105" t="s">
        <v>700</v>
      </c>
      <c r="C6" s="105">
        <v>12</v>
      </c>
      <c r="D6" s="105">
        <v>4.5999999999999996</v>
      </c>
      <c r="E6" s="105">
        <v>0.1</v>
      </c>
      <c r="F6" s="105">
        <v>0.6</v>
      </c>
      <c r="G6" s="667">
        <f>F6*E6*D6*C6</f>
        <v>3.3119999999999994</v>
      </c>
    </row>
    <row r="7" spans="2:7" x14ac:dyDescent="0.3">
      <c r="B7" s="105" t="s">
        <v>702</v>
      </c>
      <c r="C7" s="105">
        <v>12</v>
      </c>
      <c r="D7" s="105">
        <v>5.0999999999999996</v>
      </c>
      <c r="E7" s="105">
        <v>0.1</v>
      </c>
      <c r="F7" s="105">
        <v>0.6</v>
      </c>
      <c r="G7" s="667">
        <f>F7*E7*D7*C7</f>
        <v>3.6719999999999997</v>
      </c>
    </row>
    <row r="8" spans="2:7" x14ac:dyDescent="0.3">
      <c r="B8" s="105"/>
      <c r="C8" s="105"/>
      <c r="D8" s="105"/>
      <c r="E8" s="105"/>
      <c r="F8" s="105"/>
      <c r="G8" s="668">
        <f>SUM(G6:G7)</f>
        <v>6.9839999999999991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4"/>
  <sheetViews>
    <sheetView topLeftCell="A70" workbookViewId="0">
      <selection activeCell="G78" sqref="G78"/>
    </sheetView>
  </sheetViews>
  <sheetFormatPr defaultColWidth="9.109375" defaultRowHeight="13.8" x14ac:dyDescent="0.3"/>
  <cols>
    <col min="1" max="1" width="9.109375" style="1"/>
    <col min="2" max="2" width="20.5546875" style="1" customWidth="1"/>
    <col min="3" max="4" width="31.33203125" style="1" customWidth="1"/>
    <col min="5" max="5" width="8.5546875" style="1" customWidth="1"/>
    <col min="6" max="6" width="8.109375" style="16" customWidth="1"/>
    <col min="7" max="8" width="9.44140625" style="1" customWidth="1"/>
    <col min="9" max="9" width="9.33203125" style="1" customWidth="1"/>
    <col min="10" max="10" width="10.109375" style="1" customWidth="1"/>
    <col min="11" max="11" width="10" style="1" customWidth="1"/>
    <col min="12" max="12" width="9.33203125" style="1" customWidth="1"/>
    <col min="13" max="13" width="10.44140625" style="1" customWidth="1"/>
    <col min="14" max="14" width="10" style="1" customWidth="1"/>
    <col min="15" max="15" width="33.44140625" style="1" customWidth="1"/>
    <col min="16" max="16" width="27.5546875" style="1" customWidth="1"/>
    <col min="17" max="16384" width="9.109375" style="1"/>
  </cols>
  <sheetData>
    <row r="1" spans="2:16" ht="14.4" x14ac:dyDescent="0.3">
      <c r="B1" s="542" t="s">
        <v>636</v>
      </c>
    </row>
    <row r="2" spans="2:16" ht="14.4" x14ac:dyDescent="0.3">
      <c r="B2" s="764" t="s">
        <v>779</v>
      </c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4"/>
    </row>
    <row r="3" spans="2:16" x14ac:dyDescent="0.3">
      <c r="B3" s="10" t="s">
        <v>618</v>
      </c>
      <c r="C3" s="10" t="s">
        <v>10</v>
      </c>
      <c r="D3" s="10"/>
      <c r="E3" s="10" t="s">
        <v>11</v>
      </c>
      <c r="F3" s="17" t="s">
        <v>12</v>
      </c>
      <c r="G3" s="10" t="s">
        <v>13</v>
      </c>
      <c r="H3" s="10"/>
      <c r="I3" s="10" t="s">
        <v>5</v>
      </c>
      <c r="J3" s="10" t="s">
        <v>6</v>
      </c>
      <c r="K3" s="10" t="s">
        <v>7</v>
      </c>
      <c r="L3" s="10" t="s">
        <v>4</v>
      </c>
      <c r="M3" s="10" t="s">
        <v>8</v>
      </c>
      <c r="N3" s="10" t="s">
        <v>9</v>
      </c>
      <c r="O3" s="10" t="s">
        <v>204</v>
      </c>
    </row>
    <row r="4" spans="2:16" x14ac:dyDescent="0.3">
      <c r="B4" s="10"/>
      <c r="C4" s="10"/>
      <c r="D4" s="10"/>
      <c r="E4" s="10"/>
      <c r="F4" s="17"/>
      <c r="G4" s="10"/>
      <c r="H4" s="10"/>
      <c r="I4" s="10"/>
      <c r="J4" s="10"/>
      <c r="K4" s="10"/>
      <c r="L4" s="10"/>
      <c r="M4" s="10"/>
      <c r="N4" s="10"/>
      <c r="O4" s="10"/>
    </row>
    <row r="5" spans="2:16" ht="18" customHeight="1" x14ac:dyDescent="0.3">
      <c r="B5" s="524" t="s">
        <v>15</v>
      </c>
      <c r="E5" s="10"/>
      <c r="F5" s="17"/>
      <c r="G5" s="10"/>
      <c r="H5" s="10"/>
      <c r="I5" s="10"/>
      <c r="J5" s="10"/>
      <c r="K5" s="10"/>
      <c r="L5" s="10"/>
      <c r="M5" s="10"/>
      <c r="N5" s="10"/>
      <c r="O5" s="10"/>
      <c r="P5" s="560"/>
    </row>
    <row r="6" spans="2:16" x14ac:dyDescent="0.3">
      <c r="B6" s="10"/>
      <c r="C6" s="456" t="s">
        <v>16</v>
      </c>
      <c r="D6" s="456"/>
      <c r="E6" s="10"/>
      <c r="F6" s="17"/>
      <c r="G6" s="10"/>
      <c r="H6" s="10"/>
      <c r="I6" s="10"/>
      <c r="J6" s="10"/>
      <c r="K6" s="10"/>
      <c r="L6" s="10"/>
      <c r="M6" s="10"/>
      <c r="N6" s="10"/>
      <c r="O6" s="10"/>
    </row>
    <row r="7" spans="2:16" x14ac:dyDescent="0.3">
      <c r="B7" s="10"/>
      <c r="C7" s="10" t="s">
        <v>680</v>
      </c>
      <c r="D7" s="10"/>
      <c r="E7" s="455">
        <f>'Podium Beam'!H191/2+'Podium Slab'!G337/2</f>
        <v>45.79279672916666</v>
      </c>
      <c r="F7" s="17" t="s">
        <v>29</v>
      </c>
      <c r="G7" s="455">
        <f>$E$7*'Mix design'!D16</f>
        <v>327.97283046868415</v>
      </c>
      <c r="H7" s="1">
        <v>560</v>
      </c>
      <c r="I7" s="455">
        <f>$E$7*'Mix design'!E16</f>
        <v>7.0448563984673349</v>
      </c>
      <c r="J7" s="455">
        <f>$E$7*'Mix design'!F16</f>
        <v>5.283642298850503</v>
      </c>
      <c r="K7" s="455">
        <f>$E$7*'Mix design'!G16</f>
        <v>5.8707136653894469</v>
      </c>
      <c r="L7" s="10"/>
      <c r="M7" s="10"/>
      <c r="N7" s="10"/>
      <c r="O7" s="10" t="s">
        <v>35</v>
      </c>
      <c r="P7" s="1">
        <v>560</v>
      </c>
    </row>
    <row r="8" spans="2:16" x14ac:dyDescent="0.3">
      <c r="B8" s="10"/>
      <c r="C8" s="10" t="s">
        <v>680</v>
      </c>
      <c r="D8" s="10"/>
      <c r="E8" s="455">
        <f>'Podium Beam'!H191/2+'Podium Slab'!G337/2</f>
        <v>45.79279672916666</v>
      </c>
      <c r="F8" s="17" t="s">
        <v>29</v>
      </c>
      <c r="G8" s="455">
        <f>'Mix design'!D35*'SUMMARY sirs comp'!$E$8</f>
        <v>380.13408673058819</v>
      </c>
      <c r="H8" s="1">
        <v>400</v>
      </c>
      <c r="I8" s="455">
        <f>'Mix design'!E35*'SUMMARY sirs comp'!$E$8</f>
        <v>9.2539842073694381</v>
      </c>
      <c r="J8" s="455">
        <f>'Mix design'!F35*'SUMMARY sirs comp'!$E$8</f>
        <v>3.9465520884369663</v>
      </c>
      <c r="K8" s="455">
        <f>'Mix design'!G35*'SUMMARY sirs comp'!$E$8</f>
        <v>7.48484016772528</v>
      </c>
      <c r="L8" s="10"/>
      <c r="M8" s="10"/>
      <c r="N8" s="10"/>
      <c r="O8" s="10" t="s">
        <v>770</v>
      </c>
      <c r="P8" s="1">
        <v>400</v>
      </c>
    </row>
    <row r="9" spans="2:16" x14ac:dyDescent="0.3">
      <c r="B9" s="10"/>
      <c r="C9" s="10" t="s">
        <v>572</v>
      </c>
      <c r="D9" s="10"/>
      <c r="E9" s="455">
        <f>cOL!J582</f>
        <v>8.927719999999999</v>
      </c>
      <c r="F9" s="17" t="s">
        <v>21</v>
      </c>
      <c r="G9" s="96">
        <f>$E$9*'Mix design'!D37</f>
        <v>83.486013918072274</v>
      </c>
      <c r="H9" s="1">
        <v>300</v>
      </c>
      <c r="I9" s="96">
        <f>$E$9*'Mix design'!E37</f>
        <v>1.7932795789601925</v>
      </c>
      <c r="J9" s="96">
        <f>$E$9*'Mix design'!F37</f>
        <v>0.74719982456674683</v>
      </c>
      <c r="K9" s="96">
        <f>$E$9*'Mix design'!G37</f>
        <v>1.374847677202814</v>
      </c>
      <c r="L9" s="10"/>
      <c r="M9" s="10"/>
      <c r="N9" s="10"/>
      <c r="O9" s="10" t="s">
        <v>771</v>
      </c>
      <c r="P9" s="1">
        <v>300</v>
      </c>
    </row>
    <row r="10" spans="2:16" x14ac:dyDescent="0.3">
      <c r="B10" s="10"/>
      <c r="C10" s="10" t="s">
        <v>17</v>
      </c>
      <c r="D10" s="10"/>
      <c r="E10" s="96">
        <f>(cOL!G136)</f>
        <v>51.565359999999998</v>
      </c>
      <c r="F10" s="17" t="s">
        <v>20</v>
      </c>
      <c r="G10" s="96">
        <f>$E$10*'Mix design'!D16</f>
        <v>369.31653625263158</v>
      </c>
      <c r="H10" s="1">
        <v>1535</v>
      </c>
      <c r="I10" s="96">
        <f>$E$10*'Mix design'!E16</f>
        <v>7.9329191987065251</v>
      </c>
      <c r="J10" s="96">
        <f>$E$10*'Mix design'!F16</f>
        <v>5.9496893990298956</v>
      </c>
      <c r="K10" s="96">
        <f>$E$10*'Mix design'!G16</f>
        <v>6.6107659989221057</v>
      </c>
      <c r="L10" s="96"/>
      <c r="M10" s="10"/>
      <c r="N10" s="10"/>
      <c r="O10" s="10" t="s">
        <v>772</v>
      </c>
      <c r="P10" s="1">
        <v>1535</v>
      </c>
    </row>
    <row r="11" spans="2:16" x14ac:dyDescent="0.3">
      <c r="B11" s="10"/>
      <c r="C11" s="10" t="s">
        <v>18</v>
      </c>
      <c r="D11" s="10"/>
      <c r="E11" s="97">
        <f>'[1]Summary(Wing-A) '!$D$29</f>
        <v>170.67512546947586</v>
      </c>
      <c r="F11" s="17" t="s">
        <v>29</v>
      </c>
      <c r="G11" s="96">
        <f>$E$11*'Mix design'!D35</f>
        <v>1416.8043356619078</v>
      </c>
      <c r="H11" s="1">
        <v>1535</v>
      </c>
      <c r="I11" s="96">
        <f>$E$11*'Mix design'!E35</f>
        <v>34.490684747353484</v>
      </c>
      <c r="J11" s="96">
        <f>$E$11*'Mix design'!F35</f>
        <v>14.709262612841927</v>
      </c>
      <c r="K11" s="96">
        <f>$E$11*'Mix design'!G35</f>
        <v>27.896877369182963</v>
      </c>
      <c r="L11" s="96"/>
      <c r="M11" s="10"/>
      <c r="N11" s="10"/>
      <c r="O11" s="10" t="s">
        <v>770</v>
      </c>
      <c r="P11" s="1">
        <v>1535</v>
      </c>
    </row>
    <row r="12" spans="2:16" x14ac:dyDescent="0.3">
      <c r="B12" s="10"/>
      <c r="C12" s="10" t="s">
        <v>681</v>
      </c>
      <c r="D12" s="10"/>
      <c r="E12" s="97">
        <f>cOL!G724</f>
        <v>26.423320000000007</v>
      </c>
      <c r="F12" s="17" t="s">
        <v>20</v>
      </c>
      <c r="G12" s="96">
        <f>$E$12*'Mix design'!D36</f>
        <v>234.38541772800008</v>
      </c>
      <c r="H12" s="1">
        <v>48</v>
      </c>
      <c r="I12" s="96">
        <f>$E$12*'Mix design'!E36</f>
        <v>5.2863287114373128</v>
      </c>
      <c r="J12" s="96">
        <f>$E$12*'Mix design'!F36</f>
        <v>2.0977494886656003</v>
      </c>
      <c r="K12" s="96">
        <f>$E$12*'Mix design'!G36</f>
        <v>4.3633189364244487</v>
      </c>
      <c r="L12" s="10"/>
      <c r="M12" s="10"/>
      <c r="N12" s="10"/>
      <c r="O12" s="10" t="s">
        <v>773</v>
      </c>
      <c r="P12" s="1">
        <v>48</v>
      </c>
    </row>
    <row r="13" spans="2:16" x14ac:dyDescent="0.3">
      <c r="B13" s="10"/>
      <c r="C13" s="456"/>
      <c r="D13" s="456"/>
      <c r="E13" s="10"/>
      <c r="F13" s="17"/>
      <c r="G13" s="10"/>
      <c r="H13" s="1">
        <v>405</v>
      </c>
      <c r="I13" s="10"/>
      <c r="J13" s="10"/>
      <c r="K13" s="10"/>
      <c r="L13" s="10"/>
      <c r="M13" s="10"/>
      <c r="N13" s="10"/>
      <c r="O13" s="10"/>
      <c r="P13" s="1">
        <v>405</v>
      </c>
    </row>
    <row r="14" spans="2:16" x14ac:dyDescent="0.3">
      <c r="B14" s="10"/>
      <c r="C14" s="456" t="s">
        <v>561</v>
      </c>
      <c r="D14" s="456"/>
      <c r="E14" s="10"/>
      <c r="F14" s="17"/>
      <c r="G14" s="10"/>
      <c r="H14" s="1">
        <v>355</v>
      </c>
      <c r="I14" s="10"/>
      <c r="J14" s="10"/>
      <c r="K14" s="10"/>
      <c r="L14" s="10"/>
      <c r="M14" s="10"/>
      <c r="N14" s="10"/>
      <c r="O14" s="10"/>
      <c r="P14" s="1">
        <v>355</v>
      </c>
    </row>
    <row r="15" spans="2:16" x14ac:dyDescent="0.3">
      <c r="B15" s="10"/>
      <c r="C15" s="10" t="s">
        <v>693</v>
      </c>
      <c r="D15" s="10"/>
      <c r="E15" s="97">
        <f>cOL!G288</f>
        <v>86.457120000000018</v>
      </c>
      <c r="F15" s="17" t="s">
        <v>20</v>
      </c>
      <c r="G15" s="96">
        <f>$E$15*'Mix design'!D16</f>
        <v>619.21499418947383</v>
      </c>
      <c r="H15" s="1">
        <v>67</v>
      </c>
      <c r="I15" s="96">
        <f>$E$15*'Mix design'!E16</f>
        <v>13.300738075189896</v>
      </c>
      <c r="J15" s="96">
        <f>$E$15*'Mix design'!F16</f>
        <v>9.9755535563924251</v>
      </c>
      <c r="K15" s="96">
        <f>$E$15*'Mix design'!G16</f>
        <v>11.083948395991582</v>
      </c>
      <c r="L15" s="10"/>
      <c r="M15" s="10"/>
      <c r="N15" s="10"/>
      <c r="O15" s="10" t="s">
        <v>774</v>
      </c>
      <c r="P15" s="1">
        <v>67</v>
      </c>
    </row>
    <row r="16" spans="2:16" x14ac:dyDescent="0.3">
      <c r="B16" s="10"/>
      <c r="C16" s="10" t="s">
        <v>757</v>
      </c>
      <c r="D16" s="10"/>
      <c r="E16" s="97">
        <f>'[1]Summary(Wing-A) '!$D$29*0.5</f>
        <v>85.337562734737929</v>
      </c>
      <c r="F16" s="17" t="s">
        <v>20</v>
      </c>
      <c r="G16" s="455">
        <f>$E$16*'Mix design'!D16</f>
        <v>611.19660720753359</v>
      </c>
      <c r="I16" s="455">
        <f>$E$16*'Mix design'!E16</f>
        <v>13.128503122817818</v>
      </c>
      <c r="J16" s="455">
        <f>$E$16*'Mix design'!F16</f>
        <v>9.8463773421133673</v>
      </c>
      <c r="K16" s="455">
        <f>$E$16*'Mix design'!G16</f>
        <v>10.940419269014852</v>
      </c>
      <c r="L16" s="10"/>
      <c r="M16" s="10"/>
      <c r="N16" s="10"/>
      <c r="O16" s="10" t="s">
        <v>35</v>
      </c>
      <c r="P16" s="1">
        <f>SUM(P7:P15)</f>
        <v>5205</v>
      </c>
    </row>
    <row r="17" spans="2:16" x14ac:dyDescent="0.3">
      <c r="B17" s="10"/>
      <c r="C17" s="10" t="s">
        <v>757</v>
      </c>
      <c r="D17" s="10"/>
      <c r="E17" s="97">
        <f>'[1]Summary(Wing-A) '!$D$29*0.5</f>
        <v>85.337562734737929</v>
      </c>
      <c r="F17" s="17" t="s">
        <v>29</v>
      </c>
      <c r="G17" s="455">
        <f>'Mix design'!D35*$E$17</f>
        <v>708.40216783095389</v>
      </c>
      <c r="H17" s="455"/>
      <c r="I17" s="455">
        <f>'Mix design'!E35*$E$17</f>
        <v>17.245342373676742</v>
      </c>
      <c r="J17" s="455">
        <f>'Mix design'!F35*$E$17</f>
        <v>7.3546313064209636</v>
      </c>
      <c r="K17" s="455">
        <f>'Mix design'!G35*$E$17</f>
        <v>13.948438684591482</v>
      </c>
      <c r="L17" s="10"/>
      <c r="M17" s="10"/>
      <c r="N17" s="10"/>
      <c r="O17" s="10" t="s">
        <v>770</v>
      </c>
    </row>
    <row r="18" spans="2:16" x14ac:dyDescent="0.3">
      <c r="B18" s="10"/>
      <c r="C18" s="10" t="s">
        <v>694</v>
      </c>
      <c r="D18" s="10"/>
      <c r="E18" s="97">
        <f>cOL!G439</f>
        <v>30.515210000000007</v>
      </c>
      <c r="F18" s="17" t="s">
        <v>19</v>
      </c>
      <c r="G18" s="96">
        <f>$E$18*'Mix design'!D33</f>
        <v>193.34437056000004</v>
      </c>
      <c r="H18" s="96"/>
      <c r="I18" s="96">
        <f>$E$18*'Mix design'!E33</f>
        <v>4.8452099262336006</v>
      </c>
      <c r="J18" s="96">
        <f>$E$18*'Mix design'!F33</f>
        <v>3.8761679409868806</v>
      </c>
      <c r="K18" s="96">
        <f>$E$18*'Mix design'!G33</f>
        <v>5.8142519114803211</v>
      </c>
      <c r="L18" s="10"/>
      <c r="M18" s="10"/>
      <c r="N18" s="10"/>
      <c r="O18" s="10" t="s">
        <v>775</v>
      </c>
    </row>
    <row r="19" spans="2:16" x14ac:dyDescent="0.3">
      <c r="B19" s="10"/>
      <c r="C19" s="10" t="s">
        <v>761</v>
      </c>
      <c r="D19" s="10"/>
      <c r="E19" s="97">
        <f>cOL!G452</f>
        <v>13.287560000000003</v>
      </c>
      <c r="F19" s="17" t="s">
        <v>20</v>
      </c>
      <c r="G19" s="96">
        <f>$E$19*'Mix design'!D36</f>
        <v>117.86597222400002</v>
      </c>
      <c r="H19" s="96"/>
      <c r="I19" s="96">
        <f>$E$19*'Mix design'!E36</f>
        <v>2.6583491375400965</v>
      </c>
      <c r="J19" s="96">
        <f>$E$19*'Mix design'!F36</f>
        <v>1.0549004514048002</v>
      </c>
      <c r="K19" s="96">
        <f>$E$19*'Mix design'!G36</f>
        <v>2.1941929389219843</v>
      </c>
      <c r="L19" s="10"/>
      <c r="M19" s="10"/>
      <c r="N19" s="10"/>
      <c r="O19" s="10" t="s">
        <v>776</v>
      </c>
    </row>
    <row r="20" spans="2:16" x14ac:dyDescent="0.3">
      <c r="B20" s="10"/>
      <c r="C20" s="10" t="s">
        <v>696</v>
      </c>
      <c r="D20" s="10"/>
      <c r="E20" s="96">
        <f>'Staircase pardi'!G8</f>
        <v>6.9839999999999991</v>
      </c>
      <c r="F20" s="17" t="s">
        <v>29</v>
      </c>
      <c r="G20" s="665">
        <f>$E$20*'Mix design'!D16</f>
        <v>50.020143157894729</v>
      </c>
      <c r="H20" s="665"/>
      <c r="I20" s="665">
        <f>$E$20*'Mix design'!E16</f>
        <v>1.0744326750315787</v>
      </c>
      <c r="J20" s="665">
        <f>$E$20*'Mix design'!F16</f>
        <v>0.80582450627368418</v>
      </c>
      <c r="K20" s="665">
        <f>$E$20*'Mix design'!G16</f>
        <v>0.8953605625263158</v>
      </c>
      <c r="L20" s="10"/>
      <c r="M20" s="10"/>
      <c r="N20" s="10"/>
      <c r="O20" s="10" t="s">
        <v>777</v>
      </c>
    </row>
    <row r="21" spans="2:16" x14ac:dyDescent="0.3">
      <c r="B21" s="10"/>
      <c r="C21" s="10"/>
      <c r="D21" s="10"/>
      <c r="E21" s="96"/>
      <c r="F21" s="17"/>
      <c r="G21" s="665"/>
      <c r="H21" s="665"/>
      <c r="I21" s="665"/>
      <c r="J21" s="665"/>
      <c r="K21" s="665"/>
      <c r="L21" s="10"/>
      <c r="M21" s="10"/>
      <c r="N21" s="10"/>
      <c r="O21" s="10"/>
    </row>
    <row r="22" spans="2:16" x14ac:dyDescent="0.3">
      <c r="B22" s="10"/>
      <c r="C22" s="456"/>
      <c r="D22" s="456"/>
      <c r="E22" s="10"/>
      <c r="F22" s="17"/>
      <c r="G22" s="540"/>
      <c r="H22" s="718"/>
      <c r="I22" s="10"/>
      <c r="J22" s="10"/>
      <c r="K22" s="10"/>
      <c r="L22" s="10"/>
      <c r="M22" s="10"/>
      <c r="N22" s="10"/>
      <c r="O22" s="10"/>
    </row>
    <row r="23" spans="2:16" x14ac:dyDescent="0.3">
      <c r="B23" s="456" t="s">
        <v>635</v>
      </c>
      <c r="E23" s="10"/>
      <c r="F23" s="17"/>
      <c r="G23" s="10"/>
      <c r="H23" s="10"/>
      <c r="I23" s="10"/>
      <c r="J23" s="10"/>
      <c r="K23" s="10"/>
      <c r="L23" s="10"/>
      <c r="M23" s="10"/>
      <c r="N23" s="10"/>
      <c r="O23" s="10"/>
    </row>
    <row r="24" spans="2:16" x14ac:dyDescent="0.3">
      <c r="B24" s="10"/>
      <c r="C24" s="456" t="s">
        <v>16</v>
      </c>
      <c r="D24" s="456"/>
      <c r="E24" s="10"/>
      <c r="F24" s="17"/>
      <c r="G24" s="10"/>
      <c r="H24" s="10"/>
      <c r="I24" s="10"/>
      <c r="J24" s="10"/>
      <c r="K24" s="10"/>
      <c r="L24" s="10"/>
      <c r="M24" s="10"/>
      <c r="N24" s="10"/>
      <c r="O24" s="10"/>
      <c r="P24" s="1">
        <v>144</v>
      </c>
    </row>
    <row r="25" spans="2:16" x14ac:dyDescent="0.3">
      <c r="B25" s="10"/>
      <c r="C25" s="886" t="s">
        <v>601</v>
      </c>
      <c r="D25" s="759"/>
      <c r="E25" s="455">
        <f>'[2]Brick Work 150mm (2)'!$H$126</f>
        <v>64.443360000000013</v>
      </c>
      <c r="F25" s="543">
        <v>4.5138888888888888E-2</v>
      </c>
      <c r="G25" s="97">
        <f>BW!$E$8</f>
        <v>77.633674350649443</v>
      </c>
      <c r="H25" s="97"/>
      <c r="I25" s="97">
        <f>BW!$E$11</f>
        <v>4.7958202330113684</v>
      </c>
      <c r="J25" s="10"/>
      <c r="K25" s="10"/>
      <c r="L25" s="10"/>
      <c r="M25" s="10"/>
      <c r="N25" s="531">
        <f>BW!$E$12</f>
        <v>18308</v>
      </c>
      <c r="O25" s="531"/>
      <c r="P25" s="1">
        <v>72</v>
      </c>
    </row>
    <row r="26" spans="2:16" x14ac:dyDescent="0.3">
      <c r="B26" s="10"/>
      <c r="C26" s="887"/>
      <c r="D26" s="760"/>
      <c r="E26" s="455">
        <f>'[2]Brick Work 100mm (2)'!$H$59</f>
        <v>19.244520000000001</v>
      </c>
      <c r="F26" s="543">
        <v>4.5138888888888888E-2</v>
      </c>
      <c r="G26" s="97">
        <f>BW!$E$20</f>
        <v>28.675546576151135</v>
      </c>
      <c r="H26" s="97"/>
      <c r="I26" s="97">
        <f>BW!$E$23</f>
        <v>1.771431889741736</v>
      </c>
      <c r="J26" s="10"/>
      <c r="K26" s="10"/>
      <c r="L26" s="10"/>
      <c r="M26" s="531">
        <f>BW!$E$24</f>
        <v>9940</v>
      </c>
      <c r="N26" s="10"/>
      <c r="O26" s="10"/>
    </row>
    <row r="27" spans="2:16" x14ac:dyDescent="0.3">
      <c r="B27" s="10"/>
      <c r="C27" s="886" t="s">
        <v>602</v>
      </c>
      <c r="D27" s="759"/>
      <c r="E27" s="455">
        <f>'[2]Brick Work 150mm (2)'!$H$126</f>
        <v>64.443360000000013</v>
      </c>
      <c r="F27" s="543">
        <v>4.5138888888888888E-2</v>
      </c>
      <c r="G27" s="97">
        <f>BW!E8</f>
        <v>77.633674350649443</v>
      </c>
      <c r="H27" s="97"/>
      <c r="I27" s="97">
        <f>BW!E11</f>
        <v>4.7958202330113684</v>
      </c>
      <c r="J27" s="10"/>
      <c r="K27" s="10"/>
      <c r="L27" s="10"/>
      <c r="M27" s="10"/>
      <c r="N27" s="531">
        <f>BW!E12</f>
        <v>18308</v>
      </c>
      <c r="O27" s="531"/>
    </row>
    <row r="28" spans="2:16" x14ac:dyDescent="0.3">
      <c r="B28" s="10"/>
      <c r="C28" s="887"/>
      <c r="D28" s="760"/>
      <c r="E28" s="455">
        <f>'[2]Brick Work 100mm (2)'!$H$59</f>
        <v>19.244520000000001</v>
      </c>
      <c r="F28" s="543">
        <v>4.5138888888888888E-2</v>
      </c>
      <c r="G28" s="97">
        <f>BW!E20</f>
        <v>28.675546576151135</v>
      </c>
      <c r="H28" s="97"/>
      <c r="I28" s="97">
        <f>BW!E23</f>
        <v>1.771431889741736</v>
      </c>
      <c r="J28" s="10"/>
      <c r="K28" s="10"/>
      <c r="L28" s="10"/>
      <c r="M28" s="531">
        <f>BW!E24</f>
        <v>9940</v>
      </c>
      <c r="N28" s="10"/>
      <c r="O28" s="10"/>
    </row>
    <row r="29" spans="2:16" x14ac:dyDescent="0.3">
      <c r="B29" s="10"/>
      <c r="C29" s="886" t="s">
        <v>686</v>
      </c>
      <c r="D29" s="759"/>
      <c r="E29" s="455">
        <f>'[2]Brick Work 150mm (2)'!$H$126*0.2</f>
        <v>12.888672000000003</v>
      </c>
      <c r="F29" s="543">
        <v>4.5138888888888888E-2</v>
      </c>
      <c r="G29" s="97">
        <f>BW!E8*0.2</f>
        <v>15.526734870129889</v>
      </c>
      <c r="H29" s="97"/>
      <c r="I29" s="97">
        <f>BW!E11*0.2</f>
        <v>0.95916404660227372</v>
      </c>
      <c r="J29" s="10"/>
      <c r="K29" s="10"/>
      <c r="L29" s="10"/>
      <c r="M29" s="10"/>
      <c r="N29" s="531">
        <f>BW!E12*0.2</f>
        <v>3661.6000000000004</v>
      </c>
      <c r="O29" s="531"/>
    </row>
    <row r="30" spans="2:16" x14ac:dyDescent="0.3">
      <c r="B30" s="10"/>
      <c r="C30" s="887"/>
      <c r="D30" s="760"/>
      <c r="E30" s="455">
        <f>'[2]Brick Work 100mm (2)'!$H$59*0.2</f>
        <v>3.8489040000000005</v>
      </c>
      <c r="F30" s="543">
        <v>4.5138888888888888E-2</v>
      </c>
      <c r="G30" s="97">
        <f>BW!E20*0.2</f>
        <v>5.7351093152302273</v>
      </c>
      <c r="H30" s="97"/>
      <c r="I30" s="97">
        <f>BW!E23*0.2</f>
        <v>0.35428637794834722</v>
      </c>
      <c r="J30" s="10"/>
      <c r="K30" s="10"/>
      <c r="L30" s="10"/>
      <c r="M30" s="531">
        <f>BW!E24*0.2</f>
        <v>1988</v>
      </c>
      <c r="N30" s="10"/>
      <c r="O30" s="10"/>
    </row>
    <row r="31" spans="2:16" x14ac:dyDescent="0.3">
      <c r="B31" s="10"/>
      <c r="C31" s="760"/>
      <c r="D31" s="760"/>
      <c r="E31" s="455"/>
      <c r="F31" s="17"/>
      <c r="G31" s="97"/>
      <c r="H31" s="97"/>
      <c r="I31" s="97"/>
      <c r="J31" s="10"/>
      <c r="K31" s="10"/>
      <c r="L31" s="10"/>
      <c r="M31" s="531"/>
      <c r="N31" s="10"/>
      <c r="O31" s="10"/>
    </row>
    <row r="32" spans="2:16" x14ac:dyDescent="0.3">
      <c r="B32" s="10"/>
      <c r="C32" s="456" t="s">
        <v>561</v>
      </c>
      <c r="D32" s="456"/>
      <c r="E32" s="455"/>
      <c r="F32" s="17"/>
      <c r="G32" s="97"/>
      <c r="H32" s="97"/>
      <c r="I32" s="97"/>
      <c r="J32" s="10"/>
      <c r="K32" s="10"/>
      <c r="L32" s="10"/>
      <c r="M32" s="531"/>
      <c r="N32" s="10"/>
      <c r="O32" s="10"/>
    </row>
    <row r="33" spans="2:16" x14ac:dyDescent="0.3">
      <c r="B33" s="10"/>
      <c r="C33" s="886" t="s">
        <v>616</v>
      </c>
      <c r="D33" s="759"/>
      <c r="E33" s="455">
        <f>'[5]Brick Work 150mm'!$H$126</f>
        <v>62.828009999999999</v>
      </c>
      <c r="F33" s="543">
        <v>4.5138888888888888E-2</v>
      </c>
      <c r="G33" s="97">
        <f>BW!$E$8</f>
        <v>77.633674350649443</v>
      </c>
      <c r="H33" s="97"/>
      <c r="I33" s="97">
        <f>BW!$E$11</f>
        <v>4.7958202330113684</v>
      </c>
      <c r="J33" s="10"/>
      <c r="K33" s="10"/>
      <c r="L33" s="10"/>
      <c r="M33" s="10"/>
      <c r="N33" s="531">
        <f>BW!$E$12</f>
        <v>18308</v>
      </c>
      <c r="O33" s="531"/>
    </row>
    <row r="34" spans="2:16" x14ac:dyDescent="0.3">
      <c r="B34" s="10"/>
      <c r="C34" s="887"/>
      <c r="D34" s="760"/>
      <c r="E34" s="455">
        <f>'[5]Brick Work 100mm'!$H$59</f>
        <v>18.82892</v>
      </c>
      <c r="F34" s="543">
        <v>4.5138888888888888E-2</v>
      </c>
      <c r="G34" s="97">
        <f>BW!$E$20</f>
        <v>28.675546576151135</v>
      </c>
      <c r="H34" s="97"/>
      <c r="I34" s="97">
        <f>BW!$E$23</f>
        <v>1.771431889741736</v>
      </c>
      <c r="J34" s="10"/>
      <c r="K34" s="10"/>
      <c r="L34" s="10"/>
      <c r="M34" s="531">
        <f>BW!$E$24</f>
        <v>9940</v>
      </c>
      <c r="N34" s="10"/>
      <c r="O34" s="10"/>
    </row>
    <row r="35" spans="2:16" x14ac:dyDescent="0.3">
      <c r="B35" s="10"/>
      <c r="C35" s="886" t="s">
        <v>617</v>
      </c>
      <c r="D35" s="759"/>
      <c r="E35" s="455">
        <f>'[5]Brick Work 150mm'!$H$126</f>
        <v>62.828009999999999</v>
      </c>
      <c r="F35" s="543">
        <v>4.5138888888888888E-2</v>
      </c>
      <c r="G35" s="97">
        <f>BW!$E$8</f>
        <v>77.633674350649443</v>
      </c>
      <c r="H35" s="97"/>
      <c r="I35" s="97">
        <f>BW!$E$11</f>
        <v>4.7958202330113684</v>
      </c>
      <c r="J35" s="10"/>
      <c r="K35" s="10"/>
      <c r="L35" s="10"/>
      <c r="M35" s="10"/>
      <c r="N35" s="531">
        <f>BW!$E$12</f>
        <v>18308</v>
      </c>
      <c r="O35" s="531"/>
    </row>
    <row r="36" spans="2:16" x14ac:dyDescent="0.3">
      <c r="B36" s="10"/>
      <c r="C36" s="887"/>
      <c r="D36" s="760"/>
      <c r="E36" s="455">
        <f>'[5]Brick Work 100mm'!$H$59</f>
        <v>18.82892</v>
      </c>
      <c r="F36" s="543">
        <v>4.5138888888888888E-2</v>
      </c>
      <c r="G36" s="97">
        <f>BW!$E$20</f>
        <v>28.675546576151135</v>
      </c>
      <c r="H36" s="97"/>
      <c r="I36" s="97">
        <f>BW!$E$23</f>
        <v>1.771431889741736</v>
      </c>
      <c r="J36" s="10"/>
      <c r="K36" s="10"/>
      <c r="L36" s="10"/>
      <c r="M36" s="531">
        <f>BW!$E$24</f>
        <v>9940</v>
      </c>
      <c r="N36" s="10"/>
      <c r="O36" s="10"/>
    </row>
    <row r="37" spans="2:16" ht="14.25" customHeight="1" x14ac:dyDescent="0.3">
      <c r="B37" s="10"/>
      <c r="C37" s="886" t="s">
        <v>704</v>
      </c>
      <c r="D37" s="759"/>
      <c r="E37" s="455">
        <f>'[5]Brick Work 150mm'!$H$126*0.5</f>
        <v>31.414005</v>
      </c>
      <c r="F37" s="543">
        <v>4.5138888888888888E-2</v>
      </c>
      <c r="G37" s="97">
        <f>BW!$E$8*0.5</f>
        <v>38.816837175324721</v>
      </c>
      <c r="H37" s="97"/>
      <c r="I37" s="97">
        <f>BW!$E$11*0.5</f>
        <v>2.3979101165056842</v>
      </c>
      <c r="J37" s="10"/>
      <c r="K37" s="10"/>
      <c r="L37" s="10"/>
      <c r="M37" s="10"/>
      <c r="N37" s="531">
        <f>BW!$E$12*0.5</f>
        <v>9154</v>
      </c>
      <c r="O37" s="531"/>
    </row>
    <row r="38" spans="2:16" ht="14.25" customHeight="1" x14ac:dyDescent="0.3">
      <c r="B38" s="10"/>
      <c r="C38" s="887"/>
      <c r="D38" s="760"/>
      <c r="E38" s="455">
        <f>'[5]Brick Work 100mm'!$H$59*0.5</f>
        <v>9.4144600000000001</v>
      </c>
      <c r="F38" s="543">
        <v>4.5138888888888888E-2</v>
      </c>
      <c r="G38" s="97">
        <f>BW!$E$20*0.5</f>
        <v>14.337773288075567</v>
      </c>
      <c r="H38" s="97"/>
      <c r="I38" s="97">
        <f>BW!$E$23*0.5</f>
        <v>0.88571594487086802</v>
      </c>
      <c r="J38" s="10"/>
      <c r="K38" s="10"/>
      <c r="L38" s="10"/>
      <c r="M38" s="531">
        <f>BW!$E$24*0.5</f>
        <v>4970</v>
      </c>
      <c r="N38" s="10"/>
      <c r="O38" s="10"/>
    </row>
    <row r="39" spans="2:16" ht="14.25" customHeight="1" x14ac:dyDescent="0.3">
      <c r="B39" s="10"/>
      <c r="C39" s="759" t="s">
        <v>778</v>
      </c>
      <c r="D39" s="759"/>
      <c r="E39" s="455">
        <f>BW!N5</f>
        <v>0</v>
      </c>
      <c r="F39" s="543">
        <v>4.5138888888888888E-2</v>
      </c>
      <c r="G39" s="97">
        <f>BW!N8</f>
        <v>0</v>
      </c>
      <c r="H39" s="97"/>
      <c r="I39" s="97">
        <f>BW!N11</f>
        <v>0</v>
      </c>
      <c r="J39" s="10"/>
      <c r="K39" s="10"/>
      <c r="L39" s="10"/>
      <c r="M39" s="10"/>
      <c r="N39" s="531">
        <f>BW!N12</f>
        <v>0</v>
      </c>
      <c r="O39" s="10"/>
    </row>
    <row r="40" spans="2:16" ht="14.25" customHeight="1" x14ac:dyDescent="0.3">
      <c r="B40" s="10"/>
      <c r="C40" s="760"/>
      <c r="D40" s="760"/>
      <c r="E40" s="455"/>
      <c r="F40" s="17"/>
      <c r="G40" s="97"/>
      <c r="H40" s="97"/>
      <c r="I40" s="97"/>
      <c r="J40" s="10"/>
      <c r="K40" s="10"/>
      <c r="L40" s="10"/>
      <c r="M40" s="531"/>
      <c r="N40" s="10"/>
      <c r="O40" s="10"/>
    </row>
    <row r="41" spans="2:16" ht="14.25" customHeight="1" x14ac:dyDescent="0.3">
      <c r="B41" s="456" t="s">
        <v>634</v>
      </c>
      <c r="C41" s="456" t="s">
        <v>16</v>
      </c>
      <c r="D41" s="456"/>
      <c r="E41" s="455"/>
      <c r="F41" s="17"/>
      <c r="G41" s="97"/>
      <c r="H41" s="97"/>
      <c r="I41" s="97"/>
      <c r="J41" s="10"/>
      <c r="K41" s="10"/>
      <c r="L41" s="10"/>
      <c r="M41" s="531"/>
      <c r="N41" s="10"/>
      <c r="O41" s="10"/>
    </row>
    <row r="42" spans="2:16" ht="14.25" customHeight="1" x14ac:dyDescent="0.3">
      <c r="B42" s="10"/>
      <c r="C42" s="760" t="s">
        <v>687</v>
      </c>
      <c r="D42" s="760"/>
      <c r="E42" s="455">
        <f>'[2]Internal Plaster'!$G$72+'[2]Celing Plaster'!$F$35</f>
        <v>2139.6767</v>
      </c>
      <c r="F42" s="547">
        <v>4.5138888888888888E-2</v>
      </c>
      <c r="G42" s="97">
        <f>IP!$E$8+IP!$J$8</f>
        <v>169</v>
      </c>
      <c r="H42" s="97"/>
      <c r="I42" s="97"/>
      <c r="J42" s="10"/>
      <c r="K42" s="10"/>
      <c r="L42" s="97">
        <f>IP!$E$11+IP!$J$11</f>
        <v>10.425712854899999</v>
      </c>
      <c r="M42" s="531"/>
      <c r="N42" s="10"/>
      <c r="O42" s="10"/>
    </row>
    <row r="43" spans="2:16" ht="14.25" customHeight="1" x14ac:dyDescent="0.3">
      <c r="B43" s="10"/>
      <c r="C43" s="760" t="s">
        <v>688</v>
      </c>
      <c r="D43" s="760"/>
      <c r="E43" s="455">
        <f>'[2]Internal Plaster'!$G$72+'[2]Celing Plaster'!$F$35</f>
        <v>2139.6767</v>
      </c>
      <c r="F43" s="547">
        <v>4.5138888888888888E-2</v>
      </c>
      <c r="G43" s="97">
        <f>IP!$E$8+IP!$J$8</f>
        <v>169</v>
      </c>
      <c r="H43" s="97"/>
      <c r="I43" s="97"/>
      <c r="J43" s="10"/>
      <c r="K43" s="10"/>
      <c r="L43" s="97">
        <f>IP!$E$11+IP!$J$11</f>
        <v>10.425712854899999</v>
      </c>
      <c r="M43" s="531"/>
      <c r="N43" s="10"/>
      <c r="O43" s="10"/>
    </row>
    <row r="44" spans="2:16" ht="14.25" customHeight="1" x14ac:dyDescent="0.3">
      <c r="B44" s="10"/>
      <c r="C44" s="760" t="s">
        <v>707</v>
      </c>
      <c r="D44" s="760"/>
      <c r="E44" s="455">
        <f>'[2]Internal Plaster'!$G$72+'[2]Celing Plaster'!$F$35*0.75</f>
        <v>1998.0528499999998</v>
      </c>
      <c r="F44" s="547">
        <v>4.5138888888888888E-2</v>
      </c>
      <c r="G44" s="97">
        <f>(IP!$E$8+IP!$J$8)*0.75</f>
        <v>126.75</v>
      </c>
      <c r="H44" s="97"/>
      <c r="I44" s="97"/>
      <c r="J44" s="10"/>
      <c r="K44" s="10"/>
      <c r="L44" s="97">
        <f>(IP!$E$11+IP!$J$11)*0.75</f>
        <v>7.819284641174999</v>
      </c>
      <c r="M44" s="531"/>
      <c r="N44" s="10"/>
      <c r="O44" s="10"/>
    </row>
    <row r="45" spans="2:16" ht="14.25" customHeight="1" x14ac:dyDescent="0.3">
      <c r="B45" s="10"/>
      <c r="C45" s="760" t="s">
        <v>785</v>
      </c>
      <c r="D45" s="760"/>
      <c r="E45" s="455">
        <f>IP!E84</f>
        <v>793.98550000000023</v>
      </c>
      <c r="F45" s="547">
        <v>4.5138888888888888E-2</v>
      </c>
      <c r="G45" s="97">
        <f>IP!E87</f>
        <v>66</v>
      </c>
      <c r="H45" s="97"/>
      <c r="I45" s="97"/>
      <c r="J45" s="10"/>
      <c r="K45" s="10"/>
      <c r="L45" s="97">
        <f>IP!E90</f>
        <v>4.0850553975000015</v>
      </c>
      <c r="M45" s="531"/>
      <c r="N45" s="10"/>
      <c r="O45" s="10"/>
    </row>
    <row r="46" spans="2:16" ht="14.25" customHeight="1" x14ac:dyDescent="0.3">
      <c r="B46" s="10"/>
      <c r="C46" s="760"/>
      <c r="D46" s="760"/>
      <c r="E46" s="455"/>
      <c r="F46" s="547"/>
      <c r="G46" s="97"/>
      <c r="H46" s="97"/>
      <c r="I46" s="97"/>
      <c r="J46" s="10"/>
      <c r="K46" s="10"/>
      <c r="L46" s="97"/>
      <c r="M46" s="531"/>
      <c r="N46" s="10"/>
      <c r="O46" s="10"/>
      <c r="P46" s="10"/>
    </row>
    <row r="47" spans="2:16" ht="14.25" customHeight="1" x14ac:dyDescent="0.3">
      <c r="B47" s="10"/>
      <c r="C47" s="456" t="s">
        <v>561</v>
      </c>
      <c r="D47" s="456"/>
      <c r="E47" s="455"/>
      <c r="F47" s="547"/>
      <c r="G47" s="97"/>
      <c r="H47" s="97"/>
      <c r="I47" s="97"/>
      <c r="J47" s="10"/>
      <c r="K47" s="10"/>
      <c r="L47" s="97"/>
      <c r="M47" s="531"/>
      <c r="N47" s="10"/>
      <c r="O47" s="10"/>
      <c r="P47" s="10"/>
    </row>
    <row r="48" spans="2:16" ht="14.25" customHeight="1" x14ac:dyDescent="0.3">
      <c r="B48" s="10"/>
      <c r="C48" s="760" t="s">
        <v>620</v>
      </c>
      <c r="D48" s="760"/>
      <c r="E48" s="455">
        <f>'[2]Internal Plaster'!$G$72+'[2]Celing Plaster'!$F$35</f>
        <v>2139.6767</v>
      </c>
      <c r="F48" s="547">
        <v>4.5138888888888888E-2</v>
      </c>
      <c r="G48" s="97">
        <f>IP!$E$8+IP!$J$8</f>
        <v>169</v>
      </c>
      <c r="H48" s="97"/>
      <c r="I48" s="97"/>
      <c r="J48" s="10"/>
      <c r="K48" s="10"/>
      <c r="L48" s="97">
        <f>IP!$E$11+IP!$J$11</f>
        <v>10.425712854899999</v>
      </c>
      <c r="M48" s="531"/>
      <c r="N48" s="10"/>
      <c r="O48" s="10"/>
      <c r="P48" s="10">
        <v>101</v>
      </c>
    </row>
    <row r="49" spans="2:18" ht="14.25" customHeight="1" x14ac:dyDescent="0.3">
      <c r="B49" s="10"/>
      <c r="C49" s="760" t="s">
        <v>621</v>
      </c>
      <c r="D49" s="760"/>
      <c r="E49" s="455">
        <f>'[2]Internal Plaster'!$G$72+'[2]Celing Plaster'!$F$35</f>
        <v>2139.6767</v>
      </c>
      <c r="F49" s="547">
        <v>4.5138888888888888E-2</v>
      </c>
      <c r="G49" s="97">
        <f>IP!$E$8+IP!$J$8</f>
        <v>169</v>
      </c>
      <c r="H49" s="97"/>
      <c r="I49" s="97"/>
      <c r="J49" s="10"/>
      <c r="K49" s="10"/>
      <c r="L49" s="97">
        <f>IP!$E$11+IP!$J$11</f>
        <v>10.425712854899999</v>
      </c>
      <c r="M49" s="531"/>
      <c r="N49" s="10"/>
      <c r="O49" s="10"/>
      <c r="P49" s="10"/>
      <c r="Q49" s="10" t="s">
        <v>786</v>
      </c>
      <c r="R49" s="1">
        <v>6.5</v>
      </c>
    </row>
    <row r="50" spans="2:18" ht="14.25" customHeight="1" x14ac:dyDescent="0.3">
      <c r="B50" s="10"/>
      <c r="C50" s="760" t="s">
        <v>622</v>
      </c>
      <c r="D50" s="760"/>
      <c r="E50" s="455">
        <f>'[2]Internal Plaster'!$G$72+'[2]Celing Plaster'!$F$35</f>
        <v>2139.6767</v>
      </c>
      <c r="F50" s="547">
        <v>4.5138888888888888E-2</v>
      </c>
      <c r="G50" s="97">
        <f>IP!$E$8+IP!$J$8</f>
        <v>169</v>
      </c>
      <c r="H50" s="97"/>
      <c r="I50" s="97"/>
      <c r="J50" s="10"/>
      <c r="K50" s="10"/>
      <c r="L50" s="97">
        <f>IP!$E$11+IP!$J$11</f>
        <v>10.425712854899999</v>
      </c>
      <c r="M50" s="531"/>
      <c r="N50" s="10"/>
      <c r="O50" s="10"/>
      <c r="P50" s="10"/>
      <c r="Q50" s="10" t="s">
        <v>787</v>
      </c>
      <c r="R50" s="1">
        <v>7.62</v>
      </c>
    </row>
    <row r="51" spans="2:18" ht="14.25" customHeight="1" x14ac:dyDescent="0.3">
      <c r="B51" s="10"/>
      <c r="C51" s="760" t="s">
        <v>705</v>
      </c>
      <c r="D51" s="760"/>
      <c r="E51" s="455">
        <f>'[2]Internal Plaster'!$G$72+'[2]Celing Plaster'!$F$35</f>
        <v>2139.6767</v>
      </c>
      <c r="F51" s="547">
        <v>4.5138888888888888E-2</v>
      </c>
      <c r="G51" s="97">
        <f>IP!$E$8+IP!$J$8</f>
        <v>169</v>
      </c>
      <c r="H51" s="97"/>
      <c r="I51" s="97"/>
      <c r="J51" s="10"/>
      <c r="K51" s="10"/>
      <c r="L51" s="97">
        <f>IP!$E$11+IP!$J$11</f>
        <v>10.425712854899999</v>
      </c>
      <c r="M51" s="531"/>
      <c r="N51" s="10"/>
      <c r="O51" s="10"/>
      <c r="P51" s="10"/>
      <c r="Q51" s="10" t="s">
        <v>788</v>
      </c>
      <c r="R51" s="1">
        <v>7.52</v>
      </c>
    </row>
    <row r="52" spans="2:18" ht="14.25" customHeight="1" x14ac:dyDescent="0.3">
      <c r="B52" s="10"/>
      <c r="C52" s="760" t="s">
        <v>706</v>
      </c>
      <c r="D52" s="760"/>
      <c r="E52" s="455">
        <f>'[2]Internal Plaster'!$G$72+'[2]Celing Plaster'!$F$35</f>
        <v>2139.6767</v>
      </c>
      <c r="F52" s="547">
        <v>4.5138888888888888E-2</v>
      </c>
      <c r="G52" s="97">
        <f>IP!$E$8+IP!$J$8</f>
        <v>169</v>
      </c>
      <c r="H52" s="97"/>
      <c r="I52" s="97"/>
      <c r="J52" s="10"/>
      <c r="K52" s="10"/>
      <c r="L52" s="97">
        <f>IP!$E$11+IP!$J$11</f>
        <v>10.425712854899999</v>
      </c>
      <c r="M52" s="531"/>
      <c r="N52" s="10"/>
      <c r="O52" s="10"/>
      <c r="P52" s="10"/>
      <c r="Q52" s="10" t="s">
        <v>789</v>
      </c>
      <c r="R52" s="1">
        <v>10</v>
      </c>
    </row>
    <row r="53" spans="2:18" ht="14.25" customHeight="1" x14ac:dyDescent="0.3">
      <c r="B53" s="10"/>
      <c r="C53" s="760" t="s">
        <v>708</v>
      </c>
      <c r="D53" s="760"/>
      <c r="E53" s="455">
        <f>(IP!E16+IP!J16)*5</f>
        <v>428.53000000000003</v>
      </c>
      <c r="F53" s="547">
        <v>4.5138888888888888E-2</v>
      </c>
      <c r="G53" s="97">
        <f>(IP!E19+IP!J19)*5</f>
        <v>30</v>
      </c>
      <c r="H53" s="97"/>
      <c r="I53" s="97"/>
      <c r="J53" s="10"/>
      <c r="K53" s="10"/>
      <c r="L53" s="97">
        <f>(IP!E22+IP!J22)*5</f>
        <v>1.7638294800000001</v>
      </c>
      <c r="M53" s="531"/>
      <c r="N53" s="10"/>
      <c r="O53" s="10" t="s">
        <v>790</v>
      </c>
      <c r="P53" s="10"/>
      <c r="Q53" s="10"/>
    </row>
    <row r="54" spans="2:18" ht="14.25" customHeight="1" x14ac:dyDescent="0.3">
      <c r="B54" s="10"/>
      <c r="C54" s="760"/>
      <c r="D54" s="760"/>
      <c r="E54" s="455"/>
      <c r="F54" s="547"/>
      <c r="G54" s="97"/>
      <c r="H54" s="97"/>
      <c r="I54" s="97"/>
      <c r="J54" s="10"/>
      <c r="K54" s="10"/>
      <c r="L54" s="97"/>
      <c r="M54" s="531"/>
      <c r="N54" s="10"/>
      <c r="O54" s="10"/>
      <c r="P54" s="10"/>
      <c r="Q54" s="10"/>
      <c r="R54" s="1">
        <f>R49+R50+R51+K48+K61+K65+K73+R52</f>
        <v>31.64</v>
      </c>
    </row>
    <row r="55" spans="2:18" ht="14.25" customHeight="1" x14ac:dyDescent="0.3">
      <c r="B55" s="456" t="s">
        <v>637</v>
      </c>
      <c r="C55" s="456" t="s">
        <v>16</v>
      </c>
      <c r="D55" s="456"/>
      <c r="E55" s="455"/>
      <c r="F55" s="17"/>
      <c r="G55" s="97"/>
      <c r="H55" s="97"/>
      <c r="I55" s="97"/>
      <c r="J55" s="10"/>
      <c r="K55" s="10"/>
      <c r="L55" s="10"/>
      <c r="M55" s="531"/>
      <c r="N55" s="10"/>
      <c r="O55" s="10"/>
      <c r="P55" s="10"/>
    </row>
    <row r="56" spans="2:18" x14ac:dyDescent="0.3">
      <c r="B56" s="456"/>
      <c r="C56" s="760" t="s">
        <v>689</v>
      </c>
      <c r="D56" s="760"/>
      <c r="E56" s="455"/>
      <c r="F56" s="17"/>
      <c r="G56" s="97"/>
      <c r="H56" s="97"/>
      <c r="I56" s="97"/>
      <c r="J56" s="10"/>
      <c r="K56" s="10"/>
      <c r="L56" s="10"/>
      <c r="M56" s="531"/>
      <c r="N56" s="10"/>
      <c r="O56" s="10"/>
      <c r="P56" s="10"/>
    </row>
    <row r="57" spans="2:18" x14ac:dyDescent="0.3">
      <c r="B57" s="456"/>
      <c r="C57" s="760"/>
      <c r="D57" s="760"/>
      <c r="E57" s="455"/>
      <c r="F57" s="17"/>
      <c r="G57" s="97"/>
      <c r="H57" s="97"/>
      <c r="I57" s="97"/>
      <c r="J57" s="10"/>
      <c r="K57" s="10"/>
      <c r="L57" s="10"/>
      <c r="M57" s="531"/>
      <c r="N57" s="10"/>
      <c r="O57" s="10"/>
      <c r="P57" s="10"/>
    </row>
    <row r="58" spans="2:18" x14ac:dyDescent="0.3">
      <c r="B58" s="456"/>
      <c r="C58" s="456" t="s">
        <v>561</v>
      </c>
      <c r="D58" s="456"/>
      <c r="E58" s="455"/>
      <c r="F58" s="17"/>
      <c r="G58" s="97"/>
      <c r="H58" s="97"/>
      <c r="I58" s="97"/>
      <c r="J58" s="10"/>
      <c r="K58" s="10"/>
      <c r="L58" s="10"/>
      <c r="M58" s="531"/>
      <c r="N58" s="10"/>
      <c r="O58" s="10"/>
      <c r="P58" s="10"/>
    </row>
    <row r="59" spans="2:18" x14ac:dyDescent="0.3">
      <c r="B59" s="456"/>
      <c r="C59" s="760" t="s">
        <v>709</v>
      </c>
      <c r="D59" s="760"/>
      <c r="E59" s="455"/>
      <c r="F59" s="17"/>
      <c r="G59" s="97"/>
      <c r="H59" s="97"/>
      <c r="I59" s="97"/>
      <c r="J59" s="10"/>
      <c r="K59" s="10"/>
      <c r="L59" s="10"/>
      <c r="M59" s="531"/>
      <c r="N59" s="10"/>
      <c r="O59" s="10"/>
      <c r="P59" s="10"/>
    </row>
    <row r="60" spans="2:18" x14ac:dyDescent="0.3">
      <c r="B60" s="456"/>
      <c r="C60" s="760" t="s">
        <v>711</v>
      </c>
      <c r="D60" s="760"/>
      <c r="E60" s="455" t="e">
        <f>(#REF!+#REF!)*0.33</f>
        <v>#REF!</v>
      </c>
      <c r="F60" s="547">
        <v>4.4444444444444446E-2</v>
      </c>
      <c r="G60" s="97" t="e">
        <f>(#REF!+#REF!)*0.33</f>
        <v>#REF!</v>
      </c>
      <c r="H60" s="97"/>
      <c r="I60" s="97"/>
      <c r="J60" s="10"/>
      <c r="K60" s="10"/>
      <c r="L60" s="97" t="e">
        <f>(#REF!+#REF!)*0.33</f>
        <v>#REF!</v>
      </c>
      <c r="M60" s="531"/>
      <c r="N60" s="10"/>
      <c r="O60" s="10"/>
      <c r="P60" s="10"/>
    </row>
    <row r="61" spans="2:18" x14ac:dyDescent="0.3">
      <c r="B61" s="456"/>
      <c r="C61" s="760" t="s">
        <v>712</v>
      </c>
      <c r="D61" s="760"/>
      <c r="E61" s="455" t="e">
        <f>#REF!*0.33</f>
        <v>#REF!</v>
      </c>
      <c r="F61" s="547">
        <v>4.4444444444444446E-2</v>
      </c>
      <c r="G61" s="97" t="e">
        <f>#REF!*0.33</f>
        <v>#REF!</v>
      </c>
      <c r="H61" s="97"/>
      <c r="I61" s="97"/>
      <c r="J61" s="10"/>
      <c r="K61" s="10"/>
      <c r="L61" s="97" t="e">
        <f>#REF!*0.33</f>
        <v>#REF!</v>
      </c>
      <c r="M61" s="531"/>
      <c r="N61" s="10"/>
      <c r="O61" s="10"/>
      <c r="P61" s="10">
        <v>51</v>
      </c>
    </row>
    <row r="62" spans="2:18" x14ac:dyDescent="0.3">
      <c r="B62" s="456"/>
      <c r="C62" s="760"/>
      <c r="D62" s="760"/>
      <c r="E62" s="455"/>
      <c r="F62" s="17"/>
      <c r="G62" s="97"/>
      <c r="H62" s="97"/>
      <c r="I62" s="97"/>
      <c r="J62" s="10"/>
      <c r="K62" s="10"/>
      <c r="L62" s="10"/>
      <c r="M62" s="531"/>
      <c r="N62" s="10"/>
      <c r="O62" s="10"/>
      <c r="P62" s="10"/>
    </row>
    <row r="63" spans="2:18" x14ac:dyDescent="0.3">
      <c r="B63" s="456" t="s">
        <v>690</v>
      </c>
      <c r="C63" s="456" t="s">
        <v>16</v>
      </c>
      <c r="D63" s="456"/>
      <c r="E63" s="455"/>
      <c r="F63" s="17"/>
      <c r="G63" s="97"/>
      <c r="H63" s="97"/>
      <c r="I63" s="97"/>
      <c r="J63" s="10"/>
      <c r="K63" s="10"/>
      <c r="L63" s="10"/>
      <c r="M63" s="531"/>
      <c r="N63" s="10"/>
      <c r="O63" s="10"/>
      <c r="P63" s="10"/>
    </row>
    <row r="64" spans="2:18" x14ac:dyDescent="0.3">
      <c r="B64" s="456"/>
      <c r="C64" s="760" t="s">
        <v>691</v>
      </c>
      <c r="D64" s="760"/>
      <c r="E64" s="455">
        <f>((3596/3.28)*0.1*0.05)</f>
        <v>5.4817073170731723</v>
      </c>
      <c r="F64" s="547">
        <v>4.4444444444444446E-2</v>
      </c>
      <c r="G64" s="97">
        <f>Precast!E8</f>
        <v>43</v>
      </c>
      <c r="H64" s="97"/>
      <c r="I64" s="97"/>
      <c r="J64" s="10"/>
      <c r="K64" s="10"/>
      <c r="L64" s="97">
        <f>Precast!E11</f>
        <v>2.1220806415609759</v>
      </c>
      <c r="M64" s="531"/>
      <c r="N64" s="10"/>
      <c r="O64" s="10"/>
      <c r="P64" s="10"/>
    </row>
    <row r="65" spans="2:16" x14ac:dyDescent="0.3">
      <c r="B65" s="456"/>
      <c r="C65" s="456" t="s">
        <v>561</v>
      </c>
      <c r="D65" s="456"/>
      <c r="E65" s="455"/>
      <c r="F65" s="547"/>
      <c r="G65" s="97"/>
      <c r="H65" s="97"/>
      <c r="I65" s="97"/>
      <c r="J65" s="10"/>
      <c r="K65" s="10"/>
      <c r="L65" s="97"/>
      <c r="M65" s="531"/>
      <c r="N65" s="10"/>
      <c r="O65" s="10"/>
      <c r="P65" s="10">
        <v>10</v>
      </c>
    </row>
    <row r="66" spans="2:16" x14ac:dyDescent="0.3">
      <c r="B66" s="456"/>
      <c r="C66" s="760" t="s">
        <v>741</v>
      </c>
      <c r="D66" s="760"/>
      <c r="E66" s="455">
        <f>((7192/3.28)*0.1*0.05)</f>
        <v>10.963414634146345</v>
      </c>
      <c r="F66" s="547">
        <v>4.4444444444444446E-2</v>
      </c>
      <c r="G66" s="97">
        <f>Precast!J8</f>
        <v>86</v>
      </c>
      <c r="H66" s="97"/>
      <c r="I66" s="97"/>
      <c r="J66" s="10"/>
      <c r="K66" s="10"/>
      <c r="L66" s="97">
        <f>Precast!J11</f>
        <v>4.2441612831219517</v>
      </c>
      <c r="M66" s="531"/>
      <c r="N66" s="10"/>
      <c r="O66" s="10"/>
      <c r="P66" s="10"/>
    </row>
    <row r="67" spans="2:16" x14ac:dyDescent="0.3">
      <c r="B67" s="456"/>
      <c r="C67" s="760"/>
      <c r="D67" s="760"/>
      <c r="E67" s="455"/>
      <c r="F67" s="547"/>
      <c r="G67" s="97"/>
      <c r="H67" s="97"/>
      <c r="I67" s="97"/>
      <c r="J67" s="10"/>
      <c r="K67" s="10"/>
      <c r="L67" s="97"/>
      <c r="M67" s="531"/>
      <c r="N67" s="10"/>
      <c r="O67" s="10"/>
      <c r="P67" s="10"/>
    </row>
    <row r="68" spans="2:16" x14ac:dyDescent="0.3">
      <c r="B68" s="456" t="s">
        <v>713</v>
      </c>
      <c r="C68" s="456" t="s">
        <v>561</v>
      </c>
      <c r="D68" s="456"/>
      <c r="E68" s="455"/>
      <c r="F68" s="17"/>
      <c r="G68" s="97"/>
      <c r="H68" s="97"/>
      <c r="I68" s="97"/>
      <c r="J68" s="10"/>
      <c r="K68" s="10"/>
      <c r="L68" s="10"/>
      <c r="M68" s="531"/>
      <c r="N68" s="10"/>
      <c r="O68" s="10"/>
      <c r="P68" s="10"/>
    </row>
    <row r="69" spans="2:16" x14ac:dyDescent="0.3">
      <c r="B69" s="456"/>
      <c r="C69" s="760" t="s">
        <v>718</v>
      </c>
      <c r="D69" s="760"/>
      <c r="E69" s="455" t="e">
        <f>#REF!+#REF!</f>
        <v>#REF!</v>
      </c>
      <c r="F69" s="547">
        <v>4.4444444444444446E-2</v>
      </c>
      <c r="G69" s="97" t="e">
        <f>#REF!+#REF!</f>
        <v>#REF!</v>
      </c>
      <c r="H69" s="97"/>
      <c r="I69" s="97"/>
      <c r="J69" s="10"/>
      <c r="K69" s="10"/>
      <c r="L69" s="97" t="e">
        <f>#REF!+#REF!</f>
        <v>#REF!</v>
      </c>
      <c r="M69" s="531" t="e">
        <f>#REF!</f>
        <v>#REF!</v>
      </c>
      <c r="N69" s="531"/>
      <c r="O69" s="531"/>
      <c r="P69" s="10"/>
    </row>
    <row r="70" spans="2:16" x14ac:dyDescent="0.3">
      <c r="B70" s="456"/>
      <c r="C70" s="760" t="s">
        <v>719</v>
      </c>
      <c r="D70" s="760"/>
      <c r="E70" s="455" t="e">
        <f>#REF!+#REF!</f>
        <v>#REF!</v>
      </c>
      <c r="F70" s="547">
        <v>4.4444444444444446E-2</v>
      </c>
      <c r="G70" s="97" t="e">
        <f>#REF!+#REF!</f>
        <v>#REF!</v>
      </c>
      <c r="H70" s="97"/>
      <c r="I70" s="97"/>
      <c r="J70" s="10"/>
      <c r="K70" s="10"/>
      <c r="L70" s="97" t="e">
        <f>#REF!+#REF!</f>
        <v>#REF!</v>
      </c>
      <c r="M70" s="531" t="e">
        <f>#REF!</f>
        <v>#REF!</v>
      </c>
      <c r="N70" s="531"/>
      <c r="O70" s="531"/>
      <c r="P70" s="10"/>
    </row>
    <row r="71" spans="2:16" x14ac:dyDescent="0.3">
      <c r="B71" s="456"/>
      <c r="C71" s="760" t="s">
        <v>717</v>
      </c>
      <c r="D71" s="760"/>
      <c r="E71" s="455" t="e">
        <f>#REF!+#REF!</f>
        <v>#REF!</v>
      </c>
      <c r="F71" s="547">
        <v>4.4444444444444446E-2</v>
      </c>
      <c r="G71" s="97" t="e">
        <f>#REF!+#REF!</f>
        <v>#REF!</v>
      </c>
      <c r="H71" s="97"/>
      <c r="I71" s="97"/>
      <c r="J71" s="10"/>
      <c r="K71" s="10"/>
      <c r="L71" s="97" t="e">
        <f>#REF!+#REF!</f>
        <v>#REF!</v>
      </c>
      <c r="M71" s="531" t="e">
        <f>#REF!</f>
        <v>#REF!</v>
      </c>
      <c r="N71" s="531"/>
      <c r="O71" s="531"/>
      <c r="P71" s="10"/>
    </row>
    <row r="72" spans="2:16" x14ac:dyDescent="0.3">
      <c r="B72" s="456"/>
      <c r="C72" s="760" t="s">
        <v>714</v>
      </c>
      <c r="D72" s="760"/>
      <c r="E72" s="455" t="e">
        <f>#REF!</f>
        <v>#REF!</v>
      </c>
      <c r="F72" s="547">
        <v>4.4444444444444446E-2</v>
      </c>
      <c r="G72" s="97" t="e">
        <f>#REF!</f>
        <v>#REF!</v>
      </c>
      <c r="H72" s="97"/>
      <c r="I72" s="97"/>
      <c r="J72" s="10"/>
      <c r="K72" s="10"/>
      <c r="L72" s="97" t="e">
        <f>#REF!</f>
        <v>#REF!</v>
      </c>
      <c r="M72" s="531"/>
      <c r="N72" s="10"/>
      <c r="O72" s="10"/>
      <c r="P72" s="10"/>
    </row>
    <row r="73" spans="2:16" x14ac:dyDescent="0.3">
      <c r="B73" s="456"/>
      <c r="C73" s="760" t="s">
        <v>715</v>
      </c>
      <c r="D73" s="760"/>
      <c r="E73" s="455" t="e">
        <f>#REF!</f>
        <v>#REF!</v>
      </c>
      <c r="F73" s="547">
        <v>4.4444444444444446E-2</v>
      </c>
      <c r="G73" s="97" t="e">
        <f>#REF!</f>
        <v>#REF!</v>
      </c>
      <c r="H73" s="97"/>
      <c r="I73" s="97"/>
      <c r="J73" s="10"/>
      <c r="K73" s="10"/>
      <c r="L73" s="97" t="e">
        <f>#REF!</f>
        <v>#REF!</v>
      </c>
      <c r="M73" s="531"/>
      <c r="N73" s="10"/>
      <c r="O73" s="10"/>
      <c r="P73" s="10">
        <v>10</v>
      </c>
    </row>
    <row r="74" spans="2:16" x14ac:dyDescent="0.3">
      <c r="B74" s="456"/>
      <c r="C74" s="760" t="s">
        <v>716</v>
      </c>
      <c r="D74" s="760"/>
      <c r="E74" s="455" t="e">
        <f>#REF!</f>
        <v>#REF!</v>
      </c>
      <c r="F74" s="547">
        <v>4.4444444444444446E-2</v>
      </c>
      <c r="G74" s="97" t="e">
        <f>#REF!</f>
        <v>#REF!</v>
      </c>
      <c r="H74" s="97"/>
      <c r="I74" s="97"/>
      <c r="J74" s="10"/>
      <c r="K74" s="10"/>
      <c r="L74" s="97" t="e">
        <f>#REF!</f>
        <v>#REF!</v>
      </c>
      <c r="M74" s="531"/>
      <c r="N74" s="10"/>
      <c r="O74" s="10"/>
      <c r="P74" s="10"/>
    </row>
    <row r="75" spans="2:16" x14ac:dyDescent="0.3">
      <c r="B75" s="456"/>
      <c r="C75" s="760" t="s">
        <v>740</v>
      </c>
      <c r="D75" s="760"/>
      <c r="E75" s="455" t="e">
        <f>#REF!+#REF!</f>
        <v>#REF!</v>
      </c>
      <c r="F75" s="547">
        <v>4.4444444444444446E-2</v>
      </c>
      <c r="G75" s="97" t="e">
        <f>#REF!+#REF!</f>
        <v>#REF!</v>
      </c>
      <c r="H75" s="97"/>
      <c r="I75" s="97"/>
      <c r="J75" s="10"/>
      <c r="K75" s="10"/>
      <c r="L75" s="97" t="e">
        <f>#REF!+#REF!</f>
        <v>#REF!</v>
      </c>
      <c r="M75" s="531" t="e">
        <f>#REF!</f>
        <v>#REF!</v>
      </c>
      <c r="N75" s="531"/>
      <c r="O75" s="531"/>
      <c r="P75" s="10"/>
    </row>
    <row r="76" spans="2:16" x14ac:dyDescent="0.3">
      <c r="B76" s="456"/>
      <c r="C76" s="760"/>
      <c r="D76" s="760"/>
      <c r="E76" s="455"/>
      <c r="F76" s="17"/>
      <c r="G76" s="97"/>
      <c r="H76" s="97"/>
      <c r="I76" s="97"/>
      <c r="J76" s="10"/>
      <c r="K76" s="10"/>
      <c r="L76" s="10"/>
      <c r="M76" s="531"/>
      <c r="N76" s="10"/>
      <c r="O76" s="10"/>
      <c r="P76" s="10"/>
    </row>
    <row r="77" spans="2:16" x14ac:dyDescent="0.3">
      <c r="B77" s="456" t="s">
        <v>742</v>
      </c>
      <c r="C77" s="456" t="s">
        <v>561</v>
      </c>
      <c r="D77" s="456"/>
      <c r="E77" s="455"/>
      <c r="F77" s="17"/>
      <c r="G77" s="97"/>
      <c r="H77" s="97"/>
      <c r="I77" s="97"/>
      <c r="J77" s="10"/>
      <c r="K77" s="10"/>
      <c r="L77" s="10"/>
      <c r="M77" s="531"/>
      <c r="N77" s="10"/>
      <c r="O77" s="10"/>
    </row>
    <row r="78" spans="2:16" ht="30.75" customHeight="1" x14ac:dyDescent="0.3">
      <c r="B78" s="456"/>
      <c r="C78" s="546" t="s">
        <v>754</v>
      </c>
      <c r="D78" s="546"/>
      <c r="E78" s="455" t="e">
        <f>#REF!*10</f>
        <v>#REF!</v>
      </c>
      <c r="F78" s="711" t="s">
        <v>758</v>
      </c>
      <c r="G78" s="97" t="e">
        <f>#REF!</f>
        <v>#REF!</v>
      </c>
      <c r="H78" s="97"/>
      <c r="I78" s="97"/>
      <c r="J78" s="10"/>
      <c r="K78" s="10"/>
      <c r="L78" s="10"/>
      <c r="M78" s="531"/>
      <c r="N78" s="10"/>
      <c r="O78" s="10"/>
    </row>
    <row r="79" spans="2:16" ht="14.4" thickBot="1" x14ac:dyDescent="0.35">
      <c r="B79" s="719"/>
      <c r="C79" s="720"/>
      <c r="D79" s="720"/>
      <c r="E79" s="721"/>
      <c r="F79" s="722"/>
      <c r="G79" s="723"/>
      <c r="H79" s="723"/>
      <c r="I79" s="723"/>
      <c r="J79" s="719"/>
      <c r="K79" s="719"/>
      <c r="L79" s="719"/>
      <c r="M79" s="724"/>
      <c r="N79" s="719"/>
      <c r="O79" s="719"/>
    </row>
    <row r="80" spans="2:16" ht="17.25" customHeight="1" x14ac:dyDescent="0.3">
      <c r="B80" s="725" t="s">
        <v>762</v>
      </c>
      <c r="C80" s="726" t="s">
        <v>95</v>
      </c>
      <c r="D80" s="726"/>
      <c r="E80" s="726"/>
      <c r="F80" s="727"/>
      <c r="G80" s="728" t="e">
        <f>SUM(G6:G78)</f>
        <v>#REF!</v>
      </c>
      <c r="H80" s="728">
        <v>9005</v>
      </c>
      <c r="I80" s="728">
        <f t="shared" ref="I80:N80" si="0">SUM(I6:I78)</f>
        <v>148.92071312972357</v>
      </c>
      <c r="J80" s="728">
        <f t="shared" si="0"/>
        <v>65.647550815983763</v>
      </c>
      <c r="K80" s="728">
        <f t="shared" si="0"/>
        <v>98.477975577373613</v>
      </c>
      <c r="L80" s="728" t="e">
        <f t="shared" si="0"/>
        <v>#REF!</v>
      </c>
      <c r="M80" s="728" t="e">
        <f t="shared" si="0"/>
        <v>#REF!</v>
      </c>
      <c r="N80" s="729">
        <f t="shared" si="0"/>
        <v>86047.6</v>
      </c>
      <c r="O80" s="729"/>
    </row>
    <row r="81" spans="2:16" ht="17.25" customHeight="1" x14ac:dyDescent="0.3">
      <c r="B81" s="730"/>
      <c r="C81" s="10"/>
      <c r="D81" s="10"/>
      <c r="E81" s="10"/>
      <c r="F81" s="17"/>
      <c r="G81" s="96"/>
      <c r="H81" s="96"/>
      <c r="I81" s="96"/>
      <c r="J81" s="96"/>
      <c r="K81" s="96"/>
      <c r="L81" s="96"/>
      <c r="M81" s="96"/>
      <c r="N81" s="731"/>
      <c r="O81" s="731"/>
    </row>
    <row r="82" spans="2:16" ht="17.25" customHeight="1" x14ac:dyDescent="0.3">
      <c r="B82" s="730" t="s">
        <v>763</v>
      </c>
      <c r="C82" s="10" t="s">
        <v>756</v>
      </c>
      <c r="D82" s="10"/>
      <c r="E82" s="10"/>
      <c r="F82" s="17"/>
      <c r="G82" s="96">
        <f>[6]SUMMARY!$C$2</f>
        <v>10900</v>
      </c>
      <c r="H82" s="96">
        <v>10700</v>
      </c>
      <c r="I82" s="96">
        <f>[6]SUMMARY!$C$3</f>
        <v>127.15028001000005</v>
      </c>
      <c r="J82" s="96">
        <f>[6]SUMMARY!$C$4</f>
        <v>41.48598501</v>
      </c>
      <c r="K82" s="96">
        <f>[6]SUMMARY!$C$5</f>
        <v>69.104343390000011</v>
      </c>
      <c r="L82" s="96">
        <f>[6]SUMMARY!$C$6</f>
        <v>317.73320442299996</v>
      </c>
      <c r="M82" s="96">
        <f>[6]SUMMARY!$C$7</f>
        <v>59944</v>
      </c>
      <c r="N82" s="731">
        <f>[6]SUMMARY!$C$8</f>
        <v>67966</v>
      </c>
      <c r="O82" s="731"/>
    </row>
    <row r="83" spans="2:16" ht="17.25" customHeight="1" x14ac:dyDescent="0.3">
      <c r="B83" s="730"/>
      <c r="C83" s="10"/>
      <c r="D83" s="10"/>
      <c r="E83" s="10"/>
      <c r="F83" s="17"/>
      <c r="G83" s="96"/>
      <c r="H83" s="96"/>
      <c r="I83" s="96"/>
      <c r="J83" s="96"/>
      <c r="K83" s="96"/>
      <c r="L83" s="96"/>
      <c r="M83" s="96"/>
      <c r="N83" s="731"/>
      <c r="O83" s="731"/>
    </row>
    <row r="84" spans="2:16" ht="17.25" customHeight="1" x14ac:dyDescent="0.3">
      <c r="B84" s="730" t="s">
        <v>764</v>
      </c>
      <c r="C84" s="10" t="s">
        <v>755</v>
      </c>
      <c r="D84" s="10"/>
      <c r="E84" s="10"/>
      <c r="F84" s="17"/>
      <c r="G84" s="96">
        <v>912</v>
      </c>
      <c r="H84" s="96">
        <v>912</v>
      </c>
      <c r="I84" s="96">
        <v>2.1</v>
      </c>
      <c r="J84" s="96">
        <v>6.75</v>
      </c>
      <c r="K84" s="96">
        <v>3.7</v>
      </c>
      <c r="L84" s="96">
        <v>20.25</v>
      </c>
      <c r="M84" s="96">
        <v>11000</v>
      </c>
      <c r="N84" s="731">
        <v>2000</v>
      </c>
      <c r="O84" s="731"/>
    </row>
    <row r="85" spans="2:16" x14ac:dyDescent="0.3">
      <c r="B85" s="730"/>
      <c r="C85" s="10" t="s">
        <v>630</v>
      </c>
      <c r="D85" s="10"/>
      <c r="E85" s="10"/>
      <c r="F85" s="17"/>
      <c r="G85" s="541" t="s">
        <v>631</v>
      </c>
      <c r="H85" s="541"/>
      <c r="I85" s="541" t="s">
        <v>632</v>
      </c>
      <c r="J85" s="541" t="s">
        <v>632</v>
      </c>
      <c r="K85" s="541" t="s">
        <v>632</v>
      </c>
      <c r="L85" s="541" t="s">
        <v>632</v>
      </c>
      <c r="M85" s="541" t="s">
        <v>633</v>
      </c>
      <c r="N85" s="732" t="s">
        <v>633</v>
      </c>
      <c r="O85" s="732"/>
    </row>
    <row r="86" spans="2:16" ht="18.75" customHeight="1" thickBot="1" x14ac:dyDescent="0.35">
      <c r="B86" s="1108" t="s">
        <v>765</v>
      </c>
      <c r="C86" s="1109"/>
      <c r="D86" s="761"/>
      <c r="E86" s="733"/>
      <c r="F86" s="734"/>
      <c r="G86" s="735" t="e">
        <f>(G82-G80-G84)</f>
        <v>#REF!</v>
      </c>
      <c r="H86" s="735">
        <f>(H82-H80-H84)</f>
        <v>783</v>
      </c>
      <c r="I86" s="735">
        <f t="shared" ref="I86:N86" si="1">(I82-I80-I84)</f>
        <v>-23.870433119723522</v>
      </c>
      <c r="J86" s="735">
        <f t="shared" si="1"/>
        <v>-30.911565805983763</v>
      </c>
      <c r="K86" s="735">
        <f t="shared" si="1"/>
        <v>-33.073632187373605</v>
      </c>
      <c r="L86" s="735" t="e">
        <f>(L82-L80-L84)</f>
        <v>#REF!</v>
      </c>
      <c r="M86" s="735" t="e">
        <f t="shared" si="1"/>
        <v>#REF!</v>
      </c>
      <c r="N86" s="736">
        <f t="shared" si="1"/>
        <v>-20081.600000000006</v>
      </c>
      <c r="O86" s="736"/>
    </row>
    <row r="87" spans="2:16" x14ac:dyDescent="0.3">
      <c r="B87" s="1" t="s">
        <v>710</v>
      </c>
    </row>
    <row r="88" spans="2:16" x14ac:dyDescent="0.3">
      <c r="B88" s="718" t="s">
        <v>766</v>
      </c>
      <c r="G88" s="545"/>
      <c r="H88" s="545"/>
      <c r="L88" s="545"/>
      <c r="N88" s="545"/>
    </row>
    <row r="89" spans="2:16" x14ac:dyDescent="0.3">
      <c r="B89" s="1107" t="s">
        <v>767</v>
      </c>
      <c r="C89" s="1107"/>
      <c r="D89" s="1107"/>
      <c r="E89" s="1107"/>
      <c r="F89" s="1107"/>
      <c r="G89" s="1107"/>
      <c r="H89" s="1107"/>
      <c r="I89" s="1107"/>
      <c r="J89" s="1107"/>
      <c r="K89" s="1107"/>
      <c r="L89" s="1107"/>
      <c r="M89" s="1107"/>
      <c r="N89" s="1107"/>
    </row>
    <row r="90" spans="2:16" x14ac:dyDescent="0.3">
      <c r="B90" s="1107" t="s">
        <v>768</v>
      </c>
      <c r="C90" s="1107"/>
      <c r="D90" s="1107"/>
      <c r="E90" s="1107"/>
      <c r="F90" s="1107"/>
      <c r="G90" s="1107"/>
      <c r="H90" s="1107"/>
      <c r="I90" s="1107"/>
      <c r="J90" s="1107"/>
      <c r="K90" s="1107"/>
      <c r="L90" s="1107"/>
      <c r="M90" s="1107"/>
      <c r="N90" s="1107"/>
      <c r="P90" s="545"/>
    </row>
    <row r="91" spans="2:16" x14ac:dyDescent="0.3">
      <c r="B91" s="1107" t="s">
        <v>769</v>
      </c>
      <c r="C91" s="1107"/>
      <c r="D91" s="1107"/>
      <c r="E91" s="1107"/>
      <c r="F91" s="1107"/>
      <c r="G91" s="1107"/>
      <c r="H91" s="1107"/>
      <c r="I91" s="1107"/>
      <c r="J91" s="1107"/>
      <c r="K91" s="1107"/>
      <c r="L91" s="1107"/>
      <c r="M91" s="1107"/>
      <c r="N91" s="1107"/>
    </row>
    <row r="92" spans="2:16" x14ac:dyDescent="0.3">
      <c r="B92" s="1107"/>
      <c r="C92" s="1107"/>
      <c r="D92" s="1107"/>
      <c r="E92" s="1107"/>
      <c r="F92" s="1107"/>
      <c r="G92" s="1107"/>
      <c r="H92" s="1107"/>
      <c r="I92" s="1107"/>
      <c r="J92" s="1107"/>
      <c r="K92" s="1107"/>
      <c r="L92" s="1107"/>
      <c r="M92" s="1107"/>
      <c r="N92" s="1107"/>
    </row>
    <row r="94" spans="2:16" x14ac:dyDescent="0.3">
      <c r="F94" s="16" t="s">
        <v>820</v>
      </c>
      <c r="G94" s="1">
        <v>241</v>
      </c>
    </row>
  </sheetData>
  <mergeCells count="11">
    <mergeCell ref="B92:N92"/>
    <mergeCell ref="C25:C26"/>
    <mergeCell ref="C27:C28"/>
    <mergeCell ref="C29:C30"/>
    <mergeCell ref="C33:C34"/>
    <mergeCell ref="C35:C36"/>
    <mergeCell ref="C37:C38"/>
    <mergeCell ref="B86:C86"/>
    <mergeCell ref="B89:N89"/>
    <mergeCell ref="B90:N90"/>
    <mergeCell ref="B91:N91"/>
  </mergeCells>
  <pageMargins left="0.47" right="0.24" top="0.36" bottom="0.2" header="0.34" footer="0.2"/>
  <pageSetup paperSize="5" scale="75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0"/>
  <sheetViews>
    <sheetView topLeftCell="A36" workbookViewId="0">
      <selection activeCell="D55" sqref="D55"/>
    </sheetView>
  </sheetViews>
  <sheetFormatPr defaultRowHeight="14.4" x14ac:dyDescent="0.3"/>
  <cols>
    <col min="2" max="2" width="35.6640625" customWidth="1"/>
    <col min="3" max="3" width="33.88671875" customWidth="1"/>
    <col min="4" max="4" width="57.5546875" customWidth="1"/>
  </cols>
  <sheetData>
    <row r="3" spans="2:4" x14ac:dyDescent="0.3">
      <c r="B3" s="456" t="s">
        <v>618</v>
      </c>
      <c r="C3" s="456" t="s">
        <v>884</v>
      </c>
      <c r="D3" s="878" t="s">
        <v>204</v>
      </c>
    </row>
    <row r="4" spans="2:4" x14ac:dyDescent="0.3">
      <c r="B4" s="10"/>
      <c r="C4" s="10"/>
      <c r="D4" s="878"/>
    </row>
    <row r="5" spans="2:4" x14ac:dyDescent="0.3">
      <c r="B5" s="524" t="s">
        <v>15</v>
      </c>
      <c r="C5" s="10"/>
      <c r="D5" s="1"/>
    </row>
    <row r="6" spans="2:4" x14ac:dyDescent="0.3">
      <c r="B6" s="10"/>
      <c r="C6" s="456" t="s">
        <v>16</v>
      </c>
      <c r="D6" s="879"/>
    </row>
    <row r="7" spans="2:4" x14ac:dyDescent="0.3">
      <c r="B7" s="10"/>
      <c r="C7" s="10" t="s">
        <v>825</v>
      </c>
      <c r="D7" s="878" t="s">
        <v>868</v>
      </c>
    </row>
    <row r="8" spans="2:4" x14ac:dyDescent="0.3">
      <c r="B8" s="10"/>
      <c r="C8" s="10" t="s">
        <v>822</v>
      </c>
      <c r="D8" s="878" t="s">
        <v>869</v>
      </c>
    </row>
    <row r="9" spans="2:4" x14ac:dyDescent="0.3">
      <c r="B9" s="10"/>
      <c r="C9" s="10" t="s">
        <v>822</v>
      </c>
      <c r="D9" s="878" t="s">
        <v>870</v>
      </c>
    </row>
    <row r="10" spans="2:4" x14ac:dyDescent="0.3">
      <c r="B10" s="10"/>
      <c r="C10" s="10" t="s">
        <v>823</v>
      </c>
      <c r="D10" s="878" t="s">
        <v>871</v>
      </c>
    </row>
    <row r="11" spans="2:4" x14ac:dyDescent="0.3">
      <c r="B11" s="10"/>
      <c r="C11" s="10" t="s">
        <v>858</v>
      </c>
      <c r="D11" s="878" t="s">
        <v>869</v>
      </c>
    </row>
    <row r="12" spans="2:4" x14ac:dyDescent="0.3">
      <c r="B12" s="10"/>
      <c r="C12" s="10" t="s">
        <v>859</v>
      </c>
      <c r="D12" s="878" t="s">
        <v>870</v>
      </c>
    </row>
    <row r="13" spans="2:4" x14ac:dyDescent="0.3">
      <c r="B13" s="10"/>
      <c r="C13" s="10" t="s">
        <v>824</v>
      </c>
      <c r="D13" s="878" t="s">
        <v>872</v>
      </c>
    </row>
    <row r="14" spans="2:4" x14ac:dyDescent="0.3">
      <c r="B14" s="456" t="s">
        <v>635</v>
      </c>
      <c r="C14" s="10"/>
      <c r="D14" s="1"/>
    </row>
    <row r="15" spans="2:4" x14ac:dyDescent="0.3">
      <c r="B15" s="10"/>
      <c r="C15" s="456" t="s">
        <v>16</v>
      </c>
      <c r="D15" s="879"/>
    </row>
    <row r="16" spans="2:4" x14ac:dyDescent="0.3">
      <c r="B16" s="10"/>
      <c r="C16" s="1110" t="s">
        <v>827</v>
      </c>
      <c r="D16" s="1111" t="s">
        <v>873</v>
      </c>
    </row>
    <row r="17" spans="2:4" x14ac:dyDescent="0.3">
      <c r="B17" s="10"/>
      <c r="C17" s="1110"/>
      <c r="D17" s="1112"/>
    </row>
    <row r="18" spans="2:4" x14ac:dyDescent="0.3">
      <c r="B18" s="10"/>
      <c r="C18" s="1110" t="s">
        <v>826</v>
      </c>
      <c r="D18" s="1111"/>
    </row>
    <row r="19" spans="2:4" x14ac:dyDescent="0.3">
      <c r="B19" s="10"/>
      <c r="C19" s="1110"/>
      <c r="D19" s="1112"/>
    </row>
    <row r="20" spans="2:4" x14ac:dyDescent="0.3">
      <c r="B20" s="10"/>
      <c r="C20" s="791" t="s">
        <v>835</v>
      </c>
      <c r="D20" s="880" t="s">
        <v>874</v>
      </c>
    </row>
    <row r="21" spans="2:4" x14ac:dyDescent="0.3">
      <c r="B21" s="10"/>
      <c r="C21" s="456" t="s">
        <v>561</v>
      </c>
      <c r="D21" s="879"/>
    </row>
    <row r="22" spans="2:4" x14ac:dyDescent="0.3">
      <c r="B22" s="10"/>
      <c r="C22" s="1110" t="s">
        <v>704</v>
      </c>
      <c r="D22" s="1111" t="s">
        <v>875</v>
      </c>
    </row>
    <row r="23" spans="2:4" x14ac:dyDescent="0.3">
      <c r="B23" s="10"/>
      <c r="C23" s="1110"/>
      <c r="D23" s="1112"/>
    </row>
    <row r="24" spans="2:4" x14ac:dyDescent="0.3">
      <c r="B24" s="10"/>
      <c r="C24" s="791" t="s">
        <v>778</v>
      </c>
      <c r="D24" s="880" t="s">
        <v>875</v>
      </c>
    </row>
    <row r="25" spans="2:4" x14ac:dyDescent="0.3">
      <c r="B25" s="10"/>
      <c r="C25" s="791" t="s">
        <v>819</v>
      </c>
      <c r="D25" s="880" t="s">
        <v>876</v>
      </c>
    </row>
    <row r="26" spans="2:4" x14ac:dyDescent="0.3">
      <c r="B26" s="456" t="s">
        <v>634</v>
      </c>
      <c r="C26" s="456" t="s">
        <v>16</v>
      </c>
      <c r="D26" s="879"/>
    </row>
    <row r="27" spans="2:4" x14ac:dyDescent="0.3">
      <c r="B27" s="10"/>
      <c r="C27" s="791" t="s">
        <v>828</v>
      </c>
      <c r="D27" s="881" t="s">
        <v>877</v>
      </c>
    </row>
    <row r="28" spans="2:4" x14ac:dyDescent="0.3">
      <c r="B28" s="10"/>
      <c r="C28" s="791" t="s">
        <v>829</v>
      </c>
      <c r="D28" s="881" t="s">
        <v>877</v>
      </c>
    </row>
    <row r="29" spans="2:4" x14ac:dyDescent="0.3">
      <c r="B29" s="10"/>
      <c r="C29" s="791" t="s">
        <v>830</v>
      </c>
      <c r="D29" s="881" t="s">
        <v>877</v>
      </c>
    </row>
    <row r="30" spans="2:4" x14ac:dyDescent="0.3">
      <c r="B30" s="10"/>
      <c r="C30" s="791" t="s">
        <v>831</v>
      </c>
      <c r="D30" s="881" t="s">
        <v>878</v>
      </c>
    </row>
    <row r="31" spans="2:4" x14ac:dyDescent="0.3">
      <c r="B31" s="10"/>
      <c r="C31" s="456" t="s">
        <v>561</v>
      </c>
      <c r="D31" s="879"/>
    </row>
    <row r="32" spans="2:4" x14ac:dyDescent="0.3">
      <c r="B32" s="10"/>
      <c r="C32" s="791" t="s">
        <v>833</v>
      </c>
      <c r="D32" s="881" t="s">
        <v>877</v>
      </c>
    </row>
    <row r="33" spans="2:6" x14ac:dyDescent="0.3">
      <c r="B33" s="456" t="s">
        <v>637</v>
      </c>
      <c r="C33" s="456" t="s">
        <v>16</v>
      </c>
      <c r="D33" s="879"/>
    </row>
    <row r="34" spans="2:6" x14ac:dyDescent="0.3">
      <c r="B34" s="456"/>
      <c r="C34" s="791" t="s">
        <v>689</v>
      </c>
      <c r="D34" s="881"/>
    </row>
    <row r="35" spans="2:6" x14ac:dyDescent="0.3">
      <c r="B35" s="456"/>
      <c r="C35" s="456" t="s">
        <v>561</v>
      </c>
      <c r="D35" s="879"/>
    </row>
    <row r="36" spans="2:6" x14ac:dyDescent="0.3">
      <c r="B36" s="456"/>
      <c r="C36" s="791" t="s">
        <v>832</v>
      </c>
      <c r="D36" s="881"/>
    </row>
    <row r="37" spans="2:6" x14ac:dyDescent="0.3">
      <c r="B37" s="456"/>
      <c r="C37" s="791" t="s">
        <v>711</v>
      </c>
      <c r="D37" s="881" t="s">
        <v>879</v>
      </c>
    </row>
    <row r="38" spans="2:6" x14ac:dyDescent="0.3">
      <c r="B38" s="456"/>
      <c r="C38" s="791" t="s">
        <v>712</v>
      </c>
      <c r="D38" s="881" t="s">
        <v>879</v>
      </c>
      <c r="F38" s="666"/>
    </row>
    <row r="39" spans="2:6" x14ac:dyDescent="0.3">
      <c r="B39" s="456" t="s">
        <v>713</v>
      </c>
      <c r="C39" s="456" t="s">
        <v>561</v>
      </c>
      <c r="D39" s="879"/>
    </row>
    <row r="40" spans="2:6" x14ac:dyDescent="0.3">
      <c r="B40" s="456"/>
      <c r="C40" s="791" t="s">
        <v>847</v>
      </c>
      <c r="D40" s="881" t="s">
        <v>880</v>
      </c>
    </row>
    <row r="41" spans="2:6" x14ac:dyDescent="0.3">
      <c r="B41" s="456"/>
      <c r="C41" s="791" t="s">
        <v>848</v>
      </c>
      <c r="D41" s="881" t="s">
        <v>880</v>
      </c>
    </row>
    <row r="42" spans="2:6" x14ac:dyDescent="0.3">
      <c r="B42" s="456"/>
      <c r="C42" s="791" t="s">
        <v>849</v>
      </c>
      <c r="D42" s="881" t="s">
        <v>880</v>
      </c>
    </row>
    <row r="43" spans="2:6" x14ac:dyDescent="0.3">
      <c r="B43" s="456"/>
      <c r="C43" s="791" t="s">
        <v>850</v>
      </c>
      <c r="D43" s="881" t="s">
        <v>880</v>
      </c>
    </row>
    <row r="44" spans="2:6" x14ac:dyDescent="0.3">
      <c r="B44" s="456"/>
      <c r="C44" s="791" t="s">
        <v>851</v>
      </c>
      <c r="D44" s="881" t="s">
        <v>880</v>
      </c>
    </row>
    <row r="45" spans="2:6" x14ac:dyDescent="0.3">
      <c r="B45" s="456" t="s">
        <v>834</v>
      </c>
      <c r="C45" s="456" t="s">
        <v>561</v>
      </c>
      <c r="D45" s="879"/>
    </row>
    <row r="46" spans="2:6" x14ac:dyDescent="0.3">
      <c r="B46" s="456"/>
      <c r="C46" s="799" t="s">
        <v>844</v>
      </c>
      <c r="D46" s="882"/>
    </row>
    <row r="47" spans="2:6" x14ac:dyDescent="0.3">
      <c r="B47" s="456" t="s">
        <v>862</v>
      </c>
      <c r="C47" s="456" t="s">
        <v>561</v>
      </c>
      <c r="D47" s="879"/>
    </row>
    <row r="48" spans="2:6" x14ac:dyDescent="0.3">
      <c r="B48" s="456" t="s">
        <v>863</v>
      </c>
      <c r="C48" s="799" t="s">
        <v>844</v>
      </c>
      <c r="D48" s="882" t="s">
        <v>882</v>
      </c>
    </row>
    <row r="49" spans="2:4" x14ac:dyDescent="0.3">
      <c r="B49" s="456" t="s">
        <v>856</v>
      </c>
      <c r="C49" s="799" t="s">
        <v>860</v>
      </c>
      <c r="D49" s="882" t="s">
        <v>881</v>
      </c>
    </row>
    <row r="50" spans="2:4" x14ac:dyDescent="0.3">
      <c r="B50" s="456"/>
      <c r="C50" s="799" t="s">
        <v>861</v>
      </c>
      <c r="D50" s="882" t="s">
        <v>881</v>
      </c>
    </row>
  </sheetData>
  <mergeCells count="6">
    <mergeCell ref="C16:C17"/>
    <mergeCell ref="C18:C19"/>
    <mergeCell ref="C22:C23"/>
    <mergeCell ref="D16:D17"/>
    <mergeCell ref="D18:D19"/>
    <mergeCell ref="D22:D2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opLeftCell="A13" workbookViewId="0">
      <selection activeCell="I26" sqref="I26"/>
    </sheetView>
  </sheetViews>
  <sheetFormatPr defaultColWidth="10.33203125" defaultRowHeight="14.4" x14ac:dyDescent="0.3"/>
  <cols>
    <col min="1" max="2" width="10.33203125" style="765"/>
    <col min="3" max="3" width="16.5546875" style="765" customWidth="1"/>
    <col min="4" max="258" width="10.33203125" style="765"/>
    <col min="259" max="259" width="16.5546875" style="765" customWidth="1"/>
    <col min="260" max="514" width="10.33203125" style="765"/>
    <col min="515" max="515" width="16.5546875" style="765" customWidth="1"/>
    <col min="516" max="770" width="10.33203125" style="765"/>
    <col min="771" max="771" width="16.5546875" style="765" customWidth="1"/>
    <col min="772" max="1026" width="10.33203125" style="765"/>
    <col min="1027" max="1027" width="16.5546875" style="765" customWidth="1"/>
    <col min="1028" max="1282" width="10.33203125" style="765"/>
    <col min="1283" max="1283" width="16.5546875" style="765" customWidth="1"/>
    <col min="1284" max="1538" width="10.33203125" style="765"/>
    <col min="1539" max="1539" width="16.5546875" style="765" customWidth="1"/>
    <col min="1540" max="1794" width="10.33203125" style="765"/>
    <col min="1795" max="1795" width="16.5546875" style="765" customWidth="1"/>
    <col min="1796" max="2050" width="10.33203125" style="765"/>
    <col min="2051" max="2051" width="16.5546875" style="765" customWidth="1"/>
    <col min="2052" max="2306" width="10.33203125" style="765"/>
    <col min="2307" max="2307" width="16.5546875" style="765" customWidth="1"/>
    <col min="2308" max="2562" width="10.33203125" style="765"/>
    <col min="2563" max="2563" width="16.5546875" style="765" customWidth="1"/>
    <col min="2564" max="2818" width="10.33203125" style="765"/>
    <col min="2819" max="2819" width="16.5546875" style="765" customWidth="1"/>
    <col min="2820" max="3074" width="10.33203125" style="765"/>
    <col min="3075" max="3075" width="16.5546875" style="765" customWidth="1"/>
    <col min="3076" max="3330" width="10.33203125" style="765"/>
    <col min="3331" max="3331" width="16.5546875" style="765" customWidth="1"/>
    <col min="3332" max="3586" width="10.33203125" style="765"/>
    <col min="3587" max="3587" width="16.5546875" style="765" customWidth="1"/>
    <col min="3588" max="3842" width="10.33203125" style="765"/>
    <col min="3843" max="3843" width="16.5546875" style="765" customWidth="1"/>
    <col min="3844" max="4098" width="10.33203125" style="765"/>
    <col min="4099" max="4099" width="16.5546875" style="765" customWidth="1"/>
    <col min="4100" max="4354" width="10.33203125" style="765"/>
    <col min="4355" max="4355" width="16.5546875" style="765" customWidth="1"/>
    <col min="4356" max="4610" width="10.33203125" style="765"/>
    <col min="4611" max="4611" width="16.5546875" style="765" customWidth="1"/>
    <col min="4612" max="4866" width="10.33203125" style="765"/>
    <col min="4867" max="4867" width="16.5546875" style="765" customWidth="1"/>
    <col min="4868" max="5122" width="10.33203125" style="765"/>
    <col min="5123" max="5123" width="16.5546875" style="765" customWidth="1"/>
    <col min="5124" max="5378" width="10.33203125" style="765"/>
    <col min="5379" max="5379" width="16.5546875" style="765" customWidth="1"/>
    <col min="5380" max="5634" width="10.33203125" style="765"/>
    <col min="5635" max="5635" width="16.5546875" style="765" customWidth="1"/>
    <col min="5636" max="5890" width="10.33203125" style="765"/>
    <col min="5891" max="5891" width="16.5546875" style="765" customWidth="1"/>
    <col min="5892" max="6146" width="10.33203125" style="765"/>
    <col min="6147" max="6147" width="16.5546875" style="765" customWidth="1"/>
    <col min="6148" max="6402" width="10.33203125" style="765"/>
    <col min="6403" max="6403" width="16.5546875" style="765" customWidth="1"/>
    <col min="6404" max="6658" width="10.33203125" style="765"/>
    <col min="6659" max="6659" width="16.5546875" style="765" customWidth="1"/>
    <col min="6660" max="6914" width="10.33203125" style="765"/>
    <col min="6915" max="6915" width="16.5546875" style="765" customWidth="1"/>
    <col min="6916" max="7170" width="10.33203125" style="765"/>
    <col min="7171" max="7171" width="16.5546875" style="765" customWidth="1"/>
    <col min="7172" max="7426" width="10.33203125" style="765"/>
    <col min="7427" max="7427" width="16.5546875" style="765" customWidth="1"/>
    <col min="7428" max="7682" width="10.33203125" style="765"/>
    <col min="7683" max="7683" width="16.5546875" style="765" customWidth="1"/>
    <col min="7684" max="7938" width="10.33203125" style="765"/>
    <col min="7939" max="7939" width="16.5546875" style="765" customWidth="1"/>
    <col min="7940" max="8194" width="10.33203125" style="765"/>
    <col min="8195" max="8195" width="16.5546875" style="765" customWidth="1"/>
    <col min="8196" max="8450" width="10.33203125" style="765"/>
    <col min="8451" max="8451" width="16.5546875" style="765" customWidth="1"/>
    <col min="8452" max="8706" width="10.33203125" style="765"/>
    <col min="8707" max="8707" width="16.5546875" style="765" customWidth="1"/>
    <col min="8708" max="8962" width="10.33203125" style="765"/>
    <col min="8963" max="8963" width="16.5546875" style="765" customWidth="1"/>
    <col min="8964" max="9218" width="10.33203125" style="765"/>
    <col min="9219" max="9219" width="16.5546875" style="765" customWidth="1"/>
    <col min="9220" max="9474" width="10.33203125" style="765"/>
    <col min="9475" max="9475" width="16.5546875" style="765" customWidth="1"/>
    <col min="9476" max="9730" width="10.33203125" style="765"/>
    <col min="9731" max="9731" width="16.5546875" style="765" customWidth="1"/>
    <col min="9732" max="9986" width="10.33203125" style="765"/>
    <col min="9987" max="9987" width="16.5546875" style="765" customWidth="1"/>
    <col min="9988" max="10242" width="10.33203125" style="765"/>
    <col min="10243" max="10243" width="16.5546875" style="765" customWidth="1"/>
    <col min="10244" max="10498" width="10.33203125" style="765"/>
    <col min="10499" max="10499" width="16.5546875" style="765" customWidth="1"/>
    <col min="10500" max="10754" width="10.33203125" style="765"/>
    <col min="10755" max="10755" width="16.5546875" style="765" customWidth="1"/>
    <col min="10756" max="11010" width="10.33203125" style="765"/>
    <col min="11011" max="11011" width="16.5546875" style="765" customWidth="1"/>
    <col min="11012" max="11266" width="10.33203125" style="765"/>
    <col min="11267" max="11267" width="16.5546875" style="765" customWidth="1"/>
    <col min="11268" max="11522" width="10.33203125" style="765"/>
    <col min="11523" max="11523" width="16.5546875" style="765" customWidth="1"/>
    <col min="11524" max="11778" width="10.33203125" style="765"/>
    <col min="11779" max="11779" width="16.5546875" style="765" customWidth="1"/>
    <col min="11780" max="12034" width="10.33203125" style="765"/>
    <col min="12035" max="12035" width="16.5546875" style="765" customWidth="1"/>
    <col min="12036" max="12290" width="10.33203125" style="765"/>
    <col min="12291" max="12291" width="16.5546875" style="765" customWidth="1"/>
    <col min="12292" max="12546" width="10.33203125" style="765"/>
    <col min="12547" max="12547" width="16.5546875" style="765" customWidth="1"/>
    <col min="12548" max="12802" width="10.33203125" style="765"/>
    <col min="12803" max="12803" width="16.5546875" style="765" customWidth="1"/>
    <col min="12804" max="13058" width="10.33203125" style="765"/>
    <col min="13059" max="13059" width="16.5546875" style="765" customWidth="1"/>
    <col min="13060" max="13314" width="10.33203125" style="765"/>
    <col min="13315" max="13315" width="16.5546875" style="765" customWidth="1"/>
    <col min="13316" max="13570" width="10.33203125" style="765"/>
    <col min="13571" max="13571" width="16.5546875" style="765" customWidth="1"/>
    <col min="13572" max="13826" width="10.33203125" style="765"/>
    <col min="13827" max="13827" width="16.5546875" style="765" customWidth="1"/>
    <col min="13828" max="14082" width="10.33203125" style="765"/>
    <col min="14083" max="14083" width="16.5546875" style="765" customWidth="1"/>
    <col min="14084" max="14338" width="10.33203125" style="765"/>
    <col min="14339" max="14339" width="16.5546875" style="765" customWidth="1"/>
    <col min="14340" max="14594" width="10.33203125" style="765"/>
    <col min="14595" max="14595" width="16.5546875" style="765" customWidth="1"/>
    <col min="14596" max="14850" width="10.33203125" style="765"/>
    <col min="14851" max="14851" width="16.5546875" style="765" customWidth="1"/>
    <col min="14852" max="15106" width="10.33203125" style="765"/>
    <col min="15107" max="15107" width="16.5546875" style="765" customWidth="1"/>
    <col min="15108" max="15362" width="10.33203125" style="765"/>
    <col min="15363" max="15363" width="16.5546875" style="765" customWidth="1"/>
    <col min="15364" max="15618" width="10.33203125" style="765"/>
    <col min="15619" max="15619" width="16.5546875" style="765" customWidth="1"/>
    <col min="15620" max="15874" width="10.33203125" style="765"/>
    <col min="15875" max="15875" width="16.5546875" style="765" customWidth="1"/>
    <col min="15876" max="16130" width="10.33203125" style="765"/>
    <col min="16131" max="16131" width="16.5546875" style="765" customWidth="1"/>
    <col min="16132" max="16384" width="10.33203125" style="765"/>
  </cols>
  <sheetData>
    <row r="2" spans="2:9" x14ac:dyDescent="0.3">
      <c r="B2" s="905" t="s">
        <v>801</v>
      </c>
      <c r="C2" s="905"/>
      <c r="D2" s="905"/>
      <c r="E2" s="905"/>
      <c r="F2" s="905"/>
      <c r="G2" s="905"/>
      <c r="H2" s="905"/>
      <c r="I2" s="905"/>
    </row>
    <row r="3" spans="2:9" x14ac:dyDescent="0.3">
      <c r="B3" s="905"/>
      <c r="C3" s="905"/>
      <c r="D3" s="905"/>
      <c r="E3" s="905"/>
      <c r="F3" s="905"/>
      <c r="G3" s="905"/>
      <c r="H3" s="905"/>
      <c r="I3" s="905"/>
    </row>
    <row r="4" spans="2:9" x14ac:dyDescent="0.3">
      <c r="B4" s="905"/>
      <c r="C4" s="905"/>
      <c r="D4" s="905"/>
      <c r="E4" s="905"/>
      <c r="F4" s="905"/>
      <c r="G4" s="905"/>
      <c r="H4" s="905"/>
      <c r="I4" s="905"/>
    </row>
    <row r="5" spans="2:9" x14ac:dyDescent="0.3">
      <c r="B5" s="766"/>
      <c r="C5" s="766"/>
      <c r="D5" s="766"/>
      <c r="E5" s="766"/>
      <c r="F5" s="766"/>
      <c r="G5" s="766"/>
      <c r="H5" s="766"/>
      <c r="I5" s="766"/>
    </row>
    <row r="6" spans="2:9" x14ac:dyDescent="0.3">
      <c r="B6" s="906" t="s">
        <v>802</v>
      </c>
      <c r="C6" s="906"/>
      <c r="D6" s="906"/>
      <c r="E6" s="906"/>
      <c r="F6" s="906"/>
      <c r="G6" s="906"/>
      <c r="H6" s="906"/>
      <c r="I6" s="906"/>
    </row>
    <row r="7" spans="2:9" x14ac:dyDescent="0.3">
      <c r="B7" s="907" t="s">
        <v>640</v>
      </c>
      <c r="C7" s="908" t="s">
        <v>641</v>
      </c>
      <c r="D7" s="907" t="s">
        <v>181</v>
      </c>
      <c r="E7" s="907" t="s">
        <v>803</v>
      </c>
      <c r="F7" s="907" t="s">
        <v>642</v>
      </c>
      <c r="G7" s="907"/>
      <c r="H7" s="907"/>
      <c r="I7" s="767"/>
    </row>
    <row r="8" spans="2:9" x14ac:dyDescent="0.3">
      <c r="B8" s="907"/>
      <c r="C8" s="908"/>
      <c r="D8" s="907"/>
      <c r="E8" s="907"/>
      <c r="F8" s="768" t="s">
        <v>643</v>
      </c>
      <c r="G8" s="768" t="s">
        <v>644</v>
      </c>
      <c r="H8" s="768" t="s">
        <v>645</v>
      </c>
      <c r="I8" s="768" t="s">
        <v>204</v>
      </c>
    </row>
    <row r="9" spans="2:9" x14ac:dyDescent="0.3">
      <c r="B9" s="895" t="s">
        <v>646</v>
      </c>
      <c r="C9" s="895"/>
      <c r="D9" s="895"/>
      <c r="E9" s="895"/>
      <c r="F9" s="895"/>
      <c r="G9" s="895"/>
      <c r="H9" s="895"/>
      <c r="I9" s="895"/>
    </row>
    <row r="10" spans="2:9" x14ac:dyDescent="0.3">
      <c r="B10" s="769"/>
      <c r="C10" s="770"/>
      <c r="D10" s="771"/>
      <c r="E10" s="771"/>
      <c r="F10" s="771"/>
      <c r="G10" s="771"/>
      <c r="H10" s="771"/>
      <c r="I10" s="772"/>
    </row>
    <row r="11" spans="2:9" x14ac:dyDescent="0.3">
      <c r="B11" s="773">
        <v>1</v>
      </c>
      <c r="C11" s="766" t="s">
        <v>804</v>
      </c>
      <c r="D11" s="766">
        <v>8</v>
      </c>
      <c r="E11" s="766">
        <v>0.1</v>
      </c>
      <c r="F11" s="766">
        <f>2.44-0.9</f>
        <v>1.54</v>
      </c>
      <c r="G11" s="766">
        <v>0.1</v>
      </c>
      <c r="H11" s="774">
        <f>D11*E11*F11*G11</f>
        <v>0.12320000000000003</v>
      </c>
      <c r="I11" s="775"/>
    </row>
    <row r="12" spans="2:9" x14ac:dyDescent="0.3">
      <c r="B12" s="773"/>
      <c r="C12" s="766" t="s">
        <v>805</v>
      </c>
      <c r="D12" s="766">
        <v>1</v>
      </c>
      <c r="E12" s="766">
        <v>0.15</v>
      </c>
      <c r="F12" s="766">
        <f>7.01+6.86+7.01+7.01</f>
        <v>27.89</v>
      </c>
      <c r="G12" s="766">
        <v>0.15</v>
      </c>
      <c r="H12" s="774">
        <f>D12*E12*F12*G12</f>
        <v>0.62752499999999989</v>
      </c>
      <c r="I12" s="775"/>
    </row>
    <row r="13" spans="2:9" x14ac:dyDescent="0.3">
      <c r="B13" s="773"/>
      <c r="C13" s="766" t="s">
        <v>806</v>
      </c>
      <c r="D13" s="766">
        <f>2</f>
        <v>2</v>
      </c>
      <c r="E13" s="766">
        <v>0.1</v>
      </c>
      <c r="F13" s="766">
        <f>2.15+1.22+1.55</f>
        <v>4.92</v>
      </c>
      <c r="G13" s="766">
        <v>0.1</v>
      </c>
      <c r="H13" s="774">
        <f t="shared" ref="H13:H16" si="0">D13*E13*F13*G13</f>
        <v>9.8400000000000001E-2</v>
      </c>
      <c r="I13" s="775"/>
    </row>
    <row r="14" spans="2:9" x14ac:dyDescent="0.3">
      <c r="B14" s="773"/>
      <c r="C14" s="766" t="s">
        <v>807</v>
      </c>
      <c r="D14" s="766">
        <v>2</v>
      </c>
      <c r="E14" s="766">
        <v>0.1</v>
      </c>
      <c r="F14" s="766">
        <f>3.35+1.22+2.76</f>
        <v>7.33</v>
      </c>
      <c r="G14" s="766">
        <v>0.1</v>
      </c>
      <c r="H14" s="774">
        <f t="shared" si="0"/>
        <v>0.14660000000000004</v>
      </c>
      <c r="I14" s="775"/>
    </row>
    <row r="15" spans="2:9" x14ac:dyDescent="0.3">
      <c r="B15" s="773"/>
      <c r="C15" s="766" t="s">
        <v>808</v>
      </c>
      <c r="D15" s="766">
        <v>2</v>
      </c>
      <c r="E15" s="766">
        <v>0.1</v>
      </c>
      <c r="F15" s="766">
        <f>1.85+1.98+3.81+1.7+2.15+1.22</f>
        <v>12.71</v>
      </c>
      <c r="G15" s="766">
        <v>0.1</v>
      </c>
      <c r="H15" s="774">
        <f t="shared" si="0"/>
        <v>0.25420000000000004</v>
      </c>
      <c r="I15" s="775"/>
    </row>
    <row r="16" spans="2:9" x14ac:dyDescent="0.3">
      <c r="B16" s="773"/>
      <c r="C16" s="766" t="s">
        <v>809</v>
      </c>
      <c r="D16" s="766">
        <v>2</v>
      </c>
      <c r="E16" s="766">
        <v>0.1</v>
      </c>
      <c r="F16" s="766">
        <f>1.85+1.85+1.37</f>
        <v>5.07</v>
      </c>
      <c r="G16" s="766">
        <v>0.1</v>
      </c>
      <c r="H16" s="774">
        <f t="shared" si="0"/>
        <v>0.1014</v>
      </c>
      <c r="I16" s="775"/>
    </row>
    <row r="17" spans="2:9" x14ac:dyDescent="0.3">
      <c r="B17" s="773"/>
      <c r="C17" s="766"/>
      <c r="D17" s="766"/>
      <c r="E17" s="766"/>
      <c r="F17" s="766"/>
      <c r="G17" s="766"/>
      <c r="H17" s="774"/>
      <c r="I17" s="775"/>
    </row>
    <row r="18" spans="2:9" x14ac:dyDescent="0.3">
      <c r="B18" s="896" t="s">
        <v>810</v>
      </c>
      <c r="C18" s="897"/>
      <c r="D18" s="897"/>
      <c r="E18" s="897"/>
      <c r="F18" s="897"/>
      <c r="G18" s="898"/>
      <c r="H18" s="776">
        <f>SUM(H11:H17)</f>
        <v>1.3513249999999999</v>
      </c>
      <c r="I18" s="777" t="s">
        <v>811</v>
      </c>
    </row>
    <row r="19" spans="2:9" x14ac:dyDescent="0.3">
      <c r="B19" s="766"/>
      <c r="C19" s="766"/>
      <c r="D19" s="766"/>
      <c r="E19" s="766"/>
      <c r="F19" s="766"/>
      <c r="G19" s="766"/>
      <c r="H19" s="766"/>
      <c r="I19" s="766"/>
    </row>
    <row r="20" spans="2:9" x14ac:dyDescent="0.3">
      <c r="B20" s="778" t="s">
        <v>812</v>
      </c>
      <c r="C20" s="779"/>
      <c r="D20" s="779"/>
      <c r="E20" s="779"/>
      <c r="F20" s="779"/>
      <c r="G20" s="780"/>
      <c r="H20" s="766"/>
      <c r="I20" s="766"/>
    </row>
    <row r="21" spans="2:9" ht="15" thickBot="1" x14ac:dyDescent="0.35">
      <c r="B21" s="778" t="s">
        <v>813</v>
      </c>
      <c r="C21" s="779"/>
      <c r="D21" s="779"/>
      <c r="E21" s="779"/>
      <c r="F21" s="779"/>
      <c r="G21" s="780"/>
      <c r="H21" s="766"/>
      <c r="I21" s="766"/>
    </row>
    <row r="22" spans="2:9" ht="15" thickBot="1" x14ac:dyDescent="0.35">
      <c r="B22" s="899" t="s">
        <v>814</v>
      </c>
      <c r="C22" s="900"/>
      <c r="D22" s="900"/>
      <c r="E22" s="901"/>
      <c r="F22" s="779"/>
      <c r="G22" s="780"/>
      <c r="H22" s="766"/>
      <c r="I22" s="766"/>
    </row>
    <row r="23" spans="2:9" ht="15" thickBot="1" x14ac:dyDescent="0.35">
      <c r="B23" s="781" t="s">
        <v>41</v>
      </c>
      <c r="C23" s="902" t="s">
        <v>556</v>
      </c>
      <c r="D23" s="902"/>
      <c r="E23" s="782" t="s">
        <v>179</v>
      </c>
      <c r="F23" s="779"/>
      <c r="G23" s="780"/>
      <c r="H23" s="766"/>
      <c r="I23" s="766"/>
    </row>
    <row r="24" spans="2:9" x14ac:dyDescent="0.3">
      <c r="B24" s="783">
        <v>1</v>
      </c>
      <c r="C24" s="903" t="s">
        <v>624</v>
      </c>
      <c r="D24" s="904"/>
      <c r="E24" s="784">
        <f>H18</f>
        <v>1.3513249999999999</v>
      </c>
      <c r="F24" s="779"/>
      <c r="G24" s="780"/>
      <c r="H24" s="766"/>
      <c r="I24" s="766"/>
    </row>
    <row r="25" spans="2:9" x14ac:dyDescent="0.3">
      <c r="B25" s="785">
        <v>2</v>
      </c>
      <c r="C25" s="891" t="s">
        <v>815</v>
      </c>
      <c r="D25" s="892"/>
      <c r="E25" s="786">
        <f>E24*1.54</f>
        <v>2.0810404999999998</v>
      </c>
      <c r="F25" s="779"/>
      <c r="G25" s="780"/>
      <c r="H25" s="766"/>
      <c r="I25" s="766"/>
    </row>
    <row r="26" spans="2:9" x14ac:dyDescent="0.3">
      <c r="B26" s="787">
        <v>2</v>
      </c>
      <c r="C26" s="891" t="s">
        <v>608</v>
      </c>
      <c r="D26" s="892"/>
      <c r="E26" s="788">
        <f>ROUNDUP((E25/(4+2+1))*1000/35,0)</f>
        <v>9</v>
      </c>
      <c r="F26" s="779"/>
      <c r="G26" s="766"/>
      <c r="H26" s="766"/>
      <c r="I26" s="766"/>
    </row>
    <row r="27" spans="2:9" x14ac:dyDescent="0.3">
      <c r="B27" s="787">
        <v>4</v>
      </c>
      <c r="C27" s="891" t="s">
        <v>816</v>
      </c>
      <c r="D27" s="892"/>
      <c r="E27" s="788">
        <f>(E25/(4+2+1))*2*35.28/100</f>
        <v>0.20976888240000002</v>
      </c>
      <c r="F27" s="779"/>
      <c r="G27" s="780"/>
      <c r="H27" s="766"/>
      <c r="I27" s="766"/>
    </row>
    <row r="28" spans="2:9" x14ac:dyDescent="0.3">
      <c r="B28" s="787">
        <v>5</v>
      </c>
      <c r="C28" s="891" t="s">
        <v>817</v>
      </c>
      <c r="D28" s="892"/>
      <c r="E28" s="788">
        <f>((E25/(4+2+1))*4*35.28/100)*0.6</f>
        <v>0.25172265888000001</v>
      </c>
      <c r="F28" s="779"/>
      <c r="G28" s="780"/>
      <c r="H28" s="766"/>
      <c r="I28" s="766"/>
    </row>
    <row r="29" spans="2:9" ht="15" thickBot="1" x14ac:dyDescent="0.35">
      <c r="B29" s="789">
        <v>6</v>
      </c>
      <c r="C29" s="893" t="s">
        <v>818</v>
      </c>
      <c r="D29" s="894"/>
      <c r="E29" s="790">
        <f>((E25/(4+2+1))*4*35.28/100)*0.4</f>
        <v>0.16781510592000004</v>
      </c>
      <c r="F29" s="779"/>
      <c r="G29" s="780"/>
      <c r="H29" s="766"/>
      <c r="I29" s="766"/>
    </row>
  </sheetData>
  <mergeCells count="17">
    <mergeCell ref="B2:I4"/>
    <mergeCell ref="B6:I6"/>
    <mergeCell ref="B7:B8"/>
    <mergeCell ref="C7:C8"/>
    <mergeCell ref="D7:D8"/>
    <mergeCell ref="E7:E8"/>
    <mergeCell ref="F7:H7"/>
    <mergeCell ref="C26:D26"/>
    <mergeCell ref="C27:D27"/>
    <mergeCell ref="C28:D28"/>
    <mergeCell ref="C29:D29"/>
    <mergeCell ref="B9:I9"/>
    <mergeCell ref="B18:G18"/>
    <mergeCell ref="B22:E22"/>
    <mergeCell ref="C23:D23"/>
    <mergeCell ref="C24:D24"/>
    <mergeCell ref="C25:D2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abSelected="1" zoomScale="115" zoomScaleNormal="115" workbookViewId="0">
      <selection activeCell="J8" sqref="J8"/>
    </sheetView>
  </sheetViews>
  <sheetFormatPr defaultRowHeight="14.4" x14ac:dyDescent="0.3"/>
  <cols>
    <col min="1" max="6" width="9.109375" style="18"/>
    <col min="7" max="7" width="12.44140625" style="18" customWidth="1"/>
    <col min="8" max="8" width="12.33203125" style="18" customWidth="1"/>
    <col min="9" max="262" width="9.109375" style="18"/>
    <col min="263" max="263" width="12.44140625" style="18" customWidth="1"/>
    <col min="264" max="264" width="12.33203125" style="18" customWidth="1"/>
    <col min="265" max="518" width="9.109375" style="18"/>
    <col min="519" max="519" width="12.44140625" style="18" customWidth="1"/>
    <col min="520" max="520" width="12.33203125" style="18" customWidth="1"/>
    <col min="521" max="774" width="9.109375" style="18"/>
    <col min="775" max="775" width="12.44140625" style="18" customWidth="1"/>
    <col min="776" max="776" width="12.33203125" style="18" customWidth="1"/>
    <col min="777" max="1030" width="9.109375" style="18"/>
    <col min="1031" max="1031" width="12.44140625" style="18" customWidth="1"/>
    <col min="1032" max="1032" width="12.33203125" style="18" customWidth="1"/>
    <col min="1033" max="1286" width="9.109375" style="18"/>
    <col min="1287" max="1287" width="12.44140625" style="18" customWidth="1"/>
    <col min="1288" max="1288" width="12.33203125" style="18" customWidth="1"/>
    <col min="1289" max="1542" width="9.109375" style="18"/>
    <col min="1543" max="1543" width="12.44140625" style="18" customWidth="1"/>
    <col min="1544" max="1544" width="12.33203125" style="18" customWidth="1"/>
    <col min="1545" max="1798" width="9.109375" style="18"/>
    <col min="1799" max="1799" width="12.44140625" style="18" customWidth="1"/>
    <col min="1800" max="1800" width="12.33203125" style="18" customWidth="1"/>
    <col min="1801" max="2054" width="9.109375" style="18"/>
    <col min="2055" max="2055" width="12.44140625" style="18" customWidth="1"/>
    <col min="2056" max="2056" width="12.33203125" style="18" customWidth="1"/>
    <col min="2057" max="2310" width="9.109375" style="18"/>
    <col min="2311" max="2311" width="12.44140625" style="18" customWidth="1"/>
    <col min="2312" max="2312" width="12.33203125" style="18" customWidth="1"/>
    <col min="2313" max="2566" width="9.109375" style="18"/>
    <col min="2567" max="2567" width="12.44140625" style="18" customWidth="1"/>
    <col min="2568" max="2568" width="12.33203125" style="18" customWidth="1"/>
    <col min="2569" max="2822" width="9.109375" style="18"/>
    <col min="2823" max="2823" width="12.44140625" style="18" customWidth="1"/>
    <col min="2824" max="2824" width="12.33203125" style="18" customWidth="1"/>
    <col min="2825" max="3078" width="9.109375" style="18"/>
    <col min="3079" max="3079" width="12.44140625" style="18" customWidth="1"/>
    <col min="3080" max="3080" width="12.33203125" style="18" customWidth="1"/>
    <col min="3081" max="3334" width="9.109375" style="18"/>
    <col min="3335" max="3335" width="12.44140625" style="18" customWidth="1"/>
    <col min="3336" max="3336" width="12.33203125" style="18" customWidth="1"/>
    <col min="3337" max="3590" width="9.109375" style="18"/>
    <col min="3591" max="3591" width="12.44140625" style="18" customWidth="1"/>
    <col min="3592" max="3592" width="12.33203125" style="18" customWidth="1"/>
    <col min="3593" max="3846" width="9.109375" style="18"/>
    <col min="3847" max="3847" width="12.44140625" style="18" customWidth="1"/>
    <col min="3848" max="3848" width="12.33203125" style="18" customWidth="1"/>
    <col min="3849" max="4102" width="9.109375" style="18"/>
    <col min="4103" max="4103" width="12.44140625" style="18" customWidth="1"/>
    <col min="4104" max="4104" width="12.33203125" style="18" customWidth="1"/>
    <col min="4105" max="4358" width="9.109375" style="18"/>
    <col min="4359" max="4359" width="12.44140625" style="18" customWidth="1"/>
    <col min="4360" max="4360" width="12.33203125" style="18" customWidth="1"/>
    <col min="4361" max="4614" width="9.109375" style="18"/>
    <col min="4615" max="4615" width="12.44140625" style="18" customWidth="1"/>
    <col min="4616" max="4616" width="12.33203125" style="18" customWidth="1"/>
    <col min="4617" max="4870" width="9.109375" style="18"/>
    <col min="4871" max="4871" width="12.44140625" style="18" customWidth="1"/>
    <col min="4872" max="4872" width="12.33203125" style="18" customWidth="1"/>
    <col min="4873" max="5126" width="9.109375" style="18"/>
    <col min="5127" max="5127" width="12.44140625" style="18" customWidth="1"/>
    <col min="5128" max="5128" width="12.33203125" style="18" customWidth="1"/>
    <col min="5129" max="5382" width="9.109375" style="18"/>
    <col min="5383" max="5383" width="12.44140625" style="18" customWidth="1"/>
    <col min="5384" max="5384" width="12.33203125" style="18" customWidth="1"/>
    <col min="5385" max="5638" width="9.109375" style="18"/>
    <col min="5639" max="5639" width="12.44140625" style="18" customWidth="1"/>
    <col min="5640" max="5640" width="12.33203125" style="18" customWidth="1"/>
    <col min="5641" max="5894" width="9.109375" style="18"/>
    <col min="5895" max="5895" width="12.44140625" style="18" customWidth="1"/>
    <col min="5896" max="5896" width="12.33203125" style="18" customWidth="1"/>
    <col min="5897" max="6150" width="9.109375" style="18"/>
    <col min="6151" max="6151" width="12.44140625" style="18" customWidth="1"/>
    <col min="6152" max="6152" width="12.33203125" style="18" customWidth="1"/>
    <col min="6153" max="6406" width="9.109375" style="18"/>
    <col min="6407" max="6407" width="12.44140625" style="18" customWidth="1"/>
    <col min="6408" max="6408" width="12.33203125" style="18" customWidth="1"/>
    <col min="6409" max="6662" width="9.109375" style="18"/>
    <col min="6663" max="6663" width="12.44140625" style="18" customWidth="1"/>
    <col min="6664" max="6664" width="12.33203125" style="18" customWidth="1"/>
    <col min="6665" max="6918" width="9.109375" style="18"/>
    <col min="6919" max="6919" width="12.44140625" style="18" customWidth="1"/>
    <col min="6920" max="6920" width="12.33203125" style="18" customWidth="1"/>
    <col min="6921" max="7174" width="9.109375" style="18"/>
    <col min="7175" max="7175" width="12.44140625" style="18" customWidth="1"/>
    <col min="7176" max="7176" width="12.33203125" style="18" customWidth="1"/>
    <col min="7177" max="7430" width="9.109375" style="18"/>
    <col min="7431" max="7431" width="12.44140625" style="18" customWidth="1"/>
    <col min="7432" max="7432" width="12.33203125" style="18" customWidth="1"/>
    <col min="7433" max="7686" width="9.109375" style="18"/>
    <col min="7687" max="7687" width="12.44140625" style="18" customWidth="1"/>
    <col min="7688" max="7688" width="12.33203125" style="18" customWidth="1"/>
    <col min="7689" max="7942" width="9.109375" style="18"/>
    <col min="7943" max="7943" width="12.44140625" style="18" customWidth="1"/>
    <col min="7944" max="7944" width="12.33203125" style="18" customWidth="1"/>
    <col min="7945" max="8198" width="9.109375" style="18"/>
    <col min="8199" max="8199" width="12.44140625" style="18" customWidth="1"/>
    <col min="8200" max="8200" width="12.33203125" style="18" customWidth="1"/>
    <col min="8201" max="8454" width="9.109375" style="18"/>
    <col min="8455" max="8455" width="12.44140625" style="18" customWidth="1"/>
    <col min="8456" max="8456" width="12.33203125" style="18" customWidth="1"/>
    <col min="8457" max="8710" width="9.109375" style="18"/>
    <col min="8711" max="8711" width="12.44140625" style="18" customWidth="1"/>
    <col min="8712" max="8712" width="12.33203125" style="18" customWidth="1"/>
    <col min="8713" max="8966" width="9.109375" style="18"/>
    <col min="8967" max="8967" width="12.44140625" style="18" customWidth="1"/>
    <col min="8968" max="8968" width="12.33203125" style="18" customWidth="1"/>
    <col min="8969" max="9222" width="9.109375" style="18"/>
    <col min="9223" max="9223" width="12.44140625" style="18" customWidth="1"/>
    <col min="9224" max="9224" width="12.33203125" style="18" customWidth="1"/>
    <col min="9225" max="9478" width="9.109375" style="18"/>
    <col min="9479" max="9479" width="12.44140625" style="18" customWidth="1"/>
    <col min="9480" max="9480" width="12.33203125" style="18" customWidth="1"/>
    <col min="9481" max="9734" width="9.109375" style="18"/>
    <col min="9735" max="9735" width="12.44140625" style="18" customWidth="1"/>
    <col min="9736" max="9736" width="12.33203125" style="18" customWidth="1"/>
    <col min="9737" max="9990" width="9.109375" style="18"/>
    <col min="9991" max="9991" width="12.44140625" style="18" customWidth="1"/>
    <col min="9992" max="9992" width="12.33203125" style="18" customWidth="1"/>
    <col min="9993" max="10246" width="9.109375" style="18"/>
    <col min="10247" max="10247" width="12.44140625" style="18" customWidth="1"/>
    <col min="10248" max="10248" width="12.33203125" style="18" customWidth="1"/>
    <col min="10249" max="10502" width="9.109375" style="18"/>
    <col min="10503" max="10503" width="12.44140625" style="18" customWidth="1"/>
    <col min="10504" max="10504" width="12.33203125" style="18" customWidth="1"/>
    <col min="10505" max="10758" width="9.109375" style="18"/>
    <col min="10759" max="10759" width="12.44140625" style="18" customWidth="1"/>
    <col min="10760" max="10760" width="12.33203125" style="18" customWidth="1"/>
    <col min="10761" max="11014" width="9.109375" style="18"/>
    <col min="11015" max="11015" width="12.44140625" style="18" customWidth="1"/>
    <col min="11016" max="11016" width="12.33203125" style="18" customWidth="1"/>
    <col min="11017" max="11270" width="9.109375" style="18"/>
    <col min="11271" max="11271" width="12.44140625" style="18" customWidth="1"/>
    <col min="11272" max="11272" width="12.33203125" style="18" customWidth="1"/>
    <col min="11273" max="11526" width="9.109375" style="18"/>
    <col min="11527" max="11527" width="12.44140625" style="18" customWidth="1"/>
    <col min="11528" max="11528" width="12.33203125" style="18" customWidth="1"/>
    <col min="11529" max="11782" width="9.109375" style="18"/>
    <col min="11783" max="11783" width="12.44140625" style="18" customWidth="1"/>
    <col min="11784" max="11784" width="12.33203125" style="18" customWidth="1"/>
    <col min="11785" max="12038" width="9.109375" style="18"/>
    <col min="12039" max="12039" width="12.44140625" style="18" customWidth="1"/>
    <col min="12040" max="12040" width="12.33203125" style="18" customWidth="1"/>
    <col min="12041" max="12294" width="9.109375" style="18"/>
    <col min="12295" max="12295" width="12.44140625" style="18" customWidth="1"/>
    <col min="12296" max="12296" width="12.33203125" style="18" customWidth="1"/>
    <col min="12297" max="12550" width="9.109375" style="18"/>
    <col min="12551" max="12551" width="12.44140625" style="18" customWidth="1"/>
    <col min="12552" max="12552" width="12.33203125" style="18" customWidth="1"/>
    <col min="12553" max="12806" width="9.109375" style="18"/>
    <col min="12807" max="12807" width="12.44140625" style="18" customWidth="1"/>
    <col min="12808" max="12808" width="12.33203125" style="18" customWidth="1"/>
    <col min="12809" max="13062" width="9.109375" style="18"/>
    <col min="13063" max="13063" width="12.44140625" style="18" customWidth="1"/>
    <col min="13064" max="13064" width="12.33203125" style="18" customWidth="1"/>
    <col min="13065" max="13318" width="9.109375" style="18"/>
    <col min="13319" max="13319" width="12.44140625" style="18" customWidth="1"/>
    <col min="13320" max="13320" width="12.33203125" style="18" customWidth="1"/>
    <col min="13321" max="13574" width="9.109375" style="18"/>
    <col min="13575" max="13575" width="12.44140625" style="18" customWidth="1"/>
    <col min="13576" max="13576" width="12.33203125" style="18" customWidth="1"/>
    <col min="13577" max="13830" width="9.109375" style="18"/>
    <col min="13831" max="13831" width="12.44140625" style="18" customWidth="1"/>
    <col min="13832" max="13832" width="12.33203125" style="18" customWidth="1"/>
    <col min="13833" max="14086" width="9.109375" style="18"/>
    <col min="14087" max="14087" width="12.44140625" style="18" customWidth="1"/>
    <col min="14088" max="14088" width="12.33203125" style="18" customWidth="1"/>
    <col min="14089" max="14342" width="9.109375" style="18"/>
    <col min="14343" max="14343" width="12.44140625" style="18" customWidth="1"/>
    <col min="14344" max="14344" width="12.33203125" style="18" customWidth="1"/>
    <col min="14345" max="14598" width="9.109375" style="18"/>
    <col min="14599" max="14599" width="12.44140625" style="18" customWidth="1"/>
    <col min="14600" max="14600" width="12.33203125" style="18" customWidth="1"/>
    <col min="14601" max="14854" width="9.109375" style="18"/>
    <col min="14855" max="14855" width="12.44140625" style="18" customWidth="1"/>
    <col min="14856" max="14856" width="12.33203125" style="18" customWidth="1"/>
    <col min="14857" max="15110" width="9.109375" style="18"/>
    <col min="15111" max="15111" width="12.44140625" style="18" customWidth="1"/>
    <col min="15112" max="15112" width="12.33203125" style="18" customWidth="1"/>
    <col min="15113" max="15366" width="9.109375" style="18"/>
    <col min="15367" max="15367" width="12.44140625" style="18" customWidth="1"/>
    <col min="15368" max="15368" width="12.33203125" style="18" customWidth="1"/>
    <col min="15369" max="15622" width="9.109375" style="18"/>
    <col min="15623" max="15623" width="12.44140625" style="18" customWidth="1"/>
    <col min="15624" max="15624" width="12.33203125" style="18" customWidth="1"/>
    <col min="15625" max="15878" width="9.109375" style="18"/>
    <col min="15879" max="15879" width="12.44140625" style="18" customWidth="1"/>
    <col min="15880" max="15880" width="12.33203125" style="18" customWidth="1"/>
    <col min="15881" max="16134" width="9.109375" style="18"/>
    <col min="16135" max="16135" width="12.44140625" style="18" customWidth="1"/>
    <col min="16136" max="16136" width="12.33203125" style="18" customWidth="1"/>
    <col min="16137" max="16384" width="9.109375" style="18"/>
  </cols>
  <sheetData>
    <row r="1" spans="2:11" ht="15" thickBot="1" x14ac:dyDescent="0.35"/>
    <row r="2" spans="2:11" ht="15" thickBot="1" x14ac:dyDescent="0.35">
      <c r="B2" s="20"/>
      <c r="C2" s="21" t="s">
        <v>35</v>
      </c>
      <c r="D2" s="21"/>
      <c r="E2" s="21"/>
      <c r="F2" s="21"/>
      <c r="G2" s="21"/>
      <c r="H2" s="21"/>
      <c r="I2" s="22"/>
    </row>
    <row r="3" spans="2:11" x14ac:dyDescent="0.25">
      <c r="B3" s="23"/>
      <c r="C3" s="24">
        <v>1.54</v>
      </c>
      <c r="D3" s="25" t="s">
        <v>23</v>
      </c>
      <c r="E3" s="26"/>
      <c r="F3" s="26"/>
      <c r="G3" s="26"/>
      <c r="H3" s="22"/>
      <c r="I3" s="27"/>
    </row>
    <row r="4" spans="2:11" x14ac:dyDescent="0.3">
      <c r="B4" s="23"/>
      <c r="C4" s="28" t="s">
        <v>12</v>
      </c>
      <c r="D4" s="29" t="s">
        <v>24</v>
      </c>
      <c r="E4" s="29" t="s">
        <v>25</v>
      </c>
      <c r="F4" s="29" t="s">
        <v>26</v>
      </c>
      <c r="G4" s="29" t="s">
        <v>27</v>
      </c>
      <c r="H4" s="27"/>
      <c r="I4" s="27"/>
    </row>
    <row r="5" spans="2:11" x14ac:dyDescent="0.25">
      <c r="B5" s="23"/>
      <c r="C5" s="28" t="s">
        <v>19</v>
      </c>
      <c r="D5" s="19">
        <v>35</v>
      </c>
      <c r="E5" s="19">
        <v>70</v>
      </c>
      <c r="F5" s="19">
        <f>D5*4*0.4</f>
        <v>56</v>
      </c>
      <c r="G5" s="19">
        <f>D5*4*0.6</f>
        <v>84</v>
      </c>
      <c r="H5" s="27"/>
      <c r="I5" s="27"/>
      <c r="K5" s="30"/>
    </row>
    <row r="6" spans="2:11" x14ac:dyDescent="0.25">
      <c r="B6" s="23"/>
      <c r="C6" s="28" t="s">
        <v>28</v>
      </c>
      <c r="D6" s="19">
        <v>35</v>
      </c>
      <c r="E6" s="19">
        <f>D6*1.5</f>
        <v>52.5</v>
      </c>
      <c r="F6" s="19">
        <f>D6*3*0.4</f>
        <v>42</v>
      </c>
      <c r="G6" s="19">
        <f>D6*3*0.6</f>
        <v>63</v>
      </c>
      <c r="H6" s="27"/>
      <c r="I6" s="27"/>
      <c r="K6" s="30"/>
    </row>
    <row r="7" spans="2:11" x14ac:dyDescent="0.25">
      <c r="B7" s="23"/>
      <c r="C7" s="45" t="s">
        <v>29</v>
      </c>
      <c r="D7" s="46">
        <v>35</v>
      </c>
      <c r="E7" s="46">
        <v>60</v>
      </c>
      <c r="F7" s="46">
        <v>45</v>
      </c>
      <c r="G7" s="46">
        <v>50</v>
      </c>
      <c r="H7" s="27"/>
      <c r="I7" s="27"/>
      <c r="K7" s="30"/>
    </row>
    <row r="8" spans="2:11" x14ac:dyDescent="0.25">
      <c r="B8" s="23"/>
      <c r="C8" s="31" t="s">
        <v>20</v>
      </c>
      <c r="D8" s="32">
        <v>35</v>
      </c>
      <c r="E8" s="32">
        <v>60</v>
      </c>
      <c r="F8" s="32">
        <v>45</v>
      </c>
      <c r="G8" s="32">
        <v>50</v>
      </c>
      <c r="H8" s="27"/>
      <c r="I8" s="27"/>
      <c r="K8" s="30"/>
    </row>
    <row r="9" spans="2:11" x14ac:dyDescent="0.3">
      <c r="B9" s="23"/>
      <c r="C9" s="47" t="s">
        <v>21</v>
      </c>
      <c r="D9" s="46">
        <v>35</v>
      </c>
      <c r="E9" s="46">
        <v>50</v>
      </c>
      <c r="F9" s="46">
        <v>35</v>
      </c>
      <c r="G9" s="46">
        <v>40</v>
      </c>
      <c r="H9" s="27"/>
      <c r="I9" s="27"/>
    </row>
    <row r="10" spans="2:11" x14ac:dyDescent="0.3">
      <c r="B10" s="23"/>
      <c r="C10" s="45" t="s">
        <v>22</v>
      </c>
      <c r="D10" s="46">
        <v>35</v>
      </c>
      <c r="E10" s="46">
        <v>45</v>
      </c>
      <c r="F10" s="46">
        <v>30</v>
      </c>
      <c r="G10" s="46">
        <v>35</v>
      </c>
      <c r="H10" s="27"/>
      <c r="I10" s="27"/>
    </row>
    <row r="11" spans="2:11" x14ac:dyDescent="0.3">
      <c r="B11" s="23"/>
      <c r="C11" s="23"/>
      <c r="D11" s="34"/>
      <c r="E11" s="34"/>
      <c r="F11" s="34"/>
      <c r="G11" s="34"/>
      <c r="H11" s="27"/>
      <c r="I11" s="27"/>
    </row>
    <row r="12" spans="2:11" x14ac:dyDescent="0.3">
      <c r="B12" s="23"/>
      <c r="C12" s="28" t="s">
        <v>12</v>
      </c>
      <c r="D12" s="29" t="s">
        <v>24</v>
      </c>
      <c r="E12" s="29" t="s">
        <v>30</v>
      </c>
      <c r="F12" s="29" t="s">
        <v>31</v>
      </c>
      <c r="G12" s="29" t="s">
        <v>32</v>
      </c>
      <c r="H12" s="35" t="s">
        <v>33</v>
      </c>
      <c r="I12" s="27"/>
    </row>
    <row r="13" spans="2:11" x14ac:dyDescent="0.3">
      <c r="B13" s="23"/>
      <c r="C13" s="28" t="s">
        <v>19</v>
      </c>
      <c r="D13" s="19">
        <f t="shared" ref="D13:D18" si="0">(($C$3*D5)/(D5+E5+F5+G5))*1440/50</f>
        <v>6.3360000000000003</v>
      </c>
      <c r="E13" s="19">
        <f t="shared" ref="E13:E18" si="1">(D13*E5/1000)*35.8/100</f>
        <v>0.15878015999999998</v>
      </c>
      <c r="F13" s="19">
        <f t="shared" ref="F13:F18" si="2">(D13*F5/1000)*35.8/100</f>
        <v>0.12702412799999999</v>
      </c>
      <c r="G13" s="19">
        <f t="shared" ref="G13:G18" si="3">(D13*G5/1000)*35.8/100</f>
        <v>0.19053619199999999</v>
      </c>
      <c r="H13" s="36">
        <f t="shared" ref="H13:H18" si="4">D13*0.2</f>
        <v>1.2672000000000001</v>
      </c>
      <c r="I13" s="27"/>
    </row>
    <row r="14" spans="2:11" x14ac:dyDescent="0.3">
      <c r="B14" s="23"/>
      <c r="C14" s="28" t="s">
        <v>28</v>
      </c>
      <c r="D14" s="19">
        <f>(($C$3*D6)/(D6+E6+F6+G6))*1440/50</f>
        <v>8.0639999999999983</v>
      </c>
      <c r="E14" s="19">
        <f t="shared" si="1"/>
        <v>0.15156287999999996</v>
      </c>
      <c r="F14" s="19">
        <f t="shared" si="2"/>
        <v>0.12125030399999996</v>
      </c>
      <c r="G14" s="19">
        <f t="shared" si="3"/>
        <v>0.18187545599999994</v>
      </c>
      <c r="H14" s="36">
        <f t="shared" si="4"/>
        <v>1.6127999999999998</v>
      </c>
      <c r="I14" s="27"/>
    </row>
    <row r="15" spans="2:11" x14ac:dyDescent="0.3">
      <c r="B15" s="23"/>
      <c r="C15" s="28" t="s">
        <v>29</v>
      </c>
      <c r="D15" s="19">
        <f t="shared" si="0"/>
        <v>8.170105263157895</v>
      </c>
      <c r="E15" s="19">
        <f>(D15*E7/1000)*35.8/100</f>
        <v>0.17549386105263157</v>
      </c>
      <c r="F15" s="19">
        <f>(D15*F7/1000)*35.8/100</f>
        <v>0.13162039578947365</v>
      </c>
      <c r="G15" s="19">
        <f>(D15*G7/1000)*35.8/100</f>
        <v>0.14624488421052631</v>
      </c>
      <c r="H15" s="36">
        <f t="shared" si="4"/>
        <v>1.634021052631579</v>
      </c>
      <c r="I15" s="27"/>
    </row>
    <row r="16" spans="2:11" x14ac:dyDescent="0.3">
      <c r="B16" s="23"/>
      <c r="C16" s="31" t="s">
        <v>20</v>
      </c>
      <c r="D16" s="32">
        <f>((1.35*D8)/(D8+E8+F8+G8))*1440/50</f>
        <v>7.162105263157895</v>
      </c>
      <c r="E16" s="32">
        <f>(D16*E8/1000)*35.8/100</f>
        <v>0.15384202105263156</v>
      </c>
      <c r="F16" s="32">
        <f t="shared" si="2"/>
        <v>0.1153815157894737</v>
      </c>
      <c r="G16" s="32">
        <f t="shared" si="3"/>
        <v>0.12820168421052633</v>
      </c>
      <c r="H16" s="36">
        <f t="shared" si="4"/>
        <v>1.432421052631579</v>
      </c>
      <c r="I16" s="27"/>
    </row>
    <row r="17" spans="2:9" x14ac:dyDescent="0.3">
      <c r="B17" s="23"/>
      <c r="C17" s="37" t="s">
        <v>21</v>
      </c>
      <c r="D17" s="19">
        <f t="shared" si="0"/>
        <v>9.702</v>
      </c>
      <c r="E17" s="19">
        <f t="shared" si="1"/>
        <v>0.17366579999999998</v>
      </c>
      <c r="F17" s="19">
        <f t="shared" si="2"/>
        <v>0.12156605999999998</v>
      </c>
      <c r="G17" s="19">
        <f t="shared" si="3"/>
        <v>0.13893264</v>
      </c>
      <c r="H17" s="36">
        <f t="shared" si="4"/>
        <v>1.9404000000000001</v>
      </c>
      <c r="I17" s="27"/>
    </row>
    <row r="18" spans="2:9" ht="15" thickBot="1" x14ac:dyDescent="0.35">
      <c r="B18" s="23"/>
      <c r="C18" s="38" t="s">
        <v>22</v>
      </c>
      <c r="D18" s="39">
        <f t="shared" si="0"/>
        <v>10.705655172413792</v>
      </c>
      <c r="E18" s="39">
        <f t="shared" si="1"/>
        <v>0.17246810482758615</v>
      </c>
      <c r="F18" s="39">
        <f t="shared" si="2"/>
        <v>0.11497873655172411</v>
      </c>
      <c r="G18" s="39">
        <f t="shared" si="3"/>
        <v>0.13414185931034481</v>
      </c>
      <c r="H18" s="40">
        <f t="shared" si="4"/>
        <v>2.1411310344827585</v>
      </c>
      <c r="I18" s="27"/>
    </row>
    <row r="19" spans="2:9" x14ac:dyDescent="0.3">
      <c r="B19" s="23"/>
      <c r="C19" s="34"/>
      <c r="D19" s="34"/>
      <c r="E19" s="34"/>
      <c r="F19" s="34"/>
      <c r="G19" s="34"/>
      <c r="H19" s="34"/>
      <c r="I19" s="27"/>
    </row>
    <row r="20" spans="2:9" ht="15" thickBot="1" x14ac:dyDescent="0.35">
      <c r="B20" s="41"/>
      <c r="C20" s="42"/>
      <c r="D20" s="42"/>
      <c r="E20" s="42"/>
      <c r="F20" s="42"/>
      <c r="G20" s="42"/>
      <c r="H20" s="42"/>
      <c r="I20" s="43"/>
    </row>
    <row r="22" spans="2:9" ht="15" thickBot="1" x14ac:dyDescent="0.35">
      <c r="C22" s="18" t="s">
        <v>34</v>
      </c>
    </row>
    <row r="23" spans="2:9" ht="15" thickBot="1" x14ac:dyDescent="0.35">
      <c r="B23" s="20"/>
      <c r="C23" s="21"/>
      <c r="D23" s="21"/>
      <c r="E23" s="21"/>
      <c r="F23" s="21"/>
      <c r="G23" s="21"/>
      <c r="H23" s="21"/>
      <c r="I23" s="22"/>
    </row>
    <row r="24" spans="2:9" x14ac:dyDescent="0.25">
      <c r="B24" s="23"/>
      <c r="C24" s="24">
        <v>1.54</v>
      </c>
      <c r="D24" s="25" t="s">
        <v>23</v>
      </c>
      <c r="E24" s="26"/>
      <c r="F24" s="26"/>
      <c r="G24" s="26"/>
      <c r="H24" s="22"/>
      <c r="I24" s="27"/>
    </row>
    <row r="25" spans="2:9" x14ac:dyDescent="0.3">
      <c r="B25" s="23"/>
      <c r="C25" s="28" t="s">
        <v>12</v>
      </c>
      <c r="D25" s="29" t="s">
        <v>24</v>
      </c>
      <c r="E25" s="29" t="s">
        <v>25</v>
      </c>
      <c r="F25" s="29" t="s">
        <v>26</v>
      </c>
      <c r="G25" s="29" t="s">
        <v>27</v>
      </c>
      <c r="H25" s="27"/>
      <c r="I25" s="27"/>
    </row>
    <row r="26" spans="2:9" x14ac:dyDescent="0.3">
      <c r="B26" s="23"/>
      <c r="C26" s="28" t="s">
        <v>19</v>
      </c>
      <c r="D26" s="19">
        <v>35</v>
      </c>
      <c r="E26" s="19">
        <v>70</v>
      </c>
      <c r="F26" s="19">
        <f>D26*4*0.4</f>
        <v>56</v>
      </c>
      <c r="G26" s="19">
        <f>D26*4*0.6</f>
        <v>84</v>
      </c>
      <c r="H26" s="27"/>
      <c r="I26" s="27"/>
    </row>
    <row r="27" spans="2:9" x14ac:dyDescent="0.3">
      <c r="B27" s="23"/>
      <c r="C27" s="28" t="s">
        <v>28</v>
      </c>
      <c r="D27" s="19">
        <v>35</v>
      </c>
      <c r="E27" s="19">
        <f>D27*1.5</f>
        <v>52.5</v>
      </c>
      <c r="F27" s="19">
        <f>D27*3*0.4</f>
        <v>42</v>
      </c>
      <c r="G27" s="19">
        <f>D27*3*0.6</f>
        <v>63</v>
      </c>
      <c r="H27" s="27"/>
      <c r="I27" s="27"/>
    </row>
    <row r="28" spans="2:9" x14ac:dyDescent="0.3">
      <c r="B28" s="23"/>
      <c r="C28" s="31" t="s">
        <v>29</v>
      </c>
      <c r="D28" s="32">
        <v>35</v>
      </c>
      <c r="E28" s="32">
        <v>68</v>
      </c>
      <c r="F28" s="32">
        <v>29</v>
      </c>
      <c r="G28" s="32">
        <v>55</v>
      </c>
      <c r="H28" s="27"/>
      <c r="I28" s="27"/>
    </row>
    <row r="29" spans="2:9" x14ac:dyDescent="0.3">
      <c r="B29" s="23"/>
      <c r="C29" s="31" t="s">
        <v>20</v>
      </c>
      <c r="D29" s="32">
        <v>35</v>
      </c>
      <c r="E29" s="32">
        <v>63</v>
      </c>
      <c r="F29" s="32">
        <v>25</v>
      </c>
      <c r="G29" s="32">
        <v>52</v>
      </c>
      <c r="H29" s="27"/>
      <c r="I29" s="27"/>
    </row>
    <row r="30" spans="2:9" x14ac:dyDescent="0.3">
      <c r="B30" s="23"/>
      <c r="C30" s="33" t="s">
        <v>21</v>
      </c>
      <c r="D30" s="32">
        <v>35</v>
      </c>
      <c r="E30" s="32">
        <v>60</v>
      </c>
      <c r="F30" s="32">
        <v>25</v>
      </c>
      <c r="G30" s="32">
        <v>46</v>
      </c>
      <c r="H30" s="27"/>
      <c r="I30" s="27"/>
    </row>
    <row r="31" spans="2:9" x14ac:dyDescent="0.3">
      <c r="B31" s="23"/>
      <c r="C31" s="23"/>
      <c r="D31" s="34"/>
      <c r="E31" s="34"/>
      <c r="F31" s="34"/>
      <c r="G31" s="34"/>
      <c r="H31" s="27"/>
      <c r="I31" s="27"/>
    </row>
    <row r="32" spans="2:9" x14ac:dyDescent="0.3">
      <c r="B32" s="23"/>
      <c r="C32" s="28" t="s">
        <v>12</v>
      </c>
      <c r="D32" s="29" t="s">
        <v>24</v>
      </c>
      <c r="E32" s="29" t="s">
        <v>30</v>
      </c>
      <c r="F32" s="29" t="s">
        <v>31</v>
      </c>
      <c r="G32" s="29" t="s">
        <v>32</v>
      </c>
      <c r="H32" s="35" t="s">
        <v>33</v>
      </c>
      <c r="I32" s="27"/>
    </row>
    <row r="33" spans="2:9" x14ac:dyDescent="0.3">
      <c r="B33" s="23"/>
      <c r="C33" s="28" t="s">
        <v>19</v>
      </c>
      <c r="D33" s="19">
        <f t="shared" ref="D33" si="5">(($C$3*D26)/(D26+E26+F26+G26))*1440/50</f>
        <v>6.3360000000000003</v>
      </c>
      <c r="E33" s="19">
        <f>(D33*E26/1000)*35.8/100</f>
        <v>0.15878015999999998</v>
      </c>
      <c r="F33" s="19">
        <f>(D33*F26/1000)*35.8/100</f>
        <v>0.12702412799999999</v>
      </c>
      <c r="G33" s="19">
        <f>(D33*G26/1000)*35.8/100</f>
        <v>0.19053619199999999</v>
      </c>
      <c r="H33" s="36">
        <f t="shared" ref="H33:H37" si="6">D33*0.2</f>
        <v>1.2672000000000001</v>
      </c>
      <c r="I33" s="27"/>
    </row>
    <row r="34" spans="2:9" x14ac:dyDescent="0.3">
      <c r="B34" s="23"/>
      <c r="C34" s="28" t="s">
        <v>28</v>
      </c>
      <c r="D34" s="19">
        <f>(($C$3*D27)/(D27+E27+F27+G27))*1440/50</f>
        <v>8.0639999999999983</v>
      </c>
      <c r="E34" s="19">
        <f>(D34*E27/1000)*35.8/100</f>
        <v>0.15156287999999996</v>
      </c>
      <c r="F34" s="19">
        <f>(D34*F27/1000)*35.8/100</f>
        <v>0.12125030399999996</v>
      </c>
      <c r="G34" s="19">
        <f>(D34*G27/1000)*35.8/100</f>
        <v>0.18187545599999994</v>
      </c>
      <c r="H34" s="36">
        <f t="shared" si="6"/>
        <v>1.6127999999999998</v>
      </c>
      <c r="I34" s="27"/>
    </row>
    <row r="35" spans="2:9" x14ac:dyDescent="0.3">
      <c r="B35" s="23"/>
      <c r="C35" s="28" t="s">
        <v>29</v>
      </c>
      <c r="D35" s="19">
        <f>(($C$3*D28)/(D28+E28+F28+G28))*1440/50</f>
        <v>8.3011764705882349</v>
      </c>
      <c r="E35" s="19">
        <f>(D35*E28/1000)*35.8/100</f>
        <v>0.20208383999999999</v>
      </c>
      <c r="F35" s="19">
        <f>(D35*F28/1000)*35.8/100</f>
        <v>8.6182814117647055E-2</v>
      </c>
      <c r="G35" s="19">
        <f>(D35*G28/1000)*35.8/100</f>
        <v>0.16345016470588233</v>
      </c>
      <c r="H35" s="36">
        <f t="shared" si="6"/>
        <v>1.660235294117647</v>
      </c>
      <c r="I35" s="27"/>
    </row>
    <row r="36" spans="2:9" x14ac:dyDescent="0.3">
      <c r="B36" s="23"/>
      <c r="C36" s="28" t="s">
        <v>20</v>
      </c>
      <c r="D36" s="19">
        <f>(($C$3*D29)/(D29+E29+F29+G29))*1440/50</f>
        <v>8.8704000000000001</v>
      </c>
      <c r="E36" s="19">
        <f>(D36*E29/1000)*35.8/100</f>
        <v>0.20006300159999998</v>
      </c>
      <c r="F36" s="19">
        <f>(D36*F29/1000)*35.8/100</f>
        <v>7.9390079999999988E-2</v>
      </c>
      <c r="G36" s="19">
        <f>(D36*G29/1000)*35.8/100</f>
        <v>0.16513136639999998</v>
      </c>
      <c r="H36" s="36">
        <f t="shared" si="6"/>
        <v>1.7740800000000001</v>
      </c>
      <c r="I36" s="27"/>
    </row>
    <row r="37" spans="2:9" x14ac:dyDescent="0.3">
      <c r="B37" s="23"/>
      <c r="C37" s="37" t="s">
        <v>21</v>
      </c>
      <c r="D37" s="19">
        <f>(($C$3*D30)/(D30+E30+F30+G30))*1440/50</f>
        <v>9.3513253012048185</v>
      </c>
      <c r="E37" s="19">
        <f>(D37*E30/1000)*35.8/100</f>
        <v>0.20086646746987952</v>
      </c>
      <c r="F37" s="19">
        <f>(D37*F30/1000)*35.8/100</f>
        <v>8.3694361445783128E-2</v>
      </c>
      <c r="G37" s="19">
        <f>(D37*G30/1000)*35.8/100</f>
        <v>0.15399762506024092</v>
      </c>
      <c r="H37" s="36">
        <f t="shared" si="6"/>
        <v>1.8702650602409638</v>
      </c>
      <c r="I37" s="27"/>
    </row>
    <row r="38" spans="2:9" x14ac:dyDescent="0.3">
      <c r="B38" s="23"/>
      <c r="C38" s="34"/>
      <c r="D38" s="34"/>
      <c r="E38" s="34"/>
      <c r="F38" s="34"/>
      <c r="G38" s="34"/>
      <c r="H38" s="34"/>
      <c r="I38" s="27"/>
    </row>
    <row r="39" spans="2:9" ht="15" thickBot="1" x14ac:dyDescent="0.35">
      <c r="B39" s="41"/>
      <c r="C39" s="42"/>
      <c r="D39" s="42"/>
      <c r="E39" s="42"/>
      <c r="F39" s="42"/>
      <c r="G39" s="42"/>
      <c r="H39" s="42"/>
      <c r="I39" s="43"/>
    </row>
    <row r="40" spans="2:9" x14ac:dyDescent="0.3">
      <c r="C40" s="44"/>
      <c r="D40" s="44"/>
      <c r="E40" s="44"/>
      <c r="F40" s="44"/>
      <c r="G40" s="44"/>
    </row>
    <row r="43" spans="2:9" s="44" customFormat="1" x14ac:dyDescent="0.3">
      <c r="C43" s="18"/>
      <c r="D43" s="18"/>
      <c r="E43" s="18"/>
      <c r="F43" s="18"/>
      <c r="G43" s="18"/>
      <c r="H43" s="18"/>
      <c r="I43" s="1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727"/>
  <sheetViews>
    <sheetView topLeftCell="C626" workbookViewId="0">
      <selection activeCell="I725" sqref="I725"/>
    </sheetView>
  </sheetViews>
  <sheetFormatPr defaultRowHeight="14.4" outlineLevelRow="1" x14ac:dyDescent="0.3"/>
  <cols>
    <col min="3" max="3" width="22.109375" customWidth="1"/>
    <col min="11" max="11" width="13.88671875" customWidth="1"/>
    <col min="14" max="14" width="12.5546875" customWidth="1"/>
  </cols>
  <sheetData>
    <row r="4" spans="1:22" x14ac:dyDescent="0.3">
      <c r="A4" s="967" t="s">
        <v>36</v>
      </c>
      <c r="B4" s="968"/>
      <c r="C4" s="968"/>
      <c r="D4" s="968"/>
      <c r="E4" s="968"/>
      <c r="F4" s="968"/>
      <c r="G4" s="968"/>
      <c r="H4" s="968"/>
      <c r="I4" s="968"/>
      <c r="J4" s="968"/>
      <c r="K4" s="968"/>
      <c r="L4" s="968"/>
      <c r="M4" s="968"/>
      <c r="N4" s="968"/>
      <c r="O4" s="968"/>
      <c r="P4" s="968"/>
      <c r="Q4" s="968"/>
      <c r="R4" s="968"/>
      <c r="S4" s="968"/>
      <c r="T4" s="968"/>
      <c r="U4" s="968"/>
      <c r="V4" s="968"/>
    </row>
    <row r="5" spans="1:22" x14ac:dyDescent="0.3">
      <c r="A5" s="968"/>
      <c r="B5" s="968"/>
      <c r="C5" s="968"/>
      <c r="D5" s="968"/>
      <c r="E5" s="968"/>
      <c r="F5" s="968"/>
      <c r="G5" s="968"/>
      <c r="H5" s="968"/>
      <c r="I5" s="968"/>
      <c r="J5" s="968"/>
      <c r="K5" s="968"/>
      <c r="L5" s="968"/>
      <c r="M5" s="968"/>
      <c r="N5" s="968"/>
      <c r="O5" s="968"/>
      <c r="P5" s="968"/>
      <c r="Q5" s="968"/>
      <c r="R5" s="968"/>
      <c r="S5" s="968"/>
      <c r="T5" s="968"/>
      <c r="U5" s="968"/>
      <c r="V5" s="968"/>
    </row>
    <row r="6" spans="1:22" hidden="1" outlineLevel="1" x14ac:dyDescent="0.3">
      <c r="A6" s="969" t="s">
        <v>37</v>
      </c>
      <c r="B6" s="969"/>
      <c r="C6" s="969"/>
      <c r="D6" s="969"/>
      <c r="E6" s="969"/>
      <c r="F6" s="969"/>
      <c r="G6" s="969"/>
      <c r="H6" s="969" t="s">
        <v>38</v>
      </c>
      <c r="I6" s="969"/>
      <c r="J6" s="969"/>
      <c r="K6" s="969" t="s">
        <v>39</v>
      </c>
      <c r="L6" s="969"/>
      <c r="M6" s="969"/>
      <c r="N6" s="969"/>
      <c r="O6" s="969"/>
      <c r="P6" s="970" t="s">
        <v>40</v>
      </c>
      <c r="Q6" s="970"/>
      <c r="R6" s="970"/>
      <c r="S6" s="970"/>
      <c r="T6" s="970"/>
      <c r="U6" s="970"/>
      <c r="V6" s="970"/>
    </row>
    <row r="7" spans="1:22" hidden="1" outlineLevel="1" x14ac:dyDescent="0.3">
      <c r="A7" s="971" t="s">
        <v>41</v>
      </c>
      <c r="B7" s="971" t="s">
        <v>42</v>
      </c>
      <c r="C7" s="971" t="s">
        <v>43</v>
      </c>
      <c r="D7" s="972" t="s">
        <v>44</v>
      </c>
      <c r="E7" s="973" t="s">
        <v>45</v>
      </c>
      <c r="F7" s="974" t="s">
        <v>46</v>
      </c>
      <c r="G7" s="974" t="s">
        <v>47</v>
      </c>
      <c r="H7" s="971" t="s">
        <v>48</v>
      </c>
      <c r="I7" s="971" t="s">
        <v>49</v>
      </c>
      <c r="J7" s="974" t="s">
        <v>50</v>
      </c>
      <c r="K7" s="971" t="s">
        <v>51</v>
      </c>
      <c r="L7" s="971" t="s">
        <v>52</v>
      </c>
      <c r="M7" s="973" t="s">
        <v>53</v>
      </c>
      <c r="N7" s="971" t="s">
        <v>54</v>
      </c>
      <c r="O7" s="975" t="s">
        <v>50</v>
      </c>
      <c r="P7" s="976" t="s">
        <v>55</v>
      </c>
      <c r="Q7" s="976" t="s">
        <v>56</v>
      </c>
      <c r="R7" s="976" t="s">
        <v>57</v>
      </c>
      <c r="S7" s="976" t="s">
        <v>58</v>
      </c>
      <c r="T7" s="976" t="s">
        <v>59</v>
      </c>
      <c r="U7" s="976" t="s">
        <v>60</v>
      </c>
      <c r="V7" s="976" t="s">
        <v>61</v>
      </c>
    </row>
    <row r="8" spans="1:22" hidden="1" outlineLevel="1" x14ac:dyDescent="0.3">
      <c r="A8" s="971"/>
      <c r="B8" s="971"/>
      <c r="C8" s="971"/>
      <c r="D8" s="972"/>
      <c r="E8" s="973"/>
      <c r="F8" s="974"/>
      <c r="G8" s="974"/>
      <c r="H8" s="971"/>
      <c r="I8" s="971"/>
      <c r="J8" s="974"/>
      <c r="K8" s="971"/>
      <c r="L8" s="971"/>
      <c r="M8" s="973"/>
      <c r="N8" s="971"/>
      <c r="O8" s="975"/>
      <c r="P8" s="976"/>
      <c r="Q8" s="976"/>
      <c r="R8" s="976"/>
      <c r="S8" s="976"/>
      <c r="T8" s="976"/>
      <c r="U8" s="976"/>
      <c r="V8" s="976"/>
    </row>
    <row r="9" spans="1:22" hidden="1" outlineLevel="1" x14ac:dyDescent="0.3">
      <c r="A9" s="936">
        <v>1</v>
      </c>
      <c r="B9" s="986" t="s">
        <v>62</v>
      </c>
      <c r="C9" s="987">
        <v>0</v>
      </c>
      <c r="D9" s="48">
        <v>1.35</v>
      </c>
      <c r="E9" s="49">
        <v>0.23</v>
      </c>
      <c r="F9" s="48">
        <v>2.2000000000000002</v>
      </c>
      <c r="G9" s="48">
        <f>F9*E9*D9*C9</f>
        <v>0</v>
      </c>
      <c r="H9" s="50">
        <v>20</v>
      </c>
      <c r="I9" s="50">
        <v>4</v>
      </c>
      <c r="J9" s="48">
        <f>(F9+(50*H9/1000))*I9*C9</f>
        <v>0</v>
      </c>
      <c r="K9" s="51" t="s">
        <v>63</v>
      </c>
      <c r="L9" s="50">
        <v>8</v>
      </c>
      <c r="M9" s="52">
        <v>0.1</v>
      </c>
      <c r="N9" s="50">
        <f>ROUND(((F9/2)/M9),0)+1</f>
        <v>12</v>
      </c>
      <c r="O9" s="53">
        <f>((((((((D9-0.08)+(E9-0.08))*2)+0.2)+((((E9-0.08)+0.2)*(((I9+I10+I11)/2)-2)))))))</f>
        <v>5.84</v>
      </c>
      <c r="P9" s="54">
        <f>O9*N9*C9</f>
        <v>0</v>
      </c>
      <c r="Q9" s="55">
        <f t="shared" ref="Q9:Q72" si="0">IF(H9=10,(J9),0)+IF(L9=10,(O9*N9),0)</f>
        <v>0</v>
      </c>
      <c r="R9" s="55">
        <f t="shared" ref="R9:R72" si="1">IF(H9=12,(J9),0)+IF(L9=12,(O9*N9),0)</f>
        <v>0</v>
      </c>
      <c r="S9" s="55">
        <f t="shared" ref="S9:S72" si="2">IF(H9=16,(J9),0)+IF(L9=16,(O9*N9),0)</f>
        <v>0</v>
      </c>
      <c r="T9" s="56">
        <f t="shared" ref="T9:T72" si="3">IF(H9=20,(J9),0)+IF(L9=20,(O9*N9),0)</f>
        <v>0</v>
      </c>
      <c r="U9" s="56">
        <f t="shared" ref="U9:U72" si="4">IF(H9=25,(J9),0)+IF(L9=25,(O9*N9),0)</f>
        <v>0</v>
      </c>
      <c r="V9" s="55">
        <f t="shared" ref="V9:V72" si="5">IF(H9=32,(J9),0)+IF(L9=32,(O9*N9),0)</f>
        <v>0</v>
      </c>
    </row>
    <row r="10" spans="1:22" hidden="1" outlineLevel="1" x14ac:dyDescent="0.3">
      <c r="A10" s="937"/>
      <c r="B10" s="918"/>
      <c r="C10" s="982"/>
      <c r="D10" s="57"/>
      <c r="E10" s="58"/>
      <c r="F10" s="57"/>
      <c r="G10" s="57"/>
      <c r="H10" s="59">
        <v>16</v>
      </c>
      <c r="I10" s="59">
        <v>16</v>
      </c>
      <c r="J10" s="57">
        <f>(F9+(50*H10/1000))*I10*C9</f>
        <v>0</v>
      </c>
      <c r="K10" s="60" t="s">
        <v>63</v>
      </c>
      <c r="L10" s="59">
        <v>8</v>
      </c>
      <c r="M10" s="61">
        <v>0.15</v>
      </c>
      <c r="N10" s="59">
        <f>ROUND((F9/2)/M10,0)+1</f>
        <v>8</v>
      </c>
      <c r="O10" s="53">
        <f>((((((((D9-0.08)+(E9-0.08))*2)+0.2)+((((E9-0.08)+0.2)*(((I10+I9+I11)/2)-2)))))))</f>
        <v>5.84</v>
      </c>
      <c r="P10" s="54">
        <f>O10*N10*C9</f>
        <v>0</v>
      </c>
      <c r="Q10" s="55">
        <f t="shared" si="0"/>
        <v>0</v>
      </c>
      <c r="R10" s="55">
        <f t="shared" si="1"/>
        <v>0</v>
      </c>
      <c r="S10" s="55">
        <f t="shared" si="2"/>
        <v>0</v>
      </c>
      <c r="T10" s="56">
        <f t="shared" si="3"/>
        <v>0</v>
      </c>
      <c r="U10" s="56">
        <f t="shared" si="4"/>
        <v>0</v>
      </c>
      <c r="V10" s="55">
        <f t="shared" si="5"/>
        <v>0</v>
      </c>
    </row>
    <row r="11" spans="1:22" hidden="1" outlineLevel="1" x14ac:dyDescent="0.3">
      <c r="A11" s="937"/>
      <c r="B11" s="918"/>
      <c r="C11" s="982"/>
      <c r="D11" s="57"/>
      <c r="E11" s="58"/>
      <c r="F11" s="57"/>
      <c r="G11" s="57"/>
      <c r="H11" s="59"/>
      <c r="I11" s="59"/>
      <c r="J11" s="57">
        <f>(F9+(50*H11/1000))*I11*C9</f>
        <v>0</v>
      </c>
      <c r="K11" s="60" t="s">
        <v>63</v>
      </c>
      <c r="L11" s="59"/>
      <c r="M11" s="61"/>
      <c r="N11" s="59"/>
      <c r="O11" s="62"/>
      <c r="P11" s="54">
        <f>O11</f>
        <v>0</v>
      </c>
      <c r="Q11" s="55">
        <f t="shared" si="0"/>
        <v>0</v>
      </c>
      <c r="R11" s="55">
        <f t="shared" si="1"/>
        <v>0</v>
      </c>
      <c r="S11" s="55">
        <f t="shared" si="2"/>
        <v>0</v>
      </c>
      <c r="T11" s="56">
        <f t="shared" si="3"/>
        <v>0</v>
      </c>
      <c r="U11" s="56">
        <f t="shared" si="4"/>
        <v>0</v>
      </c>
      <c r="V11" s="55">
        <f t="shared" si="5"/>
        <v>0</v>
      </c>
    </row>
    <row r="12" spans="1:22" hidden="1" outlineLevel="1" x14ac:dyDescent="0.3">
      <c r="A12" s="937"/>
      <c r="B12" s="918"/>
      <c r="C12" s="982"/>
      <c r="D12" s="57"/>
      <c r="E12" s="58"/>
      <c r="F12" s="57"/>
      <c r="G12" s="57"/>
      <c r="H12" s="59"/>
      <c r="I12" s="59"/>
      <c r="J12" s="57"/>
      <c r="K12" s="60" t="s">
        <v>63</v>
      </c>
      <c r="L12" s="59"/>
      <c r="M12" s="61"/>
      <c r="N12" s="59"/>
      <c r="O12" s="62"/>
      <c r="P12" s="54">
        <f>O12</f>
        <v>0</v>
      </c>
      <c r="Q12" s="55">
        <f t="shared" si="0"/>
        <v>0</v>
      </c>
      <c r="R12" s="55">
        <f t="shared" si="1"/>
        <v>0</v>
      </c>
      <c r="S12" s="55">
        <f t="shared" si="2"/>
        <v>0</v>
      </c>
      <c r="T12" s="56">
        <f t="shared" si="3"/>
        <v>0</v>
      </c>
      <c r="U12" s="56">
        <f t="shared" si="4"/>
        <v>0</v>
      </c>
      <c r="V12" s="55">
        <f t="shared" si="5"/>
        <v>0</v>
      </c>
    </row>
    <row r="13" spans="1:22" hidden="1" outlineLevel="1" x14ac:dyDescent="0.3">
      <c r="A13" s="938"/>
      <c r="B13" s="919"/>
      <c r="C13" s="983"/>
      <c r="D13" s="63"/>
      <c r="E13" s="64"/>
      <c r="F13" s="63"/>
      <c r="G13" s="63"/>
      <c r="H13" s="65"/>
      <c r="I13" s="65"/>
      <c r="J13" s="63"/>
      <c r="K13" s="66" t="s">
        <v>64</v>
      </c>
      <c r="L13" s="65"/>
      <c r="M13" s="67"/>
      <c r="N13" s="65"/>
      <c r="O13" s="53">
        <f>((((((((D13-0.08)+(E13-0.08))*2)+0.2)+((((E13-0.08)+0.2)*(((I13+I14)/2)-2))))*N13*C13)))</f>
        <v>0</v>
      </c>
      <c r="P13" s="54">
        <f>O13</f>
        <v>0</v>
      </c>
      <c r="Q13" s="55">
        <f t="shared" si="0"/>
        <v>0</v>
      </c>
      <c r="R13" s="55">
        <f t="shared" si="1"/>
        <v>0</v>
      </c>
      <c r="S13" s="55">
        <f t="shared" si="2"/>
        <v>0</v>
      </c>
      <c r="T13" s="56">
        <f t="shared" si="3"/>
        <v>0</v>
      </c>
      <c r="U13" s="56">
        <f t="shared" si="4"/>
        <v>0</v>
      </c>
      <c r="V13" s="55">
        <f t="shared" si="5"/>
        <v>0</v>
      </c>
    </row>
    <row r="14" spans="1:22" hidden="1" outlineLevel="1" x14ac:dyDescent="0.3">
      <c r="A14" s="936">
        <v>2</v>
      </c>
      <c r="B14" s="914" t="s">
        <v>65</v>
      </c>
      <c r="C14" s="936">
        <v>0</v>
      </c>
      <c r="D14" s="48">
        <v>1.4</v>
      </c>
      <c r="E14" s="49">
        <v>0.23</v>
      </c>
      <c r="F14" s="48">
        <v>2.2000000000000002</v>
      </c>
      <c r="G14" s="48">
        <f>F14*E14*D14*C14</f>
        <v>0</v>
      </c>
      <c r="H14" s="50">
        <v>20</v>
      </c>
      <c r="I14" s="50">
        <v>8</v>
      </c>
      <c r="J14" s="48">
        <f>(F14+(50*H14/1000))*I14*C14</f>
        <v>0</v>
      </c>
      <c r="K14" s="51" t="s">
        <v>66</v>
      </c>
      <c r="L14" s="50">
        <v>8</v>
      </c>
      <c r="M14" s="52">
        <v>0.1</v>
      </c>
      <c r="N14" s="50">
        <f>ROUND(((F14/2)/M14),0)+1</f>
        <v>12</v>
      </c>
      <c r="O14" s="53">
        <f>((((((((D14-0.08)+(E14-0.08))*2)+0.2)+((((E14-0.08)+0.2)*(((I14+I15+I16)/2)-2)))))))</f>
        <v>5.9399999999999995</v>
      </c>
      <c r="P14" s="54">
        <f>O14*N14*C14</f>
        <v>0</v>
      </c>
      <c r="Q14" s="55">
        <f t="shared" si="0"/>
        <v>0</v>
      </c>
      <c r="R14" s="55">
        <f t="shared" si="1"/>
        <v>0</v>
      </c>
      <c r="S14" s="55">
        <f t="shared" si="2"/>
        <v>0</v>
      </c>
      <c r="T14" s="56">
        <f t="shared" si="3"/>
        <v>0</v>
      </c>
      <c r="U14" s="56">
        <f t="shared" si="4"/>
        <v>0</v>
      </c>
      <c r="V14" s="55">
        <f t="shared" si="5"/>
        <v>0</v>
      </c>
    </row>
    <row r="15" spans="1:22" hidden="1" outlineLevel="1" x14ac:dyDescent="0.3">
      <c r="A15" s="937"/>
      <c r="B15" s="915"/>
      <c r="C15" s="937"/>
      <c r="D15" s="57"/>
      <c r="E15" s="58"/>
      <c r="F15" s="57"/>
      <c r="G15" s="57"/>
      <c r="H15" s="59">
        <v>16</v>
      </c>
      <c r="I15" s="59">
        <v>12</v>
      </c>
      <c r="J15" s="57">
        <f>(F14+(50*H15/1000))*I15*C14</f>
        <v>0</v>
      </c>
      <c r="K15" s="60" t="s">
        <v>67</v>
      </c>
      <c r="L15" s="59">
        <v>8</v>
      </c>
      <c r="M15" s="61">
        <v>0.15</v>
      </c>
      <c r="N15" s="59">
        <f>ROUND((F14/2)/M15,0)+1</f>
        <v>8</v>
      </c>
      <c r="O15" s="53">
        <f>((((((((D14-0.08)+(E14-0.08))*2)+0.2)+((((E14-0.08)+0.2)*(((I15+I14+I16)/2)-2)))))))</f>
        <v>5.9399999999999995</v>
      </c>
      <c r="P15" s="54">
        <f>O15*N15*C14</f>
        <v>0</v>
      </c>
      <c r="Q15" s="55">
        <f t="shared" si="0"/>
        <v>0</v>
      </c>
      <c r="R15" s="55">
        <f t="shared" si="1"/>
        <v>0</v>
      </c>
      <c r="S15" s="55">
        <f t="shared" si="2"/>
        <v>0</v>
      </c>
      <c r="T15" s="56">
        <f t="shared" si="3"/>
        <v>0</v>
      </c>
      <c r="U15" s="56">
        <f t="shared" si="4"/>
        <v>0</v>
      </c>
      <c r="V15" s="55">
        <f t="shared" si="5"/>
        <v>0</v>
      </c>
    </row>
    <row r="16" spans="1:22" hidden="1" outlineLevel="1" x14ac:dyDescent="0.3">
      <c r="A16" s="937"/>
      <c r="B16" s="915"/>
      <c r="C16" s="937"/>
      <c r="D16" s="57"/>
      <c r="E16" s="58"/>
      <c r="F16" s="57"/>
      <c r="G16" s="57"/>
      <c r="H16" s="59"/>
      <c r="I16" s="59"/>
      <c r="J16" s="57">
        <f>(F14+(50*H16/1000))*I16*C14</f>
        <v>0</v>
      </c>
      <c r="K16" s="60" t="s">
        <v>63</v>
      </c>
      <c r="L16" s="59"/>
      <c r="M16" s="61"/>
      <c r="N16" s="59"/>
      <c r="O16" s="62"/>
      <c r="P16" s="54"/>
      <c r="Q16" s="55">
        <f t="shared" si="0"/>
        <v>0</v>
      </c>
      <c r="R16" s="55">
        <f t="shared" si="1"/>
        <v>0</v>
      </c>
      <c r="S16" s="55">
        <f t="shared" si="2"/>
        <v>0</v>
      </c>
      <c r="T16" s="56">
        <f t="shared" si="3"/>
        <v>0</v>
      </c>
      <c r="U16" s="56">
        <f t="shared" si="4"/>
        <v>0</v>
      </c>
      <c r="V16" s="55">
        <f t="shared" si="5"/>
        <v>0</v>
      </c>
    </row>
    <row r="17" spans="1:22" hidden="1" outlineLevel="1" x14ac:dyDescent="0.3">
      <c r="A17" s="937"/>
      <c r="B17" s="915"/>
      <c r="C17" s="937"/>
      <c r="D17" s="57"/>
      <c r="E17" s="58"/>
      <c r="F17" s="57"/>
      <c r="G17" s="57"/>
      <c r="H17" s="59"/>
      <c r="I17" s="59"/>
      <c r="J17" s="57"/>
      <c r="K17" s="60" t="s">
        <v>63</v>
      </c>
      <c r="L17" s="59"/>
      <c r="M17" s="61"/>
      <c r="N17" s="59"/>
      <c r="O17" s="62"/>
      <c r="P17" s="54"/>
      <c r="Q17" s="55">
        <f t="shared" si="0"/>
        <v>0</v>
      </c>
      <c r="R17" s="55">
        <f t="shared" si="1"/>
        <v>0</v>
      </c>
      <c r="S17" s="55">
        <f t="shared" si="2"/>
        <v>0</v>
      </c>
      <c r="T17" s="56">
        <f t="shared" si="3"/>
        <v>0</v>
      </c>
      <c r="U17" s="56">
        <f t="shared" si="4"/>
        <v>0</v>
      </c>
      <c r="V17" s="55">
        <f t="shared" si="5"/>
        <v>0</v>
      </c>
    </row>
    <row r="18" spans="1:22" hidden="1" outlineLevel="1" x14ac:dyDescent="0.3">
      <c r="A18" s="937"/>
      <c r="B18" s="915"/>
      <c r="C18" s="937"/>
      <c r="D18" s="57"/>
      <c r="E18" s="58"/>
      <c r="F18" s="57"/>
      <c r="G18" s="57"/>
      <c r="H18" s="59"/>
      <c r="I18" s="59"/>
      <c r="J18" s="57"/>
      <c r="K18" s="60" t="s">
        <v>64</v>
      </c>
      <c r="L18" s="59"/>
      <c r="M18" s="61"/>
      <c r="N18" s="59"/>
      <c r="O18" s="62"/>
      <c r="P18" s="54"/>
      <c r="Q18" s="55">
        <f t="shared" si="0"/>
        <v>0</v>
      </c>
      <c r="R18" s="55">
        <f t="shared" si="1"/>
        <v>0</v>
      </c>
      <c r="S18" s="55">
        <f t="shared" si="2"/>
        <v>0</v>
      </c>
      <c r="T18" s="56">
        <f t="shared" si="3"/>
        <v>0</v>
      </c>
      <c r="U18" s="56">
        <f t="shared" si="4"/>
        <v>0</v>
      </c>
      <c r="V18" s="55">
        <f t="shared" si="5"/>
        <v>0</v>
      </c>
    </row>
    <row r="19" spans="1:22" hidden="1" outlineLevel="1" x14ac:dyDescent="0.3">
      <c r="A19" s="936">
        <v>3</v>
      </c>
      <c r="B19" s="914" t="s">
        <v>68</v>
      </c>
      <c r="C19" s="936">
        <v>4</v>
      </c>
      <c r="D19" s="48">
        <v>1.7</v>
      </c>
      <c r="E19" s="49">
        <v>0.23</v>
      </c>
      <c r="F19" s="48">
        <v>2.2000000000000002</v>
      </c>
      <c r="G19" s="48">
        <f>F19*E19*D19*C19</f>
        <v>3.4408000000000007</v>
      </c>
      <c r="H19" s="50">
        <v>16</v>
      </c>
      <c r="I19" s="50">
        <v>26</v>
      </c>
      <c r="J19" s="48">
        <f>(F19+(50*H19/1000))*I19*C19</f>
        <v>312</v>
      </c>
      <c r="K19" s="51" t="s">
        <v>63</v>
      </c>
      <c r="L19" s="50">
        <v>8</v>
      </c>
      <c r="M19" s="52">
        <v>0.1</v>
      </c>
      <c r="N19" s="50">
        <f>ROUND(((F19/2)/M19),0)+1</f>
        <v>12</v>
      </c>
      <c r="O19" s="53">
        <f>((((((((D19-0.08)+(E19-0.08))*2)+0.2)+((((E19-0.08)+0.2)*(((I19+I20+I21)/2)-2)))))))</f>
        <v>7.5900000000000007</v>
      </c>
      <c r="P19" s="54">
        <f>O19*N19*C19</f>
        <v>364.32000000000005</v>
      </c>
      <c r="Q19" s="55">
        <f t="shared" si="0"/>
        <v>0</v>
      </c>
      <c r="R19" s="55">
        <f t="shared" si="1"/>
        <v>0</v>
      </c>
      <c r="S19" s="55">
        <f t="shared" si="2"/>
        <v>312</v>
      </c>
      <c r="T19" s="56">
        <f t="shared" si="3"/>
        <v>0</v>
      </c>
      <c r="U19" s="56">
        <f t="shared" si="4"/>
        <v>0</v>
      </c>
      <c r="V19" s="55">
        <f t="shared" si="5"/>
        <v>0</v>
      </c>
    </row>
    <row r="20" spans="1:22" hidden="1" outlineLevel="1" x14ac:dyDescent="0.3">
      <c r="A20" s="937"/>
      <c r="B20" s="915"/>
      <c r="C20" s="937"/>
      <c r="D20" s="57"/>
      <c r="E20" s="58"/>
      <c r="F20" s="57"/>
      <c r="G20" s="57"/>
      <c r="H20" s="59"/>
      <c r="I20" s="59"/>
      <c r="J20" s="57">
        <f>(F19+(50*H20/1000))*I20*C19</f>
        <v>0</v>
      </c>
      <c r="K20" s="60" t="s">
        <v>63</v>
      </c>
      <c r="L20" s="59">
        <v>8</v>
      </c>
      <c r="M20" s="61">
        <v>0.15</v>
      </c>
      <c r="N20" s="59">
        <f>ROUND((F19/2)/M20,0)+1</f>
        <v>8</v>
      </c>
      <c r="O20" s="53">
        <f>((((((((D19-0.08)+(E19-0.08))*2)+0.2)+((((E19-0.08)+0.2)*(((I20+I19+I21)/2)-2)))))))</f>
        <v>7.5900000000000007</v>
      </c>
      <c r="P20" s="54">
        <f>O20*N20*C19</f>
        <v>242.88000000000002</v>
      </c>
      <c r="Q20" s="55">
        <f t="shared" si="0"/>
        <v>0</v>
      </c>
      <c r="R20" s="55">
        <f t="shared" si="1"/>
        <v>0</v>
      </c>
      <c r="S20" s="55">
        <f t="shared" si="2"/>
        <v>0</v>
      </c>
      <c r="T20" s="56">
        <f t="shared" si="3"/>
        <v>0</v>
      </c>
      <c r="U20" s="56">
        <f t="shared" si="4"/>
        <v>0</v>
      </c>
      <c r="V20" s="55">
        <f t="shared" si="5"/>
        <v>0</v>
      </c>
    </row>
    <row r="21" spans="1:22" hidden="1" outlineLevel="1" x14ac:dyDescent="0.3">
      <c r="A21" s="937"/>
      <c r="B21" s="915"/>
      <c r="C21" s="937"/>
      <c r="D21" s="57"/>
      <c r="E21" s="58"/>
      <c r="F21" s="57"/>
      <c r="G21" s="57"/>
      <c r="H21" s="59"/>
      <c r="I21" s="59"/>
      <c r="J21" s="57">
        <f>(F19+(50*H21/1000))*I21*C19</f>
        <v>0</v>
      </c>
      <c r="K21" s="60" t="s">
        <v>63</v>
      </c>
      <c r="L21" s="59"/>
      <c r="M21" s="61"/>
      <c r="N21" s="59"/>
      <c r="O21" s="62"/>
      <c r="P21" s="54">
        <f>O21</f>
        <v>0</v>
      </c>
      <c r="Q21" s="55">
        <f t="shared" si="0"/>
        <v>0</v>
      </c>
      <c r="R21" s="55">
        <f t="shared" si="1"/>
        <v>0</v>
      </c>
      <c r="S21" s="55">
        <f t="shared" si="2"/>
        <v>0</v>
      </c>
      <c r="T21" s="56">
        <f t="shared" si="3"/>
        <v>0</v>
      </c>
      <c r="U21" s="56">
        <f t="shared" si="4"/>
        <v>0</v>
      </c>
      <c r="V21" s="55">
        <f t="shared" si="5"/>
        <v>0</v>
      </c>
    </row>
    <row r="22" spans="1:22" hidden="1" outlineLevel="1" x14ac:dyDescent="0.3">
      <c r="A22" s="937"/>
      <c r="B22" s="915"/>
      <c r="C22" s="937"/>
      <c r="D22" s="57"/>
      <c r="E22" s="58"/>
      <c r="F22" s="57"/>
      <c r="G22" s="57"/>
      <c r="H22" s="59"/>
      <c r="I22" s="59"/>
      <c r="J22" s="57"/>
      <c r="K22" s="60" t="s">
        <v>63</v>
      </c>
      <c r="L22" s="59"/>
      <c r="M22" s="61"/>
      <c r="N22" s="59"/>
      <c r="O22" s="62"/>
      <c r="P22" s="54">
        <f>O22</f>
        <v>0</v>
      </c>
      <c r="Q22" s="55">
        <f t="shared" si="0"/>
        <v>0</v>
      </c>
      <c r="R22" s="55">
        <f t="shared" si="1"/>
        <v>0</v>
      </c>
      <c r="S22" s="55">
        <f t="shared" si="2"/>
        <v>0</v>
      </c>
      <c r="T22" s="56">
        <f t="shared" si="3"/>
        <v>0</v>
      </c>
      <c r="U22" s="56">
        <f t="shared" si="4"/>
        <v>0</v>
      </c>
      <c r="V22" s="55">
        <f t="shared" si="5"/>
        <v>0</v>
      </c>
    </row>
    <row r="23" spans="1:22" hidden="1" outlineLevel="1" x14ac:dyDescent="0.3">
      <c r="A23" s="937"/>
      <c r="B23" s="915"/>
      <c r="C23" s="937"/>
      <c r="D23" s="57"/>
      <c r="E23" s="58"/>
      <c r="F23" s="57"/>
      <c r="G23" s="57"/>
      <c r="H23" s="59"/>
      <c r="I23" s="59"/>
      <c r="J23" s="57"/>
      <c r="K23" s="60" t="s">
        <v>64</v>
      </c>
      <c r="L23" s="59"/>
      <c r="M23" s="61"/>
      <c r="N23" s="59"/>
      <c r="O23" s="62"/>
      <c r="P23" s="54">
        <f>O23</f>
        <v>0</v>
      </c>
      <c r="Q23" s="55">
        <f t="shared" si="0"/>
        <v>0</v>
      </c>
      <c r="R23" s="55">
        <f t="shared" si="1"/>
        <v>0</v>
      </c>
      <c r="S23" s="55">
        <f t="shared" si="2"/>
        <v>0</v>
      </c>
      <c r="T23" s="56">
        <f t="shared" si="3"/>
        <v>0</v>
      </c>
      <c r="U23" s="56">
        <f t="shared" si="4"/>
        <v>0</v>
      </c>
      <c r="V23" s="55">
        <f t="shared" si="5"/>
        <v>0</v>
      </c>
    </row>
    <row r="24" spans="1:22" hidden="1" outlineLevel="1" x14ac:dyDescent="0.3">
      <c r="A24" s="936">
        <v>4</v>
      </c>
      <c r="B24" s="914" t="s">
        <v>69</v>
      </c>
      <c r="C24" s="936">
        <f>2+2</f>
        <v>4</v>
      </c>
      <c r="D24" s="48">
        <v>1.05</v>
      </c>
      <c r="E24" s="49">
        <v>0.23</v>
      </c>
      <c r="F24" s="48">
        <v>2.2000000000000002</v>
      </c>
      <c r="G24" s="48">
        <f>F24*E24*D24*C24</f>
        <v>2.1252000000000004</v>
      </c>
      <c r="H24" s="50">
        <v>20</v>
      </c>
      <c r="I24" s="50">
        <v>4</v>
      </c>
      <c r="J24" s="48">
        <f>(F24+(50*H24/1000))*I24*C24</f>
        <v>51.2</v>
      </c>
      <c r="K24" s="60" t="s">
        <v>63</v>
      </c>
      <c r="L24" s="50">
        <v>8</v>
      </c>
      <c r="M24" s="52">
        <v>0.1</v>
      </c>
      <c r="N24" s="50">
        <f>ROUND(((F24/2)/M24),0)+1</f>
        <v>12</v>
      </c>
      <c r="O24" s="53">
        <f>((((((((D24-0.08)+(E24-0.08))*2)+0.2)+((((E24-0.08)+0.2)*(((I24+I25+I26)/2)-2)))))))</f>
        <v>4.5400000000000009</v>
      </c>
      <c r="P24" s="54">
        <f>O24*N24*C24</f>
        <v>217.92000000000004</v>
      </c>
      <c r="Q24" s="55">
        <f t="shared" si="0"/>
        <v>0</v>
      </c>
      <c r="R24" s="55">
        <f t="shared" si="1"/>
        <v>0</v>
      </c>
      <c r="S24" s="55">
        <f t="shared" si="2"/>
        <v>0</v>
      </c>
      <c r="T24" s="56">
        <f t="shared" si="3"/>
        <v>51.2</v>
      </c>
      <c r="U24" s="56">
        <f t="shared" si="4"/>
        <v>0</v>
      </c>
      <c r="V24" s="55">
        <f t="shared" si="5"/>
        <v>0</v>
      </c>
    </row>
    <row r="25" spans="1:22" hidden="1" outlineLevel="1" x14ac:dyDescent="0.3">
      <c r="A25" s="937"/>
      <c r="B25" s="915"/>
      <c r="C25" s="937"/>
      <c r="D25" s="57"/>
      <c r="E25" s="58"/>
      <c r="F25" s="57"/>
      <c r="G25" s="57"/>
      <c r="H25" s="59">
        <v>16</v>
      </c>
      <c r="I25" s="59">
        <v>12</v>
      </c>
      <c r="J25" s="57">
        <f>(F24+(50*H25/1000))*I25*C24</f>
        <v>144</v>
      </c>
      <c r="K25" s="60" t="s">
        <v>63</v>
      </c>
      <c r="L25" s="59">
        <v>8</v>
      </c>
      <c r="M25" s="61">
        <v>0.15</v>
      </c>
      <c r="N25" s="59">
        <f>ROUND((F24/2)/M25,0)+1</f>
        <v>8</v>
      </c>
      <c r="O25" s="53">
        <f>((((((((D24-0.08)+(E24-0.08))*2)+0.2)+((((E24-0.08)+0.2)*(((I25+I24+I26)/2)-2)))))))</f>
        <v>4.5400000000000009</v>
      </c>
      <c r="P25" s="54">
        <f>O25*N25*C24</f>
        <v>145.28000000000003</v>
      </c>
      <c r="Q25" s="55">
        <f t="shared" si="0"/>
        <v>0</v>
      </c>
      <c r="R25" s="55">
        <f t="shared" si="1"/>
        <v>0</v>
      </c>
      <c r="S25" s="55">
        <f t="shared" si="2"/>
        <v>144</v>
      </c>
      <c r="T25" s="56">
        <f t="shared" si="3"/>
        <v>0</v>
      </c>
      <c r="U25" s="56">
        <f t="shared" si="4"/>
        <v>0</v>
      </c>
      <c r="V25" s="55">
        <f t="shared" si="5"/>
        <v>0</v>
      </c>
    </row>
    <row r="26" spans="1:22" hidden="1" outlineLevel="1" x14ac:dyDescent="0.3">
      <c r="A26" s="937"/>
      <c r="B26" s="915"/>
      <c r="C26" s="937"/>
      <c r="D26" s="57"/>
      <c r="E26" s="58"/>
      <c r="F26" s="57"/>
      <c r="G26" s="57"/>
      <c r="H26" s="59"/>
      <c r="I26" s="59"/>
      <c r="J26" s="57">
        <f>(F24+(50*H26/1000))*I26*C24</f>
        <v>0</v>
      </c>
      <c r="K26" s="60" t="s">
        <v>63</v>
      </c>
      <c r="L26" s="59"/>
      <c r="M26" s="61"/>
      <c r="N26" s="59"/>
      <c r="O26" s="62"/>
      <c r="P26" s="54">
        <f>O26</f>
        <v>0</v>
      </c>
      <c r="Q26" s="55">
        <f t="shared" si="0"/>
        <v>0</v>
      </c>
      <c r="R26" s="55">
        <f t="shared" si="1"/>
        <v>0</v>
      </c>
      <c r="S26" s="55">
        <f t="shared" si="2"/>
        <v>0</v>
      </c>
      <c r="T26" s="56">
        <f t="shared" si="3"/>
        <v>0</v>
      </c>
      <c r="U26" s="56">
        <f t="shared" si="4"/>
        <v>0</v>
      </c>
      <c r="V26" s="55">
        <f t="shared" si="5"/>
        <v>0</v>
      </c>
    </row>
    <row r="27" spans="1:22" hidden="1" outlineLevel="1" x14ac:dyDescent="0.3">
      <c r="A27" s="937"/>
      <c r="B27" s="915"/>
      <c r="C27" s="937"/>
      <c r="D27" s="57"/>
      <c r="E27" s="58"/>
      <c r="F27" s="57"/>
      <c r="G27" s="57"/>
      <c r="H27" s="59"/>
      <c r="I27" s="59"/>
      <c r="J27" s="57"/>
      <c r="K27" s="60" t="s">
        <v>63</v>
      </c>
      <c r="L27" s="59"/>
      <c r="M27" s="61"/>
      <c r="N27" s="59"/>
      <c r="O27" s="62"/>
      <c r="P27" s="54">
        <f>O27</f>
        <v>0</v>
      </c>
      <c r="Q27" s="55">
        <f t="shared" si="0"/>
        <v>0</v>
      </c>
      <c r="R27" s="55">
        <f t="shared" si="1"/>
        <v>0</v>
      </c>
      <c r="S27" s="55">
        <f t="shared" si="2"/>
        <v>0</v>
      </c>
      <c r="T27" s="56">
        <f t="shared" si="3"/>
        <v>0</v>
      </c>
      <c r="U27" s="56">
        <f t="shared" si="4"/>
        <v>0</v>
      </c>
      <c r="V27" s="55">
        <f t="shared" si="5"/>
        <v>0</v>
      </c>
    </row>
    <row r="28" spans="1:22" hidden="1" outlineLevel="1" x14ac:dyDescent="0.3">
      <c r="A28" s="937"/>
      <c r="B28" s="915"/>
      <c r="C28" s="937"/>
      <c r="D28" s="57"/>
      <c r="E28" s="58"/>
      <c r="F28" s="63"/>
      <c r="G28" s="57"/>
      <c r="H28" s="59"/>
      <c r="I28" s="59"/>
      <c r="J28" s="57"/>
      <c r="K28" s="60" t="s">
        <v>64</v>
      </c>
      <c r="L28" s="59"/>
      <c r="M28" s="61"/>
      <c r="N28" s="59"/>
      <c r="O28" s="62"/>
      <c r="P28" s="54">
        <f>O28</f>
        <v>0</v>
      </c>
      <c r="Q28" s="55">
        <f t="shared" si="0"/>
        <v>0</v>
      </c>
      <c r="R28" s="55">
        <f t="shared" si="1"/>
        <v>0</v>
      </c>
      <c r="S28" s="55">
        <f t="shared" si="2"/>
        <v>0</v>
      </c>
      <c r="T28" s="56">
        <f t="shared" si="3"/>
        <v>0</v>
      </c>
      <c r="U28" s="56">
        <f t="shared" si="4"/>
        <v>0</v>
      </c>
      <c r="V28" s="55">
        <f t="shared" si="5"/>
        <v>0</v>
      </c>
    </row>
    <row r="29" spans="1:22" hidden="1" outlineLevel="1" x14ac:dyDescent="0.3">
      <c r="A29" s="936">
        <v>5</v>
      </c>
      <c r="B29" s="914" t="s">
        <v>70</v>
      </c>
      <c r="C29" s="936">
        <v>1</v>
      </c>
      <c r="D29" s="48">
        <v>2.1</v>
      </c>
      <c r="E29" s="49">
        <v>0.23</v>
      </c>
      <c r="F29" s="48">
        <v>2.2000000000000002</v>
      </c>
      <c r="G29" s="48">
        <f>F29*E29*D29*C29</f>
        <v>1.0626000000000002</v>
      </c>
      <c r="H29" s="50">
        <v>20</v>
      </c>
      <c r="I29" s="50">
        <v>8</v>
      </c>
      <c r="J29" s="48">
        <f>(F29+(50*H29/1000))*I29*C29</f>
        <v>25.6</v>
      </c>
      <c r="K29" s="68" t="s">
        <v>63</v>
      </c>
      <c r="L29" s="50">
        <v>8</v>
      </c>
      <c r="M29" s="52">
        <v>0.1</v>
      </c>
      <c r="N29" s="50">
        <f>ROUND(((F29/2)/M29),0)+1</f>
        <v>12</v>
      </c>
      <c r="O29" s="53">
        <f>((((((((D29-0.08)+(E29-0.08))*2)+0.2)+((((E29-0.08)+0.2)*(((I29+I30+I31)/2)-2)))))))</f>
        <v>9.4400000000000013</v>
      </c>
      <c r="P29" s="54">
        <f>O29*N29*C29</f>
        <v>113.28000000000002</v>
      </c>
      <c r="Q29" s="55">
        <f t="shared" si="0"/>
        <v>0</v>
      </c>
      <c r="R29" s="55">
        <f t="shared" si="1"/>
        <v>0</v>
      </c>
      <c r="S29" s="55">
        <f t="shared" si="2"/>
        <v>0</v>
      </c>
      <c r="T29" s="56">
        <f t="shared" si="3"/>
        <v>25.6</v>
      </c>
      <c r="U29" s="56">
        <f t="shared" si="4"/>
        <v>0</v>
      </c>
      <c r="V29" s="55">
        <f t="shared" si="5"/>
        <v>0</v>
      </c>
    </row>
    <row r="30" spans="1:22" hidden="1" outlineLevel="1" x14ac:dyDescent="0.3">
      <c r="A30" s="937"/>
      <c r="B30" s="915"/>
      <c r="C30" s="937"/>
      <c r="D30" s="57"/>
      <c r="E30" s="58"/>
      <c r="F30" s="57"/>
      <c r="G30" s="57"/>
      <c r="H30" s="59">
        <v>16</v>
      </c>
      <c r="I30" s="59">
        <v>24</v>
      </c>
      <c r="J30" s="57">
        <f>(F29+(50*H30/1000))*I30*C29</f>
        <v>72</v>
      </c>
      <c r="K30" s="60" t="s">
        <v>63</v>
      </c>
      <c r="L30" s="59">
        <v>8</v>
      </c>
      <c r="M30" s="61">
        <v>0.15</v>
      </c>
      <c r="N30" s="59">
        <f>ROUND((F29/2)/M30,0)+1</f>
        <v>8</v>
      </c>
      <c r="O30" s="53">
        <f>((((((((D29-0.08)+(E29-0.08))*2)+0.2)+((((E29-0.08)+0.2)*(((I30+I29+I31)/2)-2)))))))</f>
        <v>9.4400000000000013</v>
      </c>
      <c r="P30" s="54">
        <f>O30*N30*C29</f>
        <v>75.52000000000001</v>
      </c>
      <c r="Q30" s="55">
        <f t="shared" si="0"/>
        <v>0</v>
      </c>
      <c r="R30" s="55">
        <f t="shared" si="1"/>
        <v>0</v>
      </c>
      <c r="S30" s="55">
        <f t="shared" si="2"/>
        <v>72</v>
      </c>
      <c r="T30" s="56">
        <f t="shared" si="3"/>
        <v>0</v>
      </c>
      <c r="U30" s="56">
        <f t="shared" si="4"/>
        <v>0</v>
      </c>
      <c r="V30" s="55">
        <f t="shared" si="5"/>
        <v>0</v>
      </c>
    </row>
    <row r="31" spans="1:22" hidden="1" outlineLevel="1" x14ac:dyDescent="0.3">
      <c r="A31" s="937"/>
      <c r="B31" s="915"/>
      <c r="C31" s="937"/>
      <c r="D31" s="57"/>
      <c r="E31" s="58"/>
      <c r="F31" s="57"/>
      <c r="G31" s="57"/>
      <c r="H31" s="59"/>
      <c r="I31" s="59"/>
      <c r="J31" s="57">
        <f>(F29+(50*H31/1000))*I31*C29</f>
        <v>0</v>
      </c>
      <c r="K31" s="60" t="s">
        <v>63</v>
      </c>
      <c r="L31" s="59"/>
      <c r="M31" s="61"/>
      <c r="N31" s="59"/>
      <c r="O31" s="62"/>
      <c r="P31" s="54">
        <f>O31</f>
        <v>0</v>
      </c>
      <c r="Q31" s="55">
        <f t="shared" si="0"/>
        <v>0</v>
      </c>
      <c r="R31" s="55">
        <f t="shared" si="1"/>
        <v>0</v>
      </c>
      <c r="S31" s="55">
        <f t="shared" si="2"/>
        <v>0</v>
      </c>
      <c r="T31" s="56">
        <f t="shared" si="3"/>
        <v>0</v>
      </c>
      <c r="U31" s="56">
        <f t="shared" si="4"/>
        <v>0</v>
      </c>
      <c r="V31" s="55">
        <f t="shared" si="5"/>
        <v>0</v>
      </c>
    </row>
    <row r="32" spans="1:22" hidden="1" outlineLevel="1" x14ac:dyDescent="0.3">
      <c r="A32" s="937"/>
      <c r="B32" s="915"/>
      <c r="C32" s="937"/>
      <c r="D32" s="57"/>
      <c r="E32" s="58"/>
      <c r="F32" s="57"/>
      <c r="G32" s="57"/>
      <c r="H32" s="59"/>
      <c r="I32" s="59"/>
      <c r="J32" s="57"/>
      <c r="K32" s="60" t="s">
        <v>63</v>
      </c>
      <c r="L32" s="59"/>
      <c r="M32" s="61"/>
      <c r="N32" s="59"/>
      <c r="O32" s="62"/>
      <c r="P32" s="54">
        <f>O32</f>
        <v>0</v>
      </c>
      <c r="Q32" s="55">
        <f t="shared" si="0"/>
        <v>0</v>
      </c>
      <c r="R32" s="55">
        <f t="shared" si="1"/>
        <v>0</v>
      </c>
      <c r="S32" s="55">
        <f t="shared" si="2"/>
        <v>0</v>
      </c>
      <c r="T32" s="56">
        <f t="shared" si="3"/>
        <v>0</v>
      </c>
      <c r="U32" s="56">
        <f t="shared" si="4"/>
        <v>0</v>
      </c>
      <c r="V32" s="55">
        <f t="shared" si="5"/>
        <v>0</v>
      </c>
    </row>
    <row r="33" spans="1:22" hidden="1" outlineLevel="1" x14ac:dyDescent="0.3">
      <c r="A33" s="937"/>
      <c r="B33" s="915"/>
      <c r="C33" s="937"/>
      <c r="D33" s="57"/>
      <c r="E33" s="58"/>
      <c r="F33" s="57"/>
      <c r="G33" s="57"/>
      <c r="H33" s="59"/>
      <c r="I33" s="59"/>
      <c r="J33" s="57"/>
      <c r="K33" s="60" t="s">
        <v>64</v>
      </c>
      <c r="L33" s="59"/>
      <c r="M33" s="61"/>
      <c r="N33" s="59"/>
      <c r="O33" s="62"/>
      <c r="P33" s="54">
        <f>O33</f>
        <v>0</v>
      </c>
      <c r="Q33" s="55">
        <f t="shared" si="0"/>
        <v>0</v>
      </c>
      <c r="R33" s="55">
        <f t="shared" si="1"/>
        <v>0</v>
      </c>
      <c r="S33" s="55">
        <f t="shared" si="2"/>
        <v>0</v>
      </c>
      <c r="T33" s="56">
        <f t="shared" si="3"/>
        <v>0</v>
      </c>
      <c r="U33" s="56">
        <f t="shared" si="4"/>
        <v>0</v>
      </c>
      <c r="V33" s="55">
        <f t="shared" si="5"/>
        <v>0</v>
      </c>
    </row>
    <row r="34" spans="1:22" hidden="1" outlineLevel="1" x14ac:dyDescent="0.3">
      <c r="A34" s="936">
        <v>5</v>
      </c>
      <c r="B34" s="914" t="s">
        <v>71</v>
      </c>
      <c r="C34" s="936">
        <v>1</v>
      </c>
      <c r="D34" s="48">
        <v>2.1</v>
      </c>
      <c r="E34" s="49">
        <v>0.23</v>
      </c>
      <c r="F34" s="48">
        <v>2.2000000000000002</v>
      </c>
      <c r="G34" s="48">
        <f>F34*E34*D34*C34</f>
        <v>1.0626000000000002</v>
      </c>
      <c r="H34" s="50">
        <v>20</v>
      </c>
      <c r="I34" s="50">
        <v>8</v>
      </c>
      <c r="J34" s="48">
        <f>(F34+(50*H34/1000))*I34*C34</f>
        <v>25.6</v>
      </c>
      <c r="K34" s="68" t="s">
        <v>63</v>
      </c>
      <c r="L34" s="50">
        <v>8</v>
      </c>
      <c r="M34" s="52">
        <v>0.1</v>
      </c>
      <c r="N34" s="50">
        <f>ROUND(((F34/2)/M34),0)+1</f>
        <v>12</v>
      </c>
      <c r="O34" s="53">
        <f>((((((((D34-0.08)+(E34-0.08))*2)+0.2)+((((E34-0.08)+0.2)*(((I34+I35+I36)/2)-2)))))))</f>
        <v>9.4400000000000013</v>
      </c>
      <c r="P34" s="54">
        <f>O34*N34*C34</f>
        <v>113.28000000000002</v>
      </c>
      <c r="Q34" s="55">
        <f t="shared" si="0"/>
        <v>0</v>
      </c>
      <c r="R34" s="55">
        <f t="shared" si="1"/>
        <v>0</v>
      </c>
      <c r="S34" s="55">
        <f t="shared" si="2"/>
        <v>0</v>
      </c>
      <c r="T34" s="56">
        <f t="shared" si="3"/>
        <v>25.6</v>
      </c>
      <c r="U34" s="56">
        <f t="shared" si="4"/>
        <v>0</v>
      </c>
      <c r="V34" s="55">
        <f t="shared" si="5"/>
        <v>0</v>
      </c>
    </row>
    <row r="35" spans="1:22" hidden="1" outlineLevel="1" x14ac:dyDescent="0.3">
      <c r="A35" s="937"/>
      <c r="B35" s="915"/>
      <c r="C35" s="937"/>
      <c r="D35" s="57"/>
      <c r="E35" s="58"/>
      <c r="F35" s="57"/>
      <c r="G35" s="57"/>
      <c r="H35" s="59">
        <v>16</v>
      </c>
      <c r="I35" s="59">
        <v>24</v>
      </c>
      <c r="J35" s="57">
        <f>(F34+(50*H35/1000))*I35*C34</f>
        <v>72</v>
      </c>
      <c r="K35" s="60" t="s">
        <v>63</v>
      </c>
      <c r="L35" s="59">
        <v>8</v>
      </c>
      <c r="M35" s="61">
        <v>0.15</v>
      </c>
      <c r="N35" s="59">
        <f>ROUND((F34/2)/M35,0)+1</f>
        <v>8</v>
      </c>
      <c r="O35" s="53">
        <f>((((((((D34-0.08)+(E34-0.08))*2)+0.2)+((((E34-0.08)+0.2)*(((I35+I34+I36)/2)-2)))))))</f>
        <v>9.4400000000000013</v>
      </c>
      <c r="P35" s="54">
        <f>O35*N35*C34</f>
        <v>75.52000000000001</v>
      </c>
      <c r="Q35" s="55">
        <f t="shared" si="0"/>
        <v>0</v>
      </c>
      <c r="R35" s="55">
        <f t="shared" si="1"/>
        <v>0</v>
      </c>
      <c r="S35" s="55">
        <f t="shared" si="2"/>
        <v>72</v>
      </c>
      <c r="T35" s="56">
        <f t="shared" si="3"/>
        <v>0</v>
      </c>
      <c r="U35" s="56">
        <f t="shared" si="4"/>
        <v>0</v>
      </c>
      <c r="V35" s="55">
        <f t="shared" si="5"/>
        <v>0</v>
      </c>
    </row>
    <row r="36" spans="1:22" hidden="1" outlineLevel="1" x14ac:dyDescent="0.3">
      <c r="A36" s="937"/>
      <c r="B36" s="915"/>
      <c r="C36" s="937"/>
      <c r="D36" s="57"/>
      <c r="E36" s="58"/>
      <c r="F36" s="57"/>
      <c r="G36" s="57"/>
      <c r="H36" s="59"/>
      <c r="I36" s="59"/>
      <c r="J36" s="57">
        <f>(F34+(50*H36/1000))*I36*C34</f>
        <v>0</v>
      </c>
      <c r="K36" s="60" t="s">
        <v>63</v>
      </c>
      <c r="L36" s="59"/>
      <c r="M36" s="61"/>
      <c r="N36" s="59"/>
      <c r="O36" s="62"/>
      <c r="P36" s="54">
        <f>O36</f>
        <v>0</v>
      </c>
      <c r="Q36" s="55">
        <f t="shared" si="0"/>
        <v>0</v>
      </c>
      <c r="R36" s="55">
        <f t="shared" si="1"/>
        <v>0</v>
      </c>
      <c r="S36" s="55">
        <f t="shared" si="2"/>
        <v>0</v>
      </c>
      <c r="T36" s="56">
        <f t="shared" si="3"/>
        <v>0</v>
      </c>
      <c r="U36" s="56">
        <f t="shared" si="4"/>
        <v>0</v>
      </c>
      <c r="V36" s="55">
        <f t="shared" si="5"/>
        <v>0</v>
      </c>
    </row>
    <row r="37" spans="1:22" hidden="1" outlineLevel="1" x14ac:dyDescent="0.3">
      <c r="A37" s="937"/>
      <c r="B37" s="915"/>
      <c r="C37" s="937"/>
      <c r="D37" s="57"/>
      <c r="E37" s="58"/>
      <c r="F37" s="57"/>
      <c r="G37" s="57"/>
      <c r="H37" s="59"/>
      <c r="I37" s="59"/>
      <c r="J37" s="57"/>
      <c r="K37" s="60" t="s">
        <v>63</v>
      </c>
      <c r="L37" s="59"/>
      <c r="M37" s="61"/>
      <c r="N37" s="59"/>
      <c r="O37" s="62"/>
      <c r="P37" s="54">
        <f>O37</f>
        <v>0</v>
      </c>
      <c r="Q37" s="55">
        <f t="shared" si="0"/>
        <v>0</v>
      </c>
      <c r="R37" s="55">
        <f t="shared" si="1"/>
        <v>0</v>
      </c>
      <c r="S37" s="55">
        <f t="shared" si="2"/>
        <v>0</v>
      </c>
      <c r="T37" s="56">
        <f t="shared" si="3"/>
        <v>0</v>
      </c>
      <c r="U37" s="56">
        <f t="shared" si="4"/>
        <v>0</v>
      </c>
      <c r="V37" s="55">
        <f t="shared" si="5"/>
        <v>0</v>
      </c>
    </row>
    <row r="38" spans="1:22" hidden="1" outlineLevel="1" x14ac:dyDescent="0.3">
      <c r="A38" s="937"/>
      <c r="B38" s="915"/>
      <c r="C38" s="937"/>
      <c r="D38" s="57"/>
      <c r="E38" s="58"/>
      <c r="F38" s="57"/>
      <c r="G38" s="57"/>
      <c r="H38" s="59"/>
      <c r="I38" s="59"/>
      <c r="J38" s="57"/>
      <c r="K38" s="60" t="s">
        <v>64</v>
      </c>
      <c r="L38" s="59"/>
      <c r="M38" s="61"/>
      <c r="N38" s="59"/>
      <c r="O38" s="62"/>
      <c r="P38" s="54">
        <f>O38</f>
        <v>0</v>
      </c>
      <c r="Q38" s="55">
        <f t="shared" si="0"/>
        <v>0</v>
      </c>
      <c r="R38" s="55">
        <f t="shared" si="1"/>
        <v>0</v>
      </c>
      <c r="S38" s="55">
        <f t="shared" si="2"/>
        <v>0</v>
      </c>
      <c r="T38" s="56">
        <f t="shared" si="3"/>
        <v>0</v>
      </c>
      <c r="U38" s="56">
        <f t="shared" si="4"/>
        <v>0</v>
      </c>
      <c r="V38" s="55">
        <f t="shared" si="5"/>
        <v>0</v>
      </c>
    </row>
    <row r="39" spans="1:22" hidden="1" outlineLevel="1" x14ac:dyDescent="0.3">
      <c r="A39" s="936">
        <v>6</v>
      </c>
      <c r="B39" s="914" t="s">
        <v>72</v>
      </c>
      <c r="C39" s="936">
        <v>0</v>
      </c>
      <c r="D39" s="48">
        <v>1.7</v>
      </c>
      <c r="E39" s="49">
        <v>0.23</v>
      </c>
      <c r="F39" s="48">
        <v>2.2000000000000002</v>
      </c>
      <c r="G39" s="48">
        <f>F39*E39*D39*C39</f>
        <v>0</v>
      </c>
      <c r="H39" s="50">
        <v>20</v>
      </c>
      <c r="I39" s="50">
        <v>16</v>
      </c>
      <c r="J39" s="48">
        <f>(F39+(50*H39/1000))*I39*C39</f>
        <v>0</v>
      </c>
      <c r="K39" s="68" t="s">
        <v>63</v>
      </c>
      <c r="L39" s="50">
        <v>8</v>
      </c>
      <c r="M39" s="52">
        <v>0.1</v>
      </c>
      <c r="N39" s="50">
        <f>ROUND(((F39/2)/M39),0)+1</f>
        <v>12</v>
      </c>
      <c r="O39" s="53">
        <f>((((((((D39-0.08)+(E39-0.08))*2)+0.2)+((((E39-0.08)+0.2)*(((I39+I40+I41)/2)-2)))))))</f>
        <v>7.24</v>
      </c>
      <c r="P39" s="54">
        <f>O39*N39*C39</f>
        <v>0</v>
      </c>
      <c r="Q39" s="55">
        <f t="shared" si="0"/>
        <v>0</v>
      </c>
      <c r="R39" s="55">
        <f t="shared" si="1"/>
        <v>0</v>
      </c>
      <c r="S39" s="55">
        <f t="shared" si="2"/>
        <v>0</v>
      </c>
      <c r="T39" s="56">
        <f t="shared" si="3"/>
        <v>0</v>
      </c>
      <c r="U39" s="56">
        <f t="shared" si="4"/>
        <v>0</v>
      </c>
      <c r="V39" s="55">
        <f t="shared" si="5"/>
        <v>0</v>
      </c>
    </row>
    <row r="40" spans="1:22" hidden="1" outlineLevel="1" x14ac:dyDescent="0.3">
      <c r="A40" s="937"/>
      <c r="B40" s="915"/>
      <c r="C40" s="937"/>
      <c r="D40" s="57"/>
      <c r="E40" s="58"/>
      <c r="F40" s="57"/>
      <c r="G40" s="57"/>
      <c r="H40" s="59">
        <v>16</v>
      </c>
      <c r="I40" s="59">
        <v>8</v>
      </c>
      <c r="J40" s="57">
        <f>(F39+(50*H40/1000))*I40*C39</f>
        <v>0</v>
      </c>
      <c r="K40" s="60" t="s">
        <v>63</v>
      </c>
      <c r="L40" s="59">
        <v>8</v>
      </c>
      <c r="M40" s="61">
        <v>0.15</v>
      </c>
      <c r="N40" s="59">
        <f>ROUND((F39/2)/M40,0)+1</f>
        <v>8</v>
      </c>
      <c r="O40" s="53">
        <f>((((((((D39-0.08)+(E39-0.08))*2)+0.2)+((((E39-0.08)+0.2)*(((I40+I39+I41)/2)-2)))))))</f>
        <v>7.24</v>
      </c>
      <c r="P40" s="54">
        <f>O40*N40*C39</f>
        <v>0</v>
      </c>
      <c r="Q40" s="55">
        <f t="shared" si="0"/>
        <v>0</v>
      </c>
      <c r="R40" s="55">
        <f t="shared" si="1"/>
        <v>0</v>
      </c>
      <c r="S40" s="55">
        <f t="shared" si="2"/>
        <v>0</v>
      </c>
      <c r="T40" s="56">
        <f t="shared" si="3"/>
        <v>0</v>
      </c>
      <c r="U40" s="56">
        <f t="shared" si="4"/>
        <v>0</v>
      </c>
      <c r="V40" s="55">
        <f t="shared" si="5"/>
        <v>0</v>
      </c>
    </row>
    <row r="41" spans="1:22" hidden="1" outlineLevel="1" x14ac:dyDescent="0.3">
      <c r="A41" s="937"/>
      <c r="B41" s="915"/>
      <c r="C41" s="937"/>
      <c r="D41" s="57"/>
      <c r="E41" s="58"/>
      <c r="F41" s="57"/>
      <c r="G41" s="57"/>
      <c r="H41" s="59"/>
      <c r="I41" s="59"/>
      <c r="J41" s="57">
        <f>(F39+(50*H41/1000))*I41*C39</f>
        <v>0</v>
      </c>
      <c r="K41" s="60" t="s">
        <v>63</v>
      </c>
      <c r="L41" s="59"/>
      <c r="M41" s="61"/>
      <c r="N41" s="59"/>
      <c r="O41" s="62"/>
      <c r="P41" s="54">
        <f>O41</f>
        <v>0</v>
      </c>
      <c r="Q41" s="55">
        <f t="shared" si="0"/>
        <v>0</v>
      </c>
      <c r="R41" s="55">
        <f t="shared" si="1"/>
        <v>0</v>
      </c>
      <c r="S41" s="55">
        <f t="shared" si="2"/>
        <v>0</v>
      </c>
      <c r="T41" s="56">
        <f t="shared" si="3"/>
        <v>0</v>
      </c>
      <c r="U41" s="56">
        <f t="shared" si="4"/>
        <v>0</v>
      </c>
      <c r="V41" s="55">
        <f t="shared" si="5"/>
        <v>0</v>
      </c>
    </row>
    <row r="42" spans="1:22" hidden="1" outlineLevel="1" x14ac:dyDescent="0.3">
      <c r="A42" s="937"/>
      <c r="B42" s="915"/>
      <c r="C42" s="937"/>
      <c r="D42" s="57"/>
      <c r="E42" s="58"/>
      <c r="F42" s="57"/>
      <c r="G42" s="57"/>
      <c r="H42" s="59"/>
      <c r="I42" s="59"/>
      <c r="J42" s="57"/>
      <c r="K42" s="60" t="s">
        <v>63</v>
      </c>
      <c r="L42" s="59"/>
      <c r="M42" s="61"/>
      <c r="N42" s="59"/>
      <c r="O42" s="62"/>
      <c r="P42" s="54">
        <f>O42</f>
        <v>0</v>
      </c>
      <c r="Q42" s="55">
        <f t="shared" si="0"/>
        <v>0</v>
      </c>
      <c r="R42" s="55">
        <f t="shared" si="1"/>
        <v>0</v>
      </c>
      <c r="S42" s="55">
        <f t="shared" si="2"/>
        <v>0</v>
      </c>
      <c r="T42" s="56">
        <f t="shared" si="3"/>
        <v>0</v>
      </c>
      <c r="U42" s="56">
        <f t="shared" si="4"/>
        <v>0</v>
      </c>
      <c r="V42" s="55">
        <f t="shared" si="5"/>
        <v>0</v>
      </c>
    </row>
    <row r="43" spans="1:22" hidden="1" outlineLevel="1" x14ac:dyDescent="0.3">
      <c r="A43" s="937"/>
      <c r="B43" s="915"/>
      <c r="C43" s="937"/>
      <c r="D43" s="57"/>
      <c r="E43" s="58"/>
      <c r="F43" s="57"/>
      <c r="G43" s="57"/>
      <c r="H43" s="59"/>
      <c r="I43" s="59"/>
      <c r="J43" s="57"/>
      <c r="K43" s="60" t="s">
        <v>64</v>
      </c>
      <c r="L43" s="59"/>
      <c r="M43" s="61"/>
      <c r="N43" s="59"/>
      <c r="O43" s="62"/>
      <c r="P43" s="54">
        <f>O43</f>
        <v>0</v>
      </c>
      <c r="Q43" s="55">
        <f t="shared" si="0"/>
        <v>0</v>
      </c>
      <c r="R43" s="55">
        <f t="shared" si="1"/>
        <v>0</v>
      </c>
      <c r="S43" s="55">
        <f t="shared" si="2"/>
        <v>0</v>
      </c>
      <c r="T43" s="56">
        <f t="shared" si="3"/>
        <v>0</v>
      </c>
      <c r="U43" s="56">
        <f t="shared" si="4"/>
        <v>0</v>
      </c>
      <c r="V43" s="55">
        <f t="shared" si="5"/>
        <v>0</v>
      </c>
    </row>
    <row r="44" spans="1:22" hidden="1" outlineLevel="1" x14ac:dyDescent="0.3">
      <c r="A44" s="936">
        <v>7</v>
      </c>
      <c r="B44" s="986" t="s">
        <v>73</v>
      </c>
      <c r="C44" s="987">
        <v>2</v>
      </c>
      <c r="D44" s="48">
        <v>1.8</v>
      </c>
      <c r="E44" s="49">
        <v>0.23</v>
      </c>
      <c r="F44" s="48">
        <v>2.2000000000000002</v>
      </c>
      <c r="G44" s="48">
        <f>F44*E44*D44*C44</f>
        <v>1.8216000000000006</v>
      </c>
      <c r="H44" s="50">
        <v>20</v>
      </c>
      <c r="I44" s="50">
        <v>16</v>
      </c>
      <c r="J44" s="48">
        <f>(F44+(50*H44/1000))*I44*C44</f>
        <v>102.4</v>
      </c>
      <c r="K44" s="51" t="s">
        <v>66</v>
      </c>
      <c r="L44" s="50">
        <v>8</v>
      </c>
      <c r="M44" s="52">
        <v>0.1</v>
      </c>
      <c r="N44" s="50">
        <f>ROUND(((F44/2)/M44),0)+1</f>
        <v>12</v>
      </c>
      <c r="O44" s="53">
        <f>((((((((D44-0.08)+(E44-0.08))*2)+0.2)+((((E44-0.08)+0.2)*(((I44+I45+I46)/2)-2)))))))</f>
        <v>7.7900000000000009</v>
      </c>
      <c r="P44" s="54">
        <f>O44*N44*C44</f>
        <v>186.96000000000004</v>
      </c>
      <c r="Q44" s="55">
        <f t="shared" si="0"/>
        <v>0</v>
      </c>
      <c r="R44" s="55">
        <f t="shared" si="1"/>
        <v>0</v>
      </c>
      <c r="S44" s="55">
        <f t="shared" si="2"/>
        <v>0</v>
      </c>
      <c r="T44" s="56">
        <f t="shared" si="3"/>
        <v>102.4</v>
      </c>
      <c r="U44" s="56">
        <f t="shared" si="4"/>
        <v>0</v>
      </c>
      <c r="V44" s="55">
        <f t="shared" si="5"/>
        <v>0</v>
      </c>
    </row>
    <row r="45" spans="1:22" hidden="1" outlineLevel="1" x14ac:dyDescent="0.3">
      <c r="A45" s="937"/>
      <c r="B45" s="918"/>
      <c r="C45" s="982"/>
      <c r="D45" s="57"/>
      <c r="E45" s="58"/>
      <c r="F45" s="57"/>
      <c r="G45" s="57"/>
      <c r="H45" s="59">
        <v>16</v>
      </c>
      <c r="I45" s="59">
        <v>10</v>
      </c>
      <c r="J45" s="57">
        <f>(F44+(50*H45/1000))*I45*C44</f>
        <v>60</v>
      </c>
      <c r="K45" s="60" t="s">
        <v>67</v>
      </c>
      <c r="L45" s="59">
        <v>8</v>
      </c>
      <c r="M45" s="61">
        <v>0.15</v>
      </c>
      <c r="N45" s="59">
        <f>ROUND((F44/2)/M45,0)+1</f>
        <v>8</v>
      </c>
      <c r="O45" s="53">
        <f>((((((((D44-0.08)+(E44-0.08))*2)+0.2)+((((E44-0.08)+0.2)*(((I45+I44+I46)/2)-2)))))))</f>
        <v>7.7900000000000009</v>
      </c>
      <c r="P45" s="54">
        <f>O45*N45*C44</f>
        <v>124.64000000000001</v>
      </c>
      <c r="Q45" s="55">
        <f t="shared" si="0"/>
        <v>0</v>
      </c>
      <c r="R45" s="55">
        <f t="shared" si="1"/>
        <v>0</v>
      </c>
      <c r="S45" s="55">
        <f t="shared" si="2"/>
        <v>60</v>
      </c>
      <c r="T45" s="56">
        <f t="shared" si="3"/>
        <v>0</v>
      </c>
      <c r="U45" s="56">
        <f t="shared" si="4"/>
        <v>0</v>
      </c>
      <c r="V45" s="55">
        <f t="shared" si="5"/>
        <v>0</v>
      </c>
    </row>
    <row r="46" spans="1:22" hidden="1" outlineLevel="1" x14ac:dyDescent="0.3">
      <c r="A46" s="937"/>
      <c r="B46" s="918"/>
      <c r="C46" s="982"/>
      <c r="D46" s="57"/>
      <c r="E46" s="58"/>
      <c r="F46" s="57"/>
      <c r="G46" s="57"/>
      <c r="H46" s="59"/>
      <c r="I46" s="59"/>
      <c r="J46" s="57">
        <f>(F44+(50*H46/1000))*I46*C44</f>
        <v>0</v>
      </c>
      <c r="K46" s="60" t="s">
        <v>63</v>
      </c>
      <c r="L46" s="59"/>
      <c r="M46" s="61"/>
      <c r="N46" s="59"/>
      <c r="O46" s="62"/>
      <c r="P46" s="54"/>
      <c r="Q46" s="55">
        <f t="shared" si="0"/>
        <v>0</v>
      </c>
      <c r="R46" s="55">
        <f t="shared" si="1"/>
        <v>0</v>
      </c>
      <c r="S46" s="55">
        <f t="shared" si="2"/>
        <v>0</v>
      </c>
      <c r="T46" s="56">
        <f t="shared" si="3"/>
        <v>0</v>
      </c>
      <c r="U46" s="56">
        <f t="shared" si="4"/>
        <v>0</v>
      </c>
      <c r="V46" s="55">
        <f t="shared" si="5"/>
        <v>0</v>
      </c>
    </row>
    <row r="47" spans="1:22" hidden="1" outlineLevel="1" x14ac:dyDescent="0.3">
      <c r="A47" s="937"/>
      <c r="B47" s="919"/>
      <c r="C47" s="983"/>
      <c r="D47" s="57"/>
      <c r="E47" s="58"/>
      <c r="F47" s="57"/>
      <c r="G47" s="57"/>
      <c r="H47" s="59"/>
      <c r="I47" s="59"/>
      <c r="J47" s="57"/>
      <c r="K47" s="60" t="s">
        <v>64</v>
      </c>
      <c r="L47" s="59"/>
      <c r="M47" s="61"/>
      <c r="N47" s="59"/>
      <c r="O47" s="62"/>
      <c r="P47" s="54"/>
      <c r="Q47" s="55">
        <f t="shared" si="0"/>
        <v>0</v>
      </c>
      <c r="R47" s="55">
        <f t="shared" si="1"/>
        <v>0</v>
      </c>
      <c r="S47" s="55">
        <f t="shared" si="2"/>
        <v>0</v>
      </c>
      <c r="T47" s="56">
        <f t="shared" si="3"/>
        <v>0</v>
      </c>
      <c r="U47" s="56">
        <f t="shared" si="4"/>
        <v>0</v>
      </c>
      <c r="V47" s="55">
        <f t="shared" si="5"/>
        <v>0</v>
      </c>
    </row>
    <row r="48" spans="1:22" hidden="1" outlineLevel="1" x14ac:dyDescent="0.3">
      <c r="A48" s="936">
        <v>8</v>
      </c>
      <c r="B48" s="914" t="s">
        <v>74</v>
      </c>
      <c r="C48" s="936">
        <v>2</v>
      </c>
      <c r="D48" s="48">
        <v>1.1499999999999999</v>
      </c>
      <c r="E48" s="49">
        <v>0.23</v>
      </c>
      <c r="F48" s="48">
        <v>2.2000000000000002</v>
      </c>
      <c r="G48" s="48">
        <f>F48*E48*D48*C48</f>
        <v>1.1638000000000002</v>
      </c>
      <c r="H48" s="50">
        <v>20</v>
      </c>
      <c r="I48" s="50">
        <v>12</v>
      </c>
      <c r="J48" s="48">
        <f>(F48+(50*H48/1000))*I48*C48</f>
        <v>76.800000000000011</v>
      </c>
      <c r="K48" s="51" t="s">
        <v>66</v>
      </c>
      <c r="L48" s="50">
        <v>8</v>
      </c>
      <c r="M48" s="52">
        <v>0.1</v>
      </c>
      <c r="N48" s="50">
        <f>ROUND(((F48/2)/M48),0)+1</f>
        <v>12</v>
      </c>
      <c r="O48" s="53">
        <f>((((((((D48-0.08)+(E48-0.08))*2)+0.2)+((((E48-0.08)+0.2)*(((I48+I49+I50)/2)-2)))))))</f>
        <v>4.74</v>
      </c>
      <c r="P48" s="54">
        <f>O48*N48*C48</f>
        <v>113.76</v>
      </c>
      <c r="Q48" s="55">
        <f t="shared" si="0"/>
        <v>0</v>
      </c>
      <c r="R48" s="55">
        <f t="shared" si="1"/>
        <v>0</v>
      </c>
      <c r="S48" s="55">
        <f t="shared" si="2"/>
        <v>0</v>
      </c>
      <c r="T48" s="56">
        <f t="shared" si="3"/>
        <v>76.800000000000011</v>
      </c>
      <c r="U48" s="56">
        <f t="shared" si="4"/>
        <v>0</v>
      </c>
      <c r="V48" s="55">
        <f t="shared" si="5"/>
        <v>0</v>
      </c>
    </row>
    <row r="49" spans="1:22" hidden="1" outlineLevel="1" x14ac:dyDescent="0.3">
      <c r="A49" s="937"/>
      <c r="B49" s="915"/>
      <c r="C49" s="937"/>
      <c r="D49" s="57"/>
      <c r="E49" s="58"/>
      <c r="F49" s="57"/>
      <c r="G49" s="57"/>
      <c r="H49" s="59">
        <v>16</v>
      </c>
      <c r="I49" s="59">
        <v>4</v>
      </c>
      <c r="J49" s="57">
        <f>(F48+(50*H49/1000))*I49*C48</f>
        <v>24</v>
      </c>
      <c r="K49" s="60" t="s">
        <v>63</v>
      </c>
      <c r="L49" s="59">
        <v>8</v>
      </c>
      <c r="M49" s="61">
        <v>0.15</v>
      </c>
      <c r="N49" s="59">
        <f>ROUND((F48/2)/M49,0)+1</f>
        <v>8</v>
      </c>
      <c r="O49" s="53">
        <f>((((((((D48-0.08)+(E48-0.08))*2)+0.2)+((((E48-0.08)+0.2)*(((I49+I48+I50)/2)-2)))))))</f>
        <v>4.74</v>
      </c>
      <c r="P49" s="54">
        <f>O49*N49*C48</f>
        <v>75.84</v>
      </c>
      <c r="Q49" s="55">
        <f t="shared" si="0"/>
        <v>0</v>
      </c>
      <c r="R49" s="55">
        <f t="shared" si="1"/>
        <v>0</v>
      </c>
      <c r="S49" s="55">
        <f t="shared" si="2"/>
        <v>24</v>
      </c>
      <c r="T49" s="56">
        <f t="shared" si="3"/>
        <v>0</v>
      </c>
      <c r="U49" s="56">
        <f t="shared" si="4"/>
        <v>0</v>
      </c>
      <c r="V49" s="55">
        <f t="shared" si="5"/>
        <v>0</v>
      </c>
    </row>
    <row r="50" spans="1:22" hidden="1" outlineLevel="1" x14ac:dyDescent="0.3">
      <c r="A50" s="937"/>
      <c r="B50" s="915"/>
      <c r="C50" s="937"/>
      <c r="D50" s="57"/>
      <c r="E50" s="58"/>
      <c r="F50" s="57"/>
      <c r="G50" s="57"/>
      <c r="H50" s="59"/>
      <c r="I50" s="59"/>
      <c r="J50" s="57">
        <f>(F48+(50*H50/1000))*I50*C48</f>
        <v>0</v>
      </c>
      <c r="K50" s="60" t="s">
        <v>63</v>
      </c>
      <c r="L50" s="59"/>
      <c r="M50" s="61"/>
      <c r="N50" s="59"/>
      <c r="O50" s="62"/>
      <c r="P50" s="54">
        <f t="shared" ref="P50:P55" si="6">O50</f>
        <v>0</v>
      </c>
      <c r="Q50" s="55">
        <f t="shared" si="0"/>
        <v>0</v>
      </c>
      <c r="R50" s="55">
        <f t="shared" si="1"/>
        <v>0</v>
      </c>
      <c r="S50" s="55">
        <f t="shared" si="2"/>
        <v>0</v>
      </c>
      <c r="T50" s="56">
        <f t="shared" si="3"/>
        <v>0</v>
      </c>
      <c r="U50" s="56">
        <f t="shared" si="4"/>
        <v>0</v>
      </c>
      <c r="V50" s="55">
        <f t="shared" si="5"/>
        <v>0</v>
      </c>
    </row>
    <row r="51" spans="1:22" hidden="1" outlineLevel="1" x14ac:dyDescent="0.3">
      <c r="A51" s="938"/>
      <c r="B51" s="916"/>
      <c r="C51" s="938"/>
      <c r="D51" s="63"/>
      <c r="E51" s="64"/>
      <c r="F51" s="63"/>
      <c r="G51" s="63"/>
      <c r="H51" s="65"/>
      <c r="I51" s="65"/>
      <c r="J51" s="63"/>
      <c r="K51" s="66" t="s">
        <v>64</v>
      </c>
      <c r="L51" s="65"/>
      <c r="M51" s="67"/>
      <c r="N51" s="65"/>
      <c r="O51" s="69"/>
      <c r="P51" s="54">
        <f t="shared" si="6"/>
        <v>0</v>
      </c>
      <c r="Q51" s="55">
        <f t="shared" si="0"/>
        <v>0</v>
      </c>
      <c r="R51" s="55">
        <f t="shared" si="1"/>
        <v>0</v>
      </c>
      <c r="S51" s="55">
        <f t="shared" si="2"/>
        <v>0</v>
      </c>
      <c r="T51" s="56">
        <f t="shared" si="3"/>
        <v>0</v>
      </c>
      <c r="U51" s="56">
        <f t="shared" si="4"/>
        <v>0</v>
      </c>
      <c r="V51" s="55">
        <f t="shared" si="5"/>
        <v>0</v>
      </c>
    </row>
    <row r="52" spans="1:22" hidden="1" outlineLevel="1" x14ac:dyDescent="0.3">
      <c r="A52" s="936">
        <v>9</v>
      </c>
      <c r="B52" s="914" t="s">
        <v>75</v>
      </c>
      <c r="C52" s="936">
        <v>2</v>
      </c>
      <c r="D52" s="48">
        <v>1.55</v>
      </c>
      <c r="E52" s="49">
        <v>0.23</v>
      </c>
      <c r="F52" s="48">
        <v>2.2000000000000002</v>
      </c>
      <c r="G52" s="48">
        <f>F52*E52*D52*C52</f>
        <v>1.5686000000000004</v>
      </c>
      <c r="H52" s="50">
        <v>20</v>
      </c>
      <c r="I52" s="50">
        <v>16</v>
      </c>
      <c r="J52" s="48">
        <f>(F52+(50*H52/1000))*I52*C52</f>
        <v>102.4</v>
      </c>
      <c r="K52" s="51" t="s">
        <v>66</v>
      </c>
      <c r="L52" s="50">
        <v>8</v>
      </c>
      <c r="M52" s="52">
        <v>0.1</v>
      </c>
      <c r="N52" s="50">
        <f>ROUND(((F52/2)/M52),0)+1</f>
        <v>12</v>
      </c>
      <c r="O52" s="53">
        <f>((((((((D52-0.08)+(E52-0.08))*2)+0.2)+((((E52-0.08)+0.2)*(((I52+I53+I54)/2)-2)))))))</f>
        <v>6.9400000000000013</v>
      </c>
      <c r="P52" s="54">
        <f>O52*N52*C52</f>
        <v>166.56000000000003</v>
      </c>
      <c r="Q52" s="55">
        <f t="shared" si="0"/>
        <v>0</v>
      </c>
      <c r="R52" s="55">
        <f t="shared" si="1"/>
        <v>0</v>
      </c>
      <c r="S52" s="55">
        <f t="shared" si="2"/>
        <v>0</v>
      </c>
      <c r="T52" s="56">
        <f t="shared" si="3"/>
        <v>102.4</v>
      </c>
      <c r="U52" s="56">
        <f t="shared" si="4"/>
        <v>0</v>
      </c>
      <c r="V52" s="55">
        <f t="shared" si="5"/>
        <v>0</v>
      </c>
    </row>
    <row r="53" spans="1:22" hidden="1" outlineLevel="1" x14ac:dyDescent="0.3">
      <c r="A53" s="937"/>
      <c r="B53" s="915"/>
      <c r="C53" s="937"/>
      <c r="D53" s="57"/>
      <c r="E53" s="58"/>
      <c r="F53" s="57"/>
      <c r="G53" s="57"/>
      <c r="H53" s="59">
        <v>16</v>
      </c>
      <c r="I53" s="59">
        <v>8</v>
      </c>
      <c r="J53" s="57">
        <f>(F52+(50*H53/1000))*I53*C52</f>
        <v>48</v>
      </c>
      <c r="K53" s="60" t="s">
        <v>63</v>
      </c>
      <c r="L53" s="59">
        <v>8</v>
      </c>
      <c r="M53" s="61">
        <v>0.15</v>
      </c>
      <c r="N53" s="59">
        <f>ROUND((F52/2)/M53,0)+1</f>
        <v>8</v>
      </c>
      <c r="O53" s="53">
        <f>((((((((D52-0.08)+(E52-0.08))*2)+0.2)+((((E52-0.08)+0.2)*(((I53+I52+I54)/2)-2)))))))</f>
        <v>6.9400000000000013</v>
      </c>
      <c r="P53" s="54">
        <f>O53*N53*C52</f>
        <v>111.04000000000002</v>
      </c>
      <c r="Q53" s="55">
        <f t="shared" si="0"/>
        <v>0</v>
      </c>
      <c r="R53" s="55">
        <f t="shared" si="1"/>
        <v>0</v>
      </c>
      <c r="S53" s="55">
        <f t="shared" si="2"/>
        <v>48</v>
      </c>
      <c r="T53" s="56">
        <f t="shared" si="3"/>
        <v>0</v>
      </c>
      <c r="U53" s="56">
        <f t="shared" si="4"/>
        <v>0</v>
      </c>
      <c r="V53" s="55">
        <f t="shared" si="5"/>
        <v>0</v>
      </c>
    </row>
    <row r="54" spans="1:22" hidden="1" outlineLevel="1" x14ac:dyDescent="0.3">
      <c r="A54" s="937"/>
      <c r="B54" s="915"/>
      <c r="C54" s="937"/>
      <c r="D54" s="57"/>
      <c r="E54" s="58"/>
      <c r="F54" s="57"/>
      <c r="G54" s="57"/>
      <c r="H54" s="59"/>
      <c r="I54" s="59"/>
      <c r="J54" s="57">
        <f>(F52+(50*H54/1000))*I54*C52</f>
        <v>0</v>
      </c>
      <c r="K54" s="60" t="s">
        <v>63</v>
      </c>
      <c r="L54" s="59"/>
      <c r="M54" s="61"/>
      <c r="N54" s="59"/>
      <c r="O54" s="62"/>
      <c r="P54" s="54">
        <f t="shared" si="6"/>
        <v>0</v>
      </c>
      <c r="Q54" s="55">
        <f t="shared" si="0"/>
        <v>0</v>
      </c>
      <c r="R54" s="55">
        <f t="shared" si="1"/>
        <v>0</v>
      </c>
      <c r="S54" s="55">
        <f t="shared" si="2"/>
        <v>0</v>
      </c>
      <c r="T54" s="56">
        <f t="shared" si="3"/>
        <v>0</v>
      </c>
      <c r="U54" s="56">
        <f t="shared" si="4"/>
        <v>0</v>
      </c>
      <c r="V54" s="55">
        <f t="shared" si="5"/>
        <v>0</v>
      </c>
    </row>
    <row r="55" spans="1:22" hidden="1" outlineLevel="1" x14ac:dyDescent="0.3">
      <c r="A55" s="938"/>
      <c r="B55" s="916"/>
      <c r="C55" s="938"/>
      <c r="D55" s="63"/>
      <c r="E55" s="64"/>
      <c r="F55" s="63"/>
      <c r="G55" s="63"/>
      <c r="H55" s="65"/>
      <c r="I55" s="65"/>
      <c r="J55" s="63"/>
      <c r="K55" s="66" t="s">
        <v>64</v>
      </c>
      <c r="L55" s="65"/>
      <c r="M55" s="67"/>
      <c r="N55" s="65"/>
      <c r="O55" s="69"/>
      <c r="P55" s="54">
        <f t="shared" si="6"/>
        <v>0</v>
      </c>
      <c r="Q55" s="55">
        <f t="shared" si="0"/>
        <v>0</v>
      </c>
      <c r="R55" s="55">
        <f t="shared" si="1"/>
        <v>0</v>
      </c>
      <c r="S55" s="55">
        <f t="shared" si="2"/>
        <v>0</v>
      </c>
      <c r="T55" s="56">
        <f t="shared" si="3"/>
        <v>0</v>
      </c>
      <c r="U55" s="56">
        <f t="shared" si="4"/>
        <v>0</v>
      </c>
      <c r="V55" s="55">
        <f t="shared" si="5"/>
        <v>0</v>
      </c>
    </row>
    <row r="56" spans="1:22" hidden="1" outlineLevel="1" x14ac:dyDescent="0.3">
      <c r="A56" s="936">
        <v>10</v>
      </c>
      <c r="B56" s="914" t="s">
        <v>76</v>
      </c>
      <c r="C56" s="936">
        <v>0</v>
      </c>
      <c r="D56" s="48">
        <v>2.76</v>
      </c>
      <c r="E56" s="49">
        <v>0.23</v>
      </c>
      <c r="F56" s="48">
        <v>2.2000000000000002</v>
      </c>
      <c r="G56" s="48">
        <f>F56*E56*D56*C56</f>
        <v>0</v>
      </c>
      <c r="H56" s="50">
        <v>20</v>
      </c>
      <c r="I56" s="50">
        <v>24</v>
      </c>
      <c r="J56" s="48">
        <f>(F56+(50*H56/1000))*I56*C56</f>
        <v>0</v>
      </c>
      <c r="K56" s="51" t="s">
        <v>66</v>
      </c>
      <c r="L56" s="50">
        <v>8</v>
      </c>
      <c r="M56" s="52">
        <v>0.1</v>
      </c>
      <c r="N56" s="50">
        <f>ROUND(((F56/2)/M56),0)+1</f>
        <v>12</v>
      </c>
      <c r="O56" s="53">
        <f>((((((((D56-0.08)+(E56-0.08))*2)+0.2)+((((E56-0.08)+0.2)*(((I56+I57+I58)/2)-2)))))))</f>
        <v>10.76</v>
      </c>
      <c r="P56" s="54">
        <f>O56*N56*C56</f>
        <v>0</v>
      </c>
      <c r="Q56" s="55">
        <f t="shared" si="0"/>
        <v>0</v>
      </c>
      <c r="R56" s="55">
        <f t="shared" si="1"/>
        <v>0</v>
      </c>
      <c r="S56" s="55">
        <f t="shared" si="2"/>
        <v>0</v>
      </c>
      <c r="T56" s="56">
        <f t="shared" si="3"/>
        <v>0</v>
      </c>
      <c r="U56" s="56">
        <f t="shared" si="4"/>
        <v>0</v>
      </c>
      <c r="V56" s="55">
        <f t="shared" si="5"/>
        <v>0</v>
      </c>
    </row>
    <row r="57" spans="1:22" hidden="1" outlineLevel="1" x14ac:dyDescent="0.3">
      <c r="A57" s="937"/>
      <c r="B57" s="915"/>
      <c r="C57" s="937"/>
      <c r="D57" s="57"/>
      <c r="E57" s="58"/>
      <c r="F57" s="57"/>
      <c r="G57" s="57"/>
      <c r="H57" s="59">
        <v>16</v>
      </c>
      <c r="I57" s="59">
        <v>8</v>
      </c>
      <c r="J57" s="57">
        <f>(F56+(50*H57/1000))*I57*C56</f>
        <v>0</v>
      </c>
      <c r="K57" s="60" t="s">
        <v>63</v>
      </c>
      <c r="L57" s="59">
        <v>8</v>
      </c>
      <c r="M57" s="61">
        <v>0.15</v>
      </c>
      <c r="N57" s="59">
        <f>ROUND((F56/2)/M57,0)+1</f>
        <v>8</v>
      </c>
      <c r="O57" s="53">
        <f>((((((((D56-0.08)+(E56-0.08))*2)+0.2)+((((E56-0.08)+0.2)*(((I57+I56+I58)/2)-2)))))))</f>
        <v>10.76</v>
      </c>
      <c r="P57" s="54">
        <f>O57*N57*C56</f>
        <v>0</v>
      </c>
      <c r="Q57" s="55">
        <f t="shared" si="0"/>
        <v>0</v>
      </c>
      <c r="R57" s="55">
        <f t="shared" si="1"/>
        <v>0</v>
      </c>
      <c r="S57" s="55">
        <f t="shared" si="2"/>
        <v>0</v>
      </c>
      <c r="T57" s="56">
        <f t="shared" si="3"/>
        <v>0</v>
      </c>
      <c r="U57" s="56">
        <f t="shared" si="4"/>
        <v>0</v>
      </c>
      <c r="V57" s="55">
        <f t="shared" si="5"/>
        <v>0</v>
      </c>
    </row>
    <row r="58" spans="1:22" hidden="1" outlineLevel="1" x14ac:dyDescent="0.3">
      <c r="A58" s="937"/>
      <c r="B58" s="915"/>
      <c r="C58" s="937"/>
      <c r="D58" s="57"/>
      <c r="E58" s="58"/>
      <c r="F58" s="57"/>
      <c r="G58" s="57"/>
      <c r="H58" s="59"/>
      <c r="I58" s="59"/>
      <c r="J58" s="57">
        <f>(F56+(50*H58/1000))*I58*C56</f>
        <v>0</v>
      </c>
      <c r="K58" s="60" t="s">
        <v>63</v>
      </c>
      <c r="L58" s="59"/>
      <c r="M58" s="61"/>
      <c r="N58" s="59"/>
      <c r="O58" s="62"/>
      <c r="P58" s="54">
        <f t="shared" ref="P58:P63" si="7">O58</f>
        <v>0</v>
      </c>
      <c r="Q58" s="55">
        <f t="shared" si="0"/>
        <v>0</v>
      </c>
      <c r="R58" s="55">
        <f t="shared" si="1"/>
        <v>0</v>
      </c>
      <c r="S58" s="55">
        <f t="shared" si="2"/>
        <v>0</v>
      </c>
      <c r="T58" s="56">
        <f t="shared" si="3"/>
        <v>0</v>
      </c>
      <c r="U58" s="56">
        <f t="shared" si="4"/>
        <v>0</v>
      </c>
      <c r="V58" s="55">
        <f t="shared" si="5"/>
        <v>0</v>
      </c>
    </row>
    <row r="59" spans="1:22" hidden="1" outlineLevel="1" x14ac:dyDescent="0.3">
      <c r="A59" s="938"/>
      <c r="B59" s="916"/>
      <c r="C59" s="938"/>
      <c r="D59" s="63"/>
      <c r="E59" s="64"/>
      <c r="F59" s="63"/>
      <c r="G59" s="63"/>
      <c r="H59" s="65"/>
      <c r="I59" s="65"/>
      <c r="J59" s="63"/>
      <c r="K59" s="66" t="s">
        <v>64</v>
      </c>
      <c r="L59" s="65"/>
      <c r="M59" s="67"/>
      <c r="N59" s="65"/>
      <c r="O59" s="69"/>
      <c r="P59" s="54">
        <f t="shared" si="7"/>
        <v>0</v>
      </c>
      <c r="Q59" s="55">
        <f t="shared" si="0"/>
        <v>0</v>
      </c>
      <c r="R59" s="55">
        <f t="shared" si="1"/>
        <v>0</v>
      </c>
      <c r="S59" s="55">
        <f t="shared" si="2"/>
        <v>0</v>
      </c>
      <c r="T59" s="56">
        <f t="shared" si="3"/>
        <v>0</v>
      </c>
      <c r="U59" s="56">
        <f t="shared" si="4"/>
        <v>0</v>
      </c>
      <c r="V59" s="55">
        <f t="shared" si="5"/>
        <v>0</v>
      </c>
    </row>
    <row r="60" spans="1:22" hidden="1" outlineLevel="1" x14ac:dyDescent="0.3">
      <c r="A60" s="936">
        <v>11</v>
      </c>
      <c r="B60" s="914" t="s">
        <v>77</v>
      </c>
      <c r="C60" s="936">
        <v>2</v>
      </c>
      <c r="D60" s="48">
        <v>3.65</v>
      </c>
      <c r="E60" s="49">
        <v>0.23</v>
      </c>
      <c r="F60" s="48">
        <v>2.2000000000000002</v>
      </c>
      <c r="G60" s="48">
        <f>F60*E60*D60*C60</f>
        <v>3.6938000000000009</v>
      </c>
      <c r="H60" s="59">
        <v>20</v>
      </c>
      <c r="I60" s="59">
        <v>12</v>
      </c>
      <c r="J60" s="48">
        <f>(F60+(50*H60/1000))*I60*C60</f>
        <v>76.800000000000011</v>
      </c>
      <c r="K60" s="51" t="s">
        <v>66</v>
      </c>
      <c r="L60" s="50">
        <v>8</v>
      </c>
      <c r="M60" s="52">
        <v>0.1</v>
      </c>
      <c r="N60" s="50">
        <f>ROUND(((F60/2)/M60),0)+1</f>
        <v>12</v>
      </c>
      <c r="O60" s="53">
        <f>((((((((D60-0.08)+(E60-0.08))*2)+0.2)+((((E60-0.08)+0.2)*(((I60+I61+I62)/2)-2)))))))</f>
        <v>16.04</v>
      </c>
      <c r="P60" s="54">
        <f>O60*N60*C60</f>
        <v>384.96</v>
      </c>
      <c r="Q60" s="55">
        <f t="shared" si="0"/>
        <v>0</v>
      </c>
      <c r="R60" s="55">
        <f t="shared" si="1"/>
        <v>0</v>
      </c>
      <c r="S60" s="55">
        <f t="shared" si="2"/>
        <v>0</v>
      </c>
      <c r="T60" s="56">
        <f t="shared" si="3"/>
        <v>76.800000000000011</v>
      </c>
      <c r="U60" s="56">
        <f t="shared" si="4"/>
        <v>0</v>
      </c>
      <c r="V60" s="55">
        <f t="shared" si="5"/>
        <v>0</v>
      </c>
    </row>
    <row r="61" spans="1:22" hidden="1" outlineLevel="1" x14ac:dyDescent="0.3">
      <c r="A61" s="937"/>
      <c r="B61" s="915"/>
      <c r="C61" s="937"/>
      <c r="D61" s="57"/>
      <c r="E61" s="58"/>
      <c r="F61" s="57"/>
      <c r="G61" s="57"/>
      <c r="H61" s="59">
        <v>16</v>
      </c>
      <c r="I61" s="59">
        <v>28</v>
      </c>
      <c r="J61" s="57">
        <f>(F60+(50*H61/1000))*I61*C60</f>
        <v>168</v>
      </c>
      <c r="K61" s="60" t="s">
        <v>63</v>
      </c>
      <c r="L61" s="59">
        <v>8</v>
      </c>
      <c r="M61" s="61">
        <v>0.15</v>
      </c>
      <c r="N61" s="59">
        <f>ROUND((F60/2)/M61,0)+1</f>
        <v>8</v>
      </c>
      <c r="O61" s="53">
        <f>((((((((D60-0.08)+(E60-0.08))*2)+0.2)+((((E60-0.08)+0.2)*(((I61+I60+I62)/2)-2)))))))</f>
        <v>16.04</v>
      </c>
      <c r="P61" s="54">
        <f>O61*N61*C60</f>
        <v>256.64</v>
      </c>
      <c r="Q61" s="55">
        <f t="shared" si="0"/>
        <v>0</v>
      </c>
      <c r="R61" s="55">
        <f t="shared" si="1"/>
        <v>0</v>
      </c>
      <c r="S61" s="55">
        <f t="shared" si="2"/>
        <v>168</v>
      </c>
      <c r="T61" s="56">
        <f t="shared" si="3"/>
        <v>0</v>
      </c>
      <c r="U61" s="56">
        <f t="shared" si="4"/>
        <v>0</v>
      </c>
      <c r="V61" s="55">
        <f t="shared" si="5"/>
        <v>0</v>
      </c>
    </row>
    <row r="62" spans="1:22" hidden="1" outlineLevel="1" x14ac:dyDescent="0.3">
      <c r="A62" s="937"/>
      <c r="B62" s="915"/>
      <c r="C62" s="937"/>
      <c r="D62" s="57"/>
      <c r="E62" s="58"/>
      <c r="F62" s="57"/>
      <c r="G62" s="57"/>
      <c r="H62" s="59">
        <v>12</v>
      </c>
      <c r="I62" s="59">
        <v>12</v>
      </c>
      <c r="J62" s="57">
        <f>(F60+(50*H62/1000))*I62*C60</f>
        <v>67.2</v>
      </c>
      <c r="K62" s="60" t="s">
        <v>63</v>
      </c>
      <c r="L62" s="59"/>
      <c r="M62" s="61"/>
      <c r="N62" s="59"/>
      <c r="O62" s="62"/>
      <c r="P62" s="54">
        <f t="shared" si="7"/>
        <v>0</v>
      </c>
      <c r="Q62" s="55">
        <f t="shared" si="0"/>
        <v>0</v>
      </c>
      <c r="R62" s="55">
        <f t="shared" si="1"/>
        <v>67.2</v>
      </c>
      <c r="S62" s="55">
        <f t="shared" si="2"/>
        <v>0</v>
      </c>
      <c r="T62" s="56">
        <f t="shared" si="3"/>
        <v>0</v>
      </c>
      <c r="U62" s="56">
        <f t="shared" si="4"/>
        <v>0</v>
      </c>
      <c r="V62" s="55">
        <f t="shared" si="5"/>
        <v>0</v>
      </c>
    </row>
    <row r="63" spans="1:22" hidden="1" outlineLevel="1" x14ac:dyDescent="0.3">
      <c r="A63" s="979"/>
      <c r="B63" s="980"/>
      <c r="C63" s="979"/>
      <c r="D63" s="70"/>
      <c r="E63" s="71"/>
      <c r="F63" s="70"/>
      <c r="G63" s="70"/>
      <c r="H63" s="72"/>
      <c r="I63" s="72"/>
      <c r="J63" s="70"/>
      <c r="K63" s="73" t="s">
        <v>64</v>
      </c>
      <c r="L63" s="72"/>
      <c r="M63" s="67"/>
      <c r="N63" s="65"/>
      <c r="O63" s="69"/>
      <c r="P63" s="54">
        <f t="shared" si="7"/>
        <v>0</v>
      </c>
      <c r="Q63" s="55">
        <f t="shared" si="0"/>
        <v>0</v>
      </c>
      <c r="R63" s="55">
        <f t="shared" si="1"/>
        <v>0</v>
      </c>
      <c r="S63" s="55">
        <f t="shared" si="2"/>
        <v>0</v>
      </c>
      <c r="T63" s="56">
        <f t="shared" si="3"/>
        <v>0</v>
      </c>
      <c r="U63" s="56">
        <f t="shared" si="4"/>
        <v>0</v>
      </c>
      <c r="V63" s="55">
        <f t="shared" si="5"/>
        <v>0</v>
      </c>
    </row>
    <row r="64" spans="1:22" hidden="1" outlineLevel="1" x14ac:dyDescent="0.3">
      <c r="A64" s="936">
        <v>12</v>
      </c>
      <c r="B64" s="914" t="s">
        <v>78</v>
      </c>
      <c r="C64" s="936">
        <v>4</v>
      </c>
      <c r="D64" s="48">
        <v>1.55</v>
      </c>
      <c r="E64" s="49">
        <v>0.23</v>
      </c>
      <c r="F64" s="48">
        <v>2.2000000000000002</v>
      </c>
      <c r="G64" s="48">
        <f>F64*E64*D64*C64</f>
        <v>3.1372000000000009</v>
      </c>
      <c r="H64" s="50">
        <v>16</v>
      </c>
      <c r="I64" s="50">
        <v>24</v>
      </c>
      <c r="J64" s="48">
        <f>(F64+(50*H64/1000))*I64*C64</f>
        <v>288</v>
      </c>
      <c r="K64" s="51" t="s">
        <v>66</v>
      </c>
      <c r="L64" s="50">
        <v>8</v>
      </c>
      <c r="M64" s="52">
        <v>0.1</v>
      </c>
      <c r="N64" s="50">
        <f>ROUND(((F64/2)/M64),0)+1</f>
        <v>12</v>
      </c>
      <c r="O64" s="53">
        <f>((((((((D64-0.08)+(E64-0.08))*2)+0.2)+((((E64-0.08)+0.2)*(((I64+I65+I66)/2)-2)))))))</f>
        <v>6.9400000000000013</v>
      </c>
      <c r="P64" s="54">
        <f>O64*N64*C64</f>
        <v>333.12000000000006</v>
      </c>
      <c r="Q64" s="55">
        <f t="shared" si="0"/>
        <v>0</v>
      </c>
      <c r="R64" s="55">
        <f t="shared" si="1"/>
        <v>0</v>
      </c>
      <c r="S64" s="55">
        <f t="shared" si="2"/>
        <v>288</v>
      </c>
      <c r="T64" s="56">
        <f t="shared" si="3"/>
        <v>0</v>
      </c>
      <c r="U64" s="56">
        <f t="shared" si="4"/>
        <v>0</v>
      </c>
      <c r="V64" s="55">
        <f t="shared" si="5"/>
        <v>0</v>
      </c>
    </row>
    <row r="65" spans="1:22" hidden="1" outlineLevel="1" x14ac:dyDescent="0.3">
      <c r="A65" s="937"/>
      <c r="B65" s="915"/>
      <c r="C65" s="937"/>
      <c r="D65" s="57"/>
      <c r="E65" s="58"/>
      <c r="F65" s="57"/>
      <c r="G65" s="57"/>
      <c r="H65" s="59"/>
      <c r="I65" s="59"/>
      <c r="J65" s="57">
        <f>(F64+(50*H65/1000))*I65*C64</f>
        <v>0</v>
      </c>
      <c r="K65" s="60" t="s">
        <v>63</v>
      </c>
      <c r="L65" s="59">
        <v>8</v>
      </c>
      <c r="M65" s="61">
        <v>0.15</v>
      </c>
      <c r="N65" s="59">
        <f>ROUND((F64/2)/M65,0)+1</f>
        <v>8</v>
      </c>
      <c r="O65" s="53">
        <f>((((((((D64-0.08)+(E64-0.08))*2)+0.2)+((((E64-0.08)+0.2)*(((I65+I64+I66)/2)-2)))))))</f>
        <v>6.9400000000000013</v>
      </c>
      <c r="P65" s="54">
        <f>O65*N65*C64</f>
        <v>222.08000000000004</v>
      </c>
      <c r="Q65" s="55">
        <f t="shared" si="0"/>
        <v>0</v>
      </c>
      <c r="R65" s="55">
        <f t="shared" si="1"/>
        <v>0</v>
      </c>
      <c r="S65" s="55">
        <f t="shared" si="2"/>
        <v>0</v>
      </c>
      <c r="T65" s="56">
        <f t="shared" si="3"/>
        <v>0</v>
      </c>
      <c r="U65" s="56">
        <f t="shared" si="4"/>
        <v>0</v>
      </c>
      <c r="V65" s="55">
        <f t="shared" si="5"/>
        <v>0</v>
      </c>
    </row>
    <row r="66" spans="1:22" hidden="1" outlineLevel="1" x14ac:dyDescent="0.3">
      <c r="A66" s="937"/>
      <c r="B66" s="915"/>
      <c r="C66" s="937"/>
      <c r="D66" s="57"/>
      <c r="E66" s="58"/>
      <c r="F66" s="57"/>
      <c r="G66" s="57"/>
      <c r="H66" s="59"/>
      <c r="I66" s="59"/>
      <c r="J66" s="57">
        <f>(F64+(50*H66/1000))*I66*C64</f>
        <v>0</v>
      </c>
      <c r="K66" s="60" t="s">
        <v>63</v>
      </c>
      <c r="L66" s="59"/>
      <c r="M66" s="61"/>
      <c r="N66" s="59"/>
      <c r="O66" s="62"/>
      <c r="P66" s="54">
        <f t="shared" ref="P66:P71" si="8">O66</f>
        <v>0</v>
      </c>
      <c r="Q66" s="55">
        <f t="shared" si="0"/>
        <v>0</v>
      </c>
      <c r="R66" s="55">
        <f t="shared" si="1"/>
        <v>0</v>
      </c>
      <c r="S66" s="55">
        <f t="shared" si="2"/>
        <v>0</v>
      </c>
      <c r="T66" s="56">
        <f t="shared" si="3"/>
        <v>0</v>
      </c>
      <c r="U66" s="56">
        <f t="shared" si="4"/>
        <v>0</v>
      </c>
      <c r="V66" s="55">
        <f t="shared" si="5"/>
        <v>0</v>
      </c>
    </row>
    <row r="67" spans="1:22" hidden="1" outlineLevel="1" x14ac:dyDescent="0.3">
      <c r="A67" s="979"/>
      <c r="B67" s="980"/>
      <c r="C67" s="979"/>
      <c r="D67" s="70"/>
      <c r="E67" s="71"/>
      <c r="F67" s="70"/>
      <c r="G67" s="70"/>
      <c r="H67" s="72"/>
      <c r="I67" s="72"/>
      <c r="J67" s="70"/>
      <c r="K67" s="73" t="s">
        <v>64</v>
      </c>
      <c r="L67" s="72"/>
      <c r="M67" s="67"/>
      <c r="N67" s="65"/>
      <c r="O67" s="69"/>
      <c r="P67" s="54">
        <f t="shared" si="8"/>
        <v>0</v>
      </c>
      <c r="Q67" s="55">
        <f t="shared" si="0"/>
        <v>0</v>
      </c>
      <c r="R67" s="55">
        <f t="shared" si="1"/>
        <v>0</v>
      </c>
      <c r="S67" s="55">
        <f t="shared" si="2"/>
        <v>0</v>
      </c>
      <c r="T67" s="56">
        <f t="shared" si="3"/>
        <v>0</v>
      </c>
      <c r="U67" s="56">
        <f t="shared" si="4"/>
        <v>0</v>
      </c>
      <c r="V67" s="55">
        <f t="shared" si="5"/>
        <v>0</v>
      </c>
    </row>
    <row r="68" spans="1:22" hidden="1" outlineLevel="1" x14ac:dyDescent="0.3">
      <c r="A68" s="936">
        <v>13</v>
      </c>
      <c r="B68" s="914" t="s">
        <v>79</v>
      </c>
      <c r="C68" s="936">
        <v>1</v>
      </c>
      <c r="D68" s="48">
        <v>2.2000000000000002</v>
      </c>
      <c r="E68" s="49">
        <v>0.23</v>
      </c>
      <c r="F68" s="48">
        <v>2.2000000000000002</v>
      </c>
      <c r="G68" s="48">
        <f>F68*E68*D68*C68</f>
        <v>1.1132000000000004</v>
      </c>
      <c r="H68" s="50">
        <v>20</v>
      </c>
      <c r="I68" s="50">
        <v>8</v>
      </c>
      <c r="J68" s="48">
        <f>(F68+(50*H68/1000))*I68*C68</f>
        <v>25.6</v>
      </c>
      <c r="K68" s="51" t="s">
        <v>66</v>
      </c>
      <c r="L68" s="50">
        <v>8</v>
      </c>
      <c r="M68" s="52">
        <v>0.1</v>
      </c>
      <c r="N68" s="50">
        <f>ROUND(((F68/2)/M68),0)+1</f>
        <v>12</v>
      </c>
      <c r="O68" s="53">
        <f>((((((((D68-0.08)+(E68-0.08))*2)+0.2)+((((E68-0.08)+0.2)*(((I68+I69+I70)/2)-2)))))))</f>
        <v>9.64</v>
      </c>
      <c r="P68" s="54">
        <f>O68*N68*C68</f>
        <v>115.68</v>
      </c>
      <c r="Q68" s="55">
        <f t="shared" si="0"/>
        <v>0</v>
      </c>
      <c r="R68" s="55">
        <f t="shared" si="1"/>
        <v>0</v>
      </c>
      <c r="S68" s="55">
        <f t="shared" si="2"/>
        <v>0</v>
      </c>
      <c r="T68" s="56">
        <f t="shared" si="3"/>
        <v>25.6</v>
      </c>
      <c r="U68" s="56">
        <f t="shared" si="4"/>
        <v>0</v>
      </c>
      <c r="V68" s="55">
        <f t="shared" si="5"/>
        <v>0</v>
      </c>
    </row>
    <row r="69" spans="1:22" hidden="1" outlineLevel="1" x14ac:dyDescent="0.3">
      <c r="A69" s="937"/>
      <c r="B69" s="915"/>
      <c r="C69" s="937"/>
      <c r="D69" s="57"/>
      <c r="E69" s="58"/>
      <c r="F69" s="57"/>
      <c r="G69" s="57"/>
      <c r="H69" s="59">
        <v>16</v>
      </c>
      <c r="I69" s="59">
        <v>24</v>
      </c>
      <c r="J69" s="57">
        <f>(F68+(50*H69/1000))*I69*C68</f>
        <v>72</v>
      </c>
      <c r="K69" s="60" t="s">
        <v>63</v>
      </c>
      <c r="L69" s="59">
        <v>8</v>
      </c>
      <c r="M69" s="61">
        <v>0.15</v>
      </c>
      <c r="N69" s="59">
        <f>ROUND((F68/2)/M69,0)+1</f>
        <v>8</v>
      </c>
      <c r="O69" s="53">
        <f>((((((((D68-0.08)+(E68-0.08))*2)+0.2)+((((E68-0.08)+0.2)*(((I69+I68+I70)/2)-2)))))))</f>
        <v>9.64</v>
      </c>
      <c r="P69" s="54">
        <f>O69*N69*C68</f>
        <v>77.12</v>
      </c>
      <c r="Q69" s="55">
        <f t="shared" si="0"/>
        <v>0</v>
      </c>
      <c r="R69" s="55">
        <f t="shared" si="1"/>
        <v>0</v>
      </c>
      <c r="S69" s="55">
        <f t="shared" si="2"/>
        <v>72</v>
      </c>
      <c r="T69" s="56">
        <f t="shared" si="3"/>
        <v>0</v>
      </c>
      <c r="U69" s="56">
        <f t="shared" si="4"/>
        <v>0</v>
      </c>
      <c r="V69" s="55">
        <f t="shared" si="5"/>
        <v>0</v>
      </c>
    </row>
    <row r="70" spans="1:22" hidden="1" outlineLevel="1" x14ac:dyDescent="0.3">
      <c r="A70" s="937"/>
      <c r="B70" s="915"/>
      <c r="C70" s="937"/>
      <c r="D70" s="57"/>
      <c r="E70" s="58"/>
      <c r="F70" s="57"/>
      <c r="G70" s="57"/>
      <c r="H70" s="59"/>
      <c r="I70" s="59"/>
      <c r="J70" s="57">
        <f>(F68+(50*H70/1000))*I70*C68</f>
        <v>0</v>
      </c>
      <c r="K70" s="60" t="s">
        <v>63</v>
      </c>
      <c r="L70" s="59"/>
      <c r="M70" s="61"/>
      <c r="N70" s="59"/>
      <c r="O70" s="62"/>
      <c r="P70" s="54">
        <f t="shared" si="8"/>
        <v>0</v>
      </c>
      <c r="Q70" s="55">
        <f t="shared" si="0"/>
        <v>0</v>
      </c>
      <c r="R70" s="55">
        <f t="shared" si="1"/>
        <v>0</v>
      </c>
      <c r="S70" s="55">
        <f t="shared" si="2"/>
        <v>0</v>
      </c>
      <c r="T70" s="56">
        <f t="shared" si="3"/>
        <v>0</v>
      </c>
      <c r="U70" s="56">
        <f t="shared" si="4"/>
        <v>0</v>
      </c>
      <c r="V70" s="55">
        <f t="shared" si="5"/>
        <v>0</v>
      </c>
    </row>
    <row r="71" spans="1:22" hidden="1" outlineLevel="1" x14ac:dyDescent="0.3">
      <c r="A71" s="979"/>
      <c r="B71" s="980"/>
      <c r="C71" s="979"/>
      <c r="D71" s="70"/>
      <c r="E71" s="71"/>
      <c r="F71" s="70"/>
      <c r="G71" s="70"/>
      <c r="H71" s="72"/>
      <c r="I71" s="72"/>
      <c r="J71" s="70"/>
      <c r="K71" s="73" t="s">
        <v>64</v>
      </c>
      <c r="L71" s="72"/>
      <c r="M71" s="67"/>
      <c r="N71" s="65"/>
      <c r="O71" s="69"/>
      <c r="P71" s="54">
        <f t="shared" si="8"/>
        <v>0</v>
      </c>
      <c r="Q71" s="55">
        <f t="shared" si="0"/>
        <v>0</v>
      </c>
      <c r="R71" s="55">
        <f t="shared" si="1"/>
        <v>0</v>
      </c>
      <c r="S71" s="55">
        <f t="shared" si="2"/>
        <v>0</v>
      </c>
      <c r="T71" s="56">
        <f t="shared" si="3"/>
        <v>0</v>
      </c>
      <c r="U71" s="56">
        <f t="shared" si="4"/>
        <v>0</v>
      </c>
      <c r="V71" s="55">
        <f t="shared" si="5"/>
        <v>0</v>
      </c>
    </row>
    <row r="72" spans="1:22" hidden="1" outlineLevel="1" x14ac:dyDescent="0.3">
      <c r="A72" s="936">
        <v>13</v>
      </c>
      <c r="B72" s="914" t="s">
        <v>80</v>
      </c>
      <c r="C72" s="936">
        <v>1</v>
      </c>
      <c r="D72" s="48">
        <v>2.2000000000000002</v>
      </c>
      <c r="E72" s="49">
        <v>0.23</v>
      </c>
      <c r="F72" s="48">
        <v>2.2000000000000002</v>
      </c>
      <c r="G72" s="48">
        <f>F72*E72*D72*C72</f>
        <v>1.1132000000000004</v>
      </c>
      <c r="H72" s="50">
        <v>20</v>
      </c>
      <c r="I72" s="50">
        <v>8</v>
      </c>
      <c r="J72" s="48">
        <f>(F72+(50*H72/1000))*I72*C72</f>
        <v>25.6</v>
      </c>
      <c r="K72" s="51" t="s">
        <v>66</v>
      </c>
      <c r="L72" s="50">
        <v>8</v>
      </c>
      <c r="M72" s="52">
        <v>0.1</v>
      </c>
      <c r="N72" s="50">
        <f>ROUND(((F72/2)/M72),0)+1</f>
        <v>12</v>
      </c>
      <c r="O72" s="53">
        <f>((((((((D72-0.08)+(E72-0.08))*2)+0.2)+((((E72-0.08)+0.2)*(((I72+I73+I74)/2)-2)))))))</f>
        <v>9.64</v>
      </c>
      <c r="P72" s="54">
        <f>O72*N72*C72</f>
        <v>115.68</v>
      </c>
      <c r="Q72" s="55">
        <f t="shared" si="0"/>
        <v>0</v>
      </c>
      <c r="R72" s="55">
        <f t="shared" si="1"/>
        <v>0</v>
      </c>
      <c r="S72" s="55">
        <f t="shared" si="2"/>
        <v>0</v>
      </c>
      <c r="T72" s="56">
        <f t="shared" si="3"/>
        <v>25.6</v>
      </c>
      <c r="U72" s="56">
        <f t="shared" si="4"/>
        <v>0</v>
      </c>
      <c r="V72" s="55">
        <f t="shared" si="5"/>
        <v>0</v>
      </c>
    </row>
    <row r="73" spans="1:22" hidden="1" outlineLevel="1" x14ac:dyDescent="0.3">
      <c r="A73" s="937"/>
      <c r="B73" s="915"/>
      <c r="C73" s="937"/>
      <c r="D73" s="57"/>
      <c r="E73" s="58"/>
      <c r="F73" s="57"/>
      <c r="G73" s="57"/>
      <c r="H73" s="59">
        <v>16</v>
      </c>
      <c r="I73" s="59">
        <v>24</v>
      </c>
      <c r="J73" s="57">
        <f>(F72+(50*H73/1000))*I73*C72</f>
        <v>72</v>
      </c>
      <c r="K73" s="60" t="s">
        <v>63</v>
      </c>
      <c r="L73" s="59">
        <v>8</v>
      </c>
      <c r="M73" s="61">
        <v>0.15</v>
      </c>
      <c r="N73" s="59">
        <f>ROUND((F72/2)/M73,0)+1</f>
        <v>8</v>
      </c>
      <c r="O73" s="53">
        <f>((((((((D72-0.08)+(E72-0.08))*2)+0.2)+((((E72-0.08)+0.2)*(((I73+I72+I74)/2)-2)))))))</f>
        <v>9.64</v>
      </c>
      <c r="P73" s="54">
        <f>O73*N73*C72</f>
        <v>77.12</v>
      </c>
      <c r="Q73" s="55">
        <f t="shared" ref="Q73:Q134" si="9">IF(H73=10,(J73),0)+IF(L73=10,(O73*N73),0)</f>
        <v>0</v>
      </c>
      <c r="R73" s="55">
        <f t="shared" ref="R73:R134" si="10">IF(H73=12,(J73),0)+IF(L73=12,(O73*N73),0)</f>
        <v>0</v>
      </c>
      <c r="S73" s="55">
        <f t="shared" ref="S73:S134" si="11">IF(H73=16,(J73),0)+IF(L73=16,(O73*N73),0)</f>
        <v>72</v>
      </c>
      <c r="T73" s="56">
        <f t="shared" ref="T73:T134" si="12">IF(H73=20,(J73),0)+IF(L73=20,(O73*N73),0)</f>
        <v>0</v>
      </c>
      <c r="U73" s="56">
        <f t="shared" ref="U73:U134" si="13">IF(H73=25,(J73),0)+IF(L73=25,(O73*N73),0)</f>
        <v>0</v>
      </c>
      <c r="V73" s="55">
        <f t="shared" ref="V73:V134" si="14">IF(H73=32,(J73),0)+IF(L73=32,(O73*N73),0)</f>
        <v>0</v>
      </c>
    </row>
    <row r="74" spans="1:22" hidden="1" outlineLevel="1" x14ac:dyDescent="0.3">
      <c r="A74" s="937"/>
      <c r="B74" s="915"/>
      <c r="C74" s="937"/>
      <c r="D74" s="57"/>
      <c r="E74" s="58"/>
      <c r="F74" s="57"/>
      <c r="G74" s="57"/>
      <c r="H74" s="59"/>
      <c r="I74" s="59"/>
      <c r="J74" s="57">
        <f>(F72+(50*H74/1000))*I74*C72</f>
        <v>0</v>
      </c>
      <c r="K74" s="60" t="s">
        <v>63</v>
      </c>
      <c r="L74" s="59"/>
      <c r="M74" s="61"/>
      <c r="N74" s="59"/>
      <c r="O74" s="62"/>
      <c r="P74" s="54">
        <f t="shared" ref="P74:P79" si="15">O74</f>
        <v>0</v>
      </c>
      <c r="Q74" s="55">
        <f t="shared" si="9"/>
        <v>0</v>
      </c>
      <c r="R74" s="55">
        <f t="shared" si="10"/>
        <v>0</v>
      </c>
      <c r="S74" s="55">
        <f t="shared" si="11"/>
        <v>0</v>
      </c>
      <c r="T74" s="56">
        <f t="shared" si="12"/>
        <v>0</v>
      </c>
      <c r="U74" s="56">
        <f t="shared" si="13"/>
        <v>0</v>
      </c>
      <c r="V74" s="55">
        <f t="shared" si="14"/>
        <v>0</v>
      </c>
    </row>
    <row r="75" spans="1:22" hidden="1" outlineLevel="1" x14ac:dyDescent="0.3">
      <c r="A75" s="979"/>
      <c r="B75" s="980"/>
      <c r="C75" s="979"/>
      <c r="D75" s="70"/>
      <c r="E75" s="71"/>
      <c r="F75" s="70"/>
      <c r="G75" s="70"/>
      <c r="H75" s="72"/>
      <c r="I75" s="72"/>
      <c r="J75" s="70"/>
      <c r="K75" s="73" t="s">
        <v>64</v>
      </c>
      <c r="L75" s="72"/>
      <c r="M75" s="67"/>
      <c r="N75" s="65"/>
      <c r="O75" s="69"/>
      <c r="P75" s="54">
        <f t="shared" si="15"/>
        <v>0</v>
      </c>
      <c r="Q75" s="55">
        <f t="shared" si="9"/>
        <v>0</v>
      </c>
      <c r="R75" s="55">
        <f t="shared" si="10"/>
        <v>0</v>
      </c>
      <c r="S75" s="55">
        <f t="shared" si="11"/>
        <v>0</v>
      </c>
      <c r="T75" s="56">
        <f t="shared" si="12"/>
        <v>0</v>
      </c>
      <c r="U75" s="56">
        <f t="shared" si="13"/>
        <v>0</v>
      </c>
      <c r="V75" s="55">
        <f t="shared" si="14"/>
        <v>0</v>
      </c>
    </row>
    <row r="76" spans="1:22" hidden="1" outlineLevel="1" x14ac:dyDescent="0.3">
      <c r="A76" s="936">
        <v>14</v>
      </c>
      <c r="B76" s="914" t="s">
        <v>81</v>
      </c>
      <c r="C76" s="936">
        <v>1</v>
      </c>
      <c r="D76" s="48">
        <v>2.6</v>
      </c>
      <c r="E76" s="49">
        <v>0.23</v>
      </c>
      <c r="F76" s="48">
        <v>2.2000000000000002</v>
      </c>
      <c r="G76" s="48">
        <f>F76*E76*D76*C76</f>
        <v>1.3156000000000003</v>
      </c>
      <c r="H76" s="59">
        <v>20</v>
      </c>
      <c r="I76" s="59">
        <v>12</v>
      </c>
      <c r="J76" s="48">
        <f>(F76+(50*H76/1000))*I76*C76</f>
        <v>38.400000000000006</v>
      </c>
      <c r="K76" s="51" t="s">
        <v>66</v>
      </c>
      <c r="L76" s="50">
        <v>8</v>
      </c>
      <c r="M76" s="52">
        <v>0.1</v>
      </c>
      <c r="N76" s="50">
        <f>ROUND(((F76/2)/M76),0)+1</f>
        <v>12</v>
      </c>
      <c r="O76" s="53">
        <f>((((((((D76-0.08)+(E76-0.08))*2)+0.2)+((((E76-0.08)+0.2)*(((I76+I77+I78)/2)-2)))))))</f>
        <v>11.84</v>
      </c>
      <c r="P76" s="54">
        <f>O76*N76*C76</f>
        <v>142.07999999999998</v>
      </c>
      <c r="Q76" s="55">
        <f t="shared" si="9"/>
        <v>0</v>
      </c>
      <c r="R76" s="55">
        <f t="shared" si="10"/>
        <v>0</v>
      </c>
      <c r="S76" s="55">
        <f t="shared" si="11"/>
        <v>0</v>
      </c>
      <c r="T76" s="56">
        <f t="shared" si="12"/>
        <v>38.400000000000006</v>
      </c>
      <c r="U76" s="56">
        <f t="shared" si="13"/>
        <v>0</v>
      </c>
      <c r="V76" s="55">
        <f t="shared" si="14"/>
        <v>0</v>
      </c>
    </row>
    <row r="77" spans="1:22" hidden="1" outlineLevel="1" x14ac:dyDescent="0.3">
      <c r="A77" s="937"/>
      <c r="B77" s="915"/>
      <c r="C77" s="937"/>
      <c r="D77" s="57"/>
      <c r="E77" s="58"/>
      <c r="F77" s="57"/>
      <c r="G77" s="57"/>
      <c r="H77" s="59">
        <v>16</v>
      </c>
      <c r="I77" s="59">
        <v>28</v>
      </c>
      <c r="J77" s="57">
        <f>(F76+(50*H77/1000))*I77*C76</f>
        <v>84</v>
      </c>
      <c r="K77" s="60" t="s">
        <v>63</v>
      </c>
      <c r="L77" s="59">
        <v>8</v>
      </c>
      <c r="M77" s="61">
        <v>0.15</v>
      </c>
      <c r="N77" s="59">
        <f>ROUND((F76/2)/M77,0)+1</f>
        <v>8</v>
      </c>
      <c r="O77" s="53">
        <f>((((((((D76-0.08)+(E76-0.08))*2)+0.2)+((((E76-0.08)+0.2)*(((I77+I76+I78)/2)-2)))))))</f>
        <v>11.84</v>
      </c>
      <c r="P77" s="54">
        <f>O77*N77*C76</f>
        <v>94.72</v>
      </c>
      <c r="Q77" s="55">
        <f t="shared" si="9"/>
        <v>0</v>
      </c>
      <c r="R77" s="55">
        <f t="shared" si="10"/>
        <v>0</v>
      </c>
      <c r="S77" s="55">
        <f t="shared" si="11"/>
        <v>84</v>
      </c>
      <c r="T77" s="56">
        <f t="shared" si="12"/>
        <v>0</v>
      </c>
      <c r="U77" s="56">
        <f t="shared" si="13"/>
        <v>0</v>
      </c>
      <c r="V77" s="55">
        <f t="shared" si="14"/>
        <v>0</v>
      </c>
    </row>
    <row r="78" spans="1:22" hidden="1" outlineLevel="1" x14ac:dyDescent="0.3">
      <c r="A78" s="937"/>
      <c r="B78" s="915"/>
      <c r="C78" s="937"/>
      <c r="D78" s="57"/>
      <c r="E78" s="58"/>
      <c r="F78" s="57"/>
      <c r="G78" s="57"/>
      <c r="H78" s="59"/>
      <c r="I78" s="59"/>
      <c r="J78" s="57">
        <f>(F76+(50*H78/1000))*I78*C76</f>
        <v>0</v>
      </c>
      <c r="K78" s="60" t="s">
        <v>63</v>
      </c>
      <c r="L78" s="59"/>
      <c r="M78" s="61"/>
      <c r="N78" s="59"/>
      <c r="O78" s="62"/>
      <c r="P78" s="54">
        <f t="shared" si="15"/>
        <v>0</v>
      </c>
      <c r="Q78" s="55">
        <f t="shared" si="9"/>
        <v>0</v>
      </c>
      <c r="R78" s="55">
        <f t="shared" si="10"/>
        <v>0</v>
      </c>
      <c r="S78" s="55">
        <f t="shared" si="11"/>
        <v>0</v>
      </c>
      <c r="T78" s="56">
        <f t="shared" si="12"/>
        <v>0</v>
      </c>
      <c r="U78" s="56">
        <f t="shared" si="13"/>
        <v>0</v>
      </c>
      <c r="V78" s="55">
        <f t="shared" si="14"/>
        <v>0</v>
      </c>
    </row>
    <row r="79" spans="1:22" hidden="1" outlineLevel="1" x14ac:dyDescent="0.3">
      <c r="A79" s="979"/>
      <c r="B79" s="980"/>
      <c r="C79" s="979"/>
      <c r="D79" s="70"/>
      <c r="E79" s="71"/>
      <c r="F79" s="70"/>
      <c r="G79" s="70"/>
      <c r="H79" s="72"/>
      <c r="I79" s="72"/>
      <c r="J79" s="70"/>
      <c r="K79" s="73" t="s">
        <v>64</v>
      </c>
      <c r="L79" s="72"/>
      <c r="M79" s="67"/>
      <c r="N79" s="65"/>
      <c r="O79" s="69"/>
      <c r="P79" s="54">
        <f t="shared" si="15"/>
        <v>0</v>
      </c>
      <c r="Q79" s="55">
        <f t="shared" si="9"/>
        <v>0</v>
      </c>
      <c r="R79" s="55">
        <f t="shared" si="10"/>
        <v>0</v>
      </c>
      <c r="S79" s="55">
        <f t="shared" si="11"/>
        <v>0</v>
      </c>
      <c r="T79" s="56">
        <f t="shared" si="12"/>
        <v>0</v>
      </c>
      <c r="U79" s="56">
        <f t="shared" si="13"/>
        <v>0</v>
      </c>
      <c r="V79" s="55">
        <f t="shared" si="14"/>
        <v>0</v>
      </c>
    </row>
    <row r="80" spans="1:22" hidden="1" outlineLevel="1" x14ac:dyDescent="0.3">
      <c r="A80" s="936">
        <v>15</v>
      </c>
      <c r="B80" s="914" t="s">
        <v>82</v>
      </c>
      <c r="C80" s="936">
        <v>0</v>
      </c>
      <c r="D80" s="48">
        <v>1.9</v>
      </c>
      <c r="E80" s="49">
        <v>0.23</v>
      </c>
      <c r="F80" s="48">
        <v>2.2000000000000002</v>
      </c>
      <c r="G80" s="48">
        <f>F80*E80*D80*C80</f>
        <v>0</v>
      </c>
      <c r="H80" s="50">
        <v>16</v>
      </c>
      <c r="I80" s="50">
        <v>24</v>
      </c>
      <c r="J80" s="48">
        <f>(F80+(50*H80/1000))*I80*C80</f>
        <v>0</v>
      </c>
      <c r="K80" s="51" t="s">
        <v>66</v>
      </c>
      <c r="L80" s="50">
        <v>8</v>
      </c>
      <c r="M80" s="52">
        <v>0.1</v>
      </c>
      <c r="N80" s="50">
        <f>ROUND(((F80/2)/M80),0)+1</f>
        <v>12</v>
      </c>
      <c r="O80" s="53">
        <f>((((((((D80-0.08)+(E80-0.08))*2)+0.2)+((((E80-0.08)+0.2)*(((I80+I81+I82)/2)-2)))))))</f>
        <v>8.34</v>
      </c>
      <c r="P80" s="54">
        <f>O80*N80*C80</f>
        <v>0</v>
      </c>
      <c r="Q80" s="55">
        <f t="shared" si="9"/>
        <v>0</v>
      </c>
      <c r="R80" s="55">
        <f t="shared" si="10"/>
        <v>0</v>
      </c>
      <c r="S80" s="55">
        <f t="shared" si="11"/>
        <v>0</v>
      </c>
      <c r="T80" s="56">
        <f t="shared" si="12"/>
        <v>0</v>
      </c>
      <c r="U80" s="56">
        <f t="shared" si="13"/>
        <v>0</v>
      </c>
      <c r="V80" s="55">
        <f t="shared" si="14"/>
        <v>0</v>
      </c>
    </row>
    <row r="81" spans="1:22" hidden="1" outlineLevel="1" x14ac:dyDescent="0.3">
      <c r="A81" s="937"/>
      <c r="B81" s="915"/>
      <c r="C81" s="937"/>
      <c r="D81" s="57"/>
      <c r="E81" s="58"/>
      <c r="F81" s="57"/>
      <c r="G81" s="57"/>
      <c r="H81" s="59">
        <v>12</v>
      </c>
      <c r="I81" s="59">
        <v>4</v>
      </c>
      <c r="J81" s="57">
        <f>(F80+(50*H81/1000))*I81*C80</f>
        <v>0</v>
      </c>
      <c r="K81" s="60" t="s">
        <v>63</v>
      </c>
      <c r="L81" s="59">
        <v>8</v>
      </c>
      <c r="M81" s="61">
        <v>0.15</v>
      </c>
      <c r="N81" s="59">
        <f>ROUND((F80/2)/M81,0)+1</f>
        <v>8</v>
      </c>
      <c r="O81" s="53">
        <f>((((((((D80-0.08)+(E80-0.08))*2)+0.2)+((((E80-0.08)+0.2)*(((I81+I80+I82)/2)-2)))))))</f>
        <v>8.34</v>
      </c>
      <c r="P81" s="54">
        <f>O81*N81*C80</f>
        <v>0</v>
      </c>
      <c r="Q81" s="55">
        <f t="shared" si="9"/>
        <v>0</v>
      </c>
      <c r="R81" s="55">
        <f t="shared" si="10"/>
        <v>0</v>
      </c>
      <c r="S81" s="55">
        <f t="shared" si="11"/>
        <v>0</v>
      </c>
      <c r="T81" s="56">
        <f t="shared" si="12"/>
        <v>0</v>
      </c>
      <c r="U81" s="56">
        <f t="shared" si="13"/>
        <v>0</v>
      </c>
      <c r="V81" s="55">
        <f t="shared" si="14"/>
        <v>0</v>
      </c>
    </row>
    <row r="82" spans="1:22" hidden="1" outlineLevel="1" x14ac:dyDescent="0.3">
      <c r="A82" s="937"/>
      <c r="B82" s="915"/>
      <c r="C82" s="937"/>
      <c r="D82" s="57"/>
      <c r="E82" s="58"/>
      <c r="F82" s="57"/>
      <c r="G82" s="57"/>
      <c r="H82" s="59"/>
      <c r="I82" s="59"/>
      <c r="J82" s="57">
        <f>(F80+(50*H82/1000))*I82*C80</f>
        <v>0</v>
      </c>
      <c r="K82" s="60" t="s">
        <v>63</v>
      </c>
      <c r="L82" s="59"/>
      <c r="M82" s="61"/>
      <c r="N82" s="59"/>
      <c r="O82" s="62"/>
      <c r="P82" s="54">
        <f t="shared" ref="P82:P88" si="16">O82</f>
        <v>0</v>
      </c>
      <c r="Q82" s="55">
        <f t="shared" si="9"/>
        <v>0</v>
      </c>
      <c r="R82" s="55">
        <f t="shared" si="10"/>
        <v>0</v>
      </c>
      <c r="S82" s="55">
        <f t="shared" si="11"/>
        <v>0</v>
      </c>
      <c r="T82" s="56">
        <f t="shared" si="12"/>
        <v>0</v>
      </c>
      <c r="U82" s="56">
        <f t="shared" si="13"/>
        <v>0</v>
      </c>
      <c r="V82" s="55">
        <f t="shared" si="14"/>
        <v>0</v>
      </c>
    </row>
    <row r="83" spans="1:22" hidden="1" outlineLevel="1" x14ac:dyDescent="0.3">
      <c r="A83" s="979"/>
      <c r="B83" s="980"/>
      <c r="C83" s="979"/>
      <c r="D83" s="70"/>
      <c r="E83" s="71"/>
      <c r="F83" s="70"/>
      <c r="G83" s="70"/>
      <c r="H83" s="72"/>
      <c r="I83" s="72"/>
      <c r="J83" s="70"/>
      <c r="K83" s="73" t="s">
        <v>64</v>
      </c>
      <c r="L83" s="72"/>
      <c r="M83" s="67"/>
      <c r="N83" s="65"/>
      <c r="O83" s="69"/>
      <c r="P83" s="54">
        <f t="shared" si="16"/>
        <v>0</v>
      </c>
      <c r="Q83" s="55">
        <f t="shared" si="9"/>
        <v>0</v>
      </c>
      <c r="R83" s="55">
        <f t="shared" si="10"/>
        <v>0</v>
      </c>
      <c r="S83" s="55">
        <f t="shared" si="11"/>
        <v>0</v>
      </c>
      <c r="T83" s="56">
        <f t="shared" si="12"/>
        <v>0</v>
      </c>
      <c r="U83" s="56">
        <f t="shared" si="13"/>
        <v>0</v>
      </c>
      <c r="V83" s="55">
        <f t="shared" si="14"/>
        <v>0</v>
      </c>
    </row>
    <row r="84" spans="1:22" hidden="1" outlineLevel="1" x14ac:dyDescent="0.3">
      <c r="A84" s="936">
        <v>16</v>
      </c>
      <c r="B84" s="986" t="s">
        <v>83</v>
      </c>
      <c r="C84" s="987">
        <v>0</v>
      </c>
      <c r="D84" s="48">
        <v>1.7</v>
      </c>
      <c r="E84" s="49">
        <v>0.23</v>
      </c>
      <c r="F84" s="48">
        <v>2.2000000000000002</v>
      </c>
      <c r="G84" s="48">
        <f>F84*E84*D84*C84</f>
        <v>0</v>
      </c>
      <c r="H84" s="50">
        <v>20</v>
      </c>
      <c r="I84" s="50">
        <v>16</v>
      </c>
      <c r="J84" s="48">
        <f>(F84+(50*H84/1000))*I84*C84</f>
        <v>0</v>
      </c>
      <c r="K84" s="51" t="s">
        <v>84</v>
      </c>
      <c r="L84" s="50">
        <v>8</v>
      </c>
      <c r="M84" s="52">
        <v>0.1</v>
      </c>
      <c r="N84" s="50">
        <f>ROUND(((F84/2)/M84),0)+1</f>
        <v>12</v>
      </c>
      <c r="O84" s="53">
        <f>((((((((D84-0.08)+(E84-0.08))*2)+0.2)+((((E84-0.08)+0.2)*(((I84+I85+I86)/2)-2)))))))</f>
        <v>6.8900000000000006</v>
      </c>
      <c r="P84" s="54">
        <f>O84*N84*C84</f>
        <v>0</v>
      </c>
      <c r="Q84" s="55">
        <f t="shared" si="9"/>
        <v>0</v>
      </c>
      <c r="R84" s="55">
        <f t="shared" si="10"/>
        <v>0</v>
      </c>
      <c r="S84" s="55">
        <f t="shared" si="11"/>
        <v>0</v>
      </c>
      <c r="T84" s="56">
        <f t="shared" si="12"/>
        <v>0</v>
      </c>
      <c r="U84" s="56">
        <f t="shared" si="13"/>
        <v>0</v>
      </c>
      <c r="V84" s="55">
        <f t="shared" si="14"/>
        <v>0</v>
      </c>
    </row>
    <row r="85" spans="1:22" hidden="1" outlineLevel="1" x14ac:dyDescent="0.3">
      <c r="A85" s="937"/>
      <c r="B85" s="918"/>
      <c r="C85" s="982"/>
      <c r="D85" s="57"/>
      <c r="E85" s="58"/>
      <c r="F85" s="57"/>
      <c r="G85" s="57"/>
      <c r="H85" s="59">
        <v>16</v>
      </c>
      <c r="I85" s="59">
        <v>6</v>
      </c>
      <c r="J85" s="57">
        <f>(F84+(50*H85/1000))*I85*C84</f>
        <v>0</v>
      </c>
      <c r="K85" s="51" t="s">
        <v>84</v>
      </c>
      <c r="L85" s="59">
        <v>8</v>
      </c>
      <c r="M85" s="61">
        <v>0.15</v>
      </c>
      <c r="N85" s="59">
        <f>ROUND((F84/2)/M85,0)+1</f>
        <v>8</v>
      </c>
      <c r="O85" s="53">
        <f>((((((((D84-0.08)+(E84-0.08))*2)+0.2)+((((E84-0.08)+0.2)*(((I85+I84+I86)/2)-2)))))))</f>
        <v>6.8900000000000006</v>
      </c>
      <c r="P85" s="54">
        <f>O85*N85*C84</f>
        <v>0</v>
      </c>
      <c r="Q85" s="55">
        <f t="shared" si="9"/>
        <v>0</v>
      </c>
      <c r="R85" s="55">
        <f t="shared" si="10"/>
        <v>0</v>
      </c>
      <c r="S85" s="55">
        <f t="shared" si="11"/>
        <v>0</v>
      </c>
      <c r="T85" s="56">
        <f t="shared" si="12"/>
        <v>0</v>
      </c>
      <c r="U85" s="56">
        <f t="shared" si="13"/>
        <v>0</v>
      </c>
      <c r="V85" s="55">
        <f t="shared" si="14"/>
        <v>0</v>
      </c>
    </row>
    <row r="86" spans="1:22" hidden="1" outlineLevel="1" x14ac:dyDescent="0.3">
      <c r="A86" s="937"/>
      <c r="B86" s="918"/>
      <c r="C86" s="982"/>
      <c r="D86" s="57"/>
      <c r="E86" s="58"/>
      <c r="F86" s="57"/>
      <c r="G86" s="57"/>
      <c r="H86" s="59"/>
      <c r="I86" s="59"/>
      <c r="J86" s="57">
        <f>(F84+(50*H86/1000))*I86*C84</f>
        <v>0</v>
      </c>
      <c r="K86" s="60"/>
      <c r="L86" s="59"/>
      <c r="M86" s="61"/>
      <c r="N86" s="59"/>
      <c r="O86" s="62"/>
      <c r="P86" s="54">
        <f t="shared" si="16"/>
        <v>0</v>
      </c>
      <c r="Q86" s="55">
        <f t="shared" si="9"/>
        <v>0</v>
      </c>
      <c r="R86" s="55">
        <f t="shared" si="10"/>
        <v>0</v>
      </c>
      <c r="S86" s="55">
        <f t="shared" si="11"/>
        <v>0</v>
      </c>
      <c r="T86" s="56">
        <f t="shared" si="12"/>
        <v>0</v>
      </c>
      <c r="U86" s="56">
        <f t="shared" si="13"/>
        <v>0</v>
      </c>
      <c r="V86" s="55">
        <f t="shared" si="14"/>
        <v>0</v>
      </c>
    </row>
    <row r="87" spans="1:22" hidden="1" outlineLevel="1" x14ac:dyDescent="0.3">
      <c r="A87" s="937"/>
      <c r="B87" s="918"/>
      <c r="C87" s="982"/>
      <c r="D87" s="57"/>
      <c r="E87" s="58"/>
      <c r="F87" s="57"/>
      <c r="G87" s="57"/>
      <c r="H87" s="59"/>
      <c r="I87" s="59"/>
      <c r="J87" s="57"/>
      <c r="K87" s="60"/>
      <c r="L87" s="59"/>
      <c r="M87" s="61"/>
      <c r="N87" s="59"/>
      <c r="O87" s="62"/>
      <c r="P87" s="54">
        <f t="shared" si="16"/>
        <v>0</v>
      </c>
      <c r="Q87" s="55">
        <f t="shared" si="9"/>
        <v>0</v>
      </c>
      <c r="R87" s="55">
        <f t="shared" si="10"/>
        <v>0</v>
      </c>
      <c r="S87" s="55">
        <f t="shared" si="11"/>
        <v>0</v>
      </c>
      <c r="T87" s="56">
        <f t="shared" si="12"/>
        <v>0</v>
      </c>
      <c r="U87" s="56">
        <f t="shared" si="13"/>
        <v>0</v>
      </c>
      <c r="V87" s="55">
        <f t="shared" si="14"/>
        <v>0</v>
      </c>
    </row>
    <row r="88" spans="1:22" hidden="1" outlineLevel="1" x14ac:dyDescent="0.3">
      <c r="A88" s="938"/>
      <c r="B88" s="919"/>
      <c r="C88" s="983"/>
      <c r="D88" s="63"/>
      <c r="E88" s="64"/>
      <c r="F88" s="63"/>
      <c r="G88" s="63"/>
      <c r="H88" s="65"/>
      <c r="I88" s="65"/>
      <c r="J88" s="63"/>
      <c r="K88" s="66"/>
      <c r="L88" s="65"/>
      <c r="M88" s="67"/>
      <c r="N88" s="65"/>
      <c r="O88" s="69"/>
      <c r="P88" s="54">
        <f t="shared" si="16"/>
        <v>0</v>
      </c>
      <c r="Q88" s="55">
        <f t="shared" si="9"/>
        <v>0</v>
      </c>
      <c r="R88" s="55">
        <f t="shared" si="10"/>
        <v>0</v>
      </c>
      <c r="S88" s="55">
        <f t="shared" si="11"/>
        <v>0</v>
      </c>
      <c r="T88" s="56">
        <f t="shared" si="12"/>
        <v>0</v>
      </c>
      <c r="U88" s="56">
        <f t="shared" si="13"/>
        <v>0</v>
      </c>
      <c r="V88" s="55">
        <f t="shared" si="14"/>
        <v>0</v>
      </c>
    </row>
    <row r="89" spans="1:22" hidden="1" outlineLevel="1" x14ac:dyDescent="0.3">
      <c r="A89" s="936">
        <v>17</v>
      </c>
      <c r="B89" s="914" t="s">
        <v>85</v>
      </c>
      <c r="C89" s="936">
        <v>0</v>
      </c>
      <c r="D89" s="48">
        <v>1.9</v>
      </c>
      <c r="E89" s="49">
        <v>0.23</v>
      </c>
      <c r="F89" s="48">
        <v>2.2000000000000002</v>
      </c>
      <c r="G89" s="48">
        <f>F89*E89*D89*C89</f>
        <v>0</v>
      </c>
      <c r="H89" s="50">
        <v>20</v>
      </c>
      <c r="I89" s="50">
        <v>8</v>
      </c>
      <c r="J89" s="48">
        <f>(F89+(50*H89/1000))*I89*C89</f>
        <v>0</v>
      </c>
      <c r="K89" s="60" t="s">
        <v>63</v>
      </c>
      <c r="L89" s="50">
        <v>8</v>
      </c>
      <c r="M89" s="52">
        <v>0.1</v>
      </c>
      <c r="N89" s="50">
        <f>ROUND(((F89/2)/M89),0)+1</f>
        <v>12</v>
      </c>
      <c r="O89" s="53">
        <f>((((((((D89-0.08)+(E89-0.08))*2)+0.2)+((((E89-0.08)+0.2)*(((I89+I90+I91)/2)-2)))))))</f>
        <v>9.0399999999999991</v>
      </c>
      <c r="P89" s="54">
        <f>O89*N89*C89</f>
        <v>0</v>
      </c>
      <c r="Q89" s="55">
        <f t="shared" si="9"/>
        <v>0</v>
      </c>
      <c r="R89" s="55">
        <f t="shared" si="10"/>
        <v>0</v>
      </c>
      <c r="S89" s="55">
        <f t="shared" si="11"/>
        <v>0</v>
      </c>
      <c r="T89" s="56">
        <f t="shared" si="12"/>
        <v>0</v>
      </c>
      <c r="U89" s="56">
        <f t="shared" si="13"/>
        <v>0</v>
      </c>
      <c r="V89" s="55">
        <f t="shared" si="14"/>
        <v>0</v>
      </c>
    </row>
    <row r="90" spans="1:22" hidden="1" outlineLevel="1" x14ac:dyDescent="0.3">
      <c r="A90" s="937"/>
      <c r="B90" s="915"/>
      <c r="C90" s="937"/>
      <c r="D90" s="57"/>
      <c r="E90" s="58"/>
      <c r="F90" s="57"/>
      <c r="G90" s="57"/>
      <c r="H90" s="59">
        <v>16</v>
      </c>
      <c r="I90" s="59">
        <v>24</v>
      </c>
      <c r="J90" s="57">
        <f>(F89+(50*H90/1000))*I90*C89</f>
        <v>0</v>
      </c>
      <c r="K90" s="60" t="s">
        <v>63</v>
      </c>
      <c r="L90" s="59">
        <v>8</v>
      </c>
      <c r="M90" s="61">
        <v>0.15</v>
      </c>
      <c r="N90" s="59">
        <f>ROUND((F89/2)/M90,0)+1</f>
        <v>8</v>
      </c>
      <c r="O90" s="53">
        <f>((((((((D89-0.08)+(E89-0.08))*2)+0.2)+((((E89-0.08)+0.2)*(((I90+I89+I91)/2)-2)))))))</f>
        <v>9.0399999999999991</v>
      </c>
      <c r="P90" s="54">
        <f>O90*N90*C89</f>
        <v>0</v>
      </c>
      <c r="Q90" s="55">
        <f t="shared" si="9"/>
        <v>0</v>
      </c>
      <c r="R90" s="55">
        <f t="shared" si="10"/>
        <v>0</v>
      </c>
      <c r="S90" s="55">
        <f t="shared" si="11"/>
        <v>0</v>
      </c>
      <c r="T90" s="56">
        <f t="shared" si="12"/>
        <v>0</v>
      </c>
      <c r="U90" s="56">
        <f t="shared" si="13"/>
        <v>0</v>
      </c>
      <c r="V90" s="55">
        <f t="shared" si="14"/>
        <v>0</v>
      </c>
    </row>
    <row r="91" spans="1:22" hidden="1" outlineLevel="1" x14ac:dyDescent="0.3">
      <c r="A91" s="937"/>
      <c r="B91" s="915"/>
      <c r="C91" s="937"/>
      <c r="D91" s="57"/>
      <c r="E91" s="58"/>
      <c r="F91" s="57"/>
      <c r="G91" s="57"/>
      <c r="H91" s="59"/>
      <c r="I91" s="59"/>
      <c r="J91" s="57">
        <f>(F89+(50*H91/1000))*I91*C89</f>
        <v>0</v>
      </c>
      <c r="K91" s="60"/>
      <c r="L91" s="59"/>
      <c r="M91" s="61"/>
      <c r="N91" s="59"/>
      <c r="O91" s="62"/>
      <c r="P91" s="54">
        <f>O91</f>
        <v>0</v>
      </c>
      <c r="Q91" s="55">
        <f t="shared" si="9"/>
        <v>0</v>
      </c>
      <c r="R91" s="55">
        <f t="shared" si="10"/>
        <v>0</v>
      </c>
      <c r="S91" s="55">
        <f t="shared" si="11"/>
        <v>0</v>
      </c>
      <c r="T91" s="56">
        <f t="shared" si="12"/>
        <v>0</v>
      </c>
      <c r="U91" s="56">
        <f t="shared" si="13"/>
        <v>0</v>
      </c>
      <c r="V91" s="55">
        <f t="shared" si="14"/>
        <v>0</v>
      </c>
    </row>
    <row r="92" spans="1:22" hidden="1" outlineLevel="1" x14ac:dyDescent="0.3">
      <c r="A92" s="937"/>
      <c r="B92" s="915"/>
      <c r="C92" s="937"/>
      <c r="D92" s="57"/>
      <c r="E92" s="58"/>
      <c r="F92" s="57"/>
      <c r="G92" s="57"/>
      <c r="H92" s="59"/>
      <c r="I92" s="59"/>
      <c r="J92" s="57"/>
      <c r="K92" s="60"/>
      <c r="L92" s="59"/>
      <c r="M92" s="61"/>
      <c r="N92" s="59"/>
      <c r="O92" s="62"/>
      <c r="P92" s="54">
        <f>O92</f>
        <v>0</v>
      </c>
      <c r="Q92" s="55">
        <f t="shared" si="9"/>
        <v>0</v>
      </c>
      <c r="R92" s="55">
        <f t="shared" si="10"/>
        <v>0</v>
      </c>
      <c r="S92" s="55">
        <f t="shared" si="11"/>
        <v>0</v>
      </c>
      <c r="T92" s="56">
        <f t="shared" si="12"/>
        <v>0</v>
      </c>
      <c r="U92" s="56">
        <f t="shared" si="13"/>
        <v>0</v>
      </c>
      <c r="V92" s="55">
        <f t="shared" si="14"/>
        <v>0</v>
      </c>
    </row>
    <row r="93" spans="1:22" hidden="1" outlineLevel="1" x14ac:dyDescent="0.3">
      <c r="A93" s="937"/>
      <c r="B93" s="915"/>
      <c r="C93" s="937"/>
      <c r="D93" s="57"/>
      <c r="E93" s="58"/>
      <c r="F93" s="57"/>
      <c r="G93" s="57"/>
      <c r="H93" s="59"/>
      <c r="I93" s="59"/>
      <c r="J93" s="57"/>
      <c r="K93" s="60"/>
      <c r="L93" s="59"/>
      <c r="M93" s="61"/>
      <c r="N93" s="59"/>
      <c r="O93" s="69"/>
      <c r="P93" s="54">
        <f>O93</f>
        <v>0</v>
      </c>
      <c r="Q93" s="55">
        <f t="shared" si="9"/>
        <v>0</v>
      </c>
      <c r="R93" s="55">
        <f t="shared" si="10"/>
        <v>0</v>
      </c>
      <c r="S93" s="55">
        <f t="shared" si="11"/>
        <v>0</v>
      </c>
      <c r="T93" s="56">
        <f t="shared" si="12"/>
        <v>0</v>
      </c>
      <c r="U93" s="56">
        <f t="shared" si="13"/>
        <v>0</v>
      </c>
      <c r="V93" s="55">
        <f t="shared" si="14"/>
        <v>0</v>
      </c>
    </row>
    <row r="94" spans="1:22" hidden="1" outlineLevel="1" x14ac:dyDescent="0.3">
      <c r="A94" s="936">
        <v>18</v>
      </c>
      <c r="B94" s="914" t="s">
        <v>86</v>
      </c>
      <c r="C94" s="936">
        <v>0</v>
      </c>
      <c r="D94" s="48">
        <v>6.55</v>
      </c>
      <c r="E94" s="49">
        <v>0.23</v>
      </c>
      <c r="F94" s="48">
        <v>2.2000000000000002</v>
      </c>
      <c r="G94" s="48">
        <f>F94*E94*D94*C94</f>
        <v>0</v>
      </c>
      <c r="H94" s="50">
        <v>20</v>
      </c>
      <c r="I94" s="50">
        <v>8</v>
      </c>
      <c r="J94" s="48">
        <f>(F94+(50*H94/1000))*I94*C94</f>
        <v>0</v>
      </c>
      <c r="K94" s="51" t="s">
        <v>63</v>
      </c>
      <c r="L94" s="50">
        <v>8</v>
      </c>
      <c r="M94" s="52">
        <v>0.1</v>
      </c>
      <c r="N94" s="50">
        <f>ROUND(((F94/2)/M94),0)+1</f>
        <v>12</v>
      </c>
      <c r="O94" s="53">
        <f>((((((((D94-0.08)+(E94-0.08))*2)+0.2)+((((E94-0.08)+0.2)*(((I94+I95+I96)/2)-2)))))))</f>
        <v>28.840000000000003</v>
      </c>
      <c r="P94" s="54">
        <f>O94*N94*C94</f>
        <v>0</v>
      </c>
      <c r="Q94" s="55">
        <f t="shared" si="9"/>
        <v>0</v>
      </c>
      <c r="R94" s="55">
        <f t="shared" si="10"/>
        <v>0</v>
      </c>
      <c r="S94" s="55">
        <f t="shared" si="11"/>
        <v>0</v>
      </c>
      <c r="T94" s="56">
        <f t="shared" si="12"/>
        <v>0</v>
      </c>
      <c r="U94" s="56">
        <f t="shared" si="13"/>
        <v>0</v>
      </c>
      <c r="V94" s="55">
        <f t="shared" si="14"/>
        <v>0</v>
      </c>
    </row>
    <row r="95" spans="1:22" hidden="1" outlineLevel="1" x14ac:dyDescent="0.3">
      <c r="A95" s="937"/>
      <c r="B95" s="915"/>
      <c r="C95" s="937"/>
      <c r="D95" s="57"/>
      <c r="E95" s="58"/>
      <c r="F95" s="57"/>
      <c r="G95" s="57"/>
      <c r="H95" s="59">
        <v>16</v>
      </c>
      <c r="I95" s="59">
        <v>84</v>
      </c>
      <c r="J95" s="57">
        <f>(F94+(50*H95/1000))*I95*C94</f>
        <v>0</v>
      </c>
      <c r="K95" s="60" t="s">
        <v>63</v>
      </c>
      <c r="L95" s="59">
        <v>8</v>
      </c>
      <c r="M95" s="61">
        <v>0.15</v>
      </c>
      <c r="N95" s="59">
        <f>ROUND((F94/2)/M95,0)+1</f>
        <v>8</v>
      </c>
      <c r="O95" s="53">
        <f>((((((((D94-0.08)+(E94-0.08))*2)+0.2)+((((E94-0.08)+0.2)*(((I95+I94+I96)/2)-2)))))))</f>
        <v>28.840000000000003</v>
      </c>
      <c r="P95" s="54">
        <f>O95*N95*C94</f>
        <v>0</v>
      </c>
      <c r="Q95" s="55">
        <f t="shared" si="9"/>
        <v>0</v>
      </c>
      <c r="R95" s="55">
        <f t="shared" si="10"/>
        <v>0</v>
      </c>
      <c r="S95" s="55">
        <f t="shared" si="11"/>
        <v>0</v>
      </c>
      <c r="T95" s="56">
        <f t="shared" si="12"/>
        <v>0</v>
      </c>
      <c r="U95" s="56">
        <f t="shared" si="13"/>
        <v>0</v>
      </c>
      <c r="V95" s="55">
        <f t="shared" si="14"/>
        <v>0</v>
      </c>
    </row>
    <row r="96" spans="1:22" hidden="1" outlineLevel="1" x14ac:dyDescent="0.3">
      <c r="A96" s="937"/>
      <c r="B96" s="915"/>
      <c r="C96" s="937"/>
      <c r="D96" s="57"/>
      <c r="E96" s="58"/>
      <c r="F96" s="57"/>
      <c r="G96" s="57"/>
      <c r="H96" s="59"/>
      <c r="I96" s="59"/>
      <c r="J96" s="57">
        <f>(F94+(50*H96/1000))*I96*C94</f>
        <v>0</v>
      </c>
      <c r="K96" s="60"/>
      <c r="L96" s="59"/>
      <c r="M96" s="61"/>
      <c r="N96" s="59"/>
      <c r="O96" s="62"/>
      <c r="P96" s="54">
        <f>O96</f>
        <v>0</v>
      </c>
      <c r="Q96" s="55">
        <f t="shared" si="9"/>
        <v>0</v>
      </c>
      <c r="R96" s="55">
        <f t="shared" si="10"/>
        <v>0</v>
      </c>
      <c r="S96" s="55">
        <f t="shared" si="11"/>
        <v>0</v>
      </c>
      <c r="T96" s="56">
        <f t="shared" si="12"/>
        <v>0</v>
      </c>
      <c r="U96" s="56">
        <f t="shared" si="13"/>
        <v>0</v>
      </c>
      <c r="V96" s="55">
        <f t="shared" si="14"/>
        <v>0</v>
      </c>
    </row>
    <row r="97" spans="1:22" hidden="1" outlineLevel="1" x14ac:dyDescent="0.3">
      <c r="A97" s="937"/>
      <c r="B97" s="915"/>
      <c r="C97" s="937"/>
      <c r="D97" s="57"/>
      <c r="E97" s="58"/>
      <c r="F97" s="57"/>
      <c r="G97" s="57"/>
      <c r="H97" s="59"/>
      <c r="I97" s="59"/>
      <c r="J97" s="57"/>
      <c r="K97" s="60"/>
      <c r="L97" s="59"/>
      <c r="M97" s="61"/>
      <c r="N97" s="59"/>
      <c r="O97" s="62"/>
      <c r="P97" s="54">
        <f>O97</f>
        <v>0</v>
      </c>
      <c r="Q97" s="55">
        <f t="shared" si="9"/>
        <v>0</v>
      </c>
      <c r="R97" s="55">
        <f t="shared" si="10"/>
        <v>0</v>
      </c>
      <c r="S97" s="55">
        <f t="shared" si="11"/>
        <v>0</v>
      </c>
      <c r="T97" s="56">
        <f t="shared" si="12"/>
        <v>0</v>
      </c>
      <c r="U97" s="56">
        <f t="shared" si="13"/>
        <v>0</v>
      </c>
      <c r="V97" s="55">
        <f t="shared" si="14"/>
        <v>0</v>
      </c>
    </row>
    <row r="98" spans="1:22" hidden="1" outlineLevel="1" x14ac:dyDescent="0.3">
      <c r="A98" s="937"/>
      <c r="B98" s="915"/>
      <c r="C98" s="937"/>
      <c r="D98" s="57"/>
      <c r="E98" s="58"/>
      <c r="F98" s="57"/>
      <c r="G98" s="57"/>
      <c r="H98" s="59"/>
      <c r="I98" s="59"/>
      <c r="J98" s="57"/>
      <c r="K98" s="60"/>
      <c r="L98" s="59"/>
      <c r="M98" s="61"/>
      <c r="N98" s="59"/>
      <c r="O98" s="69"/>
      <c r="P98" s="54">
        <f>O98</f>
        <v>0</v>
      </c>
      <c r="Q98" s="55">
        <f t="shared" si="9"/>
        <v>0</v>
      </c>
      <c r="R98" s="55">
        <f t="shared" si="10"/>
        <v>0</v>
      </c>
      <c r="S98" s="55">
        <f t="shared" si="11"/>
        <v>0</v>
      </c>
      <c r="T98" s="56">
        <f t="shared" si="12"/>
        <v>0</v>
      </c>
      <c r="U98" s="56">
        <f t="shared" si="13"/>
        <v>0</v>
      </c>
      <c r="V98" s="55">
        <f t="shared" si="14"/>
        <v>0</v>
      </c>
    </row>
    <row r="99" spans="1:22" hidden="1" outlineLevel="1" x14ac:dyDescent="0.3">
      <c r="A99" s="936">
        <v>19</v>
      </c>
      <c r="B99" s="914" t="s">
        <v>87</v>
      </c>
      <c r="C99" s="936">
        <v>2</v>
      </c>
      <c r="D99" s="48">
        <v>2.8</v>
      </c>
      <c r="E99" s="49">
        <v>0.32</v>
      </c>
      <c r="F99" s="48">
        <v>2.2000000000000002</v>
      </c>
      <c r="G99" s="48">
        <f>F99*E99*D99*C99</f>
        <v>3.9424000000000001</v>
      </c>
      <c r="H99" s="50">
        <v>20</v>
      </c>
      <c r="I99" s="50">
        <v>16</v>
      </c>
      <c r="J99" s="48">
        <f>(F99+(50*H99/1000))*I99*C99</f>
        <v>102.4</v>
      </c>
      <c r="K99" s="60" t="s">
        <v>63</v>
      </c>
      <c r="L99" s="50">
        <v>8</v>
      </c>
      <c r="M99" s="52">
        <v>0.1</v>
      </c>
      <c r="N99" s="50">
        <f>ROUND(((F99/2)/M99),0)+1</f>
        <v>12</v>
      </c>
      <c r="O99" s="53">
        <f>((((((((D99-0.08)+(E99-0.08))*2)+0.2)+((((E99-0.08)+0.2)*(((I99+I100+I101)/2)-2)))))))</f>
        <v>14.04</v>
      </c>
      <c r="P99" s="54">
        <f>O99*N99*C99</f>
        <v>336.96</v>
      </c>
      <c r="Q99" s="55">
        <f t="shared" si="9"/>
        <v>0</v>
      </c>
      <c r="R99" s="55">
        <f t="shared" si="10"/>
        <v>0</v>
      </c>
      <c r="S99" s="55">
        <f t="shared" si="11"/>
        <v>0</v>
      </c>
      <c r="T99" s="56">
        <f t="shared" si="12"/>
        <v>102.4</v>
      </c>
      <c r="U99" s="56">
        <f t="shared" si="13"/>
        <v>0</v>
      </c>
      <c r="V99" s="55">
        <f t="shared" si="14"/>
        <v>0</v>
      </c>
    </row>
    <row r="100" spans="1:22" hidden="1" outlineLevel="1" x14ac:dyDescent="0.3">
      <c r="A100" s="937"/>
      <c r="B100" s="915"/>
      <c r="C100" s="937"/>
      <c r="D100" s="57"/>
      <c r="E100" s="58"/>
      <c r="F100" s="57"/>
      <c r="G100" s="57"/>
      <c r="H100" s="59">
        <v>16</v>
      </c>
      <c r="I100" s="59">
        <v>20</v>
      </c>
      <c r="J100" s="57">
        <f>(F99+(50*H100/1000))*I100*C99</f>
        <v>120</v>
      </c>
      <c r="K100" s="60" t="s">
        <v>63</v>
      </c>
      <c r="L100" s="59">
        <v>8</v>
      </c>
      <c r="M100" s="61">
        <v>0.15</v>
      </c>
      <c r="N100" s="59">
        <f>ROUND((F99/2)/M100,0)+1</f>
        <v>8</v>
      </c>
      <c r="O100" s="53">
        <f>((((((((D99-0.08)+(E99-0.08))*2)+0.2)+((((E99-0.08)+0.2)*(((I100+I99+I101)/2)-2)))))))</f>
        <v>14.04</v>
      </c>
      <c r="P100" s="54">
        <f>O100*N100*C99</f>
        <v>224.64</v>
      </c>
      <c r="Q100" s="55">
        <f t="shared" si="9"/>
        <v>0</v>
      </c>
      <c r="R100" s="55">
        <f t="shared" si="10"/>
        <v>0</v>
      </c>
      <c r="S100" s="55">
        <f t="shared" si="11"/>
        <v>120</v>
      </c>
      <c r="T100" s="56">
        <f t="shared" si="12"/>
        <v>0</v>
      </c>
      <c r="U100" s="56">
        <f t="shared" si="13"/>
        <v>0</v>
      </c>
      <c r="V100" s="55">
        <f t="shared" si="14"/>
        <v>0</v>
      </c>
    </row>
    <row r="101" spans="1:22" hidden="1" outlineLevel="1" x14ac:dyDescent="0.3">
      <c r="A101" s="937"/>
      <c r="B101" s="915"/>
      <c r="C101" s="937"/>
      <c r="D101" s="57"/>
      <c r="E101" s="58"/>
      <c r="F101" s="57"/>
      <c r="G101" s="57"/>
      <c r="H101" s="59">
        <v>12</v>
      </c>
      <c r="I101" s="59">
        <v>4</v>
      </c>
      <c r="J101" s="57">
        <f>(F99+(50*H101/1000))*I101*C99</f>
        <v>22.400000000000002</v>
      </c>
      <c r="K101" s="60"/>
      <c r="L101" s="59"/>
      <c r="M101" s="61"/>
      <c r="N101" s="59"/>
      <c r="O101" s="62"/>
      <c r="P101" s="54">
        <f>O101</f>
        <v>0</v>
      </c>
      <c r="Q101" s="55">
        <f t="shared" si="9"/>
        <v>0</v>
      </c>
      <c r="R101" s="55">
        <f t="shared" si="10"/>
        <v>22.400000000000002</v>
      </c>
      <c r="S101" s="55">
        <f t="shared" si="11"/>
        <v>0</v>
      </c>
      <c r="T101" s="56">
        <f t="shared" si="12"/>
        <v>0</v>
      </c>
      <c r="U101" s="56">
        <f t="shared" si="13"/>
        <v>0</v>
      </c>
      <c r="V101" s="55">
        <f t="shared" si="14"/>
        <v>0</v>
      </c>
    </row>
    <row r="102" spans="1:22" hidden="1" outlineLevel="1" x14ac:dyDescent="0.3">
      <c r="A102" s="937"/>
      <c r="B102" s="915"/>
      <c r="C102" s="937"/>
      <c r="D102" s="57"/>
      <c r="E102" s="58"/>
      <c r="F102" s="57"/>
      <c r="G102" s="57"/>
      <c r="H102" s="59"/>
      <c r="I102" s="59"/>
      <c r="J102" s="57"/>
      <c r="K102" s="60"/>
      <c r="L102" s="59"/>
      <c r="M102" s="61"/>
      <c r="N102" s="59"/>
      <c r="O102" s="62"/>
      <c r="P102" s="54">
        <f>O102</f>
        <v>0</v>
      </c>
      <c r="Q102" s="55">
        <f t="shared" si="9"/>
        <v>0</v>
      </c>
      <c r="R102" s="55">
        <f t="shared" si="10"/>
        <v>0</v>
      </c>
      <c r="S102" s="55">
        <f t="shared" si="11"/>
        <v>0</v>
      </c>
      <c r="T102" s="56">
        <f t="shared" si="12"/>
        <v>0</v>
      </c>
      <c r="U102" s="56">
        <f t="shared" si="13"/>
        <v>0</v>
      </c>
      <c r="V102" s="55">
        <f t="shared" si="14"/>
        <v>0</v>
      </c>
    </row>
    <row r="103" spans="1:22" hidden="1" outlineLevel="1" x14ac:dyDescent="0.3">
      <c r="A103" s="937"/>
      <c r="B103" s="915"/>
      <c r="C103" s="937"/>
      <c r="D103" s="57"/>
      <c r="E103" s="58"/>
      <c r="F103" s="63"/>
      <c r="G103" s="57"/>
      <c r="H103" s="59"/>
      <c r="I103" s="59"/>
      <c r="J103" s="57"/>
      <c r="K103" s="60"/>
      <c r="L103" s="59"/>
      <c r="M103" s="61"/>
      <c r="N103" s="59"/>
      <c r="O103" s="69">
        <f>((E99-0.08)+(2*10*(L103/1000)))*N103*C99</f>
        <v>0</v>
      </c>
      <c r="P103" s="54">
        <f>O103</f>
        <v>0</v>
      </c>
      <c r="Q103" s="55">
        <f t="shared" si="9"/>
        <v>0</v>
      </c>
      <c r="R103" s="55">
        <f t="shared" si="10"/>
        <v>0</v>
      </c>
      <c r="S103" s="55">
        <f t="shared" si="11"/>
        <v>0</v>
      </c>
      <c r="T103" s="56">
        <f t="shared" si="12"/>
        <v>0</v>
      </c>
      <c r="U103" s="56">
        <f t="shared" si="13"/>
        <v>0</v>
      </c>
      <c r="V103" s="55">
        <f t="shared" si="14"/>
        <v>0</v>
      </c>
    </row>
    <row r="104" spans="1:22" hidden="1" outlineLevel="1" x14ac:dyDescent="0.3">
      <c r="A104" s="936">
        <v>20</v>
      </c>
      <c r="B104" s="914" t="s">
        <v>88</v>
      </c>
      <c r="C104" s="936">
        <v>2</v>
      </c>
      <c r="D104" s="48">
        <v>3.79</v>
      </c>
      <c r="E104" s="49">
        <v>0.3</v>
      </c>
      <c r="F104" s="48">
        <v>2.2000000000000002</v>
      </c>
      <c r="G104" s="48">
        <f>F104*E104*D104*C104</f>
        <v>5.0028000000000006</v>
      </c>
      <c r="H104" s="50">
        <v>20</v>
      </c>
      <c r="I104" s="50">
        <v>32</v>
      </c>
      <c r="J104" s="48">
        <f>(F104+(50*H104/1000))*I104*C104</f>
        <v>204.8</v>
      </c>
      <c r="K104" s="68" t="s">
        <v>63</v>
      </c>
      <c r="L104" s="50">
        <v>8</v>
      </c>
      <c r="M104" s="52">
        <v>0.1</v>
      </c>
      <c r="N104" s="50">
        <f>ROUND(((F104/2)/M104),0)+1</f>
        <v>12</v>
      </c>
      <c r="O104" s="53">
        <f>((((((((D104-0.08)+(E104-0.08))*2)+0.2)+((((E104-0.08)+0.2)*(((I104+I105+I106)/2)-2)))))))</f>
        <v>19.82</v>
      </c>
      <c r="P104" s="54">
        <f>O104*N104*C104</f>
        <v>475.68</v>
      </c>
      <c r="Q104" s="55">
        <f t="shared" si="9"/>
        <v>0</v>
      </c>
      <c r="R104" s="55">
        <f t="shared" si="10"/>
        <v>0</v>
      </c>
      <c r="S104" s="55">
        <f t="shared" si="11"/>
        <v>0</v>
      </c>
      <c r="T104" s="56">
        <f t="shared" si="12"/>
        <v>204.8</v>
      </c>
      <c r="U104" s="56">
        <f t="shared" si="13"/>
        <v>0</v>
      </c>
      <c r="V104" s="55">
        <f t="shared" si="14"/>
        <v>0</v>
      </c>
    </row>
    <row r="105" spans="1:22" hidden="1" outlineLevel="1" x14ac:dyDescent="0.3">
      <c r="A105" s="937"/>
      <c r="B105" s="915"/>
      <c r="C105" s="937"/>
      <c r="D105" s="57"/>
      <c r="E105" s="58"/>
      <c r="F105" s="57"/>
      <c r="G105" s="57"/>
      <c r="H105" s="59">
        <v>16</v>
      </c>
      <c r="I105" s="59">
        <v>28</v>
      </c>
      <c r="J105" s="57">
        <f>(F104+(50*H105/1000))*I105*C104</f>
        <v>168</v>
      </c>
      <c r="K105" s="60" t="s">
        <v>63</v>
      </c>
      <c r="L105" s="59">
        <v>8</v>
      </c>
      <c r="M105" s="61">
        <v>0.15</v>
      </c>
      <c r="N105" s="59">
        <f>ROUND((F104/2)/M105,0)+1</f>
        <v>8</v>
      </c>
      <c r="O105" s="53">
        <f>((((((((D104-0.08)+(E104-0.08))*2)+0.2)+((((E104-0.08)+0.2)*(((I105+I104+I106)/2)-2)))))))</f>
        <v>19.82</v>
      </c>
      <c r="P105" s="54">
        <f>O105*N105*C104</f>
        <v>317.12</v>
      </c>
      <c r="Q105" s="55">
        <f t="shared" si="9"/>
        <v>0</v>
      </c>
      <c r="R105" s="55">
        <f t="shared" si="10"/>
        <v>0</v>
      </c>
      <c r="S105" s="55">
        <f t="shared" si="11"/>
        <v>168</v>
      </c>
      <c r="T105" s="56">
        <f t="shared" si="12"/>
        <v>0</v>
      </c>
      <c r="U105" s="56">
        <f t="shared" si="13"/>
        <v>0</v>
      </c>
      <c r="V105" s="55">
        <f t="shared" si="14"/>
        <v>0</v>
      </c>
    </row>
    <row r="106" spans="1:22" hidden="1" outlineLevel="1" x14ac:dyDescent="0.3">
      <c r="A106" s="937"/>
      <c r="B106" s="915"/>
      <c r="C106" s="937"/>
      <c r="D106" s="57"/>
      <c r="E106" s="58"/>
      <c r="F106" s="57"/>
      <c r="G106" s="57"/>
      <c r="H106" s="59"/>
      <c r="I106" s="59"/>
      <c r="J106" s="57">
        <f>(F104+(50*H106/1000))*I106*C104</f>
        <v>0</v>
      </c>
      <c r="K106" s="60"/>
      <c r="L106" s="59"/>
      <c r="M106" s="61"/>
      <c r="N106" s="59"/>
      <c r="O106" s="62"/>
      <c r="P106" s="54">
        <f>O106</f>
        <v>0</v>
      </c>
      <c r="Q106" s="55">
        <f t="shared" si="9"/>
        <v>0</v>
      </c>
      <c r="R106" s="55">
        <f t="shared" si="10"/>
        <v>0</v>
      </c>
      <c r="S106" s="55">
        <f t="shared" si="11"/>
        <v>0</v>
      </c>
      <c r="T106" s="56">
        <f t="shared" si="12"/>
        <v>0</v>
      </c>
      <c r="U106" s="56">
        <f t="shared" si="13"/>
        <v>0</v>
      </c>
      <c r="V106" s="55">
        <f t="shared" si="14"/>
        <v>0</v>
      </c>
    </row>
    <row r="107" spans="1:22" hidden="1" outlineLevel="1" x14ac:dyDescent="0.3">
      <c r="A107" s="937"/>
      <c r="B107" s="915"/>
      <c r="C107" s="937"/>
      <c r="D107" s="57"/>
      <c r="E107" s="58"/>
      <c r="F107" s="57"/>
      <c r="G107" s="57"/>
      <c r="H107" s="59"/>
      <c r="I107" s="59"/>
      <c r="J107" s="57"/>
      <c r="K107" s="60"/>
      <c r="L107" s="59"/>
      <c r="M107" s="61"/>
      <c r="N107" s="59"/>
      <c r="O107" s="62"/>
      <c r="P107" s="54">
        <f>O107</f>
        <v>0</v>
      </c>
      <c r="Q107" s="55">
        <f t="shared" si="9"/>
        <v>0</v>
      </c>
      <c r="R107" s="55">
        <f t="shared" si="10"/>
        <v>0</v>
      </c>
      <c r="S107" s="55">
        <f t="shared" si="11"/>
        <v>0</v>
      </c>
      <c r="T107" s="56">
        <f t="shared" si="12"/>
        <v>0</v>
      </c>
      <c r="U107" s="56">
        <f t="shared" si="13"/>
        <v>0</v>
      </c>
      <c r="V107" s="55">
        <f t="shared" si="14"/>
        <v>0</v>
      </c>
    </row>
    <row r="108" spans="1:22" hidden="1" outlineLevel="1" x14ac:dyDescent="0.3">
      <c r="A108" s="937"/>
      <c r="B108" s="915"/>
      <c r="C108" s="937"/>
      <c r="D108" s="57"/>
      <c r="E108" s="58"/>
      <c r="F108" s="57"/>
      <c r="G108" s="57"/>
      <c r="H108" s="59"/>
      <c r="I108" s="59"/>
      <c r="J108" s="57"/>
      <c r="K108" s="60"/>
      <c r="L108" s="59"/>
      <c r="M108" s="61"/>
      <c r="N108" s="59"/>
      <c r="O108" s="69">
        <f>((E104-0.08)+(2*10*(L108/1000)))*N108*C104</f>
        <v>0</v>
      </c>
      <c r="P108" s="54">
        <f>O108</f>
        <v>0</v>
      </c>
      <c r="Q108" s="55">
        <f t="shared" si="9"/>
        <v>0</v>
      </c>
      <c r="R108" s="55">
        <f t="shared" si="10"/>
        <v>0</v>
      </c>
      <c r="S108" s="55">
        <f t="shared" si="11"/>
        <v>0</v>
      </c>
      <c r="T108" s="56">
        <f t="shared" si="12"/>
        <v>0</v>
      </c>
      <c r="U108" s="56">
        <f t="shared" si="13"/>
        <v>0</v>
      </c>
      <c r="V108" s="55">
        <f t="shared" si="14"/>
        <v>0</v>
      </c>
    </row>
    <row r="109" spans="1:22" hidden="1" outlineLevel="1" x14ac:dyDescent="0.3">
      <c r="A109" s="936">
        <v>21</v>
      </c>
      <c r="B109" s="914" t="s">
        <v>89</v>
      </c>
      <c r="C109" s="936">
        <v>1</v>
      </c>
      <c r="D109" s="48">
        <v>3.05</v>
      </c>
      <c r="E109" s="49">
        <v>0.3</v>
      </c>
      <c r="F109" s="48">
        <v>2.2000000000000002</v>
      </c>
      <c r="G109" s="48">
        <f>F109*E109*D109*C109</f>
        <v>2.0129999999999999</v>
      </c>
      <c r="H109" s="50">
        <v>25</v>
      </c>
      <c r="I109" s="50">
        <v>4</v>
      </c>
      <c r="J109" s="48">
        <f>(F109+(50*H109/1000))*I109*C109</f>
        <v>13.8</v>
      </c>
      <c r="K109" s="68" t="s">
        <v>63</v>
      </c>
      <c r="L109" s="50">
        <v>8</v>
      </c>
      <c r="M109" s="52">
        <v>0.1</v>
      </c>
      <c r="N109" s="50">
        <f>ROUND(((F109/2)/M109),0)+1</f>
        <v>12</v>
      </c>
      <c r="O109" s="53">
        <f>((((((((D109-0.08)+(E109-0.08))*2)+0.2)+((((E109-0.08)+0.2)*(((I109+I110+I111)/2)-2)))))))</f>
        <v>14.559999999999999</v>
      </c>
      <c r="P109" s="54">
        <f>O109*N109*C109</f>
        <v>174.71999999999997</v>
      </c>
      <c r="Q109" s="55">
        <f t="shared" si="9"/>
        <v>0</v>
      </c>
      <c r="R109" s="55">
        <f t="shared" si="10"/>
        <v>0</v>
      </c>
      <c r="S109" s="55">
        <f t="shared" si="11"/>
        <v>0</v>
      </c>
      <c r="T109" s="56">
        <f t="shared" si="12"/>
        <v>0</v>
      </c>
      <c r="U109" s="56">
        <f t="shared" si="13"/>
        <v>13.8</v>
      </c>
      <c r="V109" s="55">
        <f t="shared" si="14"/>
        <v>0</v>
      </c>
    </row>
    <row r="110" spans="1:22" hidden="1" outlineLevel="1" x14ac:dyDescent="0.3">
      <c r="A110" s="937"/>
      <c r="B110" s="915"/>
      <c r="C110" s="937"/>
      <c r="D110" s="57"/>
      <c r="E110" s="58"/>
      <c r="F110" s="57"/>
      <c r="G110" s="57"/>
      <c r="H110" s="59">
        <v>20</v>
      </c>
      <c r="I110" s="59">
        <v>26</v>
      </c>
      <c r="J110" s="57">
        <f>(F109+(50*H110/1000))*I110*C109</f>
        <v>83.2</v>
      </c>
      <c r="K110" s="60" t="s">
        <v>63</v>
      </c>
      <c r="L110" s="59">
        <v>8</v>
      </c>
      <c r="M110" s="61">
        <v>0.15</v>
      </c>
      <c r="N110" s="59">
        <f>ROUND((F109/2)/M110,0)+1</f>
        <v>8</v>
      </c>
      <c r="O110" s="53">
        <f>((((((((D109-0.08)+(E109-0.08))*2)+0.2)+((((E109-0.08)+0.2)*(((I110+I109+I111)/2)-2)))))))</f>
        <v>14.559999999999999</v>
      </c>
      <c r="P110" s="54">
        <f>O110*N110*C109</f>
        <v>116.47999999999999</v>
      </c>
      <c r="Q110" s="55">
        <f t="shared" si="9"/>
        <v>0</v>
      </c>
      <c r="R110" s="55">
        <f t="shared" si="10"/>
        <v>0</v>
      </c>
      <c r="S110" s="55">
        <f t="shared" si="11"/>
        <v>0</v>
      </c>
      <c r="T110" s="56">
        <f t="shared" si="12"/>
        <v>83.2</v>
      </c>
      <c r="U110" s="56">
        <f t="shared" si="13"/>
        <v>0</v>
      </c>
      <c r="V110" s="55">
        <f t="shared" si="14"/>
        <v>0</v>
      </c>
    </row>
    <row r="111" spans="1:22" hidden="1" outlineLevel="1" x14ac:dyDescent="0.3">
      <c r="A111" s="937"/>
      <c r="B111" s="915"/>
      <c r="C111" s="937"/>
      <c r="D111" s="57"/>
      <c r="E111" s="58"/>
      <c r="F111" s="57"/>
      <c r="G111" s="57"/>
      <c r="H111" s="59">
        <v>16</v>
      </c>
      <c r="I111" s="59">
        <v>12</v>
      </c>
      <c r="J111" s="57">
        <f>(F109+(50*H111/1000))*I111*C109</f>
        <v>36</v>
      </c>
      <c r="K111" s="60"/>
      <c r="L111" s="59"/>
      <c r="M111" s="61"/>
      <c r="N111" s="59"/>
      <c r="O111" s="62"/>
      <c r="P111" s="54">
        <f>O111</f>
        <v>0</v>
      </c>
      <c r="Q111" s="55">
        <f t="shared" si="9"/>
        <v>0</v>
      </c>
      <c r="R111" s="55">
        <f t="shared" si="10"/>
        <v>0</v>
      </c>
      <c r="S111" s="55">
        <f t="shared" si="11"/>
        <v>36</v>
      </c>
      <c r="T111" s="56">
        <f t="shared" si="12"/>
        <v>0</v>
      </c>
      <c r="U111" s="56">
        <f t="shared" si="13"/>
        <v>0</v>
      </c>
      <c r="V111" s="55">
        <f t="shared" si="14"/>
        <v>0</v>
      </c>
    </row>
    <row r="112" spans="1:22" hidden="1" outlineLevel="1" x14ac:dyDescent="0.3">
      <c r="A112" s="937"/>
      <c r="B112" s="915"/>
      <c r="C112" s="937"/>
      <c r="D112" s="57"/>
      <c r="E112" s="58"/>
      <c r="F112" s="57"/>
      <c r="G112" s="57"/>
      <c r="H112" s="59"/>
      <c r="I112" s="59"/>
      <c r="J112" s="57"/>
      <c r="K112" s="60"/>
      <c r="L112" s="59"/>
      <c r="M112" s="61"/>
      <c r="N112" s="59"/>
      <c r="O112" s="62"/>
      <c r="P112" s="54">
        <f>O112</f>
        <v>0</v>
      </c>
      <c r="Q112" s="55">
        <f t="shared" si="9"/>
        <v>0</v>
      </c>
      <c r="R112" s="55">
        <f t="shared" si="10"/>
        <v>0</v>
      </c>
      <c r="S112" s="55">
        <f t="shared" si="11"/>
        <v>0</v>
      </c>
      <c r="T112" s="56">
        <f t="shared" si="12"/>
        <v>0</v>
      </c>
      <c r="U112" s="56">
        <f t="shared" si="13"/>
        <v>0</v>
      </c>
      <c r="V112" s="55">
        <f t="shared" si="14"/>
        <v>0</v>
      </c>
    </row>
    <row r="113" spans="1:22" hidden="1" outlineLevel="1" x14ac:dyDescent="0.3">
      <c r="A113" s="937"/>
      <c r="B113" s="915"/>
      <c r="C113" s="937"/>
      <c r="D113" s="57"/>
      <c r="E113" s="58"/>
      <c r="F113" s="57"/>
      <c r="G113" s="57"/>
      <c r="H113" s="59"/>
      <c r="I113" s="59"/>
      <c r="J113" s="57"/>
      <c r="K113" s="60"/>
      <c r="L113" s="59"/>
      <c r="M113" s="61"/>
      <c r="N113" s="59"/>
      <c r="O113" s="69">
        <f>((E109-0.08)+(2*10*(L113/1000)))*N113*C109</f>
        <v>0</v>
      </c>
      <c r="P113" s="54">
        <f>O113</f>
        <v>0</v>
      </c>
      <c r="Q113" s="55">
        <f t="shared" si="9"/>
        <v>0</v>
      </c>
      <c r="R113" s="55">
        <f t="shared" si="10"/>
        <v>0</v>
      </c>
      <c r="S113" s="55">
        <f t="shared" si="11"/>
        <v>0</v>
      </c>
      <c r="T113" s="56">
        <f t="shared" si="12"/>
        <v>0</v>
      </c>
      <c r="U113" s="56">
        <f t="shared" si="13"/>
        <v>0</v>
      </c>
      <c r="V113" s="55">
        <f t="shared" si="14"/>
        <v>0</v>
      </c>
    </row>
    <row r="114" spans="1:22" hidden="1" outlineLevel="1" x14ac:dyDescent="0.3">
      <c r="A114" s="936">
        <v>22</v>
      </c>
      <c r="B114" s="914" t="s">
        <v>90</v>
      </c>
      <c r="C114" s="936">
        <v>0</v>
      </c>
      <c r="D114" s="48">
        <v>1.4</v>
      </c>
      <c r="E114" s="49">
        <v>0.23</v>
      </c>
      <c r="F114" s="48">
        <v>2.2000000000000002</v>
      </c>
      <c r="G114" s="48">
        <f>F114*E114*D114*C114</f>
        <v>0</v>
      </c>
      <c r="H114" s="50">
        <v>20</v>
      </c>
      <c r="I114" s="50">
        <v>8</v>
      </c>
      <c r="J114" s="48">
        <f>(F114+(50*H114/1000))*I114*C114</f>
        <v>0</v>
      </c>
      <c r="K114" s="68" t="s">
        <v>63</v>
      </c>
      <c r="L114" s="50">
        <v>8</v>
      </c>
      <c r="M114" s="52">
        <v>0.1</v>
      </c>
      <c r="N114" s="50">
        <f>ROUND(((F114/2)/M114),0)+1</f>
        <v>12</v>
      </c>
      <c r="O114" s="53">
        <f>((((((((D114-0.08)+(E114-0.08))*2)+0.2)+((((E114-0.08)+0.2)*(((I114+I115+I116)/2)-2)))))))</f>
        <v>5.24</v>
      </c>
      <c r="P114" s="54">
        <f>O114*N114*C114</f>
        <v>0</v>
      </c>
      <c r="Q114" s="55">
        <f t="shared" si="9"/>
        <v>0</v>
      </c>
      <c r="R114" s="55">
        <f t="shared" si="10"/>
        <v>0</v>
      </c>
      <c r="S114" s="55">
        <f t="shared" si="11"/>
        <v>0</v>
      </c>
      <c r="T114" s="56">
        <f t="shared" si="12"/>
        <v>0</v>
      </c>
      <c r="U114" s="56">
        <f t="shared" si="13"/>
        <v>0</v>
      </c>
      <c r="V114" s="55">
        <f t="shared" si="14"/>
        <v>0</v>
      </c>
    </row>
    <row r="115" spans="1:22" hidden="1" outlineLevel="1" x14ac:dyDescent="0.3">
      <c r="A115" s="937"/>
      <c r="B115" s="915"/>
      <c r="C115" s="937"/>
      <c r="D115" s="57"/>
      <c r="E115" s="58"/>
      <c r="F115" s="57"/>
      <c r="G115" s="57"/>
      <c r="H115" s="59">
        <v>16</v>
      </c>
      <c r="I115" s="59">
        <v>8</v>
      </c>
      <c r="J115" s="57">
        <f>(F114+(50*H115/1000))*I115*C114</f>
        <v>0</v>
      </c>
      <c r="K115" s="60" t="s">
        <v>63</v>
      </c>
      <c r="L115" s="59">
        <v>8</v>
      </c>
      <c r="M115" s="61">
        <v>0.15</v>
      </c>
      <c r="N115" s="59">
        <f>ROUND((F114/2)/M115,0)+1</f>
        <v>8</v>
      </c>
      <c r="O115" s="53">
        <f>((((((((D114-0.08)+(E114-0.08))*2)+0.2)+((((E114-0.08)+0.2)*(((I115+I114+I116)/2)-2)))))))</f>
        <v>5.24</v>
      </c>
      <c r="P115" s="54">
        <f>O115*N115*C114</f>
        <v>0</v>
      </c>
      <c r="Q115" s="55">
        <f t="shared" si="9"/>
        <v>0</v>
      </c>
      <c r="R115" s="55">
        <f t="shared" si="10"/>
        <v>0</v>
      </c>
      <c r="S115" s="55">
        <f t="shared" si="11"/>
        <v>0</v>
      </c>
      <c r="T115" s="56">
        <f t="shared" si="12"/>
        <v>0</v>
      </c>
      <c r="U115" s="56">
        <f t="shared" si="13"/>
        <v>0</v>
      </c>
      <c r="V115" s="55">
        <f t="shared" si="14"/>
        <v>0</v>
      </c>
    </row>
    <row r="116" spans="1:22" hidden="1" outlineLevel="1" x14ac:dyDescent="0.3">
      <c r="A116" s="937"/>
      <c r="B116" s="915"/>
      <c r="C116" s="937"/>
      <c r="D116" s="57"/>
      <c r="E116" s="58"/>
      <c r="F116" s="57"/>
      <c r="G116" s="57"/>
      <c r="H116" s="59"/>
      <c r="I116" s="59"/>
      <c r="J116" s="57">
        <f>(F114+(50*H116/1000))*I116*C114</f>
        <v>0</v>
      </c>
      <c r="K116" s="60"/>
      <c r="L116" s="59"/>
      <c r="M116" s="61"/>
      <c r="N116" s="59"/>
      <c r="O116" s="62"/>
      <c r="P116" s="54">
        <f>O116</f>
        <v>0</v>
      </c>
      <c r="Q116" s="55">
        <f t="shared" si="9"/>
        <v>0</v>
      </c>
      <c r="R116" s="55">
        <f t="shared" si="10"/>
        <v>0</v>
      </c>
      <c r="S116" s="55">
        <f t="shared" si="11"/>
        <v>0</v>
      </c>
      <c r="T116" s="56">
        <f t="shared" si="12"/>
        <v>0</v>
      </c>
      <c r="U116" s="56">
        <f t="shared" si="13"/>
        <v>0</v>
      </c>
      <c r="V116" s="55">
        <f t="shared" si="14"/>
        <v>0</v>
      </c>
    </row>
    <row r="117" spans="1:22" hidden="1" outlineLevel="1" x14ac:dyDescent="0.3">
      <c r="A117" s="937"/>
      <c r="B117" s="915"/>
      <c r="C117" s="937"/>
      <c r="D117" s="57"/>
      <c r="E117" s="58"/>
      <c r="F117" s="57"/>
      <c r="G117" s="57"/>
      <c r="H117" s="59"/>
      <c r="I117" s="59"/>
      <c r="J117" s="57"/>
      <c r="K117" s="60"/>
      <c r="L117" s="59"/>
      <c r="M117" s="61"/>
      <c r="N117" s="59"/>
      <c r="O117" s="62"/>
      <c r="P117" s="54">
        <f>O117</f>
        <v>0</v>
      </c>
      <c r="Q117" s="55">
        <f t="shared" si="9"/>
        <v>0</v>
      </c>
      <c r="R117" s="55">
        <f t="shared" si="10"/>
        <v>0</v>
      </c>
      <c r="S117" s="55">
        <f t="shared" si="11"/>
        <v>0</v>
      </c>
      <c r="T117" s="56">
        <f t="shared" si="12"/>
        <v>0</v>
      </c>
      <c r="U117" s="56">
        <f t="shared" si="13"/>
        <v>0</v>
      </c>
      <c r="V117" s="55">
        <f t="shared" si="14"/>
        <v>0</v>
      </c>
    </row>
    <row r="118" spans="1:22" hidden="1" outlineLevel="1" x14ac:dyDescent="0.3">
      <c r="A118" s="937"/>
      <c r="B118" s="915"/>
      <c r="C118" s="937"/>
      <c r="D118" s="57"/>
      <c r="E118" s="58"/>
      <c r="F118" s="57"/>
      <c r="G118" s="57"/>
      <c r="H118" s="59"/>
      <c r="I118" s="59"/>
      <c r="J118" s="57"/>
      <c r="K118" s="60"/>
      <c r="L118" s="59"/>
      <c r="M118" s="61"/>
      <c r="N118" s="59"/>
      <c r="O118" s="69">
        <f>((E114-0.08)+(2*10*(L118/1000)))*N118*C114</f>
        <v>0</v>
      </c>
      <c r="P118" s="54">
        <f>O118</f>
        <v>0</v>
      </c>
      <c r="Q118" s="55">
        <f t="shared" si="9"/>
        <v>0</v>
      </c>
      <c r="R118" s="55">
        <f t="shared" si="10"/>
        <v>0</v>
      </c>
      <c r="S118" s="55">
        <f t="shared" si="11"/>
        <v>0</v>
      </c>
      <c r="T118" s="56">
        <f t="shared" si="12"/>
        <v>0</v>
      </c>
      <c r="U118" s="56">
        <f t="shared" si="13"/>
        <v>0</v>
      </c>
      <c r="V118" s="55">
        <f t="shared" si="14"/>
        <v>0</v>
      </c>
    </row>
    <row r="119" spans="1:22" hidden="1" outlineLevel="1" x14ac:dyDescent="0.3">
      <c r="A119" s="936">
        <v>23</v>
      </c>
      <c r="B119" s="986" t="s">
        <v>91</v>
      </c>
      <c r="C119" s="987">
        <v>1</v>
      </c>
      <c r="D119" s="48">
        <v>3</v>
      </c>
      <c r="E119" s="49">
        <v>0.23</v>
      </c>
      <c r="F119" s="48">
        <v>2.2000000000000002</v>
      </c>
      <c r="G119" s="48">
        <f>F119*E119*D119*C119</f>
        <v>1.5180000000000002</v>
      </c>
      <c r="H119" s="50">
        <v>20</v>
      </c>
      <c r="I119" s="50">
        <v>16</v>
      </c>
      <c r="J119" s="48">
        <f>(F119+(50*H119/1000))*I119*C119</f>
        <v>51.2</v>
      </c>
      <c r="K119" s="68" t="s">
        <v>63</v>
      </c>
      <c r="L119" s="50">
        <v>8</v>
      </c>
      <c r="M119" s="52">
        <v>0.1</v>
      </c>
      <c r="N119" s="50">
        <f>ROUND(((F119/2)/M119),0)+1</f>
        <v>12</v>
      </c>
      <c r="O119" s="53">
        <f>((((((((D119-0.08)+(E119-0.08))*2)+0.2)+((((E119-0.08)+0.2)*(((I119+I120+I121)/2)-2)))))))</f>
        <v>11.59</v>
      </c>
      <c r="P119" s="54">
        <f>O119*N119*C119</f>
        <v>139.07999999999998</v>
      </c>
      <c r="Q119" s="55">
        <f t="shared" si="9"/>
        <v>0</v>
      </c>
      <c r="R119" s="55">
        <f t="shared" si="10"/>
        <v>0</v>
      </c>
      <c r="S119" s="55">
        <f t="shared" si="11"/>
        <v>0</v>
      </c>
      <c r="T119" s="56">
        <f t="shared" si="12"/>
        <v>51.2</v>
      </c>
      <c r="U119" s="56">
        <f t="shared" si="13"/>
        <v>0</v>
      </c>
      <c r="V119" s="55">
        <f t="shared" si="14"/>
        <v>0</v>
      </c>
    </row>
    <row r="120" spans="1:22" hidden="1" outlineLevel="1" x14ac:dyDescent="0.3">
      <c r="A120" s="937"/>
      <c r="B120" s="918"/>
      <c r="C120" s="982"/>
      <c r="D120" s="57"/>
      <c r="E120" s="58"/>
      <c r="F120" s="57"/>
      <c r="G120" s="57"/>
      <c r="H120" s="59">
        <v>16</v>
      </c>
      <c r="I120" s="59">
        <v>12</v>
      </c>
      <c r="J120" s="57">
        <f>(F119+(50*H120/1000))*I120*C119</f>
        <v>36</v>
      </c>
      <c r="K120" s="60" t="s">
        <v>63</v>
      </c>
      <c r="L120" s="59">
        <v>8</v>
      </c>
      <c r="M120" s="61">
        <v>0.15</v>
      </c>
      <c r="N120" s="59">
        <f>ROUND((F119/2)/M120,0)+1</f>
        <v>8</v>
      </c>
      <c r="O120" s="53">
        <f>((((((((D119-0.08)+(E119-0.08))*2)+0.2)+((((E119-0.08)+0.2)*(((I120+I119+I121)/2)-2)))))))</f>
        <v>11.59</v>
      </c>
      <c r="P120" s="54">
        <f>O120*N120*C119</f>
        <v>92.72</v>
      </c>
      <c r="Q120" s="55">
        <f t="shared" si="9"/>
        <v>0</v>
      </c>
      <c r="R120" s="55">
        <f t="shared" si="10"/>
        <v>0</v>
      </c>
      <c r="S120" s="55">
        <f t="shared" si="11"/>
        <v>36</v>
      </c>
      <c r="T120" s="56">
        <f t="shared" si="12"/>
        <v>0</v>
      </c>
      <c r="U120" s="56">
        <f t="shared" si="13"/>
        <v>0</v>
      </c>
      <c r="V120" s="55">
        <f t="shared" si="14"/>
        <v>0</v>
      </c>
    </row>
    <row r="121" spans="1:22" hidden="1" outlineLevel="1" x14ac:dyDescent="0.3">
      <c r="A121" s="937"/>
      <c r="B121" s="918"/>
      <c r="C121" s="982"/>
      <c r="D121" s="57"/>
      <c r="E121" s="58"/>
      <c r="F121" s="57"/>
      <c r="G121" s="57"/>
      <c r="H121" s="59">
        <v>12</v>
      </c>
      <c r="I121" s="59">
        <v>6</v>
      </c>
      <c r="J121" s="57">
        <f>(F119+(50*H121/1000))*I121*C119</f>
        <v>16.8</v>
      </c>
      <c r="K121" s="60"/>
      <c r="L121" s="59"/>
      <c r="M121" s="61"/>
      <c r="N121" s="59"/>
      <c r="O121" s="62"/>
      <c r="P121" s="54">
        <f t="shared" ref="P121:P126" si="17">O121</f>
        <v>0</v>
      </c>
      <c r="Q121" s="55">
        <f t="shared" si="9"/>
        <v>0</v>
      </c>
      <c r="R121" s="55">
        <f t="shared" si="10"/>
        <v>16.8</v>
      </c>
      <c r="S121" s="55">
        <f t="shared" si="11"/>
        <v>0</v>
      </c>
      <c r="T121" s="56">
        <f t="shared" si="12"/>
        <v>0</v>
      </c>
      <c r="U121" s="56">
        <f t="shared" si="13"/>
        <v>0</v>
      </c>
      <c r="V121" s="55">
        <f t="shared" si="14"/>
        <v>0</v>
      </c>
    </row>
    <row r="122" spans="1:22" hidden="1" outlineLevel="1" x14ac:dyDescent="0.3">
      <c r="A122" s="937"/>
      <c r="B122" s="919"/>
      <c r="C122" s="983"/>
      <c r="D122" s="57"/>
      <c r="E122" s="58"/>
      <c r="F122" s="57"/>
      <c r="G122" s="57"/>
      <c r="H122" s="59"/>
      <c r="I122" s="59"/>
      <c r="J122" s="57"/>
      <c r="K122" s="60"/>
      <c r="L122" s="59"/>
      <c r="M122" s="61"/>
      <c r="N122" s="59"/>
      <c r="O122" s="62"/>
      <c r="P122" s="54">
        <f t="shared" si="17"/>
        <v>0</v>
      </c>
      <c r="Q122" s="55">
        <f t="shared" si="9"/>
        <v>0</v>
      </c>
      <c r="R122" s="55">
        <f t="shared" si="10"/>
        <v>0</v>
      </c>
      <c r="S122" s="55">
        <f t="shared" si="11"/>
        <v>0</v>
      </c>
      <c r="T122" s="56">
        <f t="shared" si="12"/>
        <v>0</v>
      </c>
      <c r="U122" s="56">
        <f t="shared" si="13"/>
        <v>0</v>
      </c>
      <c r="V122" s="55">
        <f t="shared" si="14"/>
        <v>0</v>
      </c>
    </row>
    <row r="123" spans="1:22" hidden="1" outlineLevel="1" x14ac:dyDescent="0.3">
      <c r="A123" s="936">
        <v>24</v>
      </c>
      <c r="B123" s="914" t="s">
        <v>92</v>
      </c>
      <c r="C123" s="936">
        <v>1</v>
      </c>
      <c r="D123" s="48">
        <v>2.9</v>
      </c>
      <c r="E123" s="49">
        <v>0.23</v>
      </c>
      <c r="F123" s="48">
        <v>2.2000000000000002</v>
      </c>
      <c r="G123" s="48">
        <f>F123*E123*D123*C123</f>
        <v>1.4674000000000003</v>
      </c>
      <c r="H123" s="50">
        <v>16</v>
      </c>
      <c r="I123" s="50">
        <v>24</v>
      </c>
      <c r="J123" s="48">
        <f>(F123+(50*H123/1000))*I123*C123</f>
        <v>72</v>
      </c>
      <c r="K123" s="60" t="s">
        <v>63</v>
      </c>
      <c r="L123" s="50">
        <v>8</v>
      </c>
      <c r="M123" s="52">
        <v>0.1</v>
      </c>
      <c r="N123" s="50">
        <f>ROUND(((F123/2)/M123),0)+1</f>
        <v>12</v>
      </c>
      <c r="O123" s="53">
        <f>((((((((D123-0.08)+(E123-0.08))*2)+0.2)+((((E123-0.08)+0.2)*(((I123+I124+I125)/2)-2)))))))</f>
        <v>13.84</v>
      </c>
      <c r="P123" s="54">
        <f>O123*N123*C123</f>
        <v>166.07999999999998</v>
      </c>
      <c r="Q123" s="55">
        <f t="shared" si="9"/>
        <v>0</v>
      </c>
      <c r="R123" s="55">
        <f t="shared" si="10"/>
        <v>0</v>
      </c>
      <c r="S123" s="55">
        <f t="shared" si="11"/>
        <v>72</v>
      </c>
      <c r="T123" s="56">
        <f t="shared" si="12"/>
        <v>0</v>
      </c>
      <c r="U123" s="56">
        <f t="shared" si="13"/>
        <v>0</v>
      </c>
      <c r="V123" s="55">
        <f t="shared" si="14"/>
        <v>0</v>
      </c>
    </row>
    <row r="124" spans="1:22" hidden="1" outlineLevel="1" x14ac:dyDescent="0.3">
      <c r="A124" s="937"/>
      <c r="B124" s="915"/>
      <c r="C124" s="937"/>
      <c r="D124" s="57"/>
      <c r="E124" s="58"/>
      <c r="F124" s="57"/>
      <c r="G124" s="57"/>
      <c r="H124" s="59">
        <v>12</v>
      </c>
      <c r="I124" s="59">
        <v>24</v>
      </c>
      <c r="J124" s="57">
        <f>(F123+(50*H124/1000))*I124*C123</f>
        <v>67.2</v>
      </c>
      <c r="K124" s="60" t="s">
        <v>63</v>
      </c>
      <c r="L124" s="59">
        <v>8</v>
      </c>
      <c r="M124" s="61">
        <v>0.15</v>
      </c>
      <c r="N124" s="59">
        <f>ROUND((F123/2)/M124,0)+1</f>
        <v>8</v>
      </c>
      <c r="O124" s="53">
        <f>((((((((D123-0.08)+(E123-0.08))*2)+0.2)+((((E123-0.08)+0.2)*(((I124+I123+I125)/2)-2)))))))</f>
        <v>13.84</v>
      </c>
      <c r="P124" s="54">
        <f>O124*N124*C123</f>
        <v>110.72</v>
      </c>
      <c r="Q124" s="55">
        <f t="shared" si="9"/>
        <v>0</v>
      </c>
      <c r="R124" s="55">
        <f t="shared" si="10"/>
        <v>67.2</v>
      </c>
      <c r="S124" s="55">
        <f t="shared" si="11"/>
        <v>0</v>
      </c>
      <c r="T124" s="56">
        <f t="shared" si="12"/>
        <v>0</v>
      </c>
      <c r="U124" s="56">
        <f t="shared" si="13"/>
        <v>0</v>
      </c>
      <c r="V124" s="55">
        <f t="shared" si="14"/>
        <v>0</v>
      </c>
    </row>
    <row r="125" spans="1:22" hidden="1" outlineLevel="1" x14ac:dyDescent="0.3">
      <c r="A125" s="937"/>
      <c r="B125" s="915"/>
      <c r="C125" s="937"/>
      <c r="D125" s="57"/>
      <c r="E125" s="58"/>
      <c r="F125" s="57"/>
      <c r="G125" s="57"/>
      <c r="H125" s="59"/>
      <c r="I125" s="59"/>
      <c r="J125" s="57">
        <f>(F123+(50*H125/1000))*I125*C123</f>
        <v>0</v>
      </c>
      <c r="K125" s="60"/>
      <c r="L125" s="59"/>
      <c r="M125" s="61"/>
      <c r="N125" s="59"/>
      <c r="O125" s="62"/>
      <c r="P125" s="54">
        <f t="shared" si="17"/>
        <v>0</v>
      </c>
      <c r="Q125" s="55">
        <f t="shared" si="9"/>
        <v>0</v>
      </c>
      <c r="R125" s="55">
        <f t="shared" si="10"/>
        <v>0</v>
      </c>
      <c r="S125" s="55">
        <f t="shared" si="11"/>
        <v>0</v>
      </c>
      <c r="T125" s="56">
        <f t="shared" si="12"/>
        <v>0</v>
      </c>
      <c r="U125" s="56">
        <f t="shared" si="13"/>
        <v>0</v>
      </c>
      <c r="V125" s="55">
        <f t="shared" si="14"/>
        <v>0</v>
      </c>
    </row>
    <row r="126" spans="1:22" hidden="1" outlineLevel="1" x14ac:dyDescent="0.3">
      <c r="A126" s="938"/>
      <c r="B126" s="916"/>
      <c r="C126" s="938"/>
      <c r="D126" s="63"/>
      <c r="E126" s="64"/>
      <c r="F126" s="63"/>
      <c r="G126" s="63"/>
      <c r="H126" s="65"/>
      <c r="I126" s="65"/>
      <c r="J126" s="63"/>
      <c r="K126" s="66"/>
      <c r="L126" s="65"/>
      <c r="M126" s="67"/>
      <c r="N126" s="65"/>
      <c r="O126" s="69"/>
      <c r="P126" s="54">
        <f t="shared" si="17"/>
        <v>0</v>
      </c>
      <c r="Q126" s="55">
        <f t="shared" si="9"/>
        <v>0</v>
      </c>
      <c r="R126" s="55">
        <f t="shared" si="10"/>
        <v>0</v>
      </c>
      <c r="S126" s="55">
        <f t="shared" si="11"/>
        <v>0</v>
      </c>
      <c r="T126" s="56">
        <f t="shared" si="12"/>
        <v>0</v>
      </c>
      <c r="U126" s="56">
        <f t="shared" si="13"/>
        <v>0</v>
      </c>
      <c r="V126" s="55">
        <f t="shared" si="14"/>
        <v>0</v>
      </c>
    </row>
    <row r="127" spans="1:22" hidden="1" outlineLevel="1" x14ac:dyDescent="0.3">
      <c r="A127" s="936">
        <v>25</v>
      </c>
      <c r="B127" s="914" t="s">
        <v>93</v>
      </c>
      <c r="C127" s="936">
        <v>2</v>
      </c>
      <c r="D127" s="48">
        <v>8.42</v>
      </c>
      <c r="E127" s="49">
        <v>0.23</v>
      </c>
      <c r="F127" s="48">
        <v>2.2000000000000002</v>
      </c>
      <c r="G127" s="48">
        <f>F127*E127*D127*C127</f>
        <v>8.5210400000000011</v>
      </c>
      <c r="H127" s="50">
        <v>16</v>
      </c>
      <c r="I127" s="50">
        <v>72</v>
      </c>
      <c r="J127" s="48">
        <f>(F127+(50*H127/1000))*I127*C127</f>
        <v>432</v>
      </c>
      <c r="K127" s="51" t="s">
        <v>66</v>
      </c>
      <c r="L127" s="50">
        <v>8</v>
      </c>
      <c r="M127" s="52">
        <v>0.1</v>
      </c>
      <c r="N127" s="50">
        <f>ROUND(((F127/2)/M127),0)+1</f>
        <v>12</v>
      </c>
      <c r="O127" s="53">
        <f>((((((((D127-0.08)+(E127-0.08))*2)+0.2)+((((E127-0.08)+0.2)*(((I127+I128+I129)/2)-2)))))))</f>
        <v>36.430000000000007</v>
      </c>
      <c r="P127" s="54">
        <f>O127*N127*C127</f>
        <v>874.32000000000016</v>
      </c>
      <c r="Q127" s="55">
        <f t="shared" si="9"/>
        <v>0</v>
      </c>
      <c r="R127" s="55">
        <f t="shared" si="10"/>
        <v>0</v>
      </c>
      <c r="S127" s="55">
        <f t="shared" si="11"/>
        <v>432</v>
      </c>
      <c r="T127" s="56">
        <f t="shared" si="12"/>
        <v>0</v>
      </c>
      <c r="U127" s="56">
        <f t="shared" si="13"/>
        <v>0</v>
      </c>
      <c r="V127" s="55">
        <f t="shared" si="14"/>
        <v>0</v>
      </c>
    </row>
    <row r="128" spans="1:22" hidden="1" outlineLevel="1" x14ac:dyDescent="0.3">
      <c r="A128" s="937"/>
      <c r="B128" s="915"/>
      <c r="C128" s="937"/>
      <c r="D128" s="57"/>
      <c r="E128" s="58"/>
      <c r="F128" s="57"/>
      <c r="G128" s="57"/>
      <c r="H128" s="59">
        <v>12</v>
      </c>
      <c r="I128" s="59">
        <v>42</v>
      </c>
      <c r="J128" s="57">
        <f>(F127+(50*H128/1000))*I128*C127</f>
        <v>235.20000000000002</v>
      </c>
      <c r="K128" s="60" t="s">
        <v>63</v>
      </c>
      <c r="L128" s="59">
        <v>8</v>
      </c>
      <c r="M128" s="61">
        <v>0.15</v>
      </c>
      <c r="N128" s="59">
        <f>ROUND((F127/2)/M128,0)+1</f>
        <v>8</v>
      </c>
      <c r="O128" s="53">
        <f>((((((((D127-0.08)+(E127-0.08))*2)+0.2)+((((E127-0.08)+0.2)*(((I128+I127+I129)/2)-2)))))))</f>
        <v>36.430000000000007</v>
      </c>
      <c r="P128" s="54">
        <f>O128*N128*C127</f>
        <v>582.88000000000011</v>
      </c>
      <c r="Q128" s="55">
        <f t="shared" si="9"/>
        <v>0</v>
      </c>
      <c r="R128" s="55">
        <f t="shared" si="10"/>
        <v>235.20000000000002</v>
      </c>
      <c r="S128" s="55">
        <f t="shared" si="11"/>
        <v>0</v>
      </c>
      <c r="T128" s="56">
        <f t="shared" si="12"/>
        <v>0</v>
      </c>
      <c r="U128" s="56">
        <f t="shared" si="13"/>
        <v>0</v>
      </c>
      <c r="V128" s="55">
        <f t="shared" si="14"/>
        <v>0</v>
      </c>
    </row>
    <row r="129" spans="1:22" hidden="1" outlineLevel="1" x14ac:dyDescent="0.3">
      <c r="A129" s="937"/>
      <c r="B129" s="915"/>
      <c r="C129" s="937"/>
      <c r="D129" s="57"/>
      <c r="E129" s="58"/>
      <c r="F129" s="57"/>
      <c r="G129" s="57"/>
      <c r="H129" s="59"/>
      <c r="I129" s="59"/>
      <c r="J129" s="57">
        <f>(F127+(50*H129/1000))*I129*C127</f>
        <v>0</v>
      </c>
      <c r="K129" s="60" t="s">
        <v>63</v>
      </c>
      <c r="L129" s="59"/>
      <c r="M129" s="61"/>
      <c r="N129" s="59"/>
      <c r="O129" s="62"/>
      <c r="P129" s="54">
        <f t="shared" ref="P129:P134" si="18">O129</f>
        <v>0</v>
      </c>
      <c r="Q129" s="55">
        <f t="shared" si="9"/>
        <v>0</v>
      </c>
      <c r="R129" s="55">
        <f t="shared" si="10"/>
        <v>0</v>
      </c>
      <c r="S129" s="55">
        <f t="shared" si="11"/>
        <v>0</v>
      </c>
      <c r="T129" s="56">
        <f t="shared" si="12"/>
        <v>0</v>
      </c>
      <c r="U129" s="56">
        <f t="shared" si="13"/>
        <v>0</v>
      </c>
      <c r="V129" s="55">
        <f t="shared" si="14"/>
        <v>0</v>
      </c>
    </row>
    <row r="130" spans="1:22" hidden="1" outlineLevel="1" x14ac:dyDescent="0.3">
      <c r="A130" s="979"/>
      <c r="B130" s="980"/>
      <c r="C130" s="979"/>
      <c r="D130" s="70"/>
      <c r="E130" s="71"/>
      <c r="F130" s="70"/>
      <c r="G130" s="70"/>
      <c r="H130" s="72"/>
      <c r="I130" s="72"/>
      <c r="J130" s="70"/>
      <c r="K130" s="73" t="s">
        <v>64</v>
      </c>
      <c r="L130" s="72"/>
      <c r="M130" s="67"/>
      <c r="N130" s="65"/>
      <c r="O130" s="69"/>
      <c r="P130" s="54">
        <f t="shared" si="18"/>
        <v>0</v>
      </c>
      <c r="Q130" s="55">
        <f t="shared" si="9"/>
        <v>0</v>
      </c>
      <c r="R130" s="55">
        <f t="shared" si="10"/>
        <v>0</v>
      </c>
      <c r="S130" s="55">
        <f t="shared" si="11"/>
        <v>0</v>
      </c>
      <c r="T130" s="56">
        <f t="shared" si="12"/>
        <v>0</v>
      </c>
      <c r="U130" s="56">
        <f t="shared" si="13"/>
        <v>0</v>
      </c>
      <c r="V130" s="55">
        <f t="shared" si="14"/>
        <v>0</v>
      </c>
    </row>
    <row r="131" spans="1:22" hidden="1" outlineLevel="1" x14ac:dyDescent="0.3">
      <c r="A131" s="936">
        <v>26</v>
      </c>
      <c r="B131" s="914" t="s">
        <v>94</v>
      </c>
      <c r="C131" s="936">
        <v>1</v>
      </c>
      <c r="D131" s="48">
        <v>9.42</v>
      </c>
      <c r="E131" s="49">
        <v>0.23</v>
      </c>
      <c r="F131" s="48">
        <v>2.2000000000000002</v>
      </c>
      <c r="G131" s="48">
        <f>F131*E131*D131*C131</f>
        <v>4.7665200000000008</v>
      </c>
      <c r="H131" s="50">
        <v>16</v>
      </c>
      <c r="I131" s="50">
        <v>72</v>
      </c>
      <c r="J131" s="48">
        <f>(F131+(50*H131/1000))*I131*C131</f>
        <v>216</v>
      </c>
      <c r="K131" s="51" t="s">
        <v>66</v>
      </c>
      <c r="L131" s="50">
        <v>8</v>
      </c>
      <c r="M131" s="52">
        <v>0.1</v>
      </c>
      <c r="N131" s="50">
        <f>ROUND(((F131/2)/M131),0)+1</f>
        <v>12</v>
      </c>
      <c r="O131" s="53">
        <f>((((((((D131-0.08)+(E131-0.08))*2)+0.2)+((((E131-0.08)+0.2)*(((I131+I132+I133)/2)-2)))))))</f>
        <v>38.430000000000007</v>
      </c>
      <c r="P131" s="54">
        <f>O131*N131*C131</f>
        <v>461.16000000000008</v>
      </c>
      <c r="Q131" s="55">
        <f t="shared" si="9"/>
        <v>0</v>
      </c>
      <c r="R131" s="55">
        <f t="shared" si="10"/>
        <v>0</v>
      </c>
      <c r="S131" s="55">
        <f t="shared" si="11"/>
        <v>216</v>
      </c>
      <c r="T131" s="56">
        <f t="shared" si="12"/>
        <v>0</v>
      </c>
      <c r="U131" s="56">
        <f t="shared" si="13"/>
        <v>0</v>
      </c>
      <c r="V131" s="55">
        <f t="shared" si="14"/>
        <v>0</v>
      </c>
    </row>
    <row r="132" spans="1:22" hidden="1" outlineLevel="1" x14ac:dyDescent="0.3">
      <c r="A132" s="937"/>
      <c r="B132" s="915"/>
      <c r="C132" s="937"/>
      <c r="D132" s="57"/>
      <c r="E132" s="58"/>
      <c r="F132" s="57"/>
      <c r="G132" s="57"/>
      <c r="H132" s="59">
        <v>12</v>
      </c>
      <c r="I132" s="59">
        <v>42</v>
      </c>
      <c r="J132" s="57">
        <f>(F131+(50*H132/1000))*I132*C131</f>
        <v>117.60000000000001</v>
      </c>
      <c r="K132" s="60" t="s">
        <v>63</v>
      </c>
      <c r="L132" s="59">
        <v>8</v>
      </c>
      <c r="M132" s="61">
        <v>0.15</v>
      </c>
      <c r="N132" s="59">
        <f>ROUND((F131/2)/M132,0)+1</f>
        <v>8</v>
      </c>
      <c r="O132" s="53">
        <f>((((((((D131-0.08)+(E131-0.08))*2)+0.2)+((((E131-0.08)+0.2)*(((I132+I131+I133)/2)-2)))))))</f>
        <v>38.430000000000007</v>
      </c>
      <c r="P132" s="54">
        <f>O132*N132*C131</f>
        <v>307.44000000000005</v>
      </c>
      <c r="Q132" s="55">
        <f t="shared" si="9"/>
        <v>0</v>
      </c>
      <c r="R132" s="55">
        <f t="shared" si="10"/>
        <v>117.60000000000001</v>
      </c>
      <c r="S132" s="55">
        <f t="shared" si="11"/>
        <v>0</v>
      </c>
      <c r="T132" s="56">
        <f t="shared" si="12"/>
        <v>0</v>
      </c>
      <c r="U132" s="56">
        <f t="shared" si="13"/>
        <v>0</v>
      </c>
      <c r="V132" s="55">
        <f t="shared" si="14"/>
        <v>0</v>
      </c>
    </row>
    <row r="133" spans="1:22" hidden="1" outlineLevel="1" x14ac:dyDescent="0.3">
      <c r="A133" s="937"/>
      <c r="B133" s="915"/>
      <c r="C133" s="937"/>
      <c r="D133" s="57"/>
      <c r="E133" s="58"/>
      <c r="F133" s="57"/>
      <c r="G133" s="57"/>
      <c r="H133" s="59"/>
      <c r="I133" s="59"/>
      <c r="J133" s="57">
        <f>(F131+(50*H133/1000))*I133*C131</f>
        <v>0</v>
      </c>
      <c r="K133" s="60" t="s">
        <v>63</v>
      </c>
      <c r="L133" s="59"/>
      <c r="M133" s="61"/>
      <c r="N133" s="59"/>
      <c r="O133" s="62"/>
      <c r="P133" s="54">
        <f t="shared" si="18"/>
        <v>0</v>
      </c>
      <c r="Q133" s="55">
        <f t="shared" si="9"/>
        <v>0</v>
      </c>
      <c r="R133" s="55">
        <f t="shared" si="10"/>
        <v>0</v>
      </c>
      <c r="S133" s="55">
        <f t="shared" si="11"/>
        <v>0</v>
      </c>
      <c r="T133" s="56">
        <f t="shared" si="12"/>
        <v>0</v>
      </c>
      <c r="U133" s="56">
        <f t="shared" si="13"/>
        <v>0</v>
      </c>
      <c r="V133" s="55">
        <f t="shared" si="14"/>
        <v>0</v>
      </c>
    </row>
    <row r="134" spans="1:22" hidden="1" outlineLevel="1" x14ac:dyDescent="0.3">
      <c r="A134" s="979"/>
      <c r="B134" s="980"/>
      <c r="C134" s="979"/>
      <c r="D134" s="70"/>
      <c r="E134" s="71"/>
      <c r="F134" s="70"/>
      <c r="G134" s="70"/>
      <c r="H134" s="72"/>
      <c r="I134" s="72"/>
      <c r="J134" s="70"/>
      <c r="K134" s="73" t="s">
        <v>64</v>
      </c>
      <c r="L134" s="72"/>
      <c r="M134" s="67"/>
      <c r="N134" s="65"/>
      <c r="O134" s="69"/>
      <c r="P134" s="54">
        <f t="shared" si="18"/>
        <v>0</v>
      </c>
      <c r="Q134" s="55">
        <f t="shared" si="9"/>
        <v>0</v>
      </c>
      <c r="R134" s="55">
        <f t="shared" si="10"/>
        <v>0</v>
      </c>
      <c r="S134" s="55">
        <f t="shared" si="11"/>
        <v>0</v>
      </c>
      <c r="T134" s="56">
        <f t="shared" si="12"/>
        <v>0</v>
      </c>
      <c r="U134" s="56">
        <f t="shared" si="13"/>
        <v>0</v>
      </c>
      <c r="V134" s="55">
        <f t="shared" si="14"/>
        <v>0</v>
      </c>
    </row>
    <row r="135" spans="1:22" hidden="1" outlineLevel="1" x14ac:dyDescent="0.3">
      <c r="A135" s="86">
        <v>27</v>
      </c>
      <c r="B135" s="87" t="s">
        <v>100</v>
      </c>
      <c r="C135" s="86">
        <v>2</v>
      </c>
      <c r="D135" s="88">
        <v>1.3</v>
      </c>
      <c r="E135" s="89">
        <v>0.3</v>
      </c>
      <c r="F135" s="88">
        <v>2.2000000000000002</v>
      </c>
      <c r="G135" s="48">
        <f>F135*E135*D135*C135</f>
        <v>1.7160000000000002</v>
      </c>
      <c r="H135" s="86"/>
      <c r="I135" s="86"/>
      <c r="J135" s="88"/>
      <c r="K135" s="90"/>
      <c r="L135" s="91"/>
      <c r="M135" s="92"/>
      <c r="N135" s="93"/>
      <c r="O135" s="94"/>
      <c r="P135" s="95"/>
      <c r="Q135" s="55"/>
      <c r="R135" s="55"/>
      <c r="S135" s="55"/>
      <c r="T135" s="56"/>
      <c r="U135" s="56"/>
      <c r="V135" s="55"/>
    </row>
    <row r="136" spans="1:22" ht="15.6" hidden="1" outlineLevel="1" x14ac:dyDescent="0.3">
      <c r="A136" s="74"/>
      <c r="B136" s="75"/>
      <c r="C136" s="75">
        <f>SUM(C9:C135)</f>
        <v>37</v>
      </c>
      <c r="D136" s="75"/>
      <c r="E136" s="76"/>
      <c r="F136" s="75" t="s">
        <v>95</v>
      </c>
      <c r="G136" s="77">
        <f>SUM(G9:G135)</f>
        <v>51.565359999999998</v>
      </c>
      <c r="H136" s="75"/>
      <c r="I136" s="75"/>
      <c r="J136" s="75"/>
      <c r="K136" s="75"/>
      <c r="L136" s="78"/>
      <c r="M136" s="978" t="s">
        <v>96</v>
      </c>
      <c r="N136" s="978"/>
      <c r="O136" s="978"/>
      <c r="P136" s="77">
        <f t="shared" ref="P136:V136" si="19">SUM(P9:P134)</f>
        <v>8326</v>
      </c>
      <c r="Q136" s="77">
        <f t="shared" si="19"/>
        <v>0</v>
      </c>
      <c r="R136" s="77">
        <f t="shared" si="19"/>
        <v>526.40000000000009</v>
      </c>
      <c r="S136" s="77">
        <f t="shared" si="19"/>
        <v>2496</v>
      </c>
      <c r="T136" s="77">
        <f t="shared" si="19"/>
        <v>992</v>
      </c>
      <c r="U136" s="77">
        <f t="shared" si="19"/>
        <v>13.8</v>
      </c>
      <c r="V136" s="77">
        <f t="shared" si="19"/>
        <v>0</v>
      </c>
    </row>
    <row r="137" spans="1:22" ht="15.6" hidden="1" outlineLevel="1" x14ac:dyDescent="0.3">
      <c r="A137" s="79"/>
      <c r="B137" s="79"/>
      <c r="C137" s="79"/>
      <c r="D137" s="80"/>
      <c r="E137" s="81"/>
      <c r="F137" s="80"/>
      <c r="G137" s="80"/>
      <c r="H137" s="79"/>
      <c r="I137" s="79"/>
      <c r="J137" s="80"/>
      <c r="K137" s="79"/>
      <c r="L137" s="79"/>
      <c r="M137" s="977" t="s">
        <v>97</v>
      </c>
      <c r="N137" s="977"/>
      <c r="O137" s="977"/>
      <c r="P137" s="82">
        <f>8^2/162</f>
        <v>0.39506172839506171</v>
      </c>
      <c r="Q137" s="82">
        <f>10^2/162</f>
        <v>0.61728395061728392</v>
      </c>
      <c r="R137" s="82">
        <f>12^2/162</f>
        <v>0.88888888888888884</v>
      </c>
      <c r="S137" s="82">
        <f>16^2/162</f>
        <v>1.5802469135802468</v>
      </c>
      <c r="T137" s="82">
        <f>20^2/162</f>
        <v>2.4691358024691357</v>
      </c>
      <c r="U137" s="82">
        <f>25^2/162</f>
        <v>3.8580246913580245</v>
      </c>
      <c r="V137" s="82">
        <f>32^2/162</f>
        <v>6.3209876543209873</v>
      </c>
    </row>
    <row r="138" spans="1:22" ht="15.6" hidden="1" outlineLevel="1" x14ac:dyDescent="0.3">
      <c r="A138" s="83"/>
      <c r="B138" s="84"/>
      <c r="C138" s="84"/>
      <c r="D138" s="84"/>
      <c r="E138" s="85"/>
      <c r="F138" s="84"/>
      <c r="G138" s="84"/>
      <c r="H138" s="84"/>
      <c r="I138" s="84"/>
      <c r="J138" s="84"/>
      <c r="K138" s="84"/>
      <c r="L138" s="84"/>
      <c r="M138" s="978" t="s">
        <v>98</v>
      </c>
      <c r="N138" s="978"/>
      <c r="O138" s="978"/>
      <c r="P138" s="77">
        <f t="shared" ref="P138:V138" si="20">P137*P136</f>
        <v>3289.2839506172836</v>
      </c>
      <c r="Q138" s="77">
        <f t="shared" si="20"/>
        <v>0</v>
      </c>
      <c r="R138" s="77">
        <f t="shared" si="20"/>
        <v>467.91111111111115</v>
      </c>
      <c r="S138" s="77">
        <f t="shared" si="20"/>
        <v>3944.2962962962961</v>
      </c>
      <c r="T138" s="77">
        <f t="shared" si="20"/>
        <v>2449.3827160493825</v>
      </c>
      <c r="U138" s="77">
        <f t="shared" si="20"/>
        <v>53.24074074074074</v>
      </c>
      <c r="V138" s="77">
        <f t="shared" si="20"/>
        <v>0</v>
      </c>
    </row>
    <row r="139" spans="1:22" ht="15.6" hidden="1" outlineLevel="1" x14ac:dyDescent="0.3">
      <c r="M139" s="978" t="s">
        <v>99</v>
      </c>
      <c r="N139" s="978"/>
      <c r="O139" s="978"/>
      <c r="P139" s="77">
        <f t="shared" ref="P139:V139" si="21">P138/1000</f>
        <v>3.2892839506172837</v>
      </c>
      <c r="Q139" s="77">
        <f t="shared" si="21"/>
        <v>0</v>
      </c>
      <c r="R139" s="77">
        <f t="shared" si="21"/>
        <v>0.46791111111111117</v>
      </c>
      <c r="S139" s="77">
        <f t="shared" si="21"/>
        <v>3.944296296296296</v>
      </c>
      <c r="T139" s="77">
        <f t="shared" si="21"/>
        <v>2.4493827160493824</v>
      </c>
      <c r="U139" s="77">
        <f t="shared" si="21"/>
        <v>5.3240740740740741E-2</v>
      </c>
      <c r="V139" s="77">
        <f t="shared" si="21"/>
        <v>0</v>
      </c>
    </row>
    <row r="140" spans="1:22" collapsed="1" x14ac:dyDescent="0.3"/>
    <row r="143" spans="1:22" x14ac:dyDescent="0.3">
      <c r="A143" s="967" t="s">
        <v>570</v>
      </c>
      <c r="B143" s="968"/>
      <c r="C143" s="968"/>
      <c r="D143" s="968"/>
      <c r="E143" s="968"/>
      <c r="F143" s="968"/>
      <c r="G143" s="968"/>
      <c r="H143" s="968"/>
      <c r="I143" s="968"/>
      <c r="J143" s="968"/>
      <c r="K143" s="968"/>
      <c r="L143" s="968"/>
      <c r="M143" s="968"/>
      <c r="N143" s="968"/>
      <c r="O143" s="968"/>
      <c r="P143" s="968"/>
      <c r="Q143" s="968"/>
      <c r="R143" s="968"/>
      <c r="S143" s="968"/>
      <c r="T143" s="968"/>
      <c r="U143" s="968"/>
      <c r="V143" s="968"/>
    </row>
    <row r="144" spans="1:22" x14ac:dyDescent="0.3">
      <c r="A144" s="968"/>
      <c r="B144" s="968"/>
      <c r="C144" s="968"/>
      <c r="D144" s="968"/>
      <c r="E144" s="968"/>
      <c r="F144" s="968"/>
      <c r="G144" s="968"/>
      <c r="H144" s="968"/>
      <c r="I144" s="968"/>
      <c r="J144" s="968"/>
      <c r="K144" s="968"/>
      <c r="L144" s="968"/>
      <c r="M144" s="968"/>
      <c r="N144" s="968"/>
      <c r="O144" s="968"/>
      <c r="P144" s="968"/>
      <c r="Q144" s="968"/>
      <c r="R144" s="968"/>
      <c r="S144" s="968"/>
      <c r="T144" s="968"/>
      <c r="U144" s="968"/>
      <c r="V144" s="968"/>
    </row>
    <row r="145" spans="1:22" outlineLevel="1" x14ac:dyDescent="0.3">
      <c r="A145" s="969" t="s">
        <v>37</v>
      </c>
      <c r="B145" s="969"/>
      <c r="C145" s="969"/>
      <c r="D145" s="969"/>
      <c r="E145" s="969"/>
      <c r="F145" s="969"/>
      <c r="G145" s="969"/>
      <c r="H145" s="969" t="s">
        <v>38</v>
      </c>
      <c r="I145" s="969"/>
      <c r="J145" s="969"/>
      <c r="K145" s="969" t="s">
        <v>39</v>
      </c>
      <c r="L145" s="969"/>
      <c r="M145" s="969"/>
      <c r="N145" s="969"/>
      <c r="O145" s="969"/>
      <c r="P145" s="970" t="s">
        <v>40</v>
      </c>
      <c r="Q145" s="970"/>
      <c r="R145" s="970"/>
      <c r="S145" s="970"/>
      <c r="T145" s="970"/>
      <c r="U145" s="970"/>
      <c r="V145" s="970"/>
    </row>
    <row r="146" spans="1:22" outlineLevel="1" x14ac:dyDescent="0.3">
      <c r="A146" s="971" t="s">
        <v>41</v>
      </c>
      <c r="B146" s="971" t="s">
        <v>42</v>
      </c>
      <c r="C146" s="971" t="s">
        <v>43</v>
      </c>
      <c r="D146" s="972" t="s">
        <v>44</v>
      </c>
      <c r="E146" s="973" t="s">
        <v>45</v>
      </c>
      <c r="F146" s="974" t="s">
        <v>46</v>
      </c>
      <c r="G146" s="974" t="s">
        <v>47</v>
      </c>
      <c r="H146" s="971" t="s">
        <v>48</v>
      </c>
      <c r="I146" s="971" t="s">
        <v>49</v>
      </c>
      <c r="J146" s="974" t="s">
        <v>50</v>
      </c>
      <c r="K146" s="971" t="s">
        <v>51</v>
      </c>
      <c r="L146" s="971" t="s">
        <v>52</v>
      </c>
      <c r="M146" s="973" t="s">
        <v>53</v>
      </c>
      <c r="N146" s="971" t="s">
        <v>54</v>
      </c>
      <c r="O146" s="975" t="s">
        <v>50</v>
      </c>
      <c r="P146" s="976" t="s">
        <v>55</v>
      </c>
      <c r="Q146" s="976" t="s">
        <v>56</v>
      </c>
      <c r="R146" s="976" t="s">
        <v>57</v>
      </c>
      <c r="S146" s="976" t="s">
        <v>58</v>
      </c>
      <c r="T146" s="976" t="s">
        <v>59</v>
      </c>
      <c r="U146" s="976" t="s">
        <v>60</v>
      </c>
      <c r="V146" s="976" t="s">
        <v>61</v>
      </c>
    </row>
    <row r="147" spans="1:22" outlineLevel="1" x14ac:dyDescent="0.3">
      <c r="A147" s="971"/>
      <c r="B147" s="971"/>
      <c r="C147" s="971"/>
      <c r="D147" s="972"/>
      <c r="E147" s="973"/>
      <c r="F147" s="974"/>
      <c r="G147" s="974"/>
      <c r="H147" s="971"/>
      <c r="I147" s="971"/>
      <c r="J147" s="974"/>
      <c r="K147" s="971"/>
      <c r="L147" s="971"/>
      <c r="M147" s="973"/>
      <c r="N147" s="971"/>
      <c r="O147" s="975"/>
      <c r="P147" s="976"/>
      <c r="Q147" s="976"/>
      <c r="R147" s="976"/>
      <c r="S147" s="976"/>
      <c r="T147" s="976"/>
      <c r="U147" s="976"/>
      <c r="V147" s="976"/>
    </row>
    <row r="148" spans="1:22" outlineLevel="1" x14ac:dyDescent="0.3">
      <c r="A148" s="936">
        <v>1</v>
      </c>
      <c r="B148" s="917" t="s">
        <v>62</v>
      </c>
      <c r="C148" s="981">
        <v>2</v>
      </c>
      <c r="D148" s="48">
        <v>1.1499999999999999</v>
      </c>
      <c r="E148" s="49">
        <v>0.23</v>
      </c>
      <c r="F148" s="48">
        <v>2.9</v>
      </c>
      <c r="G148" s="48">
        <f>F148*E148*D148*C148</f>
        <v>1.5341</v>
      </c>
      <c r="H148" s="50">
        <v>16</v>
      </c>
      <c r="I148" s="50">
        <v>12</v>
      </c>
      <c r="J148" s="48">
        <f>(F148+(50*H148/1000))*I148*C148</f>
        <v>88.800000000000011</v>
      </c>
      <c r="K148" s="51" t="s">
        <v>63</v>
      </c>
      <c r="L148" s="50">
        <v>8</v>
      </c>
      <c r="M148" s="52">
        <v>0.1</v>
      </c>
      <c r="N148" s="50">
        <f>ROUND(((F148/2)/M148),0)+1</f>
        <v>16</v>
      </c>
      <c r="O148" s="53">
        <f>((((((((D148-0.08)+(E148-0.08))*2)+0.2)+((((E148-0.08)+0.2)*(((I148+I149+I150)/2)-2)))))))</f>
        <v>5.09</v>
      </c>
      <c r="P148" s="54">
        <f>O148*N148*C148</f>
        <v>162.88</v>
      </c>
      <c r="Q148" s="468">
        <f t="shared" ref="Q148:Q211" si="22">IF(H148=10,(J148),0)+IF(L148=10,(O148*N148),0)</f>
        <v>0</v>
      </c>
      <c r="R148" s="468">
        <f t="shared" ref="R148:R211" si="23">IF(H148=12,(J148),0)+IF(L148=12,(O148*N148),0)</f>
        <v>0</v>
      </c>
      <c r="S148" s="468">
        <f t="shared" ref="S148:S211" si="24">IF(H148=16,(J148),0)+IF(L148=16,(O148*N148),0)</f>
        <v>88.800000000000011</v>
      </c>
      <c r="T148" s="469">
        <f t="shared" ref="T148:T211" si="25">IF(H148=20,(J148),0)+IF(L148=20,(O148*N148),0)</f>
        <v>0</v>
      </c>
      <c r="U148" s="469">
        <f t="shared" ref="U148:U211" si="26">IF(H148=25,(J148),0)+IF(L148=25,(O148*N148),0)</f>
        <v>0</v>
      </c>
      <c r="V148" s="468">
        <f t="shared" ref="V148:V211" si="27">IF(H148=32,(J148),0)+IF(L148=32,(O148*N148),0)</f>
        <v>0</v>
      </c>
    </row>
    <row r="149" spans="1:22" outlineLevel="1" x14ac:dyDescent="0.3">
      <c r="A149" s="937"/>
      <c r="B149" s="918"/>
      <c r="C149" s="982"/>
      <c r="D149" s="57"/>
      <c r="E149" s="58"/>
      <c r="F149" s="57"/>
      <c r="G149" s="57"/>
      <c r="H149" s="59">
        <v>12</v>
      </c>
      <c r="I149" s="59">
        <v>6</v>
      </c>
      <c r="J149" s="57">
        <f>(F148+(50*H149/1000))*I149*C148</f>
        <v>42</v>
      </c>
      <c r="K149" s="60" t="s">
        <v>63</v>
      </c>
      <c r="L149" s="59">
        <v>8</v>
      </c>
      <c r="M149" s="61">
        <v>0.15</v>
      </c>
      <c r="N149" s="59">
        <f>ROUND((F148/2)/M149,0)+1</f>
        <v>11</v>
      </c>
      <c r="O149" s="53">
        <f>((((((((D148-0.08)+(E148-0.08))*2)+0.2)+((((E148-0.08)+0.2)*(((I149+I148+I150)/2)-2)))))))</f>
        <v>5.09</v>
      </c>
      <c r="P149" s="54">
        <f>O149*N149*C148</f>
        <v>111.97999999999999</v>
      </c>
      <c r="Q149" s="468">
        <f t="shared" si="22"/>
        <v>0</v>
      </c>
      <c r="R149" s="468">
        <f t="shared" si="23"/>
        <v>42</v>
      </c>
      <c r="S149" s="468">
        <f t="shared" si="24"/>
        <v>0</v>
      </c>
      <c r="T149" s="469">
        <f t="shared" si="25"/>
        <v>0</v>
      </c>
      <c r="U149" s="469">
        <f t="shared" si="26"/>
        <v>0</v>
      </c>
      <c r="V149" s="468">
        <f t="shared" si="27"/>
        <v>0</v>
      </c>
    </row>
    <row r="150" spans="1:22" outlineLevel="1" x14ac:dyDescent="0.3">
      <c r="A150" s="937"/>
      <c r="B150" s="918"/>
      <c r="C150" s="982"/>
      <c r="D150" s="57"/>
      <c r="E150" s="58"/>
      <c r="F150" s="57"/>
      <c r="G150" s="57"/>
      <c r="H150" s="59"/>
      <c r="I150" s="59"/>
      <c r="J150" s="57">
        <f>(F148+(50*H150/1000))*I150*C148</f>
        <v>0</v>
      </c>
      <c r="K150" s="60" t="s">
        <v>63</v>
      </c>
      <c r="L150" s="59"/>
      <c r="M150" s="61"/>
      <c r="N150" s="59"/>
      <c r="O150" s="62"/>
      <c r="P150" s="54">
        <f>O150</f>
        <v>0</v>
      </c>
      <c r="Q150" s="468">
        <f t="shared" si="22"/>
        <v>0</v>
      </c>
      <c r="R150" s="468">
        <f t="shared" si="23"/>
        <v>0</v>
      </c>
      <c r="S150" s="468">
        <f t="shared" si="24"/>
        <v>0</v>
      </c>
      <c r="T150" s="469">
        <f t="shared" si="25"/>
        <v>0</v>
      </c>
      <c r="U150" s="469">
        <f t="shared" si="26"/>
        <v>0</v>
      </c>
      <c r="V150" s="468">
        <f t="shared" si="27"/>
        <v>0</v>
      </c>
    </row>
    <row r="151" spans="1:22" outlineLevel="1" x14ac:dyDescent="0.3">
      <c r="A151" s="937"/>
      <c r="B151" s="918"/>
      <c r="C151" s="982"/>
      <c r="D151" s="57"/>
      <c r="E151" s="58"/>
      <c r="F151" s="57"/>
      <c r="G151" s="57"/>
      <c r="H151" s="59"/>
      <c r="I151" s="59"/>
      <c r="J151" s="57"/>
      <c r="K151" s="60" t="s">
        <v>63</v>
      </c>
      <c r="L151" s="59"/>
      <c r="M151" s="61"/>
      <c r="N151" s="59"/>
      <c r="O151" s="62"/>
      <c r="P151" s="54">
        <f>O151</f>
        <v>0</v>
      </c>
      <c r="Q151" s="468">
        <f t="shared" si="22"/>
        <v>0</v>
      </c>
      <c r="R151" s="468">
        <f t="shared" si="23"/>
        <v>0</v>
      </c>
      <c r="S151" s="468">
        <f t="shared" si="24"/>
        <v>0</v>
      </c>
      <c r="T151" s="469">
        <f t="shared" si="25"/>
        <v>0</v>
      </c>
      <c r="U151" s="469">
        <f t="shared" si="26"/>
        <v>0</v>
      </c>
      <c r="V151" s="468">
        <f t="shared" si="27"/>
        <v>0</v>
      </c>
    </row>
    <row r="152" spans="1:22" outlineLevel="1" x14ac:dyDescent="0.3">
      <c r="A152" s="938"/>
      <c r="B152" s="919"/>
      <c r="C152" s="983"/>
      <c r="D152" s="63"/>
      <c r="E152" s="64"/>
      <c r="F152" s="63"/>
      <c r="G152" s="63"/>
      <c r="H152" s="65"/>
      <c r="I152" s="65"/>
      <c r="J152" s="63"/>
      <c r="K152" s="66" t="s">
        <v>64</v>
      </c>
      <c r="L152" s="65"/>
      <c r="M152" s="67"/>
      <c r="N152" s="65"/>
      <c r="O152" s="69"/>
      <c r="P152" s="54">
        <f>O152</f>
        <v>0</v>
      </c>
      <c r="Q152" s="468">
        <f t="shared" si="22"/>
        <v>0</v>
      </c>
      <c r="R152" s="468">
        <f t="shared" si="23"/>
        <v>0</v>
      </c>
      <c r="S152" s="468">
        <f t="shared" si="24"/>
        <v>0</v>
      </c>
      <c r="T152" s="469">
        <f t="shared" si="25"/>
        <v>0</v>
      </c>
      <c r="U152" s="469">
        <f t="shared" si="26"/>
        <v>0</v>
      </c>
      <c r="V152" s="468">
        <f t="shared" si="27"/>
        <v>0</v>
      </c>
    </row>
    <row r="153" spans="1:22" outlineLevel="1" x14ac:dyDescent="0.3">
      <c r="A153" s="936">
        <v>2</v>
      </c>
      <c r="B153" s="914" t="s">
        <v>65</v>
      </c>
      <c r="C153" s="936">
        <v>2</v>
      </c>
      <c r="D153" s="48">
        <v>1.2</v>
      </c>
      <c r="E153" s="49">
        <v>0.23</v>
      </c>
      <c r="F153" s="48">
        <v>2.9</v>
      </c>
      <c r="G153" s="48">
        <f>F153*E153*D153*C153</f>
        <v>1.6008</v>
      </c>
      <c r="H153" s="50">
        <v>16</v>
      </c>
      <c r="I153" s="50">
        <v>12</v>
      </c>
      <c r="J153" s="48">
        <f>(F153+(50*H153/1000))*I153*C153</f>
        <v>88.800000000000011</v>
      </c>
      <c r="K153" s="51" t="s">
        <v>66</v>
      </c>
      <c r="L153" s="50">
        <v>8</v>
      </c>
      <c r="M153" s="52">
        <v>0.1</v>
      </c>
      <c r="N153" s="50">
        <f>ROUND(((F153/2)/M153),0)+1</f>
        <v>16</v>
      </c>
      <c r="O153" s="53">
        <f>((((((((D153-0.08)+(E153-0.08))*2)+0.2)+((((E153-0.08)+0.2)*(((I153+I154+I155)/2)-2)))))))</f>
        <v>5.5400000000000009</v>
      </c>
      <c r="P153" s="54">
        <f>O153*N153*C153</f>
        <v>177.28000000000003</v>
      </c>
      <c r="Q153" s="468">
        <f t="shared" si="22"/>
        <v>0</v>
      </c>
      <c r="R153" s="468">
        <f t="shared" si="23"/>
        <v>0</v>
      </c>
      <c r="S153" s="468">
        <f t="shared" si="24"/>
        <v>88.800000000000011</v>
      </c>
      <c r="T153" s="469">
        <f t="shared" si="25"/>
        <v>0</v>
      </c>
      <c r="U153" s="469">
        <f t="shared" si="26"/>
        <v>0</v>
      </c>
      <c r="V153" s="468">
        <f t="shared" si="27"/>
        <v>0</v>
      </c>
    </row>
    <row r="154" spans="1:22" outlineLevel="1" x14ac:dyDescent="0.3">
      <c r="A154" s="937"/>
      <c r="B154" s="915"/>
      <c r="C154" s="937"/>
      <c r="D154" s="57"/>
      <c r="E154" s="58"/>
      <c r="F154" s="57"/>
      <c r="G154" s="57"/>
      <c r="H154" s="59">
        <v>12</v>
      </c>
      <c r="I154" s="59">
        <v>8</v>
      </c>
      <c r="J154" s="57">
        <f>(F153+(50*H154/1000))*I154*C153</f>
        <v>56</v>
      </c>
      <c r="K154" s="60" t="s">
        <v>67</v>
      </c>
      <c r="L154" s="59">
        <v>8</v>
      </c>
      <c r="M154" s="61">
        <v>0.15</v>
      </c>
      <c r="N154" s="59">
        <f>ROUND((F153/2)/M154,0)+1</f>
        <v>11</v>
      </c>
      <c r="O154" s="53">
        <f>((((((((D153-0.08)+(E153-0.08))*2)+0.2)+((((E153-0.08)+0.2)*(((I154+I153+I155)/2)-2)))))))</f>
        <v>5.5400000000000009</v>
      </c>
      <c r="P154" s="54">
        <f>O154*N154*C153</f>
        <v>121.88000000000002</v>
      </c>
      <c r="Q154" s="468">
        <f t="shared" si="22"/>
        <v>0</v>
      </c>
      <c r="R154" s="468">
        <f t="shared" si="23"/>
        <v>56</v>
      </c>
      <c r="S154" s="468">
        <f t="shared" si="24"/>
        <v>0</v>
      </c>
      <c r="T154" s="469">
        <f t="shared" si="25"/>
        <v>0</v>
      </c>
      <c r="U154" s="469">
        <f t="shared" si="26"/>
        <v>0</v>
      </c>
      <c r="V154" s="468">
        <f t="shared" si="27"/>
        <v>0</v>
      </c>
    </row>
    <row r="155" spans="1:22" outlineLevel="1" x14ac:dyDescent="0.3">
      <c r="A155" s="937"/>
      <c r="B155" s="915"/>
      <c r="C155" s="937"/>
      <c r="D155" s="57"/>
      <c r="E155" s="58"/>
      <c r="F155" s="57"/>
      <c r="G155" s="57"/>
      <c r="H155" s="59"/>
      <c r="I155" s="59"/>
      <c r="J155" s="57">
        <f>(F153+(50*H155/1000))*I155*C153</f>
        <v>0</v>
      </c>
      <c r="K155" s="60" t="s">
        <v>63</v>
      </c>
      <c r="L155" s="59"/>
      <c r="M155" s="61"/>
      <c r="N155" s="59"/>
      <c r="O155" s="62"/>
      <c r="P155" s="54">
        <f>O155</f>
        <v>0</v>
      </c>
      <c r="Q155" s="468">
        <f t="shared" si="22"/>
        <v>0</v>
      </c>
      <c r="R155" s="468">
        <f t="shared" si="23"/>
        <v>0</v>
      </c>
      <c r="S155" s="468">
        <f t="shared" si="24"/>
        <v>0</v>
      </c>
      <c r="T155" s="469">
        <f t="shared" si="25"/>
        <v>0</v>
      </c>
      <c r="U155" s="469">
        <f t="shared" si="26"/>
        <v>0</v>
      </c>
      <c r="V155" s="468">
        <f t="shared" si="27"/>
        <v>0</v>
      </c>
    </row>
    <row r="156" spans="1:22" outlineLevel="1" x14ac:dyDescent="0.3">
      <c r="A156" s="937"/>
      <c r="B156" s="915"/>
      <c r="C156" s="937"/>
      <c r="D156" s="57"/>
      <c r="E156" s="58"/>
      <c r="F156" s="57"/>
      <c r="G156" s="57"/>
      <c r="H156" s="59"/>
      <c r="I156" s="59"/>
      <c r="J156" s="57"/>
      <c r="K156" s="60" t="s">
        <v>63</v>
      </c>
      <c r="L156" s="59"/>
      <c r="M156" s="61"/>
      <c r="N156" s="59"/>
      <c r="O156" s="62"/>
      <c r="P156" s="54">
        <f>O156</f>
        <v>0</v>
      </c>
      <c r="Q156" s="468">
        <f t="shared" si="22"/>
        <v>0</v>
      </c>
      <c r="R156" s="468">
        <f t="shared" si="23"/>
        <v>0</v>
      </c>
      <c r="S156" s="468">
        <f t="shared" si="24"/>
        <v>0</v>
      </c>
      <c r="T156" s="469">
        <f t="shared" si="25"/>
        <v>0</v>
      </c>
      <c r="U156" s="469">
        <f t="shared" si="26"/>
        <v>0</v>
      </c>
      <c r="V156" s="468">
        <f t="shared" si="27"/>
        <v>0</v>
      </c>
    </row>
    <row r="157" spans="1:22" outlineLevel="1" x14ac:dyDescent="0.3">
      <c r="A157" s="937"/>
      <c r="B157" s="915"/>
      <c r="C157" s="937"/>
      <c r="D157" s="57"/>
      <c r="E157" s="58"/>
      <c r="F157" s="57"/>
      <c r="G157" s="57"/>
      <c r="H157" s="59"/>
      <c r="I157" s="59"/>
      <c r="J157" s="57"/>
      <c r="K157" s="60" t="s">
        <v>64</v>
      </c>
      <c r="L157" s="59"/>
      <c r="M157" s="61"/>
      <c r="N157" s="59"/>
      <c r="O157" s="62"/>
      <c r="P157" s="54">
        <f>O157</f>
        <v>0</v>
      </c>
      <c r="Q157" s="468">
        <f t="shared" si="22"/>
        <v>0</v>
      </c>
      <c r="R157" s="468">
        <f t="shared" si="23"/>
        <v>0</v>
      </c>
      <c r="S157" s="468">
        <f t="shared" si="24"/>
        <v>0</v>
      </c>
      <c r="T157" s="469">
        <f t="shared" si="25"/>
        <v>0</v>
      </c>
      <c r="U157" s="469">
        <f t="shared" si="26"/>
        <v>0</v>
      </c>
      <c r="V157" s="468">
        <f t="shared" si="27"/>
        <v>0</v>
      </c>
    </row>
    <row r="158" spans="1:22" outlineLevel="1" x14ac:dyDescent="0.3">
      <c r="A158" s="936">
        <v>3</v>
      </c>
      <c r="B158" s="914" t="s">
        <v>68</v>
      </c>
      <c r="C158" s="936">
        <v>6</v>
      </c>
      <c r="D158" s="48">
        <v>1.5</v>
      </c>
      <c r="E158" s="49">
        <v>0.23</v>
      </c>
      <c r="F158" s="48">
        <v>2.9</v>
      </c>
      <c r="G158" s="48">
        <f>F158*E158*D158*C158</f>
        <v>6.003000000000001</v>
      </c>
      <c r="H158" s="50">
        <v>16</v>
      </c>
      <c r="I158" s="50">
        <v>16</v>
      </c>
      <c r="J158" s="48">
        <f>(F158+(50*H158/1000))*I158*C158</f>
        <v>355.20000000000005</v>
      </c>
      <c r="K158" s="51" t="s">
        <v>63</v>
      </c>
      <c r="L158" s="50">
        <v>8</v>
      </c>
      <c r="M158" s="52">
        <v>0.1</v>
      </c>
      <c r="N158" s="50">
        <f>ROUND(((F158/2)/M158),0)+1</f>
        <v>16</v>
      </c>
      <c r="O158" s="53">
        <f>((((((((D158-0.08)+(E158-0.08))*2)+0.2)+((((E158-0.08)+0.2)*(((I158+I159+I160)/2)-2)))))))</f>
        <v>6.84</v>
      </c>
      <c r="P158" s="54">
        <f>O158*N158*C158</f>
        <v>656.64</v>
      </c>
      <c r="Q158" s="468">
        <f t="shared" si="22"/>
        <v>0</v>
      </c>
      <c r="R158" s="468">
        <f t="shared" si="23"/>
        <v>0</v>
      </c>
      <c r="S158" s="468">
        <f t="shared" si="24"/>
        <v>355.20000000000005</v>
      </c>
      <c r="T158" s="469">
        <f t="shared" si="25"/>
        <v>0</v>
      </c>
      <c r="U158" s="469">
        <f t="shared" si="26"/>
        <v>0</v>
      </c>
      <c r="V158" s="468">
        <f t="shared" si="27"/>
        <v>0</v>
      </c>
    </row>
    <row r="159" spans="1:22" outlineLevel="1" x14ac:dyDescent="0.3">
      <c r="A159" s="937"/>
      <c r="B159" s="915"/>
      <c r="C159" s="937"/>
      <c r="D159" s="57"/>
      <c r="E159" s="58"/>
      <c r="F159" s="57"/>
      <c r="G159" s="57"/>
      <c r="H159" s="59">
        <v>12</v>
      </c>
      <c r="I159" s="59">
        <v>8</v>
      </c>
      <c r="J159" s="57">
        <f>(F158+(50*H159/1000))*I159*C158</f>
        <v>168</v>
      </c>
      <c r="K159" s="60" t="s">
        <v>63</v>
      </c>
      <c r="L159" s="59">
        <v>8</v>
      </c>
      <c r="M159" s="61">
        <v>0.15</v>
      </c>
      <c r="N159" s="59">
        <f>ROUND((F158/2)/M159,0)+1</f>
        <v>11</v>
      </c>
      <c r="O159" s="53">
        <f>((((((((D158-0.08)+(E158-0.08))*2)+0.2)+((((E158-0.08)+0.2)*(((I159+I158+I160)/2)-2)))))))</f>
        <v>6.84</v>
      </c>
      <c r="P159" s="54">
        <f>O159*N159*C158</f>
        <v>451.43999999999994</v>
      </c>
      <c r="Q159" s="468">
        <f t="shared" si="22"/>
        <v>0</v>
      </c>
      <c r="R159" s="468">
        <f t="shared" si="23"/>
        <v>168</v>
      </c>
      <c r="S159" s="468">
        <f t="shared" si="24"/>
        <v>0</v>
      </c>
      <c r="T159" s="469">
        <f t="shared" si="25"/>
        <v>0</v>
      </c>
      <c r="U159" s="469">
        <f t="shared" si="26"/>
        <v>0</v>
      </c>
      <c r="V159" s="468">
        <f t="shared" si="27"/>
        <v>0</v>
      </c>
    </row>
    <row r="160" spans="1:22" outlineLevel="1" x14ac:dyDescent="0.3">
      <c r="A160" s="937"/>
      <c r="B160" s="915"/>
      <c r="C160" s="937"/>
      <c r="D160" s="57"/>
      <c r="E160" s="58"/>
      <c r="F160" s="57"/>
      <c r="G160" s="57"/>
      <c r="H160" s="59"/>
      <c r="I160" s="59"/>
      <c r="J160" s="57">
        <f>(F158+(50*H160/1000))*I160*C158</f>
        <v>0</v>
      </c>
      <c r="K160" s="60" t="s">
        <v>63</v>
      </c>
      <c r="L160" s="59"/>
      <c r="M160" s="61"/>
      <c r="N160" s="59"/>
      <c r="O160" s="62"/>
      <c r="P160" s="54">
        <f>O160</f>
        <v>0</v>
      </c>
      <c r="Q160" s="468">
        <f t="shared" si="22"/>
        <v>0</v>
      </c>
      <c r="R160" s="468">
        <f t="shared" si="23"/>
        <v>0</v>
      </c>
      <c r="S160" s="468">
        <f t="shared" si="24"/>
        <v>0</v>
      </c>
      <c r="T160" s="469">
        <f t="shared" si="25"/>
        <v>0</v>
      </c>
      <c r="U160" s="469">
        <f t="shared" si="26"/>
        <v>0</v>
      </c>
      <c r="V160" s="468">
        <f t="shared" si="27"/>
        <v>0</v>
      </c>
    </row>
    <row r="161" spans="1:22" outlineLevel="1" x14ac:dyDescent="0.3">
      <c r="A161" s="937"/>
      <c r="B161" s="915"/>
      <c r="C161" s="937"/>
      <c r="D161" s="57"/>
      <c r="E161" s="58"/>
      <c r="F161" s="57"/>
      <c r="G161" s="57"/>
      <c r="H161" s="59"/>
      <c r="I161" s="59"/>
      <c r="J161" s="57"/>
      <c r="K161" s="60" t="s">
        <v>63</v>
      </c>
      <c r="L161" s="59"/>
      <c r="M161" s="61"/>
      <c r="N161" s="59"/>
      <c r="O161" s="62"/>
      <c r="P161" s="54">
        <f>O161</f>
        <v>0</v>
      </c>
      <c r="Q161" s="468">
        <f t="shared" si="22"/>
        <v>0</v>
      </c>
      <c r="R161" s="468">
        <f t="shared" si="23"/>
        <v>0</v>
      </c>
      <c r="S161" s="468">
        <f t="shared" si="24"/>
        <v>0</v>
      </c>
      <c r="T161" s="469">
        <f t="shared" si="25"/>
        <v>0</v>
      </c>
      <c r="U161" s="469">
        <f t="shared" si="26"/>
        <v>0</v>
      </c>
      <c r="V161" s="468">
        <f t="shared" si="27"/>
        <v>0</v>
      </c>
    </row>
    <row r="162" spans="1:22" outlineLevel="1" x14ac:dyDescent="0.3">
      <c r="A162" s="937"/>
      <c r="B162" s="915"/>
      <c r="C162" s="937"/>
      <c r="D162" s="57"/>
      <c r="E162" s="58"/>
      <c r="F162" s="57"/>
      <c r="G162" s="57"/>
      <c r="H162" s="59"/>
      <c r="I162" s="59"/>
      <c r="J162" s="57"/>
      <c r="K162" s="60" t="s">
        <v>64</v>
      </c>
      <c r="L162" s="59"/>
      <c r="M162" s="61"/>
      <c r="N162" s="59"/>
      <c r="O162" s="62"/>
      <c r="P162" s="54">
        <f>O162</f>
        <v>0</v>
      </c>
      <c r="Q162" s="468">
        <f t="shared" si="22"/>
        <v>0</v>
      </c>
      <c r="R162" s="468">
        <f t="shared" si="23"/>
        <v>0</v>
      </c>
      <c r="S162" s="468">
        <f t="shared" si="24"/>
        <v>0</v>
      </c>
      <c r="T162" s="469">
        <f t="shared" si="25"/>
        <v>0</v>
      </c>
      <c r="U162" s="469">
        <f t="shared" si="26"/>
        <v>0</v>
      </c>
      <c r="V162" s="468">
        <f t="shared" si="27"/>
        <v>0</v>
      </c>
    </row>
    <row r="163" spans="1:22" outlineLevel="1" x14ac:dyDescent="0.3">
      <c r="A163" s="936">
        <v>4</v>
      </c>
      <c r="B163" s="914" t="s">
        <v>69</v>
      </c>
      <c r="C163" s="936">
        <v>9</v>
      </c>
      <c r="D163" s="48">
        <v>0.85</v>
      </c>
      <c r="E163" s="49">
        <v>0.23</v>
      </c>
      <c r="F163" s="48">
        <v>2.9</v>
      </c>
      <c r="G163" s="48">
        <f>F163*E163*D163*C163</f>
        <v>5.1025500000000008</v>
      </c>
      <c r="H163" s="50">
        <v>16</v>
      </c>
      <c r="I163" s="50">
        <v>12</v>
      </c>
      <c r="J163" s="48">
        <f>(F163+(50*H163/1000))*I163*C163</f>
        <v>399.6</v>
      </c>
      <c r="K163" s="60" t="s">
        <v>63</v>
      </c>
      <c r="L163" s="50">
        <v>8</v>
      </c>
      <c r="M163" s="52">
        <v>0.1</v>
      </c>
      <c r="N163" s="50">
        <f>ROUND(((F163/2)/M163),0)+1</f>
        <v>16</v>
      </c>
      <c r="O163" s="53">
        <f>((((((((D163-0.08)+(E163-0.08))*2)+0.2)+((((E163-0.08)+0.2)*(((I163+I164+I165)/2)-2)))))))</f>
        <v>3.4400000000000004</v>
      </c>
      <c r="P163" s="54">
        <f>O163*N163*C163</f>
        <v>495.36000000000007</v>
      </c>
      <c r="Q163" s="468">
        <f t="shared" si="22"/>
        <v>0</v>
      </c>
      <c r="R163" s="468">
        <f t="shared" si="23"/>
        <v>0</v>
      </c>
      <c r="S163" s="468">
        <f t="shared" si="24"/>
        <v>399.6</v>
      </c>
      <c r="T163" s="469">
        <f t="shared" si="25"/>
        <v>0</v>
      </c>
      <c r="U163" s="469">
        <f t="shared" si="26"/>
        <v>0</v>
      </c>
      <c r="V163" s="468">
        <f t="shared" si="27"/>
        <v>0</v>
      </c>
    </row>
    <row r="164" spans="1:22" outlineLevel="1" x14ac:dyDescent="0.3">
      <c r="A164" s="937"/>
      <c r="B164" s="915"/>
      <c r="C164" s="937"/>
      <c r="D164" s="57"/>
      <c r="E164" s="58"/>
      <c r="F164" s="57"/>
      <c r="G164" s="57"/>
      <c r="H164" s="59"/>
      <c r="I164" s="59"/>
      <c r="J164" s="57">
        <f>(F163+(50*H164/1000))*I164*C163</f>
        <v>0</v>
      </c>
      <c r="K164" s="60" t="s">
        <v>63</v>
      </c>
      <c r="L164" s="59">
        <v>8</v>
      </c>
      <c r="M164" s="61">
        <v>0.15</v>
      </c>
      <c r="N164" s="59">
        <f>ROUND((F163/2)/M164,0)+1</f>
        <v>11</v>
      </c>
      <c r="O164" s="53">
        <f>((((((((D163-0.08)+(E163-0.08))*2)+0.2)+((((E163-0.08)+0.2)*(((I164+I163+I165)/2)-2)))))))</f>
        <v>3.4400000000000004</v>
      </c>
      <c r="P164" s="54">
        <f>O164*N164*C163</f>
        <v>340.56000000000006</v>
      </c>
      <c r="Q164" s="468">
        <f t="shared" si="22"/>
        <v>0</v>
      </c>
      <c r="R164" s="468">
        <f t="shared" si="23"/>
        <v>0</v>
      </c>
      <c r="S164" s="468">
        <f t="shared" si="24"/>
        <v>0</v>
      </c>
      <c r="T164" s="469">
        <f t="shared" si="25"/>
        <v>0</v>
      </c>
      <c r="U164" s="469">
        <f t="shared" si="26"/>
        <v>0</v>
      </c>
      <c r="V164" s="468">
        <f t="shared" si="27"/>
        <v>0</v>
      </c>
    </row>
    <row r="165" spans="1:22" outlineLevel="1" x14ac:dyDescent="0.3">
      <c r="A165" s="937"/>
      <c r="B165" s="915"/>
      <c r="C165" s="937"/>
      <c r="D165" s="57"/>
      <c r="E165" s="58"/>
      <c r="F165" s="57"/>
      <c r="G165" s="57"/>
      <c r="H165" s="59"/>
      <c r="I165" s="59"/>
      <c r="J165" s="57">
        <f>(F163+(50*H165/1000))*I165*C163</f>
        <v>0</v>
      </c>
      <c r="K165" s="60" t="s">
        <v>63</v>
      </c>
      <c r="L165" s="59"/>
      <c r="M165" s="61"/>
      <c r="N165" s="59"/>
      <c r="O165" s="62"/>
      <c r="P165" s="54">
        <f>O165</f>
        <v>0</v>
      </c>
      <c r="Q165" s="468">
        <f t="shared" si="22"/>
        <v>0</v>
      </c>
      <c r="R165" s="468">
        <f t="shared" si="23"/>
        <v>0</v>
      </c>
      <c r="S165" s="468">
        <f t="shared" si="24"/>
        <v>0</v>
      </c>
      <c r="T165" s="469">
        <f t="shared" si="25"/>
        <v>0</v>
      </c>
      <c r="U165" s="469">
        <f t="shared" si="26"/>
        <v>0</v>
      </c>
      <c r="V165" s="468">
        <f t="shared" si="27"/>
        <v>0</v>
      </c>
    </row>
    <row r="166" spans="1:22" outlineLevel="1" x14ac:dyDescent="0.3">
      <c r="A166" s="937"/>
      <c r="B166" s="915"/>
      <c r="C166" s="937"/>
      <c r="D166" s="57"/>
      <c r="E166" s="58"/>
      <c r="F166" s="57"/>
      <c r="G166" s="57"/>
      <c r="H166" s="59"/>
      <c r="I166" s="59"/>
      <c r="J166" s="57"/>
      <c r="K166" s="60" t="s">
        <v>63</v>
      </c>
      <c r="L166" s="59"/>
      <c r="M166" s="61"/>
      <c r="N166" s="59"/>
      <c r="O166" s="62"/>
      <c r="P166" s="54">
        <f>O166</f>
        <v>0</v>
      </c>
      <c r="Q166" s="468">
        <f t="shared" si="22"/>
        <v>0</v>
      </c>
      <c r="R166" s="468">
        <f t="shared" si="23"/>
        <v>0</v>
      </c>
      <c r="S166" s="468">
        <f t="shared" si="24"/>
        <v>0</v>
      </c>
      <c r="T166" s="469">
        <f t="shared" si="25"/>
        <v>0</v>
      </c>
      <c r="U166" s="469">
        <f t="shared" si="26"/>
        <v>0</v>
      </c>
      <c r="V166" s="468">
        <f t="shared" si="27"/>
        <v>0</v>
      </c>
    </row>
    <row r="167" spans="1:22" outlineLevel="1" x14ac:dyDescent="0.3">
      <c r="A167" s="937"/>
      <c r="B167" s="915"/>
      <c r="C167" s="937"/>
      <c r="D167" s="57"/>
      <c r="E167" s="58"/>
      <c r="F167" s="63"/>
      <c r="G167" s="57"/>
      <c r="H167" s="59"/>
      <c r="I167" s="59"/>
      <c r="J167" s="57"/>
      <c r="K167" s="60" t="s">
        <v>64</v>
      </c>
      <c r="L167" s="59"/>
      <c r="M167" s="61"/>
      <c r="N167" s="59"/>
      <c r="O167" s="62"/>
      <c r="P167" s="54">
        <f>O167</f>
        <v>0</v>
      </c>
      <c r="Q167" s="468">
        <f t="shared" si="22"/>
        <v>0</v>
      </c>
      <c r="R167" s="468">
        <f t="shared" si="23"/>
        <v>0</v>
      </c>
      <c r="S167" s="468">
        <f t="shared" si="24"/>
        <v>0</v>
      </c>
      <c r="T167" s="469">
        <f t="shared" si="25"/>
        <v>0</v>
      </c>
      <c r="U167" s="469">
        <f t="shared" si="26"/>
        <v>0</v>
      </c>
      <c r="V167" s="468">
        <f t="shared" si="27"/>
        <v>0</v>
      </c>
    </row>
    <row r="168" spans="1:22" outlineLevel="1" x14ac:dyDescent="0.3">
      <c r="A168" s="936">
        <v>5</v>
      </c>
      <c r="B168" s="914" t="s">
        <v>70</v>
      </c>
      <c r="C168" s="936">
        <v>2</v>
      </c>
      <c r="D168" s="48">
        <v>1.8</v>
      </c>
      <c r="E168" s="49">
        <v>0.23</v>
      </c>
      <c r="F168" s="48">
        <v>2.9</v>
      </c>
      <c r="G168" s="48">
        <f>F168*E168*D168*C168</f>
        <v>2.4012000000000002</v>
      </c>
      <c r="H168" s="50">
        <v>16</v>
      </c>
      <c r="I168" s="50">
        <v>28</v>
      </c>
      <c r="J168" s="48">
        <f>(F168+(50*H168/1000))*I168*C168</f>
        <v>207.20000000000002</v>
      </c>
      <c r="K168" s="68" t="s">
        <v>63</v>
      </c>
      <c r="L168" s="50">
        <v>8</v>
      </c>
      <c r="M168" s="52">
        <v>0.1</v>
      </c>
      <c r="N168" s="50">
        <f>ROUND(((F168/2)/M168),0)+1</f>
        <v>16</v>
      </c>
      <c r="O168" s="53">
        <f>((((((((D168-0.08)+(E168-0.08))*2)+0.2)+((((E168-0.08)+0.2)*(((I168+I169+I170)/2)-2)))))))</f>
        <v>8.14</v>
      </c>
      <c r="P168" s="54">
        <f>O168*N168*C168</f>
        <v>260.48</v>
      </c>
      <c r="Q168" s="468">
        <f t="shared" si="22"/>
        <v>0</v>
      </c>
      <c r="R168" s="468">
        <f t="shared" si="23"/>
        <v>0</v>
      </c>
      <c r="S168" s="468">
        <f t="shared" si="24"/>
        <v>207.20000000000002</v>
      </c>
      <c r="T168" s="469">
        <f t="shared" si="25"/>
        <v>0</v>
      </c>
      <c r="U168" s="469">
        <f t="shared" si="26"/>
        <v>0</v>
      </c>
      <c r="V168" s="468">
        <f t="shared" si="27"/>
        <v>0</v>
      </c>
    </row>
    <row r="169" spans="1:22" outlineLevel="1" x14ac:dyDescent="0.3">
      <c r="A169" s="937"/>
      <c r="B169" s="915"/>
      <c r="C169" s="937"/>
      <c r="D169" s="57"/>
      <c r="E169" s="58"/>
      <c r="F169" s="57"/>
      <c r="G169" s="57"/>
      <c r="H169" s="59"/>
      <c r="I169" s="59"/>
      <c r="J169" s="57">
        <f>(F168+(50*H169/1000))*I169*C168</f>
        <v>0</v>
      </c>
      <c r="K169" s="60" t="s">
        <v>63</v>
      </c>
      <c r="L169" s="59">
        <v>8</v>
      </c>
      <c r="M169" s="61">
        <v>0.15</v>
      </c>
      <c r="N169" s="59">
        <f>ROUND((F168/2)/M169,0)+1</f>
        <v>11</v>
      </c>
      <c r="O169" s="53">
        <f>((((((((D168-0.08)+(E168-0.08))*2)+0.2)+((((E168-0.08)+0.2)*(((I169+I168+I170)/2)-2)))))))</f>
        <v>8.14</v>
      </c>
      <c r="P169" s="54">
        <f>O169*N169*C168</f>
        <v>179.08</v>
      </c>
      <c r="Q169" s="468">
        <f t="shared" si="22"/>
        <v>0</v>
      </c>
      <c r="R169" s="468">
        <f t="shared" si="23"/>
        <v>0</v>
      </c>
      <c r="S169" s="468">
        <f t="shared" si="24"/>
        <v>0</v>
      </c>
      <c r="T169" s="469">
        <f t="shared" si="25"/>
        <v>0</v>
      </c>
      <c r="U169" s="469">
        <f t="shared" si="26"/>
        <v>0</v>
      </c>
      <c r="V169" s="468">
        <f t="shared" si="27"/>
        <v>0</v>
      </c>
    </row>
    <row r="170" spans="1:22" outlineLevel="1" x14ac:dyDescent="0.3">
      <c r="A170" s="937"/>
      <c r="B170" s="915"/>
      <c r="C170" s="937"/>
      <c r="D170" s="57"/>
      <c r="E170" s="58"/>
      <c r="F170" s="57"/>
      <c r="G170" s="57"/>
      <c r="H170" s="59"/>
      <c r="I170" s="59"/>
      <c r="J170" s="57">
        <f>(F168+(50*H170/1000))*I170*C168</f>
        <v>0</v>
      </c>
      <c r="K170" s="60" t="s">
        <v>63</v>
      </c>
      <c r="L170" s="59"/>
      <c r="M170" s="61"/>
      <c r="N170" s="59"/>
      <c r="O170" s="62"/>
      <c r="P170" s="54">
        <f>O170</f>
        <v>0</v>
      </c>
      <c r="Q170" s="468">
        <f t="shared" si="22"/>
        <v>0</v>
      </c>
      <c r="R170" s="468">
        <f t="shared" si="23"/>
        <v>0</v>
      </c>
      <c r="S170" s="468">
        <f t="shared" si="24"/>
        <v>0</v>
      </c>
      <c r="T170" s="469">
        <f t="shared" si="25"/>
        <v>0</v>
      </c>
      <c r="U170" s="469">
        <f t="shared" si="26"/>
        <v>0</v>
      </c>
      <c r="V170" s="468">
        <f t="shared" si="27"/>
        <v>0</v>
      </c>
    </row>
    <row r="171" spans="1:22" outlineLevel="1" x14ac:dyDescent="0.3">
      <c r="A171" s="937"/>
      <c r="B171" s="915"/>
      <c r="C171" s="937"/>
      <c r="D171" s="57"/>
      <c r="E171" s="58"/>
      <c r="F171" s="57"/>
      <c r="G171" s="57"/>
      <c r="H171" s="59"/>
      <c r="I171" s="59"/>
      <c r="J171" s="57"/>
      <c r="K171" s="60" t="s">
        <v>63</v>
      </c>
      <c r="L171" s="59"/>
      <c r="M171" s="61"/>
      <c r="N171" s="59"/>
      <c r="O171" s="62"/>
      <c r="P171" s="54">
        <f>O171</f>
        <v>0</v>
      </c>
      <c r="Q171" s="468">
        <f t="shared" si="22"/>
        <v>0</v>
      </c>
      <c r="R171" s="468">
        <f t="shared" si="23"/>
        <v>0</v>
      </c>
      <c r="S171" s="468">
        <f t="shared" si="24"/>
        <v>0</v>
      </c>
      <c r="T171" s="469">
        <f t="shared" si="25"/>
        <v>0</v>
      </c>
      <c r="U171" s="469">
        <f t="shared" si="26"/>
        <v>0</v>
      </c>
      <c r="V171" s="468">
        <f t="shared" si="27"/>
        <v>0</v>
      </c>
    </row>
    <row r="172" spans="1:22" outlineLevel="1" x14ac:dyDescent="0.3">
      <c r="A172" s="937"/>
      <c r="B172" s="915"/>
      <c r="C172" s="937"/>
      <c r="D172" s="57"/>
      <c r="E172" s="58"/>
      <c r="F172" s="57"/>
      <c r="G172" s="57"/>
      <c r="H172" s="59"/>
      <c r="I172" s="59"/>
      <c r="J172" s="57"/>
      <c r="K172" s="60" t="s">
        <v>64</v>
      </c>
      <c r="L172" s="59"/>
      <c r="M172" s="61"/>
      <c r="N172" s="59"/>
      <c r="O172" s="62"/>
      <c r="P172" s="54">
        <f>O172</f>
        <v>0</v>
      </c>
      <c r="Q172" s="468">
        <f t="shared" si="22"/>
        <v>0</v>
      </c>
      <c r="R172" s="468">
        <f t="shared" si="23"/>
        <v>0</v>
      </c>
      <c r="S172" s="468">
        <f t="shared" si="24"/>
        <v>0</v>
      </c>
      <c r="T172" s="469">
        <f t="shared" si="25"/>
        <v>0</v>
      </c>
      <c r="U172" s="469">
        <f t="shared" si="26"/>
        <v>0</v>
      </c>
      <c r="V172" s="468">
        <f t="shared" si="27"/>
        <v>0</v>
      </c>
    </row>
    <row r="173" spans="1:22" outlineLevel="1" x14ac:dyDescent="0.3">
      <c r="A173" s="936">
        <v>5</v>
      </c>
      <c r="B173" s="914" t="s">
        <v>71</v>
      </c>
      <c r="C173" s="936">
        <v>2</v>
      </c>
      <c r="D173" s="48">
        <v>1.8</v>
      </c>
      <c r="E173" s="49">
        <v>0.23</v>
      </c>
      <c r="F173" s="48">
        <v>2.9</v>
      </c>
      <c r="G173" s="48">
        <f>F173*E173*D173*C173</f>
        <v>2.4012000000000002</v>
      </c>
      <c r="H173" s="50">
        <v>16</v>
      </c>
      <c r="I173" s="50">
        <v>28</v>
      </c>
      <c r="J173" s="48">
        <f>(F173+(50*H173/1000))*I173*C173</f>
        <v>207.20000000000002</v>
      </c>
      <c r="K173" s="68" t="s">
        <v>63</v>
      </c>
      <c r="L173" s="50">
        <v>8</v>
      </c>
      <c r="M173" s="52">
        <v>0.1</v>
      </c>
      <c r="N173" s="50">
        <f>ROUND(((F173/2)/M173),0)+1</f>
        <v>16</v>
      </c>
      <c r="O173" s="53">
        <f>((((((((D173-0.08)+(E173-0.08))*2)+0.2)+((((E173-0.08)+0.2)*(((I173+I174+I175)/2)-2)))))))</f>
        <v>8.14</v>
      </c>
      <c r="P173" s="54">
        <f>O173*N173*C173</f>
        <v>260.48</v>
      </c>
      <c r="Q173" s="468">
        <f t="shared" si="22"/>
        <v>0</v>
      </c>
      <c r="R173" s="468">
        <f t="shared" si="23"/>
        <v>0</v>
      </c>
      <c r="S173" s="468">
        <f t="shared" si="24"/>
        <v>207.20000000000002</v>
      </c>
      <c r="T173" s="469">
        <f t="shared" si="25"/>
        <v>0</v>
      </c>
      <c r="U173" s="469">
        <f t="shared" si="26"/>
        <v>0</v>
      </c>
      <c r="V173" s="468">
        <f t="shared" si="27"/>
        <v>0</v>
      </c>
    </row>
    <row r="174" spans="1:22" outlineLevel="1" x14ac:dyDescent="0.3">
      <c r="A174" s="937"/>
      <c r="B174" s="915"/>
      <c r="C174" s="937"/>
      <c r="D174" s="57"/>
      <c r="E174" s="58"/>
      <c r="F174" s="57"/>
      <c r="G174" s="57"/>
      <c r="H174" s="59"/>
      <c r="I174" s="59"/>
      <c r="J174" s="57">
        <f>(F173+(50*H174/1000))*I174*C173</f>
        <v>0</v>
      </c>
      <c r="K174" s="60" t="s">
        <v>63</v>
      </c>
      <c r="L174" s="59">
        <v>8</v>
      </c>
      <c r="M174" s="61">
        <v>0.15</v>
      </c>
      <c r="N174" s="59">
        <f>ROUND((F173/2)/M174,0)+1</f>
        <v>11</v>
      </c>
      <c r="O174" s="53">
        <f>((((((((D173-0.08)+(E173-0.08))*2)+0.2)+((((E173-0.08)+0.2)*(((I174+I173+I175)/2)-2)))))))</f>
        <v>8.14</v>
      </c>
      <c r="P174" s="54">
        <f>O174*N174*C173</f>
        <v>179.08</v>
      </c>
      <c r="Q174" s="468">
        <f t="shared" si="22"/>
        <v>0</v>
      </c>
      <c r="R174" s="468">
        <f t="shared" si="23"/>
        <v>0</v>
      </c>
      <c r="S174" s="468">
        <f t="shared" si="24"/>
        <v>0</v>
      </c>
      <c r="T174" s="469">
        <f t="shared" si="25"/>
        <v>0</v>
      </c>
      <c r="U174" s="469">
        <f t="shared" si="26"/>
        <v>0</v>
      </c>
      <c r="V174" s="468">
        <f t="shared" si="27"/>
        <v>0</v>
      </c>
    </row>
    <row r="175" spans="1:22" outlineLevel="1" x14ac:dyDescent="0.3">
      <c r="A175" s="937"/>
      <c r="B175" s="915"/>
      <c r="C175" s="937"/>
      <c r="D175" s="57"/>
      <c r="E175" s="58"/>
      <c r="F175" s="57"/>
      <c r="G175" s="57"/>
      <c r="H175" s="59"/>
      <c r="I175" s="59"/>
      <c r="J175" s="57">
        <f>(F173+(50*H175/1000))*I175*C173</f>
        <v>0</v>
      </c>
      <c r="K175" s="60" t="s">
        <v>63</v>
      </c>
      <c r="L175" s="59"/>
      <c r="M175" s="61"/>
      <c r="N175" s="59"/>
      <c r="O175" s="62"/>
      <c r="P175" s="54">
        <f>O175</f>
        <v>0</v>
      </c>
      <c r="Q175" s="468">
        <f t="shared" si="22"/>
        <v>0</v>
      </c>
      <c r="R175" s="468">
        <f t="shared" si="23"/>
        <v>0</v>
      </c>
      <c r="S175" s="468">
        <f t="shared" si="24"/>
        <v>0</v>
      </c>
      <c r="T175" s="469">
        <f t="shared" si="25"/>
        <v>0</v>
      </c>
      <c r="U175" s="469">
        <f t="shared" si="26"/>
        <v>0</v>
      </c>
      <c r="V175" s="468">
        <f t="shared" si="27"/>
        <v>0</v>
      </c>
    </row>
    <row r="176" spans="1:22" outlineLevel="1" x14ac:dyDescent="0.3">
      <c r="A176" s="937"/>
      <c r="B176" s="915"/>
      <c r="C176" s="937"/>
      <c r="D176" s="57"/>
      <c r="E176" s="58"/>
      <c r="F176" s="57"/>
      <c r="G176" s="57"/>
      <c r="H176" s="59"/>
      <c r="I176" s="59"/>
      <c r="J176" s="57"/>
      <c r="K176" s="60" t="s">
        <v>63</v>
      </c>
      <c r="L176" s="59"/>
      <c r="M176" s="61"/>
      <c r="N176" s="59"/>
      <c r="O176" s="62"/>
      <c r="P176" s="54">
        <f>O176</f>
        <v>0</v>
      </c>
      <c r="Q176" s="468">
        <f t="shared" si="22"/>
        <v>0</v>
      </c>
      <c r="R176" s="468">
        <f t="shared" si="23"/>
        <v>0</v>
      </c>
      <c r="S176" s="468">
        <f t="shared" si="24"/>
        <v>0</v>
      </c>
      <c r="T176" s="469">
        <f t="shared" si="25"/>
        <v>0</v>
      </c>
      <c r="U176" s="469">
        <f t="shared" si="26"/>
        <v>0</v>
      </c>
      <c r="V176" s="468">
        <f t="shared" si="27"/>
        <v>0</v>
      </c>
    </row>
    <row r="177" spans="1:22" outlineLevel="1" x14ac:dyDescent="0.3">
      <c r="A177" s="937"/>
      <c r="B177" s="915"/>
      <c r="C177" s="937"/>
      <c r="D177" s="57"/>
      <c r="E177" s="58"/>
      <c r="F177" s="57"/>
      <c r="G177" s="57"/>
      <c r="H177" s="59"/>
      <c r="I177" s="59"/>
      <c r="J177" s="57"/>
      <c r="K177" s="60" t="s">
        <v>64</v>
      </c>
      <c r="L177" s="59"/>
      <c r="M177" s="61"/>
      <c r="N177" s="59"/>
      <c r="O177" s="62"/>
      <c r="P177" s="54">
        <f>O177</f>
        <v>0</v>
      </c>
      <c r="Q177" s="468">
        <f t="shared" si="22"/>
        <v>0</v>
      </c>
      <c r="R177" s="468">
        <f t="shared" si="23"/>
        <v>0</v>
      </c>
      <c r="S177" s="468">
        <f t="shared" si="24"/>
        <v>0</v>
      </c>
      <c r="T177" s="469">
        <f t="shared" si="25"/>
        <v>0</v>
      </c>
      <c r="U177" s="469">
        <f t="shared" si="26"/>
        <v>0</v>
      </c>
      <c r="V177" s="468">
        <f t="shared" si="27"/>
        <v>0</v>
      </c>
    </row>
    <row r="178" spans="1:22" outlineLevel="1" x14ac:dyDescent="0.3">
      <c r="A178" s="936">
        <v>6</v>
      </c>
      <c r="B178" s="914" t="s">
        <v>72</v>
      </c>
      <c r="C178" s="936">
        <v>2</v>
      </c>
      <c r="D178" s="48">
        <v>1.3</v>
      </c>
      <c r="E178" s="49">
        <v>0.23</v>
      </c>
      <c r="F178" s="48">
        <v>2.9</v>
      </c>
      <c r="G178" s="48">
        <f>F178*E178*D178*C178</f>
        <v>1.7342000000000002</v>
      </c>
      <c r="H178" s="50">
        <v>20</v>
      </c>
      <c r="I178" s="50">
        <v>8</v>
      </c>
      <c r="J178" s="48">
        <f>(F178+(50*H178/1000))*I178*C178</f>
        <v>62.4</v>
      </c>
      <c r="K178" s="68" t="s">
        <v>63</v>
      </c>
      <c r="L178" s="50">
        <v>8</v>
      </c>
      <c r="M178" s="52">
        <v>0.1</v>
      </c>
      <c r="N178" s="50">
        <f>ROUND(((F178/2)/M178),0)+1</f>
        <v>16</v>
      </c>
      <c r="O178" s="53">
        <f>((((((((D178-0.08)+(E178-0.08))*2)+0.2)+((((E178-0.08)+0.2)*(((I178+I179+I180)/2)-2)))))))</f>
        <v>5.0400000000000009</v>
      </c>
      <c r="P178" s="54">
        <f>O178*N178*C178</f>
        <v>161.28000000000003</v>
      </c>
      <c r="Q178" s="468">
        <f t="shared" si="22"/>
        <v>0</v>
      </c>
      <c r="R178" s="468">
        <f t="shared" si="23"/>
        <v>0</v>
      </c>
      <c r="S178" s="468">
        <f t="shared" si="24"/>
        <v>0</v>
      </c>
      <c r="T178" s="469">
        <f t="shared" si="25"/>
        <v>62.4</v>
      </c>
      <c r="U178" s="469">
        <f t="shared" si="26"/>
        <v>0</v>
      </c>
      <c r="V178" s="468">
        <f t="shared" si="27"/>
        <v>0</v>
      </c>
    </row>
    <row r="179" spans="1:22" outlineLevel="1" x14ac:dyDescent="0.3">
      <c r="A179" s="937"/>
      <c r="B179" s="915"/>
      <c r="C179" s="937"/>
      <c r="D179" s="57"/>
      <c r="E179" s="58"/>
      <c r="F179" s="57"/>
      <c r="G179" s="57"/>
      <c r="H179" s="59">
        <v>16</v>
      </c>
      <c r="I179" s="59">
        <v>8</v>
      </c>
      <c r="J179" s="57">
        <f>(F178+(50*H179/1000))*I179*C178</f>
        <v>59.2</v>
      </c>
      <c r="K179" s="60" t="s">
        <v>63</v>
      </c>
      <c r="L179" s="59">
        <v>8</v>
      </c>
      <c r="M179" s="61">
        <v>0.15</v>
      </c>
      <c r="N179" s="59">
        <f>ROUND((F178/2)/M179,0)+1</f>
        <v>11</v>
      </c>
      <c r="O179" s="53">
        <f>((((((((D178-0.08)+(E178-0.08))*2)+0.2)+((((E178-0.08)+0.2)*(((I179+I178+I180)/2)-2)))))))</f>
        <v>5.0400000000000009</v>
      </c>
      <c r="P179" s="54">
        <f>O179*N179*C178</f>
        <v>110.88000000000002</v>
      </c>
      <c r="Q179" s="468">
        <f t="shared" si="22"/>
        <v>0</v>
      </c>
      <c r="R179" s="468">
        <f t="shared" si="23"/>
        <v>0</v>
      </c>
      <c r="S179" s="468">
        <f t="shared" si="24"/>
        <v>59.2</v>
      </c>
      <c r="T179" s="469">
        <f t="shared" si="25"/>
        <v>0</v>
      </c>
      <c r="U179" s="469">
        <f t="shared" si="26"/>
        <v>0</v>
      </c>
      <c r="V179" s="468">
        <f t="shared" si="27"/>
        <v>0</v>
      </c>
    </row>
    <row r="180" spans="1:22" outlineLevel="1" x14ac:dyDescent="0.3">
      <c r="A180" s="937"/>
      <c r="B180" s="915"/>
      <c r="C180" s="937"/>
      <c r="D180" s="57"/>
      <c r="E180" s="58"/>
      <c r="F180" s="57"/>
      <c r="G180" s="57"/>
      <c r="H180" s="59"/>
      <c r="I180" s="59"/>
      <c r="J180" s="57">
        <f>(F178+(50*H180/1000))*I180*C178</f>
        <v>0</v>
      </c>
      <c r="K180" s="60" t="s">
        <v>63</v>
      </c>
      <c r="L180" s="59"/>
      <c r="M180" s="61"/>
      <c r="N180" s="59"/>
      <c r="O180" s="62"/>
      <c r="P180" s="54">
        <f>O180</f>
        <v>0</v>
      </c>
      <c r="Q180" s="468">
        <f t="shared" si="22"/>
        <v>0</v>
      </c>
      <c r="R180" s="468">
        <f t="shared" si="23"/>
        <v>0</v>
      </c>
      <c r="S180" s="468">
        <f t="shared" si="24"/>
        <v>0</v>
      </c>
      <c r="T180" s="469">
        <f t="shared" si="25"/>
        <v>0</v>
      </c>
      <c r="U180" s="469">
        <f t="shared" si="26"/>
        <v>0</v>
      </c>
      <c r="V180" s="468">
        <f t="shared" si="27"/>
        <v>0</v>
      </c>
    </row>
    <row r="181" spans="1:22" outlineLevel="1" x14ac:dyDescent="0.3">
      <c r="A181" s="937"/>
      <c r="B181" s="915"/>
      <c r="C181" s="937"/>
      <c r="D181" s="57"/>
      <c r="E181" s="58"/>
      <c r="F181" s="57"/>
      <c r="G181" s="57"/>
      <c r="H181" s="59"/>
      <c r="I181" s="59"/>
      <c r="J181" s="57"/>
      <c r="K181" s="60" t="s">
        <v>63</v>
      </c>
      <c r="L181" s="59"/>
      <c r="M181" s="61"/>
      <c r="N181" s="59"/>
      <c r="O181" s="62"/>
      <c r="P181" s="54">
        <f>O181</f>
        <v>0</v>
      </c>
      <c r="Q181" s="468">
        <f t="shared" si="22"/>
        <v>0</v>
      </c>
      <c r="R181" s="468">
        <f t="shared" si="23"/>
        <v>0</v>
      </c>
      <c r="S181" s="468">
        <f t="shared" si="24"/>
        <v>0</v>
      </c>
      <c r="T181" s="469">
        <f t="shared" si="25"/>
        <v>0</v>
      </c>
      <c r="U181" s="469">
        <f t="shared" si="26"/>
        <v>0</v>
      </c>
      <c r="V181" s="468">
        <f t="shared" si="27"/>
        <v>0</v>
      </c>
    </row>
    <row r="182" spans="1:22" outlineLevel="1" x14ac:dyDescent="0.3">
      <c r="A182" s="937"/>
      <c r="B182" s="915"/>
      <c r="C182" s="937"/>
      <c r="D182" s="57"/>
      <c r="E182" s="58"/>
      <c r="F182" s="57"/>
      <c r="G182" s="57"/>
      <c r="H182" s="59"/>
      <c r="I182" s="59"/>
      <c r="J182" s="57"/>
      <c r="K182" s="60" t="s">
        <v>64</v>
      </c>
      <c r="L182" s="59"/>
      <c r="M182" s="61"/>
      <c r="N182" s="59"/>
      <c r="O182" s="62"/>
      <c r="P182" s="54">
        <f>O182</f>
        <v>0</v>
      </c>
      <c r="Q182" s="468">
        <f t="shared" si="22"/>
        <v>0</v>
      </c>
      <c r="R182" s="468">
        <f t="shared" si="23"/>
        <v>0</v>
      </c>
      <c r="S182" s="468">
        <f t="shared" si="24"/>
        <v>0</v>
      </c>
      <c r="T182" s="469">
        <f t="shared" si="25"/>
        <v>0</v>
      </c>
      <c r="U182" s="469">
        <f t="shared" si="26"/>
        <v>0</v>
      </c>
      <c r="V182" s="468">
        <f t="shared" si="27"/>
        <v>0</v>
      </c>
    </row>
    <row r="183" spans="1:22" outlineLevel="1" x14ac:dyDescent="0.3">
      <c r="A183" s="936">
        <v>7</v>
      </c>
      <c r="B183" s="917" t="s">
        <v>73</v>
      </c>
      <c r="C183" s="981">
        <v>3</v>
      </c>
      <c r="D183" s="48">
        <v>1.4</v>
      </c>
      <c r="E183" s="49">
        <v>0.23</v>
      </c>
      <c r="F183" s="48">
        <v>2.9</v>
      </c>
      <c r="G183" s="48">
        <f>F183*E183*D183*C183</f>
        <v>2.8014000000000001</v>
      </c>
      <c r="H183" s="50">
        <v>20</v>
      </c>
      <c r="I183" s="50">
        <v>12</v>
      </c>
      <c r="J183" s="48">
        <f>(F183+(50*H183/1000))*I183*C183</f>
        <v>140.39999999999998</v>
      </c>
      <c r="K183" s="51" t="s">
        <v>66</v>
      </c>
      <c r="L183" s="50">
        <v>8</v>
      </c>
      <c r="M183" s="52">
        <v>0.1</v>
      </c>
      <c r="N183" s="50">
        <f>ROUND(((F183/2)/M183),0)+1</f>
        <v>16</v>
      </c>
      <c r="O183" s="53">
        <f>((((((((D183-0.08)+(E183-0.08))*2)+0.2)+((((E183-0.08)+0.2)*(((I183+I184+I185)/2)-2)))))))</f>
        <v>5.59</v>
      </c>
      <c r="P183" s="54">
        <f>O183*N183*C183</f>
        <v>268.32</v>
      </c>
      <c r="Q183" s="468">
        <f t="shared" si="22"/>
        <v>0</v>
      </c>
      <c r="R183" s="468">
        <f t="shared" si="23"/>
        <v>0</v>
      </c>
      <c r="S183" s="468">
        <f t="shared" si="24"/>
        <v>0</v>
      </c>
      <c r="T183" s="469">
        <f t="shared" si="25"/>
        <v>140.39999999999998</v>
      </c>
      <c r="U183" s="469">
        <f t="shared" si="26"/>
        <v>0</v>
      </c>
      <c r="V183" s="468">
        <f t="shared" si="27"/>
        <v>0</v>
      </c>
    </row>
    <row r="184" spans="1:22" outlineLevel="1" x14ac:dyDescent="0.3">
      <c r="A184" s="937"/>
      <c r="B184" s="918"/>
      <c r="C184" s="982"/>
      <c r="D184" s="57"/>
      <c r="E184" s="58"/>
      <c r="F184" s="57"/>
      <c r="G184" s="57"/>
      <c r="H184" s="59">
        <v>16</v>
      </c>
      <c r="I184" s="59">
        <v>6</v>
      </c>
      <c r="J184" s="57">
        <f>(F183+(50*H184/1000))*I184*C183</f>
        <v>66.600000000000009</v>
      </c>
      <c r="K184" s="60" t="s">
        <v>67</v>
      </c>
      <c r="L184" s="59">
        <v>8</v>
      </c>
      <c r="M184" s="61">
        <v>0.15</v>
      </c>
      <c r="N184" s="59">
        <f>ROUND((F183/2)/M184,0)+1</f>
        <v>11</v>
      </c>
      <c r="O184" s="53">
        <f>((((((((D183-0.08)+(E183-0.08))*2)+0.2)+((((E183-0.08)+0.2)*(((I184+I183+I185)/2)-2)))))))</f>
        <v>5.59</v>
      </c>
      <c r="P184" s="54">
        <f>O184*N184*C183</f>
        <v>184.46999999999997</v>
      </c>
      <c r="Q184" s="468">
        <f t="shared" si="22"/>
        <v>0</v>
      </c>
      <c r="R184" s="468">
        <f t="shared" si="23"/>
        <v>0</v>
      </c>
      <c r="S184" s="468">
        <f t="shared" si="24"/>
        <v>66.600000000000009</v>
      </c>
      <c r="T184" s="469">
        <f t="shared" si="25"/>
        <v>0</v>
      </c>
      <c r="U184" s="469">
        <f t="shared" si="26"/>
        <v>0</v>
      </c>
      <c r="V184" s="468">
        <f t="shared" si="27"/>
        <v>0</v>
      </c>
    </row>
    <row r="185" spans="1:22" outlineLevel="1" x14ac:dyDescent="0.3">
      <c r="A185" s="937"/>
      <c r="B185" s="918"/>
      <c r="C185" s="982"/>
      <c r="D185" s="57"/>
      <c r="E185" s="58"/>
      <c r="F185" s="57"/>
      <c r="G185" s="57"/>
      <c r="H185" s="59"/>
      <c r="I185" s="59"/>
      <c r="J185" s="57">
        <f>(F183+(50*H185/1000))*I185*C183</f>
        <v>0</v>
      </c>
      <c r="K185" s="60" t="s">
        <v>63</v>
      </c>
      <c r="L185" s="59"/>
      <c r="M185" s="61"/>
      <c r="N185" s="59"/>
      <c r="O185" s="62"/>
      <c r="P185" s="54">
        <f t="shared" ref="P185:P190" si="28">O185</f>
        <v>0</v>
      </c>
      <c r="Q185" s="468">
        <f t="shared" si="22"/>
        <v>0</v>
      </c>
      <c r="R185" s="468">
        <f t="shared" si="23"/>
        <v>0</v>
      </c>
      <c r="S185" s="468">
        <f t="shared" si="24"/>
        <v>0</v>
      </c>
      <c r="T185" s="469">
        <f t="shared" si="25"/>
        <v>0</v>
      </c>
      <c r="U185" s="469">
        <f t="shared" si="26"/>
        <v>0</v>
      </c>
      <c r="V185" s="468">
        <f t="shared" si="27"/>
        <v>0</v>
      </c>
    </row>
    <row r="186" spans="1:22" outlineLevel="1" x14ac:dyDescent="0.3">
      <c r="A186" s="937"/>
      <c r="B186" s="919"/>
      <c r="C186" s="983"/>
      <c r="D186" s="57"/>
      <c r="E186" s="58"/>
      <c r="F186" s="57"/>
      <c r="G186" s="57"/>
      <c r="H186" s="59"/>
      <c r="I186" s="59"/>
      <c r="J186" s="57"/>
      <c r="K186" s="60" t="s">
        <v>64</v>
      </c>
      <c r="L186" s="59"/>
      <c r="M186" s="61"/>
      <c r="N186" s="59"/>
      <c r="O186" s="62"/>
      <c r="P186" s="54">
        <f t="shared" si="28"/>
        <v>0</v>
      </c>
      <c r="Q186" s="468">
        <f t="shared" si="22"/>
        <v>0</v>
      </c>
      <c r="R186" s="468">
        <f t="shared" si="23"/>
        <v>0</v>
      </c>
      <c r="S186" s="468">
        <f t="shared" si="24"/>
        <v>0</v>
      </c>
      <c r="T186" s="469">
        <f t="shared" si="25"/>
        <v>0</v>
      </c>
      <c r="U186" s="469">
        <f t="shared" si="26"/>
        <v>0</v>
      </c>
      <c r="V186" s="468">
        <f t="shared" si="27"/>
        <v>0</v>
      </c>
    </row>
    <row r="187" spans="1:22" outlineLevel="1" x14ac:dyDescent="0.3">
      <c r="A187" s="936">
        <v>8</v>
      </c>
      <c r="B187" s="914" t="s">
        <v>74</v>
      </c>
      <c r="C187" s="936">
        <v>7</v>
      </c>
      <c r="D187" s="48">
        <v>0.95</v>
      </c>
      <c r="E187" s="49">
        <v>0.23</v>
      </c>
      <c r="F187" s="48">
        <v>2.9</v>
      </c>
      <c r="G187" s="48">
        <f>F187*E187*D187*C187</f>
        <v>4.4355500000000001</v>
      </c>
      <c r="H187" s="50">
        <v>20</v>
      </c>
      <c r="I187" s="50">
        <v>4</v>
      </c>
      <c r="J187" s="48">
        <f>(F187+(50*H187/1000))*I187*C187</f>
        <v>109.2</v>
      </c>
      <c r="K187" s="51" t="s">
        <v>66</v>
      </c>
      <c r="L187" s="50">
        <v>8</v>
      </c>
      <c r="M187" s="52">
        <v>0.1</v>
      </c>
      <c r="N187" s="50">
        <f>ROUND(((F187/2)/M187),0)+1</f>
        <v>16</v>
      </c>
      <c r="O187" s="53">
        <f>((((((((D187-0.08)+(E187-0.08))*2)+0.2)+((((E187-0.08)+0.2)*(((I187+I188+I189)/2)-2)))))))</f>
        <v>3.99</v>
      </c>
      <c r="P187" s="54">
        <f>O187*N187*C187</f>
        <v>446.88</v>
      </c>
      <c r="Q187" s="468">
        <f t="shared" si="22"/>
        <v>0</v>
      </c>
      <c r="R187" s="468">
        <f t="shared" si="23"/>
        <v>0</v>
      </c>
      <c r="S187" s="468">
        <f t="shared" si="24"/>
        <v>0</v>
      </c>
      <c r="T187" s="469">
        <f t="shared" si="25"/>
        <v>109.2</v>
      </c>
      <c r="U187" s="469">
        <f t="shared" si="26"/>
        <v>0</v>
      </c>
      <c r="V187" s="468">
        <f t="shared" si="27"/>
        <v>0</v>
      </c>
    </row>
    <row r="188" spans="1:22" outlineLevel="1" x14ac:dyDescent="0.3">
      <c r="A188" s="937"/>
      <c r="B188" s="915"/>
      <c r="C188" s="937"/>
      <c r="D188" s="57"/>
      <c r="E188" s="58"/>
      <c r="F188" s="57"/>
      <c r="G188" s="57"/>
      <c r="H188" s="59">
        <v>16</v>
      </c>
      <c r="I188" s="59">
        <v>10</v>
      </c>
      <c r="J188" s="57">
        <f>(F187+(50*H188/1000))*I188*C187</f>
        <v>259</v>
      </c>
      <c r="K188" s="60" t="s">
        <v>63</v>
      </c>
      <c r="L188" s="59">
        <v>8</v>
      </c>
      <c r="M188" s="61">
        <v>0.15</v>
      </c>
      <c r="N188" s="59">
        <f>ROUND((F187/2)/M188,0)+1</f>
        <v>11</v>
      </c>
      <c r="O188" s="53">
        <f>((((((((D187-0.08)+(E187-0.08))*2)+0.2)+((((E187-0.08)+0.2)*(((I188+I187+I189)/2)-2)))))))</f>
        <v>3.99</v>
      </c>
      <c r="P188" s="54">
        <f>O188*N188*C187</f>
        <v>307.23</v>
      </c>
      <c r="Q188" s="468">
        <f t="shared" si="22"/>
        <v>0</v>
      </c>
      <c r="R188" s="468">
        <f t="shared" si="23"/>
        <v>0</v>
      </c>
      <c r="S188" s="468">
        <f t="shared" si="24"/>
        <v>259</v>
      </c>
      <c r="T188" s="469">
        <f t="shared" si="25"/>
        <v>0</v>
      </c>
      <c r="U188" s="469">
        <f t="shared" si="26"/>
        <v>0</v>
      </c>
      <c r="V188" s="468">
        <f t="shared" si="27"/>
        <v>0</v>
      </c>
    </row>
    <row r="189" spans="1:22" outlineLevel="1" x14ac:dyDescent="0.3">
      <c r="A189" s="937"/>
      <c r="B189" s="915"/>
      <c r="C189" s="937"/>
      <c r="D189" s="57"/>
      <c r="E189" s="58"/>
      <c r="F189" s="57"/>
      <c r="G189" s="57"/>
      <c r="H189" s="59"/>
      <c r="I189" s="59"/>
      <c r="J189" s="57">
        <f>(F187+(50*H189/1000))*I189*C187</f>
        <v>0</v>
      </c>
      <c r="K189" s="60" t="s">
        <v>63</v>
      </c>
      <c r="L189" s="59"/>
      <c r="M189" s="61"/>
      <c r="N189" s="59"/>
      <c r="O189" s="62"/>
      <c r="P189" s="54">
        <f t="shared" si="28"/>
        <v>0</v>
      </c>
      <c r="Q189" s="468">
        <f t="shared" si="22"/>
        <v>0</v>
      </c>
      <c r="R189" s="468">
        <f t="shared" si="23"/>
        <v>0</v>
      </c>
      <c r="S189" s="468">
        <f t="shared" si="24"/>
        <v>0</v>
      </c>
      <c r="T189" s="469">
        <f t="shared" si="25"/>
        <v>0</v>
      </c>
      <c r="U189" s="469">
        <f t="shared" si="26"/>
        <v>0</v>
      </c>
      <c r="V189" s="468">
        <f t="shared" si="27"/>
        <v>0</v>
      </c>
    </row>
    <row r="190" spans="1:22" outlineLevel="1" x14ac:dyDescent="0.3">
      <c r="A190" s="938"/>
      <c r="B190" s="916"/>
      <c r="C190" s="938"/>
      <c r="D190" s="63"/>
      <c r="E190" s="64"/>
      <c r="F190" s="63"/>
      <c r="G190" s="63"/>
      <c r="H190" s="65"/>
      <c r="I190" s="65"/>
      <c r="J190" s="63"/>
      <c r="K190" s="66" t="s">
        <v>64</v>
      </c>
      <c r="L190" s="65"/>
      <c r="M190" s="67"/>
      <c r="N190" s="65"/>
      <c r="O190" s="69"/>
      <c r="P190" s="54">
        <f t="shared" si="28"/>
        <v>0</v>
      </c>
      <c r="Q190" s="468">
        <f t="shared" si="22"/>
        <v>0</v>
      </c>
      <c r="R190" s="468">
        <f t="shared" si="23"/>
        <v>0</v>
      </c>
      <c r="S190" s="468">
        <f t="shared" si="24"/>
        <v>0</v>
      </c>
      <c r="T190" s="469">
        <f t="shared" si="25"/>
        <v>0</v>
      </c>
      <c r="U190" s="469">
        <f t="shared" si="26"/>
        <v>0</v>
      </c>
      <c r="V190" s="468">
        <f t="shared" si="27"/>
        <v>0</v>
      </c>
    </row>
    <row r="191" spans="1:22" outlineLevel="1" x14ac:dyDescent="0.3">
      <c r="A191" s="936">
        <v>9</v>
      </c>
      <c r="B191" s="914" t="s">
        <v>75</v>
      </c>
      <c r="C191" s="936">
        <v>3</v>
      </c>
      <c r="D191" s="48">
        <v>1.2</v>
      </c>
      <c r="E191" s="49">
        <v>0.23</v>
      </c>
      <c r="F191" s="48">
        <v>2.9</v>
      </c>
      <c r="G191" s="48">
        <f>F191*E191*D191*C191</f>
        <v>2.4012000000000002</v>
      </c>
      <c r="H191" s="50">
        <v>20</v>
      </c>
      <c r="I191" s="50">
        <v>12</v>
      </c>
      <c r="J191" s="48">
        <f>(F191+(50*H191/1000))*I191*C191</f>
        <v>140.39999999999998</v>
      </c>
      <c r="K191" s="51" t="s">
        <v>66</v>
      </c>
      <c r="L191" s="50">
        <v>8</v>
      </c>
      <c r="M191" s="52">
        <v>0.1</v>
      </c>
      <c r="N191" s="50">
        <f>ROUND(((F191/2)/M191),0)+1</f>
        <v>16</v>
      </c>
      <c r="O191" s="53">
        <f>((((((((D191-0.08)+(E191-0.08))*2)+0.2)+((((E191-0.08)+0.2)*(((I191+I192+I193)/2)-2)))))))</f>
        <v>5.19</v>
      </c>
      <c r="P191" s="54">
        <f>O191*N191*C191</f>
        <v>249.12</v>
      </c>
      <c r="Q191" s="468">
        <f t="shared" si="22"/>
        <v>0</v>
      </c>
      <c r="R191" s="468">
        <f t="shared" si="23"/>
        <v>0</v>
      </c>
      <c r="S191" s="468">
        <f t="shared" si="24"/>
        <v>0</v>
      </c>
      <c r="T191" s="469">
        <f t="shared" si="25"/>
        <v>140.39999999999998</v>
      </c>
      <c r="U191" s="469">
        <f t="shared" si="26"/>
        <v>0</v>
      </c>
      <c r="V191" s="468">
        <f t="shared" si="27"/>
        <v>0</v>
      </c>
    </row>
    <row r="192" spans="1:22" outlineLevel="1" x14ac:dyDescent="0.3">
      <c r="A192" s="937"/>
      <c r="B192" s="915"/>
      <c r="C192" s="937"/>
      <c r="D192" s="57"/>
      <c r="E192" s="58"/>
      <c r="F192" s="57"/>
      <c r="G192" s="57"/>
      <c r="H192" s="59">
        <v>16</v>
      </c>
      <c r="I192" s="59">
        <v>6</v>
      </c>
      <c r="J192" s="57">
        <f>(F191+(50*H192/1000))*I192*C191</f>
        <v>66.600000000000009</v>
      </c>
      <c r="K192" s="60" t="s">
        <v>63</v>
      </c>
      <c r="L192" s="59">
        <v>8</v>
      </c>
      <c r="M192" s="61">
        <v>0.15</v>
      </c>
      <c r="N192" s="59">
        <f>ROUND((F191/2)/M192,0)+1</f>
        <v>11</v>
      </c>
      <c r="O192" s="53">
        <f>((((((((D191-0.08)+(E191-0.08))*2)+0.2)+((((E191-0.08)+0.2)*(((I192+I191+I193)/2)-2)))))))</f>
        <v>5.19</v>
      </c>
      <c r="P192" s="54">
        <f>O192*N192*C191</f>
        <v>171.27</v>
      </c>
      <c r="Q192" s="468">
        <f t="shared" si="22"/>
        <v>0</v>
      </c>
      <c r="R192" s="468">
        <f t="shared" si="23"/>
        <v>0</v>
      </c>
      <c r="S192" s="468">
        <f t="shared" si="24"/>
        <v>66.600000000000009</v>
      </c>
      <c r="T192" s="469">
        <f t="shared" si="25"/>
        <v>0</v>
      </c>
      <c r="U192" s="469">
        <f t="shared" si="26"/>
        <v>0</v>
      </c>
      <c r="V192" s="468">
        <f t="shared" si="27"/>
        <v>0</v>
      </c>
    </row>
    <row r="193" spans="1:22" outlineLevel="1" x14ac:dyDescent="0.3">
      <c r="A193" s="937"/>
      <c r="B193" s="915"/>
      <c r="C193" s="937"/>
      <c r="D193" s="57"/>
      <c r="E193" s="58"/>
      <c r="F193" s="57"/>
      <c r="G193" s="57"/>
      <c r="H193" s="59"/>
      <c r="I193" s="59"/>
      <c r="J193" s="57">
        <f>(F191+(50*H193/1000))*I193*C191</f>
        <v>0</v>
      </c>
      <c r="K193" s="60" t="s">
        <v>63</v>
      </c>
      <c r="L193" s="59"/>
      <c r="M193" s="61"/>
      <c r="N193" s="59"/>
      <c r="O193" s="62"/>
      <c r="P193" s="54">
        <f t="shared" ref="P193:P198" si="29">O193</f>
        <v>0</v>
      </c>
      <c r="Q193" s="468">
        <f t="shared" si="22"/>
        <v>0</v>
      </c>
      <c r="R193" s="468">
        <f t="shared" si="23"/>
        <v>0</v>
      </c>
      <c r="S193" s="468">
        <f t="shared" si="24"/>
        <v>0</v>
      </c>
      <c r="T193" s="469">
        <f t="shared" si="25"/>
        <v>0</v>
      </c>
      <c r="U193" s="469">
        <f t="shared" si="26"/>
        <v>0</v>
      </c>
      <c r="V193" s="468">
        <f t="shared" si="27"/>
        <v>0</v>
      </c>
    </row>
    <row r="194" spans="1:22" outlineLevel="1" x14ac:dyDescent="0.3">
      <c r="A194" s="938"/>
      <c r="B194" s="916"/>
      <c r="C194" s="938"/>
      <c r="D194" s="63"/>
      <c r="E194" s="64"/>
      <c r="F194" s="63"/>
      <c r="G194" s="63"/>
      <c r="H194" s="65"/>
      <c r="I194" s="65"/>
      <c r="J194" s="63"/>
      <c r="K194" s="66" t="s">
        <v>64</v>
      </c>
      <c r="L194" s="65"/>
      <c r="M194" s="67"/>
      <c r="N194" s="65"/>
      <c r="O194" s="69"/>
      <c r="P194" s="54">
        <f t="shared" si="29"/>
        <v>0</v>
      </c>
      <c r="Q194" s="468">
        <f t="shared" si="22"/>
        <v>0</v>
      </c>
      <c r="R194" s="468">
        <f t="shared" si="23"/>
        <v>0</v>
      </c>
      <c r="S194" s="468">
        <f t="shared" si="24"/>
        <v>0</v>
      </c>
      <c r="T194" s="469">
        <f t="shared" si="25"/>
        <v>0</v>
      </c>
      <c r="U194" s="469">
        <f t="shared" si="26"/>
        <v>0</v>
      </c>
      <c r="V194" s="468">
        <f t="shared" si="27"/>
        <v>0</v>
      </c>
    </row>
    <row r="195" spans="1:22" outlineLevel="1" x14ac:dyDescent="0.3">
      <c r="A195" s="936">
        <v>10</v>
      </c>
      <c r="B195" s="914" t="s">
        <v>76</v>
      </c>
      <c r="C195" s="936">
        <v>2</v>
      </c>
      <c r="D195" s="48">
        <v>2.76</v>
      </c>
      <c r="E195" s="49">
        <v>0.23</v>
      </c>
      <c r="F195" s="48">
        <v>2.9</v>
      </c>
      <c r="G195" s="48">
        <f>F195*E195*D195*C195</f>
        <v>3.6818399999999998</v>
      </c>
      <c r="H195" s="50">
        <v>20</v>
      </c>
      <c r="I195" s="50">
        <v>8</v>
      </c>
      <c r="J195" s="48">
        <f>(F195+(50*H195/1000))*I195*C195</f>
        <v>62.4</v>
      </c>
      <c r="K195" s="51" t="s">
        <v>66</v>
      </c>
      <c r="L195" s="50">
        <v>8</v>
      </c>
      <c r="M195" s="52">
        <v>0.1</v>
      </c>
      <c r="N195" s="50">
        <f>ROUND(((F195/2)/M195),0)+1</f>
        <v>16</v>
      </c>
      <c r="O195" s="53">
        <f>((((((((D195-0.08)+(E195-0.08))*2)+0.2)+((((E195-0.08)+0.2)*(((I195+I196+I197)/2)-2)))))))</f>
        <v>10.76</v>
      </c>
      <c r="P195" s="54">
        <f>O195*N195*C195</f>
        <v>344.32</v>
      </c>
      <c r="Q195" s="468">
        <f t="shared" si="22"/>
        <v>0</v>
      </c>
      <c r="R195" s="468">
        <f t="shared" si="23"/>
        <v>0</v>
      </c>
      <c r="S195" s="468">
        <f t="shared" si="24"/>
        <v>0</v>
      </c>
      <c r="T195" s="469">
        <f t="shared" si="25"/>
        <v>62.4</v>
      </c>
      <c r="U195" s="469">
        <f t="shared" si="26"/>
        <v>0</v>
      </c>
      <c r="V195" s="468">
        <f t="shared" si="27"/>
        <v>0</v>
      </c>
    </row>
    <row r="196" spans="1:22" outlineLevel="1" x14ac:dyDescent="0.3">
      <c r="A196" s="937"/>
      <c r="B196" s="915"/>
      <c r="C196" s="937"/>
      <c r="D196" s="57"/>
      <c r="E196" s="58"/>
      <c r="F196" s="57"/>
      <c r="G196" s="57"/>
      <c r="H196" s="59">
        <v>16</v>
      </c>
      <c r="I196" s="59">
        <v>24</v>
      </c>
      <c r="J196" s="57">
        <f>(F195+(50*H196/1000))*I196*C195</f>
        <v>177.60000000000002</v>
      </c>
      <c r="K196" s="60" t="s">
        <v>63</v>
      </c>
      <c r="L196" s="59">
        <v>8</v>
      </c>
      <c r="M196" s="61">
        <v>0.15</v>
      </c>
      <c r="N196" s="59">
        <f>ROUND((F195/2)/M196,0)+1</f>
        <v>11</v>
      </c>
      <c r="O196" s="53">
        <f>((((((((D195-0.08)+(E195-0.08))*2)+0.2)+((((E195-0.08)+0.2)*(((I196+I195+I197)/2)-2)))))))</f>
        <v>10.76</v>
      </c>
      <c r="P196" s="54">
        <f>O196*N196*C195</f>
        <v>236.72</v>
      </c>
      <c r="Q196" s="468">
        <f t="shared" si="22"/>
        <v>0</v>
      </c>
      <c r="R196" s="468">
        <f t="shared" si="23"/>
        <v>0</v>
      </c>
      <c r="S196" s="468">
        <f t="shared" si="24"/>
        <v>177.60000000000002</v>
      </c>
      <c r="T196" s="469">
        <f t="shared" si="25"/>
        <v>0</v>
      </c>
      <c r="U196" s="469">
        <f t="shared" si="26"/>
        <v>0</v>
      </c>
      <c r="V196" s="468">
        <f t="shared" si="27"/>
        <v>0</v>
      </c>
    </row>
    <row r="197" spans="1:22" outlineLevel="1" x14ac:dyDescent="0.3">
      <c r="A197" s="937"/>
      <c r="B197" s="915"/>
      <c r="C197" s="937"/>
      <c r="D197" s="57"/>
      <c r="E197" s="58"/>
      <c r="F197" s="57"/>
      <c r="G197" s="57"/>
      <c r="H197" s="59"/>
      <c r="I197" s="59"/>
      <c r="J197" s="57">
        <f>(F195+(50*H197/1000))*I197*C195</f>
        <v>0</v>
      </c>
      <c r="K197" s="60" t="s">
        <v>63</v>
      </c>
      <c r="L197" s="59"/>
      <c r="M197" s="61"/>
      <c r="N197" s="59"/>
      <c r="O197" s="62"/>
      <c r="P197" s="54">
        <f t="shared" si="29"/>
        <v>0</v>
      </c>
      <c r="Q197" s="468">
        <f t="shared" si="22"/>
        <v>0</v>
      </c>
      <c r="R197" s="468">
        <f t="shared" si="23"/>
        <v>0</v>
      </c>
      <c r="S197" s="468">
        <f t="shared" si="24"/>
        <v>0</v>
      </c>
      <c r="T197" s="469">
        <f t="shared" si="25"/>
        <v>0</v>
      </c>
      <c r="U197" s="469">
        <f t="shared" si="26"/>
        <v>0</v>
      </c>
      <c r="V197" s="468">
        <f t="shared" si="27"/>
        <v>0</v>
      </c>
    </row>
    <row r="198" spans="1:22" outlineLevel="1" x14ac:dyDescent="0.3">
      <c r="A198" s="938"/>
      <c r="B198" s="916"/>
      <c r="C198" s="938"/>
      <c r="D198" s="63"/>
      <c r="E198" s="64"/>
      <c r="F198" s="63"/>
      <c r="G198" s="63"/>
      <c r="H198" s="65"/>
      <c r="I198" s="65"/>
      <c r="J198" s="63"/>
      <c r="K198" s="66" t="s">
        <v>64</v>
      </c>
      <c r="L198" s="65"/>
      <c r="M198" s="67"/>
      <c r="N198" s="65"/>
      <c r="O198" s="69"/>
      <c r="P198" s="54">
        <f t="shared" si="29"/>
        <v>0</v>
      </c>
      <c r="Q198" s="468">
        <f t="shared" si="22"/>
        <v>0</v>
      </c>
      <c r="R198" s="468">
        <f t="shared" si="23"/>
        <v>0</v>
      </c>
      <c r="S198" s="468">
        <f t="shared" si="24"/>
        <v>0</v>
      </c>
      <c r="T198" s="469">
        <f t="shared" si="25"/>
        <v>0</v>
      </c>
      <c r="U198" s="469">
        <f t="shared" si="26"/>
        <v>0</v>
      </c>
      <c r="V198" s="468">
        <f t="shared" si="27"/>
        <v>0</v>
      </c>
    </row>
    <row r="199" spans="1:22" outlineLevel="1" x14ac:dyDescent="0.3">
      <c r="A199" s="936">
        <v>11</v>
      </c>
      <c r="B199" s="914" t="s">
        <v>564</v>
      </c>
      <c r="C199" s="936">
        <v>2</v>
      </c>
      <c r="D199" s="48">
        <v>2</v>
      </c>
      <c r="E199" s="49">
        <v>0.23</v>
      </c>
      <c r="F199" s="48">
        <v>2.9</v>
      </c>
      <c r="G199" s="48">
        <f>F199*E199*D199*C199</f>
        <v>2.6680000000000001</v>
      </c>
      <c r="H199" s="59">
        <v>16</v>
      </c>
      <c r="I199" s="59">
        <v>24</v>
      </c>
      <c r="J199" s="48">
        <f>(F199+(50*H199/1000))*I199*C199</f>
        <v>177.60000000000002</v>
      </c>
      <c r="K199" s="51" t="s">
        <v>66</v>
      </c>
      <c r="L199" s="50">
        <v>8</v>
      </c>
      <c r="M199" s="52">
        <v>0.1</v>
      </c>
      <c r="N199" s="50">
        <f>ROUND(((F199/2)/M199),0)+1</f>
        <v>16</v>
      </c>
      <c r="O199" s="53">
        <f>((((((((D199-0.08)+(E199-0.08))*2)+0.2)+((((E199-0.08)+0.2)*(((I199+I200+I201)/2)-2)))))))</f>
        <v>8.5399999999999991</v>
      </c>
      <c r="P199" s="54">
        <f>O199*N199*C199</f>
        <v>273.27999999999997</v>
      </c>
      <c r="Q199" s="468">
        <f t="shared" si="22"/>
        <v>0</v>
      </c>
      <c r="R199" s="468">
        <f t="shared" si="23"/>
        <v>0</v>
      </c>
      <c r="S199" s="468">
        <f t="shared" si="24"/>
        <v>177.60000000000002</v>
      </c>
      <c r="T199" s="469">
        <f t="shared" si="25"/>
        <v>0</v>
      </c>
      <c r="U199" s="469">
        <f t="shared" si="26"/>
        <v>0</v>
      </c>
      <c r="V199" s="468">
        <f t="shared" si="27"/>
        <v>0</v>
      </c>
    </row>
    <row r="200" spans="1:22" outlineLevel="1" x14ac:dyDescent="0.3">
      <c r="A200" s="937"/>
      <c r="B200" s="915"/>
      <c r="C200" s="937"/>
      <c r="D200" s="57"/>
      <c r="E200" s="58"/>
      <c r="F200" s="57"/>
      <c r="G200" s="57"/>
      <c r="H200" s="59">
        <v>12</v>
      </c>
      <c r="I200" s="59">
        <v>4</v>
      </c>
      <c r="J200" s="57">
        <f>(F199+(50*H200/1000))*I200*C199</f>
        <v>28</v>
      </c>
      <c r="K200" s="60" t="s">
        <v>63</v>
      </c>
      <c r="L200" s="59">
        <v>8</v>
      </c>
      <c r="M200" s="61">
        <v>0.15</v>
      </c>
      <c r="N200" s="59">
        <f>ROUND((F199/2)/M200,0)+1</f>
        <v>11</v>
      </c>
      <c r="O200" s="53">
        <f>((((((((D199-0.08)+(E199-0.08))*2)+0.2)+((((E199-0.08)+0.2)*(((I200+I199+I201)/2)-2)))))))</f>
        <v>8.5399999999999991</v>
      </c>
      <c r="P200" s="54">
        <f>O200*N200*C199</f>
        <v>187.88</v>
      </c>
      <c r="Q200" s="468">
        <f t="shared" si="22"/>
        <v>0</v>
      </c>
      <c r="R200" s="468">
        <f t="shared" si="23"/>
        <v>28</v>
      </c>
      <c r="S200" s="468">
        <f t="shared" si="24"/>
        <v>0</v>
      </c>
      <c r="T200" s="469">
        <f t="shared" si="25"/>
        <v>0</v>
      </c>
      <c r="U200" s="469">
        <f t="shared" si="26"/>
        <v>0</v>
      </c>
      <c r="V200" s="468">
        <f t="shared" si="27"/>
        <v>0</v>
      </c>
    </row>
    <row r="201" spans="1:22" outlineLevel="1" x14ac:dyDescent="0.3">
      <c r="A201" s="937"/>
      <c r="B201" s="915"/>
      <c r="C201" s="937"/>
      <c r="D201" s="57"/>
      <c r="E201" s="58"/>
      <c r="F201" s="57"/>
      <c r="G201" s="57"/>
      <c r="H201" s="59"/>
      <c r="I201" s="59"/>
      <c r="J201" s="57">
        <f>(F199+(50*H201/1000))*I201*C199</f>
        <v>0</v>
      </c>
      <c r="K201" s="60" t="s">
        <v>63</v>
      </c>
      <c r="L201" s="59"/>
      <c r="M201" s="61"/>
      <c r="N201" s="59"/>
      <c r="O201" s="62"/>
      <c r="P201" s="54">
        <f t="shared" ref="P201:P206" si="30">O201</f>
        <v>0</v>
      </c>
      <c r="Q201" s="468">
        <f t="shared" si="22"/>
        <v>0</v>
      </c>
      <c r="R201" s="468">
        <f t="shared" si="23"/>
        <v>0</v>
      </c>
      <c r="S201" s="468">
        <f t="shared" si="24"/>
        <v>0</v>
      </c>
      <c r="T201" s="469">
        <f t="shared" si="25"/>
        <v>0</v>
      </c>
      <c r="U201" s="469">
        <f t="shared" si="26"/>
        <v>0</v>
      </c>
      <c r="V201" s="468">
        <f t="shared" si="27"/>
        <v>0</v>
      </c>
    </row>
    <row r="202" spans="1:22" outlineLevel="1" x14ac:dyDescent="0.3">
      <c r="A202" s="979"/>
      <c r="B202" s="980"/>
      <c r="C202" s="979"/>
      <c r="D202" s="70"/>
      <c r="E202" s="71"/>
      <c r="F202" s="70"/>
      <c r="G202" s="70"/>
      <c r="H202" s="72"/>
      <c r="I202" s="72"/>
      <c r="J202" s="70"/>
      <c r="K202" s="73" t="s">
        <v>64</v>
      </c>
      <c r="L202" s="72"/>
      <c r="M202" s="67"/>
      <c r="N202" s="65"/>
      <c r="O202" s="69"/>
      <c r="P202" s="54">
        <f t="shared" si="30"/>
        <v>0</v>
      </c>
      <c r="Q202" s="468">
        <f t="shared" si="22"/>
        <v>0</v>
      </c>
      <c r="R202" s="468">
        <f t="shared" si="23"/>
        <v>0</v>
      </c>
      <c r="S202" s="468">
        <f t="shared" si="24"/>
        <v>0</v>
      </c>
      <c r="T202" s="469">
        <f t="shared" si="25"/>
        <v>0</v>
      </c>
      <c r="U202" s="469">
        <f t="shared" si="26"/>
        <v>0</v>
      </c>
      <c r="V202" s="468">
        <f t="shared" si="27"/>
        <v>0</v>
      </c>
    </row>
    <row r="203" spans="1:22" outlineLevel="1" x14ac:dyDescent="0.3">
      <c r="A203" s="936">
        <v>11</v>
      </c>
      <c r="B203" s="914" t="s">
        <v>565</v>
      </c>
      <c r="C203" s="936">
        <v>2</v>
      </c>
      <c r="D203" s="48">
        <v>1.2</v>
      </c>
      <c r="E203" s="49">
        <v>0.23</v>
      </c>
      <c r="F203" s="48">
        <v>2.9</v>
      </c>
      <c r="G203" s="48">
        <f>F203*E203*D203*C203</f>
        <v>1.6008</v>
      </c>
      <c r="H203" s="59">
        <v>16</v>
      </c>
      <c r="I203" s="59">
        <v>16</v>
      </c>
      <c r="J203" s="48">
        <f>(F203+(50*H203/1000))*I203*C203</f>
        <v>118.4</v>
      </c>
      <c r="K203" s="51" t="s">
        <v>66</v>
      </c>
      <c r="L203" s="50">
        <v>8</v>
      </c>
      <c r="M203" s="52">
        <v>0.1</v>
      </c>
      <c r="N203" s="50">
        <f>ROUND(((F203/2)/M203),0)+1</f>
        <v>16</v>
      </c>
      <c r="O203" s="53">
        <f>((((((((D203-0.08)+(E203-0.08))*2)+0.2)+((((E203-0.08)+0.2)*(((I203+I204+I205)/2)-2)))))))</f>
        <v>5.19</v>
      </c>
      <c r="P203" s="54">
        <f>O203*N203*C203</f>
        <v>166.08</v>
      </c>
      <c r="Q203" s="468">
        <f t="shared" si="22"/>
        <v>0</v>
      </c>
      <c r="R203" s="468">
        <f t="shared" si="23"/>
        <v>0</v>
      </c>
      <c r="S203" s="468">
        <f t="shared" si="24"/>
        <v>118.4</v>
      </c>
      <c r="T203" s="469">
        <f t="shared" si="25"/>
        <v>0</v>
      </c>
      <c r="U203" s="469">
        <f t="shared" si="26"/>
        <v>0</v>
      </c>
      <c r="V203" s="468">
        <f t="shared" si="27"/>
        <v>0</v>
      </c>
    </row>
    <row r="204" spans="1:22" outlineLevel="1" x14ac:dyDescent="0.3">
      <c r="A204" s="937"/>
      <c r="B204" s="915"/>
      <c r="C204" s="937"/>
      <c r="D204" s="57"/>
      <c r="E204" s="58"/>
      <c r="F204" s="57"/>
      <c r="G204" s="57"/>
      <c r="H204" s="59">
        <v>12</v>
      </c>
      <c r="I204" s="59">
        <v>2</v>
      </c>
      <c r="J204" s="57">
        <f>(F203+(50*H204/1000))*I204*C203</f>
        <v>14</v>
      </c>
      <c r="K204" s="60" t="s">
        <v>63</v>
      </c>
      <c r="L204" s="59">
        <v>8</v>
      </c>
      <c r="M204" s="61">
        <v>0.15</v>
      </c>
      <c r="N204" s="59">
        <f>ROUND((F203/2)/M204,0)+1</f>
        <v>11</v>
      </c>
      <c r="O204" s="53">
        <f>((((((((D203-0.08)+(E203-0.08))*2)+0.2)+((((E203-0.08)+0.2)*(((I204+I203+I205)/2)-2)))))))</f>
        <v>5.19</v>
      </c>
      <c r="P204" s="54">
        <f>O204*N204*C203</f>
        <v>114.18</v>
      </c>
      <c r="Q204" s="468">
        <f t="shared" si="22"/>
        <v>0</v>
      </c>
      <c r="R204" s="468">
        <f t="shared" si="23"/>
        <v>14</v>
      </c>
      <c r="S204" s="468">
        <f t="shared" si="24"/>
        <v>0</v>
      </c>
      <c r="T204" s="469">
        <f t="shared" si="25"/>
        <v>0</v>
      </c>
      <c r="U204" s="469">
        <f t="shared" si="26"/>
        <v>0</v>
      </c>
      <c r="V204" s="468">
        <f t="shared" si="27"/>
        <v>0</v>
      </c>
    </row>
    <row r="205" spans="1:22" outlineLevel="1" x14ac:dyDescent="0.3">
      <c r="A205" s="937"/>
      <c r="B205" s="915"/>
      <c r="C205" s="937"/>
      <c r="D205" s="57"/>
      <c r="E205" s="58"/>
      <c r="F205" s="57"/>
      <c r="G205" s="57"/>
      <c r="H205" s="59"/>
      <c r="I205" s="59"/>
      <c r="J205" s="57">
        <f>(F203+(50*H205/1000))*I205*C203</f>
        <v>0</v>
      </c>
      <c r="K205" s="60" t="s">
        <v>63</v>
      </c>
      <c r="L205" s="59"/>
      <c r="M205" s="61"/>
      <c r="N205" s="59"/>
      <c r="O205" s="62"/>
      <c r="P205" s="54">
        <f t="shared" si="30"/>
        <v>0</v>
      </c>
      <c r="Q205" s="468">
        <f t="shared" si="22"/>
        <v>0</v>
      </c>
      <c r="R205" s="468">
        <f t="shared" si="23"/>
        <v>0</v>
      </c>
      <c r="S205" s="468">
        <f t="shared" si="24"/>
        <v>0</v>
      </c>
      <c r="T205" s="469">
        <f t="shared" si="25"/>
        <v>0</v>
      </c>
      <c r="U205" s="469">
        <f t="shared" si="26"/>
        <v>0</v>
      </c>
      <c r="V205" s="468">
        <f t="shared" si="27"/>
        <v>0</v>
      </c>
    </row>
    <row r="206" spans="1:22" outlineLevel="1" x14ac:dyDescent="0.3">
      <c r="A206" s="979"/>
      <c r="B206" s="980"/>
      <c r="C206" s="979"/>
      <c r="D206" s="70"/>
      <c r="E206" s="71"/>
      <c r="F206" s="70"/>
      <c r="G206" s="70"/>
      <c r="H206" s="72"/>
      <c r="I206" s="72"/>
      <c r="J206" s="70"/>
      <c r="K206" s="73" t="s">
        <v>64</v>
      </c>
      <c r="L206" s="72"/>
      <c r="M206" s="67"/>
      <c r="N206" s="65"/>
      <c r="O206" s="69"/>
      <c r="P206" s="54">
        <f t="shared" si="30"/>
        <v>0</v>
      </c>
      <c r="Q206" s="468">
        <f t="shared" si="22"/>
        <v>0</v>
      </c>
      <c r="R206" s="468">
        <f t="shared" si="23"/>
        <v>0</v>
      </c>
      <c r="S206" s="468">
        <f t="shared" si="24"/>
        <v>0</v>
      </c>
      <c r="T206" s="469">
        <f t="shared" si="25"/>
        <v>0</v>
      </c>
      <c r="U206" s="469">
        <f t="shared" si="26"/>
        <v>0</v>
      </c>
      <c r="V206" s="468">
        <f t="shared" si="27"/>
        <v>0</v>
      </c>
    </row>
    <row r="207" spans="1:22" outlineLevel="1" x14ac:dyDescent="0.3">
      <c r="A207" s="936">
        <v>12</v>
      </c>
      <c r="B207" s="914" t="s">
        <v>78</v>
      </c>
      <c r="C207" s="936">
        <v>6</v>
      </c>
      <c r="D207" s="48">
        <v>1.35</v>
      </c>
      <c r="E207" s="49">
        <v>0.23</v>
      </c>
      <c r="F207" s="48">
        <v>2.9</v>
      </c>
      <c r="G207" s="48">
        <f>F207*E207*D207*C207</f>
        <v>5.4027000000000003</v>
      </c>
      <c r="H207" s="50">
        <v>16</v>
      </c>
      <c r="I207" s="50">
        <v>16</v>
      </c>
      <c r="J207" s="48">
        <f>(F207+(50*H207/1000))*I207*C207</f>
        <v>355.20000000000005</v>
      </c>
      <c r="K207" s="51" t="s">
        <v>66</v>
      </c>
      <c r="L207" s="50">
        <v>8</v>
      </c>
      <c r="M207" s="52">
        <v>0.1</v>
      </c>
      <c r="N207" s="50">
        <f>ROUND(((F207/2)/M207),0)+1</f>
        <v>16</v>
      </c>
      <c r="O207" s="53">
        <f>((((((((D207-0.08)+(E207-0.08))*2)+0.2)+((((E207-0.08)+0.2)*(((I207+I208+I209)/2)-2)))))))</f>
        <v>5.49</v>
      </c>
      <c r="P207" s="54">
        <f>O207*N207*C207</f>
        <v>527.04</v>
      </c>
      <c r="Q207" s="468">
        <f t="shared" si="22"/>
        <v>0</v>
      </c>
      <c r="R207" s="468">
        <f t="shared" si="23"/>
        <v>0</v>
      </c>
      <c r="S207" s="468">
        <f t="shared" si="24"/>
        <v>355.20000000000005</v>
      </c>
      <c r="T207" s="469">
        <f t="shared" si="25"/>
        <v>0</v>
      </c>
      <c r="U207" s="469">
        <f t="shared" si="26"/>
        <v>0</v>
      </c>
      <c r="V207" s="468">
        <f t="shared" si="27"/>
        <v>0</v>
      </c>
    </row>
    <row r="208" spans="1:22" outlineLevel="1" x14ac:dyDescent="0.3">
      <c r="A208" s="937"/>
      <c r="B208" s="915"/>
      <c r="C208" s="937"/>
      <c r="D208" s="57"/>
      <c r="E208" s="58"/>
      <c r="F208" s="57"/>
      <c r="G208" s="57"/>
      <c r="H208" s="59">
        <v>12</v>
      </c>
      <c r="I208" s="59">
        <v>2</v>
      </c>
      <c r="J208" s="57">
        <f>(F207+(50*H208/1000))*I208*C207</f>
        <v>42</v>
      </c>
      <c r="K208" s="60" t="s">
        <v>63</v>
      </c>
      <c r="L208" s="59">
        <v>8</v>
      </c>
      <c r="M208" s="61">
        <v>0.15</v>
      </c>
      <c r="N208" s="59">
        <f>ROUND((F207/2)/M208,0)+1</f>
        <v>11</v>
      </c>
      <c r="O208" s="53">
        <f>((((((((D207-0.08)+(E207-0.08))*2)+0.2)+((((E207-0.08)+0.2)*(((I208+I207+I209)/2)-2)))))))</f>
        <v>5.49</v>
      </c>
      <c r="P208" s="54">
        <f>O208*N208*C207</f>
        <v>362.34000000000003</v>
      </c>
      <c r="Q208" s="468">
        <f t="shared" si="22"/>
        <v>0</v>
      </c>
      <c r="R208" s="468">
        <f t="shared" si="23"/>
        <v>42</v>
      </c>
      <c r="S208" s="468">
        <f t="shared" si="24"/>
        <v>0</v>
      </c>
      <c r="T208" s="469">
        <f t="shared" si="25"/>
        <v>0</v>
      </c>
      <c r="U208" s="469">
        <f t="shared" si="26"/>
        <v>0</v>
      </c>
      <c r="V208" s="468">
        <f t="shared" si="27"/>
        <v>0</v>
      </c>
    </row>
    <row r="209" spans="1:22" outlineLevel="1" x14ac:dyDescent="0.3">
      <c r="A209" s="937"/>
      <c r="B209" s="915"/>
      <c r="C209" s="937"/>
      <c r="D209" s="57"/>
      <c r="E209" s="58"/>
      <c r="F209" s="57"/>
      <c r="G209" s="57"/>
      <c r="H209" s="59"/>
      <c r="I209" s="59"/>
      <c r="J209" s="57">
        <f>(F207+(50*H209/1000))*I209*C207</f>
        <v>0</v>
      </c>
      <c r="K209" s="60" t="s">
        <v>63</v>
      </c>
      <c r="L209" s="59"/>
      <c r="M209" s="61"/>
      <c r="N209" s="59"/>
      <c r="O209" s="62"/>
      <c r="P209" s="54">
        <f t="shared" ref="P209:P214" si="31">O209</f>
        <v>0</v>
      </c>
      <c r="Q209" s="468">
        <f t="shared" si="22"/>
        <v>0</v>
      </c>
      <c r="R209" s="468">
        <f t="shared" si="23"/>
        <v>0</v>
      </c>
      <c r="S209" s="468">
        <f t="shared" si="24"/>
        <v>0</v>
      </c>
      <c r="T209" s="469">
        <f t="shared" si="25"/>
        <v>0</v>
      </c>
      <c r="U209" s="469">
        <f t="shared" si="26"/>
        <v>0</v>
      </c>
      <c r="V209" s="468">
        <f t="shared" si="27"/>
        <v>0</v>
      </c>
    </row>
    <row r="210" spans="1:22" outlineLevel="1" x14ac:dyDescent="0.3">
      <c r="A210" s="979"/>
      <c r="B210" s="980"/>
      <c r="C210" s="979"/>
      <c r="D210" s="70"/>
      <c r="E210" s="71"/>
      <c r="F210" s="70"/>
      <c r="G210" s="70"/>
      <c r="H210" s="72"/>
      <c r="I210" s="72"/>
      <c r="J210" s="70"/>
      <c r="K210" s="73" t="s">
        <v>64</v>
      </c>
      <c r="L210" s="72"/>
      <c r="M210" s="67"/>
      <c r="N210" s="65"/>
      <c r="O210" s="69"/>
      <c r="P210" s="54">
        <f t="shared" si="31"/>
        <v>0</v>
      </c>
      <c r="Q210" s="468">
        <f t="shared" si="22"/>
        <v>0</v>
      </c>
      <c r="R210" s="468">
        <f t="shared" si="23"/>
        <v>0</v>
      </c>
      <c r="S210" s="468">
        <f t="shared" si="24"/>
        <v>0</v>
      </c>
      <c r="T210" s="469">
        <f t="shared" si="25"/>
        <v>0</v>
      </c>
      <c r="U210" s="469">
        <f t="shared" si="26"/>
        <v>0</v>
      </c>
      <c r="V210" s="468">
        <f t="shared" si="27"/>
        <v>0</v>
      </c>
    </row>
    <row r="211" spans="1:22" outlineLevel="1" x14ac:dyDescent="0.3">
      <c r="A211" s="936">
        <v>13</v>
      </c>
      <c r="B211" s="914" t="s">
        <v>79</v>
      </c>
      <c r="C211" s="936">
        <v>1</v>
      </c>
      <c r="D211" s="48">
        <v>1.9</v>
      </c>
      <c r="E211" s="49">
        <v>0.23</v>
      </c>
      <c r="F211" s="48">
        <v>2.9</v>
      </c>
      <c r="G211" s="48">
        <f>F211*E211*D211*C211</f>
        <v>1.2673000000000001</v>
      </c>
      <c r="H211" s="50">
        <v>16</v>
      </c>
      <c r="I211" s="50">
        <v>28</v>
      </c>
      <c r="J211" s="48">
        <f>(F211+(50*H211/1000))*I211*C211</f>
        <v>103.60000000000001</v>
      </c>
      <c r="K211" s="51" t="s">
        <v>66</v>
      </c>
      <c r="L211" s="50">
        <v>8</v>
      </c>
      <c r="M211" s="52">
        <v>0.1</v>
      </c>
      <c r="N211" s="50">
        <f>ROUND(((F211/2)/M211),0)+1</f>
        <v>16</v>
      </c>
      <c r="O211" s="53">
        <f>((((((((D211-0.08)+(E211-0.08))*2)+0.2)+((((E211-0.08)+0.2)*(((I211+I212+I213)/2)-2)))))))</f>
        <v>8.34</v>
      </c>
      <c r="P211" s="54">
        <f>O211*N211*C211</f>
        <v>133.44</v>
      </c>
      <c r="Q211" s="468">
        <f t="shared" si="22"/>
        <v>0</v>
      </c>
      <c r="R211" s="468">
        <f t="shared" si="23"/>
        <v>0</v>
      </c>
      <c r="S211" s="468">
        <f t="shared" si="24"/>
        <v>103.60000000000001</v>
      </c>
      <c r="T211" s="469">
        <f t="shared" si="25"/>
        <v>0</v>
      </c>
      <c r="U211" s="469">
        <f t="shared" si="26"/>
        <v>0</v>
      </c>
      <c r="V211" s="468">
        <f t="shared" si="27"/>
        <v>0</v>
      </c>
    </row>
    <row r="212" spans="1:22" outlineLevel="1" x14ac:dyDescent="0.3">
      <c r="A212" s="937"/>
      <c r="B212" s="915"/>
      <c r="C212" s="937"/>
      <c r="D212" s="57"/>
      <c r="E212" s="58"/>
      <c r="F212" s="57"/>
      <c r="G212" s="57"/>
      <c r="H212" s="59"/>
      <c r="I212" s="59"/>
      <c r="J212" s="57">
        <f>(F211+(50*H212/1000))*I212*C211</f>
        <v>0</v>
      </c>
      <c r="K212" s="60" t="s">
        <v>63</v>
      </c>
      <c r="L212" s="59">
        <v>8</v>
      </c>
      <c r="M212" s="61">
        <v>0.15</v>
      </c>
      <c r="N212" s="59">
        <f>ROUND((F211/2)/M212,0)+1</f>
        <v>11</v>
      </c>
      <c r="O212" s="53">
        <f>((((((((D211-0.08)+(E211-0.08))*2)+0.2)+((((E211-0.08)+0.2)*(((I212+I211+I213)/2)-2)))))))</f>
        <v>8.34</v>
      </c>
      <c r="P212" s="54">
        <f>O212*N212*C211</f>
        <v>91.74</v>
      </c>
      <c r="Q212" s="468">
        <f t="shared" ref="Q212:Q275" si="32">IF(H212=10,(J212),0)+IF(L212=10,(O212*N212),0)</f>
        <v>0</v>
      </c>
      <c r="R212" s="468">
        <f t="shared" ref="R212:R275" si="33">IF(H212=12,(J212),0)+IF(L212=12,(O212*N212),0)</f>
        <v>0</v>
      </c>
      <c r="S212" s="468">
        <f t="shared" ref="S212:S275" si="34">IF(H212=16,(J212),0)+IF(L212=16,(O212*N212),0)</f>
        <v>0</v>
      </c>
      <c r="T212" s="469">
        <f t="shared" ref="T212:T275" si="35">IF(H212=20,(J212),0)+IF(L212=20,(O212*N212),0)</f>
        <v>0</v>
      </c>
      <c r="U212" s="469">
        <f t="shared" ref="U212:U275" si="36">IF(H212=25,(J212),0)+IF(L212=25,(O212*N212),0)</f>
        <v>0</v>
      </c>
      <c r="V212" s="468">
        <f t="shared" ref="V212:V275" si="37">IF(H212=32,(J212),0)+IF(L212=32,(O212*N212),0)</f>
        <v>0</v>
      </c>
    </row>
    <row r="213" spans="1:22" outlineLevel="1" x14ac:dyDescent="0.3">
      <c r="A213" s="937"/>
      <c r="B213" s="915"/>
      <c r="C213" s="937"/>
      <c r="D213" s="57"/>
      <c r="E213" s="58"/>
      <c r="F213" s="57"/>
      <c r="G213" s="57"/>
      <c r="H213" s="59"/>
      <c r="I213" s="59"/>
      <c r="J213" s="57">
        <f>(F211+(50*H213/1000))*I213*C211</f>
        <v>0</v>
      </c>
      <c r="K213" s="60" t="s">
        <v>63</v>
      </c>
      <c r="L213" s="59"/>
      <c r="M213" s="61"/>
      <c r="N213" s="59"/>
      <c r="O213" s="62"/>
      <c r="P213" s="54">
        <f t="shared" si="31"/>
        <v>0</v>
      </c>
      <c r="Q213" s="468">
        <f t="shared" si="32"/>
        <v>0</v>
      </c>
      <c r="R213" s="468">
        <f t="shared" si="33"/>
        <v>0</v>
      </c>
      <c r="S213" s="468">
        <f t="shared" si="34"/>
        <v>0</v>
      </c>
      <c r="T213" s="469">
        <f t="shared" si="35"/>
        <v>0</v>
      </c>
      <c r="U213" s="469">
        <f t="shared" si="36"/>
        <v>0</v>
      </c>
      <c r="V213" s="468">
        <f t="shared" si="37"/>
        <v>0</v>
      </c>
    </row>
    <row r="214" spans="1:22" outlineLevel="1" x14ac:dyDescent="0.3">
      <c r="A214" s="979"/>
      <c r="B214" s="980"/>
      <c r="C214" s="979"/>
      <c r="D214" s="70"/>
      <c r="E214" s="71"/>
      <c r="F214" s="70"/>
      <c r="G214" s="70"/>
      <c r="H214" s="72"/>
      <c r="I214" s="72"/>
      <c r="J214" s="70"/>
      <c r="K214" s="73" t="s">
        <v>64</v>
      </c>
      <c r="L214" s="72"/>
      <c r="M214" s="67"/>
      <c r="N214" s="65"/>
      <c r="O214" s="69"/>
      <c r="P214" s="54">
        <f t="shared" si="31"/>
        <v>0</v>
      </c>
      <c r="Q214" s="468">
        <f t="shared" si="32"/>
        <v>0</v>
      </c>
      <c r="R214" s="468">
        <f t="shared" si="33"/>
        <v>0</v>
      </c>
      <c r="S214" s="468">
        <f t="shared" si="34"/>
        <v>0</v>
      </c>
      <c r="T214" s="469">
        <f t="shared" si="35"/>
        <v>0</v>
      </c>
      <c r="U214" s="469">
        <f t="shared" si="36"/>
        <v>0</v>
      </c>
      <c r="V214" s="468">
        <f t="shared" si="37"/>
        <v>0</v>
      </c>
    </row>
    <row r="215" spans="1:22" outlineLevel="1" x14ac:dyDescent="0.3">
      <c r="A215" s="936">
        <v>13</v>
      </c>
      <c r="B215" s="914" t="s">
        <v>80</v>
      </c>
      <c r="C215" s="936">
        <v>1</v>
      </c>
      <c r="D215" s="48">
        <v>1.9</v>
      </c>
      <c r="E215" s="49">
        <v>0.23</v>
      </c>
      <c r="F215" s="48">
        <v>2.9</v>
      </c>
      <c r="G215" s="48">
        <f>F215*E215*D215*C215</f>
        <v>1.2673000000000001</v>
      </c>
      <c r="H215" s="50">
        <v>16</v>
      </c>
      <c r="I215" s="50">
        <v>28</v>
      </c>
      <c r="J215" s="48">
        <f>(F215+(50*H215/1000))*I215*C215</f>
        <v>103.60000000000001</v>
      </c>
      <c r="K215" s="51" t="s">
        <v>66</v>
      </c>
      <c r="L215" s="50">
        <v>8</v>
      </c>
      <c r="M215" s="52">
        <v>0.1</v>
      </c>
      <c r="N215" s="50">
        <f>ROUND(((F215/2)/M215),0)+1</f>
        <v>16</v>
      </c>
      <c r="O215" s="53">
        <f>((((((((D215-0.08)+(E215-0.08))*2)+0.2)+((((E215-0.08)+0.2)*(((I215+I216+I217)/2)-2)))))))</f>
        <v>8.34</v>
      </c>
      <c r="P215" s="54">
        <f>O215*N215*C215</f>
        <v>133.44</v>
      </c>
      <c r="Q215" s="468">
        <f t="shared" si="32"/>
        <v>0</v>
      </c>
      <c r="R215" s="468">
        <f t="shared" si="33"/>
        <v>0</v>
      </c>
      <c r="S215" s="468">
        <f t="shared" si="34"/>
        <v>103.60000000000001</v>
      </c>
      <c r="T215" s="469">
        <f t="shared" si="35"/>
        <v>0</v>
      </c>
      <c r="U215" s="469">
        <f t="shared" si="36"/>
        <v>0</v>
      </c>
      <c r="V215" s="468">
        <f t="shared" si="37"/>
        <v>0</v>
      </c>
    </row>
    <row r="216" spans="1:22" outlineLevel="1" x14ac:dyDescent="0.3">
      <c r="A216" s="937"/>
      <c r="B216" s="915"/>
      <c r="C216" s="937"/>
      <c r="D216" s="57"/>
      <c r="E216" s="58"/>
      <c r="F216" s="57"/>
      <c r="G216" s="57"/>
      <c r="H216" s="59"/>
      <c r="I216" s="59"/>
      <c r="J216" s="57">
        <f>(F215+(50*H216/1000))*I216*C215</f>
        <v>0</v>
      </c>
      <c r="K216" s="60" t="s">
        <v>63</v>
      </c>
      <c r="L216" s="59">
        <v>8</v>
      </c>
      <c r="M216" s="61">
        <v>0.15</v>
      </c>
      <c r="N216" s="59">
        <f>ROUND((F215/2)/M216,0)+1</f>
        <v>11</v>
      </c>
      <c r="O216" s="53">
        <f>((((((((D215-0.08)+(E215-0.08))*2)+0.2)+((((E215-0.08)+0.2)*(((I216+I215+I217)/2)-2)))))))</f>
        <v>8.34</v>
      </c>
      <c r="P216" s="54">
        <f>O216*N216*C215</f>
        <v>91.74</v>
      </c>
      <c r="Q216" s="468">
        <f t="shared" si="32"/>
        <v>0</v>
      </c>
      <c r="R216" s="468">
        <f t="shared" si="33"/>
        <v>0</v>
      </c>
      <c r="S216" s="468">
        <f t="shared" si="34"/>
        <v>0</v>
      </c>
      <c r="T216" s="469">
        <f t="shared" si="35"/>
        <v>0</v>
      </c>
      <c r="U216" s="469">
        <f t="shared" si="36"/>
        <v>0</v>
      </c>
      <c r="V216" s="468">
        <f t="shared" si="37"/>
        <v>0</v>
      </c>
    </row>
    <row r="217" spans="1:22" outlineLevel="1" x14ac:dyDescent="0.3">
      <c r="A217" s="937"/>
      <c r="B217" s="915"/>
      <c r="C217" s="937"/>
      <c r="D217" s="57"/>
      <c r="E217" s="58"/>
      <c r="F217" s="57"/>
      <c r="G217" s="57"/>
      <c r="H217" s="59"/>
      <c r="I217" s="59"/>
      <c r="J217" s="57">
        <f>(F215+(50*H217/1000))*I217*C215</f>
        <v>0</v>
      </c>
      <c r="K217" s="60" t="s">
        <v>63</v>
      </c>
      <c r="L217" s="59"/>
      <c r="M217" s="61"/>
      <c r="N217" s="59"/>
      <c r="O217" s="62"/>
      <c r="P217" s="54">
        <f t="shared" ref="P217:P222" si="38">O217</f>
        <v>0</v>
      </c>
      <c r="Q217" s="468">
        <f t="shared" si="32"/>
        <v>0</v>
      </c>
      <c r="R217" s="468">
        <f t="shared" si="33"/>
        <v>0</v>
      </c>
      <c r="S217" s="468">
        <f t="shared" si="34"/>
        <v>0</v>
      </c>
      <c r="T217" s="469">
        <f t="shared" si="35"/>
        <v>0</v>
      </c>
      <c r="U217" s="469">
        <f t="shared" si="36"/>
        <v>0</v>
      </c>
      <c r="V217" s="468">
        <f t="shared" si="37"/>
        <v>0</v>
      </c>
    </row>
    <row r="218" spans="1:22" outlineLevel="1" x14ac:dyDescent="0.3">
      <c r="A218" s="979"/>
      <c r="B218" s="980"/>
      <c r="C218" s="979"/>
      <c r="D218" s="70"/>
      <c r="E218" s="71"/>
      <c r="F218" s="70"/>
      <c r="G218" s="70"/>
      <c r="H218" s="72"/>
      <c r="I218" s="72"/>
      <c r="J218" s="70"/>
      <c r="K218" s="73" t="s">
        <v>64</v>
      </c>
      <c r="L218" s="72"/>
      <c r="M218" s="67"/>
      <c r="N218" s="65"/>
      <c r="O218" s="69"/>
      <c r="P218" s="54">
        <f t="shared" si="38"/>
        <v>0</v>
      </c>
      <c r="Q218" s="468">
        <f t="shared" si="32"/>
        <v>0</v>
      </c>
      <c r="R218" s="468">
        <f t="shared" si="33"/>
        <v>0</v>
      </c>
      <c r="S218" s="468">
        <f t="shared" si="34"/>
        <v>0</v>
      </c>
      <c r="T218" s="469">
        <f t="shared" si="35"/>
        <v>0</v>
      </c>
      <c r="U218" s="469">
        <f t="shared" si="36"/>
        <v>0</v>
      </c>
      <c r="V218" s="468">
        <f t="shared" si="37"/>
        <v>0</v>
      </c>
    </row>
    <row r="219" spans="1:22" outlineLevel="1" x14ac:dyDescent="0.3">
      <c r="A219" s="936">
        <v>14</v>
      </c>
      <c r="B219" s="914" t="s">
        <v>81</v>
      </c>
      <c r="C219" s="936">
        <v>1</v>
      </c>
      <c r="D219" s="48">
        <v>2.2000000000000002</v>
      </c>
      <c r="E219" s="49">
        <v>0.23</v>
      </c>
      <c r="F219" s="48">
        <v>2.9</v>
      </c>
      <c r="G219" s="48">
        <f>F219*E219*D219*C219</f>
        <v>1.4674000000000003</v>
      </c>
      <c r="H219" s="59">
        <v>20</v>
      </c>
      <c r="I219" s="59">
        <v>8</v>
      </c>
      <c r="J219" s="48">
        <f>(F219+(50*H219/1000))*I219*C219</f>
        <v>31.2</v>
      </c>
      <c r="K219" s="51" t="s">
        <v>66</v>
      </c>
      <c r="L219" s="50">
        <v>8</v>
      </c>
      <c r="M219" s="52">
        <v>0.1</v>
      </c>
      <c r="N219" s="50">
        <f>ROUND(((F219/2)/M219),0)+1</f>
        <v>16</v>
      </c>
      <c r="O219" s="53">
        <f>((((((((D219-0.08)+(E219-0.08))*2)+0.2)+((((E219-0.08)+0.2)*(((I219+I220+I221)/2)-2)))))))</f>
        <v>9.64</v>
      </c>
      <c r="P219" s="54">
        <f>O219*N219*C219</f>
        <v>154.24</v>
      </c>
      <c r="Q219" s="468">
        <f t="shared" si="32"/>
        <v>0</v>
      </c>
      <c r="R219" s="468">
        <f t="shared" si="33"/>
        <v>0</v>
      </c>
      <c r="S219" s="468">
        <f t="shared" si="34"/>
        <v>0</v>
      </c>
      <c r="T219" s="469">
        <f t="shared" si="35"/>
        <v>31.2</v>
      </c>
      <c r="U219" s="469">
        <f t="shared" si="36"/>
        <v>0</v>
      </c>
      <c r="V219" s="468">
        <f t="shared" si="37"/>
        <v>0</v>
      </c>
    </row>
    <row r="220" spans="1:22" outlineLevel="1" x14ac:dyDescent="0.3">
      <c r="A220" s="937"/>
      <c r="B220" s="915"/>
      <c r="C220" s="937"/>
      <c r="D220" s="57"/>
      <c r="E220" s="58"/>
      <c r="F220" s="57"/>
      <c r="G220" s="57"/>
      <c r="H220" s="59">
        <v>16</v>
      </c>
      <c r="I220" s="59">
        <v>24</v>
      </c>
      <c r="J220" s="57">
        <f>(F219+(50*H220/1000))*I220*C219</f>
        <v>88.800000000000011</v>
      </c>
      <c r="K220" s="60" t="s">
        <v>63</v>
      </c>
      <c r="L220" s="59">
        <v>8</v>
      </c>
      <c r="M220" s="61">
        <v>0.15</v>
      </c>
      <c r="N220" s="59">
        <f>ROUND((F219/2)/M220,0)+1</f>
        <v>11</v>
      </c>
      <c r="O220" s="53">
        <f>((((((((D219-0.08)+(E219-0.08))*2)+0.2)+((((E219-0.08)+0.2)*(((I220+I219+I221)/2)-2)))))))</f>
        <v>9.64</v>
      </c>
      <c r="P220" s="54">
        <f>O220*N220*C219</f>
        <v>106.04</v>
      </c>
      <c r="Q220" s="468">
        <f t="shared" si="32"/>
        <v>0</v>
      </c>
      <c r="R220" s="468">
        <f t="shared" si="33"/>
        <v>0</v>
      </c>
      <c r="S220" s="468">
        <f t="shared" si="34"/>
        <v>88.800000000000011</v>
      </c>
      <c r="T220" s="469">
        <f t="shared" si="35"/>
        <v>0</v>
      </c>
      <c r="U220" s="469">
        <f t="shared" si="36"/>
        <v>0</v>
      </c>
      <c r="V220" s="468">
        <f t="shared" si="37"/>
        <v>0</v>
      </c>
    </row>
    <row r="221" spans="1:22" outlineLevel="1" x14ac:dyDescent="0.3">
      <c r="A221" s="937"/>
      <c r="B221" s="915"/>
      <c r="C221" s="937"/>
      <c r="D221" s="57"/>
      <c r="E221" s="58"/>
      <c r="F221" s="57"/>
      <c r="G221" s="57"/>
      <c r="H221" s="59"/>
      <c r="I221" s="59"/>
      <c r="J221" s="57"/>
      <c r="K221" s="60" t="s">
        <v>63</v>
      </c>
      <c r="L221" s="59"/>
      <c r="M221" s="61"/>
      <c r="N221" s="59"/>
      <c r="O221" s="62"/>
      <c r="P221" s="54">
        <f t="shared" si="38"/>
        <v>0</v>
      </c>
      <c r="Q221" s="468">
        <f t="shared" si="32"/>
        <v>0</v>
      </c>
      <c r="R221" s="468">
        <f t="shared" si="33"/>
        <v>0</v>
      </c>
      <c r="S221" s="468">
        <f t="shared" si="34"/>
        <v>0</v>
      </c>
      <c r="T221" s="469">
        <f t="shared" si="35"/>
        <v>0</v>
      </c>
      <c r="U221" s="469">
        <f t="shared" si="36"/>
        <v>0</v>
      </c>
      <c r="V221" s="468">
        <f t="shared" si="37"/>
        <v>0</v>
      </c>
    </row>
    <row r="222" spans="1:22" outlineLevel="1" x14ac:dyDescent="0.3">
      <c r="A222" s="979"/>
      <c r="B222" s="980"/>
      <c r="C222" s="979"/>
      <c r="D222" s="70"/>
      <c r="E222" s="71"/>
      <c r="F222" s="70"/>
      <c r="G222" s="70"/>
      <c r="H222" s="72"/>
      <c r="I222" s="72"/>
      <c r="J222" s="70"/>
      <c r="K222" s="73" t="s">
        <v>64</v>
      </c>
      <c r="L222" s="72"/>
      <c r="M222" s="67"/>
      <c r="N222" s="65"/>
      <c r="O222" s="69"/>
      <c r="P222" s="54">
        <f t="shared" si="38"/>
        <v>0</v>
      </c>
      <c r="Q222" s="468">
        <f t="shared" si="32"/>
        <v>0</v>
      </c>
      <c r="R222" s="468">
        <f t="shared" si="33"/>
        <v>0</v>
      </c>
      <c r="S222" s="468">
        <f t="shared" si="34"/>
        <v>0</v>
      </c>
      <c r="T222" s="469">
        <f t="shared" si="35"/>
        <v>0</v>
      </c>
      <c r="U222" s="469">
        <f t="shared" si="36"/>
        <v>0</v>
      </c>
      <c r="V222" s="468">
        <f t="shared" si="37"/>
        <v>0</v>
      </c>
    </row>
    <row r="223" spans="1:22" outlineLevel="1" x14ac:dyDescent="0.3">
      <c r="A223" s="936">
        <v>15</v>
      </c>
      <c r="B223" s="914" t="s">
        <v>82</v>
      </c>
      <c r="C223" s="936">
        <v>2</v>
      </c>
      <c r="D223" s="48">
        <v>1.7</v>
      </c>
      <c r="E223" s="49">
        <v>0.23</v>
      </c>
      <c r="F223" s="48">
        <v>2.9</v>
      </c>
      <c r="G223" s="48">
        <f>F223*E223*D223*C223</f>
        <v>2.2678000000000003</v>
      </c>
      <c r="H223" s="50">
        <v>16</v>
      </c>
      <c r="I223" s="50">
        <v>12</v>
      </c>
      <c r="J223" s="48">
        <f>(F223+(50*H223/1000))*I223*C223</f>
        <v>88.800000000000011</v>
      </c>
      <c r="K223" s="51" t="s">
        <v>66</v>
      </c>
      <c r="L223" s="50">
        <v>8</v>
      </c>
      <c r="M223" s="52">
        <v>0.1</v>
      </c>
      <c r="N223" s="50">
        <f>ROUND(((F223/2)/M223),0)+1</f>
        <v>16</v>
      </c>
      <c r="O223" s="53">
        <f>((((((((D223-0.08)+(E223-0.08))*2)+0.2)+((((E223-0.08)+0.2)*(((I223+I224+I225)/2)-2)))))))</f>
        <v>7.5900000000000007</v>
      </c>
      <c r="P223" s="54">
        <f>O223*N223*C223</f>
        <v>242.88000000000002</v>
      </c>
      <c r="Q223" s="468">
        <f t="shared" si="32"/>
        <v>0</v>
      </c>
      <c r="R223" s="468">
        <f t="shared" si="33"/>
        <v>0</v>
      </c>
      <c r="S223" s="468">
        <f t="shared" si="34"/>
        <v>88.800000000000011</v>
      </c>
      <c r="T223" s="469">
        <f t="shared" si="35"/>
        <v>0</v>
      </c>
      <c r="U223" s="469">
        <f t="shared" si="36"/>
        <v>0</v>
      </c>
      <c r="V223" s="468">
        <f t="shared" si="37"/>
        <v>0</v>
      </c>
    </row>
    <row r="224" spans="1:22" outlineLevel="1" x14ac:dyDescent="0.3">
      <c r="A224" s="937"/>
      <c r="B224" s="915"/>
      <c r="C224" s="937"/>
      <c r="D224" s="57"/>
      <c r="E224" s="58"/>
      <c r="F224" s="57"/>
      <c r="G224" s="57"/>
      <c r="H224" s="59">
        <v>12</v>
      </c>
      <c r="I224" s="59">
        <v>14</v>
      </c>
      <c r="J224" s="57">
        <f>(F223+(50*H224/1000))*I224*C223</f>
        <v>98</v>
      </c>
      <c r="K224" s="60" t="s">
        <v>63</v>
      </c>
      <c r="L224" s="59">
        <v>8</v>
      </c>
      <c r="M224" s="61">
        <v>0.15</v>
      </c>
      <c r="N224" s="59">
        <f>ROUND((F223/2)/M224,0)+1</f>
        <v>11</v>
      </c>
      <c r="O224" s="53">
        <f>((((((((D223-0.08)+(E223-0.08))*2)+0.2)+((((E223-0.08)+0.2)*(((I224+I223+I225)/2)-2)))))))</f>
        <v>7.5900000000000007</v>
      </c>
      <c r="P224" s="54">
        <f>O224*N224*C223</f>
        <v>166.98000000000002</v>
      </c>
      <c r="Q224" s="468">
        <f t="shared" si="32"/>
        <v>0</v>
      </c>
      <c r="R224" s="468">
        <f t="shared" si="33"/>
        <v>98</v>
      </c>
      <c r="S224" s="468">
        <f t="shared" si="34"/>
        <v>0</v>
      </c>
      <c r="T224" s="469">
        <f t="shared" si="35"/>
        <v>0</v>
      </c>
      <c r="U224" s="469">
        <f t="shared" si="36"/>
        <v>0</v>
      </c>
      <c r="V224" s="468">
        <f t="shared" si="37"/>
        <v>0</v>
      </c>
    </row>
    <row r="225" spans="1:22" outlineLevel="1" x14ac:dyDescent="0.3">
      <c r="A225" s="937"/>
      <c r="B225" s="915"/>
      <c r="C225" s="937"/>
      <c r="D225" s="57"/>
      <c r="E225" s="58"/>
      <c r="F225" s="57"/>
      <c r="G225" s="57"/>
      <c r="H225" s="59"/>
      <c r="I225" s="59"/>
      <c r="J225" s="57">
        <f>(F223+(50*H225/1000))*I225*C223</f>
        <v>0</v>
      </c>
      <c r="K225" s="60" t="s">
        <v>63</v>
      </c>
      <c r="L225" s="59"/>
      <c r="M225" s="61"/>
      <c r="N225" s="59"/>
      <c r="O225" s="62"/>
      <c r="P225" s="54">
        <f t="shared" ref="P225:P231" si="39">O225</f>
        <v>0</v>
      </c>
      <c r="Q225" s="468">
        <f t="shared" si="32"/>
        <v>0</v>
      </c>
      <c r="R225" s="468">
        <f t="shared" si="33"/>
        <v>0</v>
      </c>
      <c r="S225" s="468">
        <f t="shared" si="34"/>
        <v>0</v>
      </c>
      <c r="T225" s="469">
        <f t="shared" si="35"/>
        <v>0</v>
      </c>
      <c r="U225" s="469">
        <f t="shared" si="36"/>
        <v>0</v>
      </c>
      <c r="V225" s="468">
        <f t="shared" si="37"/>
        <v>0</v>
      </c>
    </row>
    <row r="226" spans="1:22" outlineLevel="1" x14ac:dyDescent="0.3">
      <c r="A226" s="979"/>
      <c r="B226" s="980"/>
      <c r="C226" s="979"/>
      <c r="D226" s="70"/>
      <c r="E226" s="71"/>
      <c r="F226" s="70"/>
      <c r="G226" s="70"/>
      <c r="H226" s="72"/>
      <c r="I226" s="72"/>
      <c r="J226" s="70"/>
      <c r="K226" s="73" t="s">
        <v>64</v>
      </c>
      <c r="L226" s="72"/>
      <c r="M226" s="67"/>
      <c r="N226" s="65"/>
      <c r="O226" s="69"/>
      <c r="P226" s="54">
        <f t="shared" si="39"/>
        <v>0</v>
      </c>
      <c r="Q226" s="468">
        <f t="shared" si="32"/>
        <v>0</v>
      </c>
      <c r="R226" s="468">
        <f t="shared" si="33"/>
        <v>0</v>
      </c>
      <c r="S226" s="468">
        <f t="shared" si="34"/>
        <v>0</v>
      </c>
      <c r="T226" s="469">
        <f t="shared" si="35"/>
        <v>0</v>
      </c>
      <c r="U226" s="469">
        <f t="shared" si="36"/>
        <v>0</v>
      </c>
      <c r="V226" s="468">
        <f t="shared" si="37"/>
        <v>0</v>
      </c>
    </row>
    <row r="227" spans="1:22" outlineLevel="1" x14ac:dyDescent="0.3">
      <c r="A227" s="936">
        <v>16</v>
      </c>
      <c r="B227" s="917" t="s">
        <v>83</v>
      </c>
      <c r="C227" s="981">
        <v>2</v>
      </c>
      <c r="D227" s="48">
        <v>1.65</v>
      </c>
      <c r="E227" s="49">
        <v>0.23</v>
      </c>
      <c r="F227" s="48">
        <v>2.9</v>
      </c>
      <c r="G227" s="48">
        <f>F227*E227*D227*C227</f>
        <v>2.2010999999999998</v>
      </c>
      <c r="H227" s="50">
        <v>16</v>
      </c>
      <c r="I227" s="50">
        <v>22</v>
      </c>
      <c r="J227" s="48">
        <f>(F227+(50*H227/1000))*I227*C227</f>
        <v>162.80000000000001</v>
      </c>
      <c r="K227" s="51" t="s">
        <v>84</v>
      </c>
      <c r="L227" s="50">
        <v>8</v>
      </c>
      <c r="M227" s="52">
        <v>0.1</v>
      </c>
      <c r="N227" s="50">
        <f>ROUND(((F227/2)/M227),0)+1</f>
        <v>16</v>
      </c>
      <c r="O227" s="53">
        <f>((((((((D227-0.08)+(E227-0.08))*2)+0.2)+((((E227-0.08)+0.2)*(((I227+I228+I229)/2)-2)))))))</f>
        <v>6.79</v>
      </c>
      <c r="P227" s="54">
        <f>O227*N227*C227</f>
        <v>217.28</v>
      </c>
      <c r="Q227" s="468">
        <f t="shared" si="32"/>
        <v>0</v>
      </c>
      <c r="R227" s="468">
        <f t="shared" si="33"/>
        <v>0</v>
      </c>
      <c r="S227" s="468">
        <f t="shared" si="34"/>
        <v>162.80000000000001</v>
      </c>
      <c r="T227" s="469">
        <f t="shared" si="35"/>
        <v>0</v>
      </c>
      <c r="U227" s="469">
        <f t="shared" si="36"/>
        <v>0</v>
      </c>
      <c r="V227" s="468">
        <f t="shared" si="37"/>
        <v>0</v>
      </c>
    </row>
    <row r="228" spans="1:22" outlineLevel="1" x14ac:dyDescent="0.3">
      <c r="A228" s="937"/>
      <c r="B228" s="918"/>
      <c r="C228" s="982"/>
      <c r="D228" s="57"/>
      <c r="E228" s="58"/>
      <c r="F228" s="57"/>
      <c r="G228" s="57"/>
      <c r="H228" s="59"/>
      <c r="I228" s="59"/>
      <c r="J228" s="57">
        <f>(F227+(50*H228/1000))*I228*C227</f>
        <v>0</v>
      </c>
      <c r="K228" s="51" t="s">
        <v>84</v>
      </c>
      <c r="L228" s="59">
        <v>8</v>
      </c>
      <c r="M228" s="61">
        <v>0.15</v>
      </c>
      <c r="N228" s="59">
        <f>ROUND((F227/2)/M228,0)+1</f>
        <v>11</v>
      </c>
      <c r="O228" s="53">
        <f>((((((((D227-0.08)+(E227-0.08))*2)+0.2)+((((E227-0.08)+0.2)*(((I228+I227+I229)/2)-2)))))))</f>
        <v>6.79</v>
      </c>
      <c r="P228" s="54">
        <f>O228*N228*C227</f>
        <v>149.38</v>
      </c>
      <c r="Q228" s="468">
        <f t="shared" si="32"/>
        <v>0</v>
      </c>
      <c r="R228" s="468">
        <f t="shared" si="33"/>
        <v>0</v>
      </c>
      <c r="S228" s="468">
        <f t="shared" si="34"/>
        <v>0</v>
      </c>
      <c r="T228" s="469">
        <f t="shared" si="35"/>
        <v>0</v>
      </c>
      <c r="U228" s="469">
        <f t="shared" si="36"/>
        <v>0</v>
      </c>
      <c r="V228" s="468">
        <f t="shared" si="37"/>
        <v>0</v>
      </c>
    </row>
    <row r="229" spans="1:22" outlineLevel="1" x14ac:dyDescent="0.3">
      <c r="A229" s="937"/>
      <c r="B229" s="918"/>
      <c r="C229" s="982"/>
      <c r="D229" s="57"/>
      <c r="E229" s="58"/>
      <c r="F229" s="57"/>
      <c r="G229" s="57"/>
      <c r="H229" s="59"/>
      <c r="I229" s="59"/>
      <c r="J229" s="57">
        <f>(F227+(50*H229/1000))*I229*C227</f>
        <v>0</v>
      </c>
      <c r="K229" s="60"/>
      <c r="L229" s="59"/>
      <c r="M229" s="61"/>
      <c r="N229" s="59"/>
      <c r="O229" s="62"/>
      <c r="P229" s="54">
        <f t="shared" si="39"/>
        <v>0</v>
      </c>
      <c r="Q229" s="468">
        <f t="shared" si="32"/>
        <v>0</v>
      </c>
      <c r="R229" s="468">
        <f t="shared" si="33"/>
        <v>0</v>
      </c>
      <c r="S229" s="468">
        <f t="shared" si="34"/>
        <v>0</v>
      </c>
      <c r="T229" s="469">
        <f t="shared" si="35"/>
        <v>0</v>
      </c>
      <c r="U229" s="469">
        <f t="shared" si="36"/>
        <v>0</v>
      </c>
      <c r="V229" s="468">
        <f t="shared" si="37"/>
        <v>0</v>
      </c>
    </row>
    <row r="230" spans="1:22" outlineLevel="1" x14ac:dyDescent="0.3">
      <c r="A230" s="937"/>
      <c r="B230" s="918"/>
      <c r="C230" s="982"/>
      <c r="D230" s="57"/>
      <c r="E230" s="58"/>
      <c r="F230" s="57"/>
      <c r="G230" s="57"/>
      <c r="H230" s="59"/>
      <c r="I230" s="59"/>
      <c r="J230" s="57"/>
      <c r="K230" s="60"/>
      <c r="L230" s="59"/>
      <c r="M230" s="61"/>
      <c r="N230" s="59"/>
      <c r="O230" s="62"/>
      <c r="P230" s="54">
        <f t="shared" si="39"/>
        <v>0</v>
      </c>
      <c r="Q230" s="468">
        <f t="shared" si="32"/>
        <v>0</v>
      </c>
      <c r="R230" s="468">
        <f t="shared" si="33"/>
        <v>0</v>
      </c>
      <c r="S230" s="468">
        <f t="shared" si="34"/>
        <v>0</v>
      </c>
      <c r="T230" s="469">
        <f t="shared" si="35"/>
        <v>0</v>
      </c>
      <c r="U230" s="469">
        <f t="shared" si="36"/>
        <v>0</v>
      </c>
      <c r="V230" s="468">
        <f t="shared" si="37"/>
        <v>0</v>
      </c>
    </row>
    <row r="231" spans="1:22" outlineLevel="1" x14ac:dyDescent="0.3">
      <c r="A231" s="938"/>
      <c r="B231" s="919"/>
      <c r="C231" s="983"/>
      <c r="D231" s="63"/>
      <c r="E231" s="64"/>
      <c r="F231" s="63"/>
      <c r="G231" s="63"/>
      <c r="H231" s="65"/>
      <c r="I231" s="65"/>
      <c r="J231" s="63"/>
      <c r="K231" s="66"/>
      <c r="L231" s="65"/>
      <c r="M231" s="67"/>
      <c r="N231" s="65"/>
      <c r="O231" s="69"/>
      <c r="P231" s="54">
        <f t="shared" si="39"/>
        <v>0</v>
      </c>
      <c r="Q231" s="468">
        <f t="shared" si="32"/>
        <v>0</v>
      </c>
      <c r="R231" s="468">
        <f t="shared" si="33"/>
        <v>0</v>
      </c>
      <c r="S231" s="468">
        <f t="shared" si="34"/>
        <v>0</v>
      </c>
      <c r="T231" s="469">
        <f t="shared" si="35"/>
        <v>0</v>
      </c>
      <c r="U231" s="469">
        <f t="shared" si="36"/>
        <v>0</v>
      </c>
      <c r="V231" s="468">
        <f t="shared" si="37"/>
        <v>0</v>
      </c>
    </row>
    <row r="232" spans="1:22" outlineLevel="1" x14ac:dyDescent="0.3">
      <c r="A232" s="936">
        <v>17</v>
      </c>
      <c r="B232" s="914" t="s">
        <v>85</v>
      </c>
      <c r="C232" s="936">
        <v>1</v>
      </c>
      <c r="D232" s="48">
        <v>1.5</v>
      </c>
      <c r="E232" s="49">
        <v>0.23</v>
      </c>
      <c r="F232" s="48">
        <v>2.9</v>
      </c>
      <c r="G232" s="48">
        <f>F232*E232*D232*C232</f>
        <v>1.0005000000000002</v>
      </c>
      <c r="H232" s="50">
        <v>20</v>
      </c>
      <c r="I232" s="50">
        <v>4</v>
      </c>
      <c r="J232" s="48">
        <f>(F232+(50*H232/1000))*I232*C232</f>
        <v>15.6</v>
      </c>
      <c r="K232" s="60" t="s">
        <v>63</v>
      </c>
      <c r="L232" s="50">
        <v>8</v>
      </c>
      <c r="M232" s="52">
        <v>0.1</v>
      </c>
      <c r="N232" s="50">
        <f>ROUND(((F232/2)/M232),0)+1</f>
        <v>16</v>
      </c>
      <c r="O232" s="53">
        <f>((((((((D232-0.08)+(E232-0.08))*2)+0.2)+((((E232-0.08)+0.2)*(((I232+I233+I234)/2)-2)))))))</f>
        <v>6.84</v>
      </c>
      <c r="P232" s="54">
        <f>O232*N232*C232</f>
        <v>109.44</v>
      </c>
      <c r="Q232" s="468">
        <f t="shared" si="32"/>
        <v>0</v>
      </c>
      <c r="R232" s="468">
        <f t="shared" si="33"/>
        <v>0</v>
      </c>
      <c r="S232" s="468">
        <f t="shared" si="34"/>
        <v>0</v>
      </c>
      <c r="T232" s="469">
        <f t="shared" si="35"/>
        <v>15.6</v>
      </c>
      <c r="U232" s="469">
        <f t="shared" si="36"/>
        <v>0</v>
      </c>
      <c r="V232" s="468">
        <f t="shared" si="37"/>
        <v>0</v>
      </c>
    </row>
    <row r="233" spans="1:22" outlineLevel="1" x14ac:dyDescent="0.3">
      <c r="A233" s="937"/>
      <c r="B233" s="915"/>
      <c r="C233" s="937"/>
      <c r="D233" s="57"/>
      <c r="E233" s="58"/>
      <c r="F233" s="57"/>
      <c r="G233" s="57"/>
      <c r="H233" s="59">
        <v>16</v>
      </c>
      <c r="I233" s="59">
        <v>20</v>
      </c>
      <c r="J233" s="57">
        <f>(F232+(50*H233/1000))*I233*C232</f>
        <v>74</v>
      </c>
      <c r="K233" s="60" t="s">
        <v>63</v>
      </c>
      <c r="L233" s="59">
        <v>8</v>
      </c>
      <c r="M233" s="61">
        <v>0.15</v>
      </c>
      <c r="N233" s="59">
        <f>ROUND((F232/2)/M233,0)+1</f>
        <v>11</v>
      </c>
      <c r="O233" s="53">
        <f>((((((((D232-0.08)+(E232-0.08))*2)+0.2)+((((E232-0.08)+0.2)*(((I233+I232+I234)/2)-2)))))))</f>
        <v>6.84</v>
      </c>
      <c r="P233" s="54">
        <f>O233*N233*C232</f>
        <v>75.239999999999995</v>
      </c>
      <c r="Q233" s="468">
        <f t="shared" si="32"/>
        <v>0</v>
      </c>
      <c r="R233" s="468">
        <f t="shared" si="33"/>
        <v>0</v>
      </c>
      <c r="S233" s="468">
        <f t="shared" si="34"/>
        <v>74</v>
      </c>
      <c r="T233" s="469">
        <f t="shared" si="35"/>
        <v>0</v>
      </c>
      <c r="U233" s="469">
        <f t="shared" si="36"/>
        <v>0</v>
      </c>
      <c r="V233" s="468">
        <f t="shared" si="37"/>
        <v>0</v>
      </c>
    </row>
    <row r="234" spans="1:22" outlineLevel="1" x14ac:dyDescent="0.3">
      <c r="A234" s="937"/>
      <c r="B234" s="915"/>
      <c r="C234" s="937"/>
      <c r="D234" s="57"/>
      <c r="E234" s="58"/>
      <c r="F234" s="57"/>
      <c r="G234" s="57"/>
      <c r="H234" s="59"/>
      <c r="I234" s="59"/>
      <c r="J234" s="57">
        <f>(F232+(50*H234/1000))*I234*C232</f>
        <v>0</v>
      </c>
      <c r="K234" s="60"/>
      <c r="L234" s="59"/>
      <c r="M234" s="61"/>
      <c r="N234" s="59"/>
      <c r="O234" s="62"/>
      <c r="P234" s="54">
        <f>O234</f>
        <v>0</v>
      </c>
      <c r="Q234" s="468">
        <f t="shared" si="32"/>
        <v>0</v>
      </c>
      <c r="R234" s="468">
        <f t="shared" si="33"/>
        <v>0</v>
      </c>
      <c r="S234" s="468">
        <f t="shared" si="34"/>
        <v>0</v>
      </c>
      <c r="T234" s="469">
        <f t="shared" si="35"/>
        <v>0</v>
      </c>
      <c r="U234" s="469">
        <f t="shared" si="36"/>
        <v>0</v>
      </c>
      <c r="V234" s="468">
        <f t="shared" si="37"/>
        <v>0</v>
      </c>
    </row>
    <row r="235" spans="1:22" outlineLevel="1" x14ac:dyDescent="0.3">
      <c r="A235" s="937"/>
      <c r="B235" s="915"/>
      <c r="C235" s="937"/>
      <c r="D235" s="57"/>
      <c r="E235" s="58"/>
      <c r="F235" s="57"/>
      <c r="G235" s="57"/>
      <c r="H235" s="59"/>
      <c r="I235" s="59"/>
      <c r="J235" s="57"/>
      <c r="K235" s="60"/>
      <c r="L235" s="59"/>
      <c r="M235" s="61"/>
      <c r="N235" s="59"/>
      <c r="O235" s="62"/>
      <c r="P235" s="54">
        <f>O235</f>
        <v>0</v>
      </c>
      <c r="Q235" s="468">
        <f t="shared" si="32"/>
        <v>0</v>
      </c>
      <c r="R235" s="468">
        <f t="shared" si="33"/>
        <v>0</v>
      </c>
      <c r="S235" s="468">
        <f t="shared" si="34"/>
        <v>0</v>
      </c>
      <c r="T235" s="469">
        <f t="shared" si="35"/>
        <v>0</v>
      </c>
      <c r="U235" s="469">
        <f t="shared" si="36"/>
        <v>0</v>
      </c>
      <c r="V235" s="468">
        <f t="shared" si="37"/>
        <v>0</v>
      </c>
    </row>
    <row r="236" spans="1:22" outlineLevel="1" x14ac:dyDescent="0.3">
      <c r="A236" s="937"/>
      <c r="B236" s="915"/>
      <c r="C236" s="937"/>
      <c r="D236" s="57"/>
      <c r="E236" s="58"/>
      <c r="F236" s="57"/>
      <c r="G236" s="57"/>
      <c r="H236" s="59"/>
      <c r="I236" s="59"/>
      <c r="J236" s="57"/>
      <c r="K236" s="60"/>
      <c r="L236" s="59"/>
      <c r="M236" s="61"/>
      <c r="N236" s="59"/>
      <c r="O236" s="69"/>
      <c r="P236" s="54">
        <f>O236</f>
        <v>0</v>
      </c>
      <c r="Q236" s="468">
        <f t="shared" si="32"/>
        <v>0</v>
      </c>
      <c r="R236" s="468">
        <f t="shared" si="33"/>
        <v>0</v>
      </c>
      <c r="S236" s="468">
        <f t="shared" si="34"/>
        <v>0</v>
      </c>
      <c r="T236" s="469">
        <f t="shared" si="35"/>
        <v>0</v>
      </c>
      <c r="U236" s="469">
        <f t="shared" si="36"/>
        <v>0</v>
      </c>
      <c r="V236" s="468">
        <f t="shared" si="37"/>
        <v>0</v>
      </c>
    </row>
    <row r="237" spans="1:22" outlineLevel="1" x14ac:dyDescent="0.3">
      <c r="A237" s="936">
        <v>18</v>
      </c>
      <c r="B237" s="914" t="s">
        <v>86</v>
      </c>
      <c r="C237" s="936">
        <v>1</v>
      </c>
      <c r="D237" s="48">
        <v>6.55</v>
      </c>
      <c r="E237" s="49">
        <v>0.23</v>
      </c>
      <c r="F237" s="48">
        <v>2.9</v>
      </c>
      <c r="G237" s="48">
        <f>F237*E237*D237*C237</f>
        <v>4.3688500000000001</v>
      </c>
      <c r="H237" s="50">
        <v>16</v>
      </c>
      <c r="I237" s="50">
        <v>76</v>
      </c>
      <c r="J237" s="48">
        <f>(F237+(50*H237/1000))*I237*C237</f>
        <v>281.2</v>
      </c>
      <c r="K237" s="51" t="s">
        <v>63</v>
      </c>
      <c r="L237" s="50">
        <v>8</v>
      </c>
      <c r="M237" s="52">
        <v>0.1</v>
      </c>
      <c r="N237" s="50">
        <f>ROUND(((F237/2)/M237),0)+1</f>
        <v>16</v>
      </c>
      <c r="O237" s="53">
        <f>((((((((D237-0.08)+(E237-0.08))*2)+0.2)+((((E237-0.08)+0.2)*(((I237+I238+I239)/2)-2)))))))</f>
        <v>28.840000000000003</v>
      </c>
      <c r="P237" s="54">
        <f>O237*N237*C237</f>
        <v>461.44000000000005</v>
      </c>
      <c r="Q237" s="468">
        <f t="shared" si="32"/>
        <v>0</v>
      </c>
      <c r="R237" s="468">
        <f t="shared" si="33"/>
        <v>0</v>
      </c>
      <c r="S237" s="468">
        <f t="shared" si="34"/>
        <v>281.2</v>
      </c>
      <c r="T237" s="469">
        <f t="shared" si="35"/>
        <v>0</v>
      </c>
      <c r="U237" s="469">
        <f t="shared" si="36"/>
        <v>0</v>
      </c>
      <c r="V237" s="468">
        <f t="shared" si="37"/>
        <v>0</v>
      </c>
    </row>
    <row r="238" spans="1:22" outlineLevel="1" x14ac:dyDescent="0.3">
      <c r="A238" s="937"/>
      <c r="B238" s="915"/>
      <c r="C238" s="937"/>
      <c r="D238" s="57"/>
      <c r="E238" s="58"/>
      <c r="F238" s="57"/>
      <c r="G238" s="57"/>
      <c r="H238" s="59">
        <v>12</v>
      </c>
      <c r="I238" s="59">
        <v>16</v>
      </c>
      <c r="J238" s="57">
        <f>(F237+(50*H238/1000))*I238*C237</f>
        <v>56</v>
      </c>
      <c r="K238" s="60" t="s">
        <v>63</v>
      </c>
      <c r="L238" s="59">
        <v>8</v>
      </c>
      <c r="M238" s="61">
        <v>0.15</v>
      </c>
      <c r="N238" s="59">
        <f>ROUND((F237/2)/M238,0)+1</f>
        <v>11</v>
      </c>
      <c r="O238" s="53">
        <f>((((((((D237-0.08)+(E237-0.08))*2)+0.2)+((((E237-0.08)+0.2)*(((I238+I237+I239)/2)-2)))))))</f>
        <v>28.840000000000003</v>
      </c>
      <c r="P238" s="54">
        <f>O238*N238*C237</f>
        <v>317.24</v>
      </c>
      <c r="Q238" s="468">
        <f t="shared" si="32"/>
        <v>0</v>
      </c>
      <c r="R238" s="468">
        <f t="shared" si="33"/>
        <v>56</v>
      </c>
      <c r="S238" s="468">
        <f t="shared" si="34"/>
        <v>0</v>
      </c>
      <c r="T238" s="469">
        <f t="shared" si="35"/>
        <v>0</v>
      </c>
      <c r="U238" s="469">
        <f t="shared" si="36"/>
        <v>0</v>
      </c>
      <c r="V238" s="468">
        <f t="shared" si="37"/>
        <v>0</v>
      </c>
    </row>
    <row r="239" spans="1:22" outlineLevel="1" x14ac:dyDescent="0.3">
      <c r="A239" s="937"/>
      <c r="B239" s="915"/>
      <c r="C239" s="937"/>
      <c r="D239" s="57"/>
      <c r="E239" s="58"/>
      <c r="F239" s="57"/>
      <c r="G239" s="57"/>
      <c r="H239" s="59"/>
      <c r="I239" s="59"/>
      <c r="J239" s="57">
        <f>(F237+(50*H239/1000))*I239*C237</f>
        <v>0</v>
      </c>
      <c r="K239" s="60"/>
      <c r="L239" s="59"/>
      <c r="M239" s="61"/>
      <c r="N239" s="59"/>
      <c r="O239" s="62"/>
      <c r="P239" s="54">
        <f>O239</f>
        <v>0</v>
      </c>
      <c r="Q239" s="468">
        <f t="shared" si="32"/>
        <v>0</v>
      </c>
      <c r="R239" s="468">
        <f t="shared" si="33"/>
        <v>0</v>
      </c>
      <c r="S239" s="468">
        <f t="shared" si="34"/>
        <v>0</v>
      </c>
      <c r="T239" s="469">
        <f t="shared" si="35"/>
        <v>0</v>
      </c>
      <c r="U239" s="469">
        <f t="shared" si="36"/>
        <v>0</v>
      </c>
      <c r="V239" s="468">
        <f t="shared" si="37"/>
        <v>0</v>
      </c>
    </row>
    <row r="240" spans="1:22" outlineLevel="1" x14ac:dyDescent="0.3">
      <c r="A240" s="937"/>
      <c r="B240" s="915"/>
      <c r="C240" s="937"/>
      <c r="D240" s="57"/>
      <c r="E240" s="58"/>
      <c r="F240" s="57"/>
      <c r="G240" s="57"/>
      <c r="H240" s="59"/>
      <c r="I240" s="59"/>
      <c r="J240" s="57"/>
      <c r="K240" s="60"/>
      <c r="L240" s="59"/>
      <c r="M240" s="61"/>
      <c r="N240" s="59"/>
      <c r="O240" s="62"/>
      <c r="P240" s="54">
        <f>O240</f>
        <v>0</v>
      </c>
      <c r="Q240" s="468">
        <f t="shared" si="32"/>
        <v>0</v>
      </c>
      <c r="R240" s="468">
        <f t="shared" si="33"/>
        <v>0</v>
      </c>
      <c r="S240" s="468">
        <f t="shared" si="34"/>
        <v>0</v>
      </c>
      <c r="T240" s="469">
        <f t="shared" si="35"/>
        <v>0</v>
      </c>
      <c r="U240" s="469">
        <f t="shared" si="36"/>
        <v>0</v>
      </c>
      <c r="V240" s="468">
        <f t="shared" si="37"/>
        <v>0</v>
      </c>
    </row>
    <row r="241" spans="1:22" outlineLevel="1" x14ac:dyDescent="0.3">
      <c r="A241" s="937"/>
      <c r="B241" s="915"/>
      <c r="C241" s="937"/>
      <c r="D241" s="57"/>
      <c r="E241" s="58"/>
      <c r="F241" s="57"/>
      <c r="G241" s="57"/>
      <c r="H241" s="59"/>
      <c r="I241" s="59"/>
      <c r="J241" s="57"/>
      <c r="K241" s="60"/>
      <c r="L241" s="59"/>
      <c r="M241" s="61"/>
      <c r="N241" s="59"/>
      <c r="O241" s="69"/>
      <c r="P241" s="54">
        <f>O241</f>
        <v>0</v>
      </c>
      <c r="Q241" s="468">
        <f t="shared" si="32"/>
        <v>0</v>
      </c>
      <c r="R241" s="468">
        <f t="shared" si="33"/>
        <v>0</v>
      </c>
      <c r="S241" s="468">
        <f t="shared" si="34"/>
        <v>0</v>
      </c>
      <c r="T241" s="469">
        <f t="shared" si="35"/>
        <v>0</v>
      </c>
      <c r="U241" s="469">
        <f t="shared" si="36"/>
        <v>0</v>
      </c>
      <c r="V241" s="468">
        <f t="shared" si="37"/>
        <v>0</v>
      </c>
    </row>
    <row r="242" spans="1:22" outlineLevel="1" x14ac:dyDescent="0.3">
      <c r="A242" s="936">
        <v>19</v>
      </c>
      <c r="B242" s="914" t="s">
        <v>566</v>
      </c>
      <c r="C242" s="936">
        <v>2</v>
      </c>
      <c r="D242" s="48">
        <v>1.2</v>
      </c>
      <c r="E242" s="49">
        <v>0.32</v>
      </c>
      <c r="F242" s="48">
        <v>2.9</v>
      </c>
      <c r="G242" s="48">
        <f>F242*E242*D242*C242</f>
        <v>2.2271999999999998</v>
      </c>
      <c r="H242" s="50">
        <v>20</v>
      </c>
      <c r="I242" s="50">
        <v>8</v>
      </c>
      <c r="J242" s="48">
        <f>(F242+(50*H242/1000))*I242*C242</f>
        <v>62.4</v>
      </c>
      <c r="K242" s="60" t="s">
        <v>63</v>
      </c>
      <c r="L242" s="50">
        <v>8</v>
      </c>
      <c r="M242" s="52">
        <v>0.1</v>
      </c>
      <c r="N242" s="50">
        <f>ROUND(((F242/2)/M242),0)+1</f>
        <v>16</v>
      </c>
      <c r="O242" s="53">
        <f>((((((((D242-0.08)+(E242-0.08))*2)+0.2)+((((E242-0.08)+0.2)*(((I242+I243+I244)/2)-2)))))))</f>
        <v>6.4399999999999995</v>
      </c>
      <c r="P242" s="54">
        <f>O242*N242*C242</f>
        <v>206.07999999999998</v>
      </c>
      <c r="Q242" s="468">
        <f t="shared" si="32"/>
        <v>0</v>
      </c>
      <c r="R242" s="468">
        <f t="shared" si="33"/>
        <v>0</v>
      </c>
      <c r="S242" s="468">
        <f t="shared" si="34"/>
        <v>0</v>
      </c>
      <c r="T242" s="469">
        <f t="shared" si="35"/>
        <v>62.4</v>
      </c>
      <c r="U242" s="469">
        <f t="shared" si="36"/>
        <v>0</v>
      </c>
      <c r="V242" s="468">
        <f t="shared" si="37"/>
        <v>0</v>
      </c>
    </row>
    <row r="243" spans="1:22" outlineLevel="1" x14ac:dyDescent="0.3">
      <c r="A243" s="937"/>
      <c r="B243" s="915"/>
      <c r="C243" s="937"/>
      <c r="D243" s="57"/>
      <c r="E243" s="58"/>
      <c r="F243" s="57"/>
      <c r="G243" s="57"/>
      <c r="H243" s="59">
        <v>16</v>
      </c>
      <c r="I243" s="59">
        <v>4</v>
      </c>
      <c r="J243" s="57">
        <f>(F242+(50*H243/1000))*I243*C242</f>
        <v>29.6</v>
      </c>
      <c r="K243" s="60" t="s">
        <v>63</v>
      </c>
      <c r="L243" s="59">
        <v>8</v>
      </c>
      <c r="M243" s="61">
        <v>0.15</v>
      </c>
      <c r="N243" s="59">
        <f>ROUND((F242/2)/M243,0)+1</f>
        <v>11</v>
      </c>
      <c r="O243" s="53">
        <f>((((((((D242-0.08)+(E242-0.08))*2)+0.2)+((((E242-0.08)+0.2)*(((I243+I242+I244)/2)-2)))))))</f>
        <v>6.4399999999999995</v>
      </c>
      <c r="P243" s="54">
        <f>O243*N243*C242</f>
        <v>141.67999999999998</v>
      </c>
      <c r="Q243" s="468">
        <f t="shared" si="32"/>
        <v>0</v>
      </c>
      <c r="R243" s="468">
        <f t="shared" si="33"/>
        <v>0</v>
      </c>
      <c r="S243" s="468">
        <f t="shared" si="34"/>
        <v>29.6</v>
      </c>
      <c r="T243" s="469">
        <f t="shared" si="35"/>
        <v>0</v>
      </c>
      <c r="U243" s="469">
        <f t="shared" si="36"/>
        <v>0</v>
      </c>
      <c r="V243" s="468">
        <f t="shared" si="37"/>
        <v>0</v>
      </c>
    </row>
    <row r="244" spans="1:22" outlineLevel="1" x14ac:dyDescent="0.3">
      <c r="A244" s="937"/>
      <c r="B244" s="915"/>
      <c r="C244" s="937"/>
      <c r="D244" s="57"/>
      <c r="E244" s="58"/>
      <c r="F244" s="57"/>
      <c r="G244" s="57"/>
      <c r="H244" s="59">
        <v>12</v>
      </c>
      <c r="I244" s="59">
        <v>8</v>
      </c>
      <c r="J244" s="57">
        <f>(F242+(50*H244/1000))*I244*C242</f>
        <v>56</v>
      </c>
      <c r="K244" s="60"/>
      <c r="L244" s="59"/>
      <c r="M244" s="61"/>
      <c r="N244" s="59"/>
      <c r="O244" s="62"/>
      <c r="P244" s="54">
        <f>O244</f>
        <v>0</v>
      </c>
      <c r="Q244" s="468">
        <f t="shared" si="32"/>
        <v>0</v>
      </c>
      <c r="R244" s="468">
        <f t="shared" si="33"/>
        <v>56</v>
      </c>
      <c r="S244" s="468">
        <f t="shared" si="34"/>
        <v>0</v>
      </c>
      <c r="T244" s="469">
        <f t="shared" si="35"/>
        <v>0</v>
      </c>
      <c r="U244" s="469">
        <f t="shared" si="36"/>
        <v>0</v>
      </c>
      <c r="V244" s="468">
        <f t="shared" si="37"/>
        <v>0</v>
      </c>
    </row>
    <row r="245" spans="1:22" outlineLevel="1" x14ac:dyDescent="0.3">
      <c r="A245" s="937"/>
      <c r="B245" s="915"/>
      <c r="C245" s="937"/>
      <c r="D245" s="57"/>
      <c r="E245" s="58"/>
      <c r="F245" s="57"/>
      <c r="G245" s="57"/>
      <c r="H245" s="59"/>
      <c r="I245" s="59"/>
      <c r="J245" s="57"/>
      <c r="K245" s="60"/>
      <c r="L245" s="59"/>
      <c r="M245" s="61"/>
      <c r="N245" s="59"/>
      <c r="O245" s="62"/>
      <c r="P245" s="54">
        <f>O245</f>
        <v>0</v>
      </c>
      <c r="Q245" s="468">
        <f t="shared" si="32"/>
        <v>0</v>
      </c>
      <c r="R245" s="468">
        <f t="shared" si="33"/>
        <v>0</v>
      </c>
      <c r="S245" s="468">
        <f t="shared" si="34"/>
        <v>0</v>
      </c>
      <c r="T245" s="469">
        <f t="shared" si="35"/>
        <v>0</v>
      </c>
      <c r="U245" s="469">
        <f t="shared" si="36"/>
        <v>0</v>
      </c>
      <c r="V245" s="468">
        <f t="shared" si="37"/>
        <v>0</v>
      </c>
    </row>
    <row r="246" spans="1:22" outlineLevel="1" x14ac:dyDescent="0.3">
      <c r="A246" s="979"/>
      <c r="B246" s="980"/>
      <c r="C246" s="979"/>
      <c r="D246" s="70"/>
      <c r="E246" s="71"/>
      <c r="F246" s="70"/>
      <c r="G246" s="70"/>
      <c r="H246" s="72"/>
      <c r="I246" s="72"/>
      <c r="J246" s="70"/>
      <c r="K246" s="73"/>
      <c r="L246" s="72"/>
      <c r="M246" s="457"/>
      <c r="N246" s="72"/>
      <c r="O246" s="458">
        <f>((E242-0.08)+(2*10*(L246/1000)))*N246*C242</f>
        <v>0</v>
      </c>
      <c r="P246" s="459">
        <f>O246</f>
        <v>0</v>
      </c>
      <c r="Q246" s="468">
        <f t="shared" si="32"/>
        <v>0</v>
      </c>
      <c r="R246" s="468">
        <f t="shared" si="33"/>
        <v>0</v>
      </c>
      <c r="S246" s="468">
        <f t="shared" si="34"/>
        <v>0</v>
      </c>
      <c r="T246" s="469">
        <f t="shared" si="35"/>
        <v>0</v>
      </c>
      <c r="U246" s="469">
        <f t="shared" si="36"/>
        <v>0</v>
      </c>
      <c r="V246" s="468">
        <f t="shared" si="37"/>
        <v>0</v>
      </c>
    </row>
    <row r="247" spans="1:22" outlineLevel="1" x14ac:dyDescent="0.3">
      <c r="A247" s="981">
        <v>19</v>
      </c>
      <c r="B247" s="914" t="s">
        <v>567</v>
      </c>
      <c r="C247" s="936">
        <v>2</v>
      </c>
      <c r="D247" s="48">
        <v>1</v>
      </c>
      <c r="E247" s="49">
        <v>0.32</v>
      </c>
      <c r="F247" s="48">
        <v>2.9</v>
      </c>
      <c r="G247" s="48">
        <f>F247*E247*D247*C247</f>
        <v>1.8559999999999999</v>
      </c>
      <c r="H247" s="50">
        <v>20</v>
      </c>
      <c r="I247" s="50">
        <v>8</v>
      </c>
      <c r="J247" s="48">
        <f>(F247+(50*H247/1000))*I247*C247</f>
        <v>62.4</v>
      </c>
      <c r="K247" s="60" t="s">
        <v>63</v>
      </c>
      <c r="L247" s="50">
        <v>8</v>
      </c>
      <c r="M247" s="52">
        <v>0.1</v>
      </c>
      <c r="N247" s="50">
        <f>ROUND(((F247/2)/M247),0)+1</f>
        <v>16</v>
      </c>
      <c r="O247" s="53">
        <f>((((((((D247-0.08)+(E247-0.08))*2)+0.2)+((((E247-0.08)+0.2)*(((I247+I248+I249)/2)-2)))))))</f>
        <v>5.16</v>
      </c>
      <c r="P247" s="54">
        <f>O247*N247*C247</f>
        <v>165.12</v>
      </c>
      <c r="Q247" s="468">
        <f t="shared" si="32"/>
        <v>0</v>
      </c>
      <c r="R247" s="468">
        <f t="shared" si="33"/>
        <v>0</v>
      </c>
      <c r="S247" s="468">
        <f t="shared" si="34"/>
        <v>0</v>
      </c>
      <c r="T247" s="469">
        <f t="shared" si="35"/>
        <v>62.4</v>
      </c>
      <c r="U247" s="469">
        <f t="shared" si="36"/>
        <v>0</v>
      </c>
      <c r="V247" s="468">
        <f t="shared" si="37"/>
        <v>0</v>
      </c>
    </row>
    <row r="248" spans="1:22" outlineLevel="1" x14ac:dyDescent="0.3">
      <c r="A248" s="982"/>
      <c r="B248" s="915"/>
      <c r="C248" s="937"/>
      <c r="D248" s="460"/>
      <c r="E248" s="461"/>
      <c r="F248" s="57"/>
      <c r="G248" s="57"/>
      <c r="H248" s="59">
        <v>16</v>
      </c>
      <c r="I248" s="59">
        <v>4</v>
      </c>
      <c r="J248" s="57">
        <f>(F247+(50*H248/1000))*I248*C247</f>
        <v>29.6</v>
      </c>
      <c r="K248" s="60" t="s">
        <v>63</v>
      </c>
      <c r="L248" s="59">
        <v>8</v>
      </c>
      <c r="M248" s="61">
        <v>0.15</v>
      </c>
      <c r="N248" s="59">
        <f>ROUND((F247/2)/M248,0)+1</f>
        <v>11</v>
      </c>
      <c r="O248" s="53">
        <f>((((((((D247-0.08)+(E247-0.08))*2)+0.2)+((((E247-0.08)+0.2)*(((I248+I247+I249)/2)-2)))))))</f>
        <v>5.16</v>
      </c>
      <c r="P248" s="54">
        <f>O248*N248*C247</f>
        <v>113.52000000000001</v>
      </c>
      <c r="Q248" s="468">
        <f t="shared" si="32"/>
        <v>0</v>
      </c>
      <c r="R248" s="468">
        <f t="shared" si="33"/>
        <v>0</v>
      </c>
      <c r="S248" s="468">
        <f t="shared" si="34"/>
        <v>29.6</v>
      </c>
      <c r="T248" s="469">
        <f t="shared" si="35"/>
        <v>0</v>
      </c>
      <c r="U248" s="469">
        <f t="shared" si="36"/>
        <v>0</v>
      </c>
      <c r="V248" s="468">
        <f t="shared" si="37"/>
        <v>0</v>
      </c>
    </row>
    <row r="249" spans="1:22" outlineLevel="1" x14ac:dyDescent="0.3">
      <c r="A249" s="982"/>
      <c r="B249" s="915"/>
      <c r="C249" s="937"/>
      <c r="D249" s="460"/>
      <c r="E249" s="461"/>
      <c r="F249" s="57"/>
      <c r="G249" s="57"/>
      <c r="H249" s="59">
        <v>12</v>
      </c>
      <c r="I249" s="59">
        <v>4</v>
      </c>
      <c r="J249" s="57">
        <f>(F247+(50*H249/1000))*I249*C247</f>
        <v>28</v>
      </c>
      <c r="K249" s="60"/>
      <c r="L249" s="59"/>
      <c r="M249" s="61"/>
      <c r="N249" s="59"/>
      <c r="O249" s="62"/>
      <c r="P249" s="54">
        <f>O249</f>
        <v>0</v>
      </c>
      <c r="Q249" s="468">
        <f t="shared" si="32"/>
        <v>0</v>
      </c>
      <c r="R249" s="468">
        <f t="shared" si="33"/>
        <v>28</v>
      </c>
      <c r="S249" s="468">
        <f t="shared" si="34"/>
        <v>0</v>
      </c>
      <c r="T249" s="469">
        <f t="shared" si="35"/>
        <v>0</v>
      </c>
      <c r="U249" s="469">
        <f t="shared" si="36"/>
        <v>0</v>
      </c>
      <c r="V249" s="468">
        <f t="shared" si="37"/>
        <v>0</v>
      </c>
    </row>
    <row r="250" spans="1:22" outlineLevel="1" x14ac:dyDescent="0.3">
      <c r="A250" s="982"/>
      <c r="B250" s="915"/>
      <c r="C250" s="937"/>
      <c r="D250" s="460"/>
      <c r="E250" s="461"/>
      <c r="F250" s="57"/>
      <c r="G250" s="57"/>
      <c r="H250" s="59"/>
      <c r="I250" s="59"/>
      <c r="J250" s="57"/>
      <c r="K250" s="60"/>
      <c r="L250" s="59"/>
      <c r="M250" s="61"/>
      <c r="N250" s="59"/>
      <c r="O250" s="62"/>
      <c r="P250" s="54">
        <f>O250</f>
        <v>0</v>
      </c>
      <c r="Q250" s="468">
        <f t="shared" si="32"/>
        <v>0</v>
      </c>
      <c r="R250" s="468">
        <f t="shared" si="33"/>
        <v>0</v>
      </c>
      <c r="S250" s="468">
        <f t="shared" si="34"/>
        <v>0</v>
      </c>
      <c r="T250" s="469">
        <f t="shared" si="35"/>
        <v>0</v>
      </c>
      <c r="U250" s="469">
        <f t="shared" si="36"/>
        <v>0</v>
      </c>
      <c r="V250" s="468">
        <f t="shared" si="37"/>
        <v>0</v>
      </c>
    </row>
    <row r="251" spans="1:22" outlineLevel="1" x14ac:dyDescent="0.3">
      <c r="A251" s="983"/>
      <c r="B251" s="980"/>
      <c r="C251" s="979"/>
      <c r="D251" s="462"/>
      <c r="E251" s="463"/>
      <c r="F251" s="70"/>
      <c r="G251" s="70"/>
      <c r="H251" s="72"/>
      <c r="I251" s="72"/>
      <c r="J251" s="70"/>
      <c r="K251" s="73"/>
      <c r="L251" s="72"/>
      <c r="M251" s="457"/>
      <c r="N251" s="72"/>
      <c r="O251" s="458">
        <f>((E247-0.08)+(2*10*(L251/1000)))*N251*C247</f>
        <v>0</v>
      </c>
      <c r="P251" s="459">
        <f>O251</f>
        <v>0</v>
      </c>
      <c r="Q251" s="468">
        <f t="shared" si="32"/>
        <v>0</v>
      </c>
      <c r="R251" s="468">
        <f t="shared" si="33"/>
        <v>0</v>
      </c>
      <c r="S251" s="468">
        <f t="shared" si="34"/>
        <v>0</v>
      </c>
      <c r="T251" s="469">
        <f t="shared" si="35"/>
        <v>0</v>
      </c>
      <c r="U251" s="469">
        <f t="shared" si="36"/>
        <v>0</v>
      </c>
      <c r="V251" s="468">
        <f t="shared" si="37"/>
        <v>0</v>
      </c>
    </row>
    <row r="252" spans="1:22" outlineLevel="1" x14ac:dyDescent="0.3">
      <c r="A252" s="984">
        <v>20</v>
      </c>
      <c r="B252" s="985" t="s">
        <v>568</v>
      </c>
      <c r="C252" s="984">
        <v>2</v>
      </c>
      <c r="D252" s="460">
        <v>1.575</v>
      </c>
      <c r="E252" s="461">
        <v>0.3</v>
      </c>
      <c r="F252" s="460">
        <v>2.9</v>
      </c>
      <c r="G252" s="460">
        <f>F252*E252*D252*C252</f>
        <v>2.7404999999999999</v>
      </c>
      <c r="H252" s="464">
        <v>20</v>
      </c>
      <c r="I252" s="464">
        <v>12</v>
      </c>
      <c r="J252" s="460">
        <f>(F252+(50*H252/1000))*I252*C252</f>
        <v>93.6</v>
      </c>
      <c r="K252" s="68" t="s">
        <v>63</v>
      </c>
      <c r="L252" s="464">
        <v>8</v>
      </c>
      <c r="M252" s="465">
        <v>0.1</v>
      </c>
      <c r="N252" s="464">
        <f>ROUND(((F252/2)/M252),0)+1</f>
        <v>16</v>
      </c>
      <c r="O252" s="466">
        <f>((((((((D252-0.08)+(E252-0.08))*2)+0.2)+((((E252-0.08)+0.2)*(((I252+I253+I254)/2)-2)))))))</f>
        <v>7.41</v>
      </c>
      <c r="P252" s="467">
        <f>O252*N252*C252</f>
        <v>237.12</v>
      </c>
      <c r="Q252" s="468">
        <f t="shared" si="32"/>
        <v>0</v>
      </c>
      <c r="R252" s="468">
        <f t="shared" si="33"/>
        <v>0</v>
      </c>
      <c r="S252" s="468">
        <f t="shared" si="34"/>
        <v>0</v>
      </c>
      <c r="T252" s="469">
        <f t="shared" si="35"/>
        <v>93.6</v>
      </c>
      <c r="U252" s="469">
        <f t="shared" si="36"/>
        <v>0</v>
      </c>
      <c r="V252" s="468">
        <f t="shared" si="37"/>
        <v>0</v>
      </c>
    </row>
    <row r="253" spans="1:22" outlineLevel="1" x14ac:dyDescent="0.3">
      <c r="A253" s="937"/>
      <c r="B253" s="915"/>
      <c r="C253" s="937"/>
      <c r="D253" s="57"/>
      <c r="E253" s="58"/>
      <c r="F253" s="57"/>
      <c r="G253" s="57"/>
      <c r="H253" s="59">
        <v>16</v>
      </c>
      <c r="I253" s="59">
        <v>10</v>
      </c>
      <c r="J253" s="57">
        <f>(F252+(50*H253/1000))*I253*C252</f>
        <v>74</v>
      </c>
      <c r="K253" s="60" t="s">
        <v>63</v>
      </c>
      <c r="L253" s="59">
        <v>8</v>
      </c>
      <c r="M253" s="61">
        <v>0.15</v>
      </c>
      <c r="N253" s="59">
        <f>ROUND((F252/2)/M253,0)+1</f>
        <v>11</v>
      </c>
      <c r="O253" s="53">
        <f>((((((((D252-0.08)+(E252-0.08))*2)+0.2)+((((E252-0.08)+0.2)*(((I253+I252+I254)/2)-2)))))))</f>
        <v>7.41</v>
      </c>
      <c r="P253" s="54">
        <f>O253*N253*C252</f>
        <v>163.02000000000001</v>
      </c>
      <c r="Q253" s="468">
        <f t="shared" si="32"/>
        <v>0</v>
      </c>
      <c r="R253" s="468">
        <f t="shared" si="33"/>
        <v>0</v>
      </c>
      <c r="S253" s="468">
        <f t="shared" si="34"/>
        <v>74</v>
      </c>
      <c r="T253" s="469">
        <f t="shared" si="35"/>
        <v>0</v>
      </c>
      <c r="U253" s="469">
        <f t="shared" si="36"/>
        <v>0</v>
      </c>
      <c r="V253" s="468">
        <f t="shared" si="37"/>
        <v>0</v>
      </c>
    </row>
    <row r="254" spans="1:22" outlineLevel="1" x14ac:dyDescent="0.3">
      <c r="A254" s="937"/>
      <c r="B254" s="915"/>
      <c r="C254" s="937"/>
      <c r="D254" s="57"/>
      <c r="E254" s="58"/>
      <c r="F254" s="57"/>
      <c r="G254" s="57"/>
      <c r="H254" s="59"/>
      <c r="I254" s="59"/>
      <c r="J254" s="57">
        <f>(F252+(50*H254/1000))*I254*C252</f>
        <v>0</v>
      </c>
      <c r="K254" s="60"/>
      <c r="L254" s="59"/>
      <c r="M254" s="61"/>
      <c r="N254" s="59"/>
      <c r="O254" s="62"/>
      <c r="P254" s="54">
        <f>O254</f>
        <v>0</v>
      </c>
      <c r="Q254" s="468">
        <f t="shared" si="32"/>
        <v>0</v>
      </c>
      <c r="R254" s="468">
        <f t="shared" si="33"/>
        <v>0</v>
      </c>
      <c r="S254" s="468">
        <f t="shared" si="34"/>
        <v>0</v>
      </c>
      <c r="T254" s="469">
        <f t="shared" si="35"/>
        <v>0</v>
      </c>
      <c r="U254" s="469">
        <f t="shared" si="36"/>
        <v>0</v>
      </c>
      <c r="V254" s="468">
        <f t="shared" si="37"/>
        <v>0</v>
      </c>
    </row>
    <row r="255" spans="1:22" outlineLevel="1" x14ac:dyDescent="0.3">
      <c r="A255" s="937"/>
      <c r="B255" s="915"/>
      <c r="C255" s="937"/>
      <c r="D255" s="57"/>
      <c r="E255" s="58"/>
      <c r="F255" s="57"/>
      <c r="G255" s="57"/>
      <c r="H255" s="59"/>
      <c r="I255" s="59"/>
      <c r="J255" s="57"/>
      <c r="K255" s="60"/>
      <c r="L255" s="59"/>
      <c r="M255" s="61"/>
      <c r="N255" s="59"/>
      <c r="O255" s="62"/>
      <c r="P255" s="54">
        <f>O255</f>
        <v>0</v>
      </c>
      <c r="Q255" s="468">
        <f t="shared" si="32"/>
        <v>0</v>
      </c>
      <c r="R255" s="468">
        <f t="shared" si="33"/>
        <v>0</v>
      </c>
      <c r="S255" s="468">
        <f t="shared" si="34"/>
        <v>0</v>
      </c>
      <c r="T255" s="469">
        <f t="shared" si="35"/>
        <v>0</v>
      </c>
      <c r="U255" s="469">
        <f t="shared" si="36"/>
        <v>0</v>
      </c>
      <c r="V255" s="468">
        <f t="shared" si="37"/>
        <v>0</v>
      </c>
    </row>
    <row r="256" spans="1:22" outlineLevel="1" x14ac:dyDescent="0.3">
      <c r="A256" s="979"/>
      <c r="B256" s="916"/>
      <c r="C256" s="938"/>
      <c r="D256" s="63"/>
      <c r="E256" s="64"/>
      <c r="F256" s="63"/>
      <c r="G256" s="63"/>
      <c r="H256" s="65"/>
      <c r="I256" s="65"/>
      <c r="J256" s="63"/>
      <c r="K256" s="66"/>
      <c r="L256" s="65"/>
      <c r="M256" s="67"/>
      <c r="N256" s="65"/>
      <c r="O256" s="69">
        <f>((E252-0.08)+(2*10*(L256/1000)))*N256*C252</f>
        <v>0</v>
      </c>
      <c r="P256" s="55">
        <f>O256</f>
        <v>0</v>
      </c>
      <c r="Q256" s="468">
        <f t="shared" si="32"/>
        <v>0</v>
      </c>
      <c r="R256" s="468">
        <f t="shared" si="33"/>
        <v>0</v>
      </c>
      <c r="S256" s="468">
        <f t="shared" si="34"/>
        <v>0</v>
      </c>
      <c r="T256" s="469">
        <f t="shared" si="35"/>
        <v>0</v>
      </c>
      <c r="U256" s="469">
        <f t="shared" si="36"/>
        <v>0</v>
      </c>
      <c r="V256" s="468">
        <f t="shared" si="37"/>
        <v>0</v>
      </c>
    </row>
    <row r="257" spans="1:22" outlineLevel="1" x14ac:dyDescent="0.3">
      <c r="A257" s="981">
        <v>20</v>
      </c>
      <c r="B257" s="985" t="s">
        <v>569</v>
      </c>
      <c r="C257" s="982">
        <v>2</v>
      </c>
      <c r="D257" s="460">
        <v>1.4</v>
      </c>
      <c r="E257" s="461">
        <v>0.3</v>
      </c>
      <c r="F257" s="460">
        <v>2.9</v>
      </c>
      <c r="G257" s="460">
        <f>F257*E257*D257*C257</f>
        <v>2.4359999999999999</v>
      </c>
      <c r="H257" s="464">
        <v>20</v>
      </c>
      <c r="I257" s="464">
        <v>8</v>
      </c>
      <c r="J257" s="460">
        <f>(F257+(50*H257/1000))*I257*C257</f>
        <v>62.4</v>
      </c>
      <c r="K257" s="68" t="s">
        <v>63</v>
      </c>
      <c r="L257" s="464">
        <v>8</v>
      </c>
      <c r="M257" s="465">
        <v>0.1</v>
      </c>
      <c r="N257" s="464">
        <f>ROUND(((F257/2)/M257),0)+1</f>
        <v>16</v>
      </c>
      <c r="O257" s="466">
        <f>((((((((D257-0.08)+(E257-0.08))*2)+0.2)+((((E257-0.08)+0.2)*(((I257+I258+I259)/2)-2)))))))</f>
        <v>7.06</v>
      </c>
      <c r="P257" s="467">
        <f>O257*N257*C257</f>
        <v>225.92</v>
      </c>
      <c r="Q257" s="468">
        <f t="shared" si="32"/>
        <v>0</v>
      </c>
      <c r="R257" s="468">
        <f t="shared" si="33"/>
        <v>0</v>
      </c>
      <c r="S257" s="468">
        <f t="shared" si="34"/>
        <v>0</v>
      </c>
      <c r="T257" s="469">
        <f t="shared" si="35"/>
        <v>62.4</v>
      </c>
      <c r="U257" s="469">
        <f t="shared" si="36"/>
        <v>0</v>
      </c>
      <c r="V257" s="468">
        <f t="shared" si="37"/>
        <v>0</v>
      </c>
    </row>
    <row r="258" spans="1:22" outlineLevel="1" x14ac:dyDescent="0.3">
      <c r="A258" s="982"/>
      <c r="B258" s="915"/>
      <c r="C258" s="982"/>
      <c r="D258" s="57"/>
      <c r="E258" s="58"/>
      <c r="F258" s="57"/>
      <c r="G258" s="57"/>
      <c r="H258" s="59">
        <v>16</v>
      </c>
      <c r="I258" s="59">
        <v>14</v>
      </c>
      <c r="J258" s="57">
        <f>(F257+(50*H258/1000))*I258*C257</f>
        <v>103.60000000000001</v>
      </c>
      <c r="K258" s="60" t="s">
        <v>63</v>
      </c>
      <c r="L258" s="59">
        <v>8</v>
      </c>
      <c r="M258" s="61">
        <v>0.15</v>
      </c>
      <c r="N258" s="59">
        <f>ROUND((F257/2)/M258,0)+1</f>
        <v>11</v>
      </c>
      <c r="O258" s="53">
        <f>((((((((D257-0.08)+(E257-0.08))*2)+0.2)+((((E257-0.08)+0.2)*(((I258+I257+I259)/2)-2)))))))</f>
        <v>7.06</v>
      </c>
      <c r="P258" s="54">
        <f>O258*N258*C257</f>
        <v>155.32</v>
      </c>
      <c r="Q258" s="468">
        <f t="shared" si="32"/>
        <v>0</v>
      </c>
      <c r="R258" s="468">
        <f t="shared" si="33"/>
        <v>0</v>
      </c>
      <c r="S258" s="468">
        <f t="shared" si="34"/>
        <v>103.60000000000001</v>
      </c>
      <c r="T258" s="469">
        <f t="shared" si="35"/>
        <v>0</v>
      </c>
      <c r="U258" s="469">
        <f t="shared" si="36"/>
        <v>0</v>
      </c>
      <c r="V258" s="468">
        <f t="shared" si="37"/>
        <v>0</v>
      </c>
    </row>
    <row r="259" spans="1:22" outlineLevel="1" x14ac:dyDescent="0.3">
      <c r="A259" s="982"/>
      <c r="B259" s="915"/>
      <c r="C259" s="982"/>
      <c r="D259" s="57"/>
      <c r="E259" s="58"/>
      <c r="F259" s="57"/>
      <c r="G259" s="57"/>
      <c r="H259" s="59"/>
      <c r="I259" s="59"/>
      <c r="J259" s="57">
        <f>(F257+(50*H259/1000))*I259*C257</f>
        <v>0</v>
      </c>
      <c r="K259" s="60"/>
      <c r="L259" s="59"/>
      <c r="M259" s="61"/>
      <c r="N259" s="59"/>
      <c r="O259" s="62"/>
      <c r="P259" s="54">
        <f>O259</f>
        <v>0</v>
      </c>
      <c r="Q259" s="468">
        <f t="shared" si="32"/>
        <v>0</v>
      </c>
      <c r="R259" s="468">
        <f t="shared" si="33"/>
        <v>0</v>
      </c>
      <c r="S259" s="468">
        <f t="shared" si="34"/>
        <v>0</v>
      </c>
      <c r="T259" s="469">
        <f t="shared" si="35"/>
        <v>0</v>
      </c>
      <c r="U259" s="469">
        <f t="shared" si="36"/>
        <v>0</v>
      </c>
      <c r="V259" s="468">
        <f t="shared" si="37"/>
        <v>0</v>
      </c>
    </row>
    <row r="260" spans="1:22" outlineLevel="1" x14ac:dyDescent="0.3">
      <c r="A260" s="982"/>
      <c r="B260" s="915"/>
      <c r="C260" s="982"/>
      <c r="D260" s="57"/>
      <c r="E260" s="58"/>
      <c r="F260" s="57"/>
      <c r="G260" s="57"/>
      <c r="H260" s="59"/>
      <c r="I260" s="59"/>
      <c r="J260" s="57"/>
      <c r="K260" s="60"/>
      <c r="L260" s="59"/>
      <c r="M260" s="61"/>
      <c r="N260" s="59"/>
      <c r="O260" s="62"/>
      <c r="P260" s="54">
        <f>O260</f>
        <v>0</v>
      </c>
      <c r="Q260" s="468">
        <f t="shared" si="32"/>
        <v>0</v>
      </c>
      <c r="R260" s="468">
        <f t="shared" si="33"/>
        <v>0</v>
      </c>
      <c r="S260" s="468">
        <f t="shared" si="34"/>
        <v>0</v>
      </c>
      <c r="T260" s="469">
        <f t="shared" si="35"/>
        <v>0</v>
      </c>
      <c r="U260" s="469">
        <f t="shared" si="36"/>
        <v>0</v>
      </c>
      <c r="V260" s="468">
        <f t="shared" si="37"/>
        <v>0</v>
      </c>
    </row>
    <row r="261" spans="1:22" outlineLevel="1" x14ac:dyDescent="0.3">
      <c r="A261" s="983"/>
      <c r="B261" s="916"/>
      <c r="C261" s="983"/>
      <c r="D261" s="70"/>
      <c r="E261" s="71"/>
      <c r="F261" s="70"/>
      <c r="G261" s="70"/>
      <c r="H261" s="72"/>
      <c r="I261" s="72"/>
      <c r="J261" s="70"/>
      <c r="K261" s="73"/>
      <c r="L261" s="72"/>
      <c r="M261" s="457"/>
      <c r="N261" s="72"/>
      <c r="O261" s="458">
        <f>((E257-0.08)+(2*10*(L261/1000)))*N261*C257</f>
        <v>0</v>
      </c>
      <c r="P261" s="459">
        <f>O261</f>
        <v>0</v>
      </c>
      <c r="Q261" s="468">
        <f t="shared" si="32"/>
        <v>0</v>
      </c>
      <c r="R261" s="468">
        <f t="shared" si="33"/>
        <v>0</v>
      </c>
      <c r="S261" s="468">
        <f t="shared" si="34"/>
        <v>0</v>
      </c>
      <c r="T261" s="469">
        <f t="shared" si="35"/>
        <v>0</v>
      </c>
      <c r="U261" s="469">
        <f t="shared" si="36"/>
        <v>0</v>
      </c>
      <c r="V261" s="468">
        <f t="shared" si="37"/>
        <v>0</v>
      </c>
    </row>
    <row r="262" spans="1:22" outlineLevel="1" x14ac:dyDescent="0.3">
      <c r="A262" s="984">
        <v>21</v>
      </c>
      <c r="B262" s="985" t="s">
        <v>89</v>
      </c>
      <c r="C262" s="984">
        <v>1</v>
      </c>
      <c r="D262" s="460">
        <v>3.05</v>
      </c>
      <c r="E262" s="461">
        <v>0.3</v>
      </c>
      <c r="F262" s="460">
        <v>2.9</v>
      </c>
      <c r="G262" s="460">
        <f>F262*E262*D262*C262</f>
        <v>2.6534999999999997</v>
      </c>
      <c r="H262" s="464">
        <v>20</v>
      </c>
      <c r="I262" s="464">
        <v>20</v>
      </c>
      <c r="J262" s="460">
        <f>(F262+(50*H262/1000))*I262*C262</f>
        <v>78</v>
      </c>
      <c r="K262" s="68" t="s">
        <v>63</v>
      </c>
      <c r="L262" s="464">
        <v>8</v>
      </c>
      <c r="M262" s="465">
        <v>0.1</v>
      </c>
      <c r="N262" s="464">
        <f>ROUND(((F262/2)/M262),0)+1</f>
        <v>16</v>
      </c>
      <c r="O262" s="466">
        <f>((((((((D262-0.08)+(E262-0.08))*2)+0.2)+((((E262-0.08)+0.2)*(((I262+I263+I264)/2)-2)))))))</f>
        <v>14.559999999999999</v>
      </c>
      <c r="P262" s="467">
        <f>O262*N262*C262</f>
        <v>232.95999999999998</v>
      </c>
      <c r="Q262" s="468">
        <f t="shared" si="32"/>
        <v>0</v>
      </c>
      <c r="R262" s="468">
        <f t="shared" si="33"/>
        <v>0</v>
      </c>
      <c r="S262" s="468">
        <f t="shared" si="34"/>
        <v>0</v>
      </c>
      <c r="T262" s="469">
        <f t="shared" si="35"/>
        <v>78</v>
      </c>
      <c r="U262" s="469">
        <f t="shared" si="36"/>
        <v>0</v>
      </c>
      <c r="V262" s="468">
        <f t="shared" si="37"/>
        <v>0</v>
      </c>
    </row>
    <row r="263" spans="1:22" outlineLevel="1" x14ac:dyDescent="0.3">
      <c r="A263" s="937"/>
      <c r="B263" s="915"/>
      <c r="C263" s="937"/>
      <c r="D263" s="57"/>
      <c r="E263" s="58"/>
      <c r="F263" s="57"/>
      <c r="G263" s="57"/>
      <c r="H263" s="59">
        <v>16</v>
      </c>
      <c r="I263" s="59">
        <v>22</v>
      </c>
      <c r="J263" s="57">
        <f>(F262+(50*H263/1000))*I263*C262</f>
        <v>81.400000000000006</v>
      </c>
      <c r="K263" s="60" t="s">
        <v>63</v>
      </c>
      <c r="L263" s="59">
        <v>8</v>
      </c>
      <c r="M263" s="61">
        <v>0.15</v>
      </c>
      <c r="N263" s="59">
        <f>ROUND((F262/2)/M263,0)+1</f>
        <v>11</v>
      </c>
      <c r="O263" s="53">
        <f>((((((((D262-0.08)+(E262-0.08))*2)+0.2)+((((E262-0.08)+0.2)*(((I263+I262+I264)/2)-2)))))))</f>
        <v>14.559999999999999</v>
      </c>
      <c r="P263" s="54">
        <f>O263*N263*C262</f>
        <v>160.16</v>
      </c>
      <c r="Q263" s="468">
        <f t="shared" si="32"/>
        <v>0</v>
      </c>
      <c r="R263" s="468">
        <f t="shared" si="33"/>
        <v>0</v>
      </c>
      <c r="S263" s="468">
        <f t="shared" si="34"/>
        <v>81.400000000000006</v>
      </c>
      <c r="T263" s="469">
        <f t="shared" si="35"/>
        <v>0</v>
      </c>
      <c r="U263" s="469">
        <f t="shared" si="36"/>
        <v>0</v>
      </c>
      <c r="V263" s="468">
        <f t="shared" si="37"/>
        <v>0</v>
      </c>
    </row>
    <row r="264" spans="1:22" outlineLevel="1" x14ac:dyDescent="0.3">
      <c r="A264" s="937"/>
      <c r="B264" s="915"/>
      <c r="C264" s="937"/>
      <c r="D264" s="57"/>
      <c r="E264" s="58"/>
      <c r="F264" s="57"/>
      <c r="G264" s="57"/>
      <c r="H264" s="59"/>
      <c r="I264" s="59"/>
      <c r="J264" s="57">
        <f>(F262+(50*H264/1000))*I264*C262</f>
        <v>0</v>
      </c>
      <c r="K264" s="60"/>
      <c r="L264" s="59"/>
      <c r="M264" s="61"/>
      <c r="N264" s="59"/>
      <c r="O264" s="62"/>
      <c r="P264" s="54">
        <f>O264</f>
        <v>0</v>
      </c>
      <c r="Q264" s="468">
        <f t="shared" si="32"/>
        <v>0</v>
      </c>
      <c r="R264" s="468">
        <f t="shared" si="33"/>
        <v>0</v>
      </c>
      <c r="S264" s="468">
        <f t="shared" si="34"/>
        <v>0</v>
      </c>
      <c r="T264" s="469">
        <f t="shared" si="35"/>
        <v>0</v>
      </c>
      <c r="U264" s="469">
        <f t="shared" si="36"/>
        <v>0</v>
      </c>
      <c r="V264" s="468">
        <f t="shared" si="37"/>
        <v>0</v>
      </c>
    </row>
    <row r="265" spans="1:22" outlineLevel="1" x14ac:dyDescent="0.3">
      <c r="A265" s="937"/>
      <c r="B265" s="915"/>
      <c r="C265" s="937"/>
      <c r="D265" s="57"/>
      <c r="E265" s="58"/>
      <c r="F265" s="57"/>
      <c r="G265" s="57"/>
      <c r="H265" s="59"/>
      <c r="I265" s="59"/>
      <c r="J265" s="57"/>
      <c r="K265" s="60"/>
      <c r="L265" s="59"/>
      <c r="M265" s="61"/>
      <c r="N265" s="59"/>
      <c r="O265" s="62"/>
      <c r="P265" s="54">
        <f>O265</f>
        <v>0</v>
      </c>
      <c r="Q265" s="468">
        <f t="shared" si="32"/>
        <v>0</v>
      </c>
      <c r="R265" s="468">
        <f t="shared" si="33"/>
        <v>0</v>
      </c>
      <c r="S265" s="468">
        <f t="shared" si="34"/>
        <v>0</v>
      </c>
      <c r="T265" s="469">
        <f t="shared" si="35"/>
        <v>0</v>
      </c>
      <c r="U265" s="469">
        <f t="shared" si="36"/>
        <v>0</v>
      </c>
      <c r="V265" s="468">
        <f t="shared" si="37"/>
        <v>0</v>
      </c>
    </row>
    <row r="266" spans="1:22" outlineLevel="1" x14ac:dyDescent="0.3">
      <c r="A266" s="937"/>
      <c r="B266" s="915"/>
      <c r="C266" s="937"/>
      <c r="D266" s="57"/>
      <c r="E266" s="58"/>
      <c r="F266" s="57"/>
      <c r="G266" s="57"/>
      <c r="H266" s="59"/>
      <c r="I266" s="59"/>
      <c r="J266" s="57"/>
      <c r="K266" s="60"/>
      <c r="L266" s="59"/>
      <c r="M266" s="61"/>
      <c r="N266" s="59"/>
      <c r="O266" s="69">
        <f>((E262-0.08)+(2*10*(L266/1000)))*N266*C262</f>
        <v>0</v>
      </c>
      <c r="P266" s="54">
        <f>O266</f>
        <v>0</v>
      </c>
      <c r="Q266" s="468">
        <f t="shared" si="32"/>
        <v>0</v>
      </c>
      <c r="R266" s="468">
        <f t="shared" si="33"/>
        <v>0</v>
      </c>
      <c r="S266" s="468">
        <f t="shared" si="34"/>
        <v>0</v>
      </c>
      <c r="T266" s="469">
        <f t="shared" si="35"/>
        <v>0</v>
      </c>
      <c r="U266" s="469">
        <f t="shared" si="36"/>
        <v>0</v>
      </c>
      <c r="V266" s="468">
        <f t="shared" si="37"/>
        <v>0</v>
      </c>
    </row>
    <row r="267" spans="1:22" outlineLevel="1" x14ac:dyDescent="0.3">
      <c r="A267" s="936">
        <v>22</v>
      </c>
      <c r="B267" s="914" t="s">
        <v>90</v>
      </c>
      <c r="C267" s="936">
        <v>2</v>
      </c>
      <c r="D267" s="48">
        <v>1.2</v>
      </c>
      <c r="E267" s="49">
        <v>0.23</v>
      </c>
      <c r="F267" s="48">
        <v>2.9</v>
      </c>
      <c r="G267" s="48">
        <f>F267*E267*D267*C267</f>
        <v>1.6008</v>
      </c>
      <c r="H267" s="50">
        <v>20</v>
      </c>
      <c r="I267" s="50">
        <v>4</v>
      </c>
      <c r="J267" s="48">
        <f>(F267+(50*H267/1000))*I267*C267</f>
        <v>31.2</v>
      </c>
      <c r="K267" s="68" t="s">
        <v>63</v>
      </c>
      <c r="L267" s="50">
        <v>8</v>
      </c>
      <c r="M267" s="52">
        <v>0.1</v>
      </c>
      <c r="N267" s="50">
        <f>ROUND(((F267/2)/M267),0)+1</f>
        <v>16</v>
      </c>
      <c r="O267" s="53">
        <f>((((((((D267-0.08)+(E267-0.08))*2)+0.2)+((((E267-0.08)+0.2)*(((I267+I268+I269)/2)-2)))))))</f>
        <v>4.84</v>
      </c>
      <c r="P267" s="54">
        <f>O267*N267*C267</f>
        <v>154.88</v>
      </c>
      <c r="Q267" s="468">
        <f t="shared" si="32"/>
        <v>0</v>
      </c>
      <c r="R267" s="468">
        <f t="shared" si="33"/>
        <v>0</v>
      </c>
      <c r="S267" s="468">
        <f t="shared" si="34"/>
        <v>0</v>
      </c>
      <c r="T267" s="469">
        <f t="shared" si="35"/>
        <v>31.2</v>
      </c>
      <c r="U267" s="469">
        <f t="shared" si="36"/>
        <v>0</v>
      </c>
      <c r="V267" s="468">
        <f t="shared" si="37"/>
        <v>0</v>
      </c>
    </row>
    <row r="268" spans="1:22" outlineLevel="1" x14ac:dyDescent="0.3">
      <c r="A268" s="937"/>
      <c r="B268" s="915"/>
      <c r="C268" s="937"/>
      <c r="D268" s="57"/>
      <c r="E268" s="58"/>
      <c r="F268" s="57"/>
      <c r="G268" s="57"/>
      <c r="H268" s="59">
        <v>16</v>
      </c>
      <c r="I268" s="59">
        <v>12</v>
      </c>
      <c r="J268" s="57">
        <f>(F267+(50*H268/1000))*I268*C267</f>
        <v>88.800000000000011</v>
      </c>
      <c r="K268" s="60" t="s">
        <v>63</v>
      </c>
      <c r="L268" s="59">
        <v>8</v>
      </c>
      <c r="M268" s="61">
        <v>0.15</v>
      </c>
      <c r="N268" s="59">
        <f>ROUND((F267/2)/M268,0)+1</f>
        <v>11</v>
      </c>
      <c r="O268" s="53">
        <f>((((((((D267-0.08)+(E267-0.08))*2)+0.2)+((((E267-0.08)+0.2)*(((I268+I267+I269)/2)-2)))))))</f>
        <v>4.84</v>
      </c>
      <c r="P268" s="54">
        <f>O268*N268*C267</f>
        <v>106.47999999999999</v>
      </c>
      <c r="Q268" s="468">
        <f t="shared" si="32"/>
        <v>0</v>
      </c>
      <c r="R268" s="468">
        <f t="shared" si="33"/>
        <v>0</v>
      </c>
      <c r="S268" s="468">
        <f t="shared" si="34"/>
        <v>88.800000000000011</v>
      </c>
      <c r="T268" s="469">
        <f t="shared" si="35"/>
        <v>0</v>
      </c>
      <c r="U268" s="469">
        <f t="shared" si="36"/>
        <v>0</v>
      </c>
      <c r="V268" s="468">
        <f t="shared" si="37"/>
        <v>0</v>
      </c>
    </row>
    <row r="269" spans="1:22" outlineLevel="1" x14ac:dyDescent="0.3">
      <c r="A269" s="937"/>
      <c r="B269" s="915"/>
      <c r="C269" s="937"/>
      <c r="D269" s="57"/>
      <c r="E269" s="58"/>
      <c r="F269" s="57"/>
      <c r="G269" s="57"/>
      <c r="H269" s="59"/>
      <c r="I269" s="59"/>
      <c r="J269" s="57">
        <f>(F267+(50*H269/1000))*I269*C267</f>
        <v>0</v>
      </c>
      <c r="K269" s="60"/>
      <c r="L269" s="59"/>
      <c r="M269" s="61"/>
      <c r="N269" s="59"/>
      <c r="O269" s="62"/>
      <c r="P269" s="54">
        <f>O269</f>
        <v>0</v>
      </c>
      <c r="Q269" s="468">
        <f t="shared" si="32"/>
        <v>0</v>
      </c>
      <c r="R269" s="468">
        <f t="shared" si="33"/>
        <v>0</v>
      </c>
      <c r="S269" s="468">
        <f t="shared" si="34"/>
        <v>0</v>
      </c>
      <c r="T269" s="469">
        <f t="shared" si="35"/>
        <v>0</v>
      </c>
      <c r="U269" s="469">
        <f t="shared" si="36"/>
        <v>0</v>
      </c>
      <c r="V269" s="468">
        <f t="shared" si="37"/>
        <v>0</v>
      </c>
    </row>
    <row r="270" spans="1:22" outlineLevel="1" x14ac:dyDescent="0.3">
      <c r="A270" s="937"/>
      <c r="B270" s="915"/>
      <c r="C270" s="937"/>
      <c r="D270" s="57"/>
      <c r="E270" s="58"/>
      <c r="F270" s="57"/>
      <c r="G270" s="57"/>
      <c r="H270" s="59"/>
      <c r="I270" s="59"/>
      <c r="J270" s="57"/>
      <c r="K270" s="60"/>
      <c r="L270" s="59"/>
      <c r="M270" s="61"/>
      <c r="N270" s="59"/>
      <c r="O270" s="62"/>
      <c r="P270" s="54">
        <f>O270</f>
        <v>0</v>
      </c>
      <c r="Q270" s="468">
        <f t="shared" si="32"/>
        <v>0</v>
      </c>
      <c r="R270" s="468">
        <f t="shared" si="33"/>
        <v>0</v>
      </c>
      <c r="S270" s="468">
        <f t="shared" si="34"/>
        <v>0</v>
      </c>
      <c r="T270" s="469">
        <f t="shared" si="35"/>
        <v>0</v>
      </c>
      <c r="U270" s="469">
        <f t="shared" si="36"/>
        <v>0</v>
      </c>
      <c r="V270" s="468">
        <f t="shared" si="37"/>
        <v>0</v>
      </c>
    </row>
    <row r="271" spans="1:22" outlineLevel="1" x14ac:dyDescent="0.3">
      <c r="A271" s="937"/>
      <c r="B271" s="915"/>
      <c r="C271" s="937"/>
      <c r="D271" s="57"/>
      <c r="E271" s="58"/>
      <c r="F271" s="57"/>
      <c r="G271" s="57"/>
      <c r="H271" s="59"/>
      <c r="I271" s="59"/>
      <c r="J271" s="57"/>
      <c r="K271" s="60"/>
      <c r="L271" s="59"/>
      <c r="M271" s="61"/>
      <c r="N271" s="59"/>
      <c r="O271" s="69">
        <f>((E267-0.08)+(2*10*(L271/1000)))*N271*C267</f>
        <v>0</v>
      </c>
      <c r="P271" s="54">
        <f>O271</f>
        <v>0</v>
      </c>
      <c r="Q271" s="468">
        <f t="shared" si="32"/>
        <v>0</v>
      </c>
      <c r="R271" s="468">
        <f t="shared" si="33"/>
        <v>0</v>
      </c>
      <c r="S271" s="468">
        <f t="shared" si="34"/>
        <v>0</v>
      </c>
      <c r="T271" s="469">
        <f t="shared" si="35"/>
        <v>0</v>
      </c>
      <c r="U271" s="469">
        <f t="shared" si="36"/>
        <v>0</v>
      </c>
      <c r="V271" s="468">
        <f t="shared" si="37"/>
        <v>0</v>
      </c>
    </row>
    <row r="272" spans="1:22" outlineLevel="1" x14ac:dyDescent="0.3">
      <c r="A272" s="936">
        <v>23</v>
      </c>
      <c r="B272" s="917" t="s">
        <v>91</v>
      </c>
      <c r="C272" s="981">
        <v>1</v>
      </c>
      <c r="D272" s="48">
        <v>2.65</v>
      </c>
      <c r="E272" s="49">
        <v>0.23</v>
      </c>
      <c r="F272" s="48">
        <v>2.9</v>
      </c>
      <c r="G272" s="48">
        <f>F272*E272*D272*C272</f>
        <v>1.76755</v>
      </c>
      <c r="H272" s="50">
        <v>20</v>
      </c>
      <c r="I272" s="50">
        <v>12</v>
      </c>
      <c r="J272" s="48">
        <f>(F272+(50*H272/1000))*I272*C272</f>
        <v>46.8</v>
      </c>
      <c r="K272" s="68" t="s">
        <v>63</v>
      </c>
      <c r="L272" s="50">
        <v>8</v>
      </c>
      <c r="M272" s="52">
        <v>0.1</v>
      </c>
      <c r="N272" s="50">
        <f>ROUND(((F272/2)/M272),0)+1</f>
        <v>16</v>
      </c>
      <c r="O272" s="53">
        <f>((((((((D272-0.08)+(E272-0.08))*2)+0.2)+((((E272-0.08)+0.2)*(((I272+I273+I274)/2)-2)))))))</f>
        <v>10.54</v>
      </c>
      <c r="P272" s="54">
        <f>O272*N272*C272</f>
        <v>168.64</v>
      </c>
      <c r="Q272" s="468">
        <f t="shared" si="32"/>
        <v>0</v>
      </c>
      <c r="R272" s="468">
        <f t="shared" si="33"/>
        <v>0</v>
      </c>
      <c r="S272" s="468">
        <f t="shared" si="34"/>
        <v>0</v>
      </c>
      <c r="T272" s="469">
        <f t="shared" si="35"/>
        <v>46.8</v>
      </c>
      <c r="U272" s="469">
        <f t="shared" si="36"/>
        <v>0</v>
      </c>
      <c r="V272" s="468">
        <f t="shared" si="37"/>
        <v>0</v>
      </c>
    </row>
    <row r="273" spans="1:22" outlineLevel="1" x14ac:dyDescent="0.3">
      <c r="A273" s="937"/>
      <c r="B273" s="918"/>
      <c r="C273" s="982"/>
      <c r="D273" s="57"/>
      <c r="E273" s="58"/>
      <c r="F273" s="57"/>
      <c r="G273" s="57"/>
      <c r="H273" s="59">
        <v>16</v>
      </c>
      <c r="I273" s="59">
        <v>12</v>
      </c>
      <c r="J273" s="57">
        <f>(F272+(50*H273/1000))*I273*C272</f>
        <v>44.400000000000006</v>
      </c>
      <c r="K273" s="60" t="s">
        <v>63</v>
      </c>
      <c r="L273" s="59">
        <v>8</v>
      </c>
      <c r="M273" s="61">
        <v>0.15</v>
      </c>
      <c r="N273" s="59">
        <f>ROUND((F272/2)/M273,0)+1</f>
        <v>11</v>
      </c>
      <c r="O273" s="53">
        <f>((((((((D272-0.08)+(E272-0.08))*2)+0.2)+((((E272-0.08)+0.2)*(((I273+I272+I274)/2)-2)))))))</f>
        <v>10.54</v>
      </c>
      <c r="P273" s="54">
        <f>O273*N273*C272</f>
        <v>115.94</v>
      </c>
      <c r="Q273" s="468">
        <f t="shared" si="32"/>
        <v>0</v>
      </c>
      <c r="R273" s="468">
        <f t="shared" si="33"/>
        <v>0</v>
      </c>
      <c r="S273" s="468">
        <f t="shared" si="34"/>
        <v>44.400000000000006</v>
      </c>
      <c r="T273" s="469">
        <f t="shared" si="35"/>
        <v>0</v>
      </c>
      <c r="U273" s="469">
        <f t="shared" si="36"/>
        <v>0</v>
      </c>
      <c r="V273" s="468">
        <f t="shared" si="37"/>
        <v>0</v>
      </c>
    </row>
    <row r="274" spans="1:22" outlineLevel="1" x14ac:dyDescent="0.3">
      <c r="A274" s="937"/>
      <c r="B274" s="918"/>
      <c r="C274" s="982"/>
      <c r="D274" s="57"/>
      <c r="E274" s="58"/>
      <c r="F274" s="57"/>
      <c r="G274" s="57"/>
      <c r="H274" s="59">
        <v>12</v>
      </c>
      <c r="I274" s="59">
        <v>8</v>
      </c>
      <c r="J274" s="57">
        <f>(F272+(50*H274/1000))*I274*C272</f>
        <v>28</v>
      </c>
      <c r="K274" s="60"/>
      <c r="L274" s="59"/>
      <c r="M274" s="61"/>
      <c r="N274" s="59"/>
      <c r="O274" s="62"/>
      <c r="P274" s="54">
        <f t="shared" ref="P274:P279" si="40">O274</f>
        <v>0</v>
      </c>
      <c r="Q274" s="468">
        <f t="shared" si="32"/>
        <v>0</v>
      </c>
      <c r="R274" s="468">
        <f t="shared" si="33"/>
        <v>28</v>
      </c>
      <c r="S274" s="468">
        <f t="shared" si="34"/>
        <v>0</v>
      </c>
      <c r="T274" s="469">
        <f t="shared" si="35"/>
        <v>0</v>
      </c>
      <c r="U274" s="469">
        <f t="shared" si="36"/>
        <v>0</v>
      </c>
      <c r="V274" s="468">
        <f t="shared" si="37"/>
        <v>0</v>
      </c>
    </row>
    <row r="275" spans="1:22" outlineLevel="1" x14ac:dyDescent="0.3">
      <c r="A275" s="937"/>
      <c r="B275" s="919"/>
      <c r="C275" s="983"/>
      <c r="D275" s="57"/>
      <c r="E275" s="58"/>
      <c r="F275" s="57"/>
      <c r="G275" s="57"/>
      <c r="H275" s="59"/>
      <c r="I275" s="59"/>
      <c r="J275" s="57"/>
      <c r="K275" s="60"/>
      <c r="L275" s="59"/>
      <c r="M275" s="61"/>
      <c r="N275" s="59"/>
      <c r="O275" s="62"/>
      <c r="P275" s="54">
        <f t="shared" si="40"/>
        <v>0</v>
      </c>
      <c r="Q275" s="468">
        <f t="shared" si="32"/>
        <v>0</v>
      </c>
      <c r="R275" s="468">
        <f t="shared" si="33"/>
        <v>0</v>
      </c>
      <c r="S275" s="468">
        <f t="shared" si="34"/>
        <v>0</v>
      </c>
      <c r="T275" s="469">
        <f t="shared" si="35"/>
        <v>0</v>
      </c>
      <c r="U275" s="469">
        <f t="shared" si="36"/>
        <v>0</v>
      </c>
      <c r="V275" s="468">
        <f t="shared" si="37"/>
        <v>0</v>
      </c>
    </row>
    <row r="276" spans="1:22" outlineLevel="1" x14ac:dyDescent="0.3">
      <c r="A276" s="936">
        <v>24</v>
      </c>
      <c r="B276" s="914" t="s">
        <v>92</v>
      </c>
      <c r="C276" s="936">
        <v>1</v>
      </c>
      <c r="D276" s="48">
        <v>2.5</v>
      </c>
      <c r="E276" s="49">
        <v>0.23</v>
      </c>
      <c r="F276" s="48">
        <v>2.9</v>
      </c>
      <c r="G276" s="48">
        <f>F276*E276*D276*C276</f>
        <v>1.6675</v>
      </c>
      <c r="H276" s="50">
        <v>16</v>
      </c>
      <c r="I276" s="50">
        <v>24</v>
      </c>
      <c r="J276" s="48">
        <f>(F276+(50*H276/1000))*I276*C276</f>
        <v>88.800000000000011</v>
      </c>
      <c r="K276" s="60" t="s">
        <v>63</v>
      </c>
      <c r="L276" s="50">
        <v>8</v>
      </c>
      <c r="M276" s="52">
        <v>0.1</v>
      </c>
      <c r="N276" s="50">
        <f>ROUND(((F276/2)/M276),0)+1</f>
        <v>16</v>
      </c>
      <c r="O276" s="53">
        <f>((((((((D276-0.08)+(E276-0.08))*2)+0.2)+((((E276-0.08)+0.2)*(((I276+I277+I278)/2)-2)))))))</f>
        <v>11.64</v>
      </c>
      <c r="P276" s="54">
        <f>O276*N276*C276</f>
        <v>186.24</v>
      </c>
      <c r="Q276" s="468">
        <f t="shared" ref="Q276:Q287" si="41">IF(H276=10,(J276),0)+IF(L276=10,(O276*N276),0)</f>
        <v>0</v>
      </c>
      <c r="R276" s="468">
        <f t="shared" ref="R276:R287" si="42">IF(H276=12,(J276),0)+IF(L276=12,(O276*N276),0)</f>
        <v>0</v>
      </c>
      <c r="S276" s="468">
        <f t="shared" ref="S276:S287" si="43">IF(H276=16,(J276),0)+IF(L276=16,(O276*N276),0)</f>
        <v>88.800000000000011</v>
      </c>
      <c r="T276" s="469">
        <f t="shared" ref="T276:T287" si="44">IF(H276=20,(J276),0)+IF(L276=20,(O276*N276),0)</f>
        <v>0</v>
      </c>
      <c r="U276" s="469">
        <f t="shared" ref="U276:U287" si="45">IF(H276=25,(J276),0)+IF(L276=25,(O276*N276),0)</f>
        <v>0</v>
      </c>
      <c r="V276" s="468">
        <f t="shared" ref="V276:V287" si="46">IF(H276=32,(J276),0)+IF(L276=32,(O276*N276),0)</f>
        <v>0</v>
      </c>
    </row>
    <row r="277" spans="1:22" outlineLevel="1" x14ac:dyDescent="0.3">
      <c r="A277" s="937"/>
      <c r="B277" s="915"/>
      <c r="C277" s="937"/>
      <c r="D277" s="57"/>
      <c r="E277" s="58"/>
      <c r="F277" s="57"/>
      <c r="G277" s="57"/>
      <c r="H277" s="59">
        <v>12</v>
      </c>
      <c r="I277" s="59">
        <v>16</v>
      </c>
      <c r="J277" s="57">
        <f>(F276+(50*H277/1000))*I277*C276</f>
        <v>56</v>
      </c>
      <c r="K277" s="60" t="s">
        <v>63</v>
      </c>
      <c r="L277" s="59">
        <v>8</v>
      </c>
      <c r="M277" s="61">
        <v>0.15</v>
      </c>
      <c r="N277" s="59">
        <f>ROUND((F276/2)/M277,0)+1</f>
        <v>11</v>
      </c>
      <c r="O277" s="53">
        <f>((((((((D276-0.08)+(E276-0.08))*2)+0.2)+((((E276-0.08)+0.2)*(((I277+I276+I278)/2)-2)))))))</f>
        <v>11.64</v>
      </c>
      <c r="P277" s="54">
        <f>O277*N277*C276</f>
        <v>128.04000000000002</v>
      </c>
      <c r="Q277" s="468">
        <f t="shared" si="41"/>
        <v>0</v>
      </c>
      <c r="R277" s="468">
        <f t="shared" si="42"/>
        <v>56</v>
      </c>
      <c r="S277" s="468">
        <f t="shared" si="43"/>
        <v>0</v>
      </c>
      <c r="T277" s="469">
        <f t="shared" si="44"/>
        <v>0</v>
      </c>
      <c r="U277" s="469">
        <f t="shared" si="45"/>
        <v>0</v>
      </c>
      <c r="V277" s="468">
        <f t="shared" si="46"/>
        <v>0</v>
      </c>
    </row>
    <row r="278" spans="1:22" outlineLevel="1" x14ac:dyDescent="0.3">
      <c r="A278" s="937"/>
      <c r="B278" s="915"/>
      <c r="C278" s="937"/>
      <c r="D278" s="57"/>
      <c r="E278" s="58"/>
      <c r="F278" s="57"/>
      <c r="G278" s="57"/>
      <c r="H278" s="59"/>
      <c r="I278" s="59"/>
      <c r="J278" s="57">
        <f>(F276+(50*H278/1000))*I278*C276</f>
        <v>0</v>
      </c>
      <c r="K278" s="60"/>
      <c r="L278" s="59"/>
      <c r="M278" s="61"/>
      <c r="N278" s="59"/>
      <c r="O278" s="62"/>
      <c r="P278" s="54">
        <f t="shared" si="40"/>
        <v>0</v>
      </c>
      <c r="Q278" s="468">
        <f t="shared" si="41"/>
        <v>0</v>
      </c>
      <c r="R278" s="468">
        <f t="shared" si="42"/>
        <v>0</v>
      </c>
      <c r="S278" s="468">
        <f t="shared" si="43"/>
        <v>0</v>
      </c>
      <c r="T278" s="469">
        <f t="shared" si="44"/>
        <v>0</v>
      </c>
      <c r="U278" s="469">
        <f t="shared" si="45"/>
        <v>0</v>
      </c>
      <c r="V278" s="468">
        <f t="shared" si="46"/>
        <v>0</v>
      </c>
    </row>
    <row r="279" spans="1:22" outlineLevel="1" x14ac:dyDescent="0.3">
      <c r="A279" s="938"/>
      <c r="B279" s="916"/>
      <c r="C279" s="938"/>
      <c r="D279" s="63"/>
      <c r="E279" s="64"/>
      <c r="F279" s="63"/>
      <c r="G279" s="63"/>
      <c r="H279" s="65"/>
      <c r="I279" s="65"/>
      <c r="J279" s="63"/>
      <c r="K279" s="66"/>
      <c r="L279" s="65"/>
      <c r="M279" s="67"/>
      <c r="N279" s="65"/>
      <c r="O279" s="69"/>
      <c r="P279" s="54">
        <f t="shared" si="40"/>
        <v>0</v>
      </c>
      <c r="Q279" s="468">
        <f t="shared" si="41"/>
        <v>0</v>
      </c>
      <c r="R279" s="468">
        <f t="shared" si="42"/>
        <v>0</v>
      </c>
      <c r="S279" s="468">
        <f t="shared" si="43"/>
        <v>0</v>
      </c>
      <c r="T279" s="469">
        <f t="shared" si="44"/>
        <v>0</v>
      </c>
      <c r="U279" s="469">
        <f t="shared" si="45"/>
        <v>0</v>
      </c>
      <c r="V279" s="468">
        <f t="shared" si="46"/>
        <v>0</v>
      </c>
    </row>
    <row r="280" spans="1:22" outlineLevel="1" x14ac:dyDescent="0.3">
      <c r="A280" s="936">
        <v>25</v>
      </c>
      <c r="B280" s="914" t="s">
        <v>93</v>
      </c>
      <c r="C280" s="936">
        <v>1</v>
      </c>
      <c r="D280" s="48">
        <v>8.42</v>
      </c>
      <c r="E280" s="49">
        <v>0.23</v>
      </c>
      <c r="F280" s="48">
        <v>2.9</v>
      </c>
      <c r="G280" s="48">
        <f>F280*E280*D280*C280</f>
        <v>5.6161400000000006</v>
      </c>
      <c r="H280" s="50">
        <v>16</v>
      </c>
      <c r="I280" s="50">
        <v>60</v>
      </c>
      <c r="J280" s="48">
        <f>(F280+(50*H280/1000))*I280*C280</f>
        <v>222</v>
      </c>
      <c r="K280" s="51" t="s">
        <v>66</v>
      </c>
      <c r="L280" s="50">
        <v>8</v>
      </c>
      <c r="M280" s="52">
        <v>0.1</v>
      </c>
      <c r="N280" s="50">
        <f>ROUND(((F280/2)/M280),0)+1</f>
        <v>16</v>
      </c>
      <c r="O280" s="53">
        <f>((((((((D280-0.08)+(E280-0.08))*2)+0.2)+((((E280-0.08)+0.2)*(((I280+I281+I282)/2)-2)))))))</f>
        <v>36.430000000000007</v>
      </c>
      <c r="P280" s="54">
        <f>O280*N280*C280</f>
        <v>582.88000000000011</v>
      </c>
      <c r="Q280" s="468">
        <f t="shared" si="41"/>
        <v>0</v>
      </c>
      <c r="R280" s="468">
        <f t="shared" si="42"/>
        <v>0</v>
      </c>
      <c r="S280" s="468">
        <f t="shared" si="43"/>
        <v>222</v>
      </c>
      <c r="T280" s="469">
        <f t="shared" si="44"/>
        <v>0</v>
      </c>
      <c r="U280" s="469">
        <f t="shared" si="45"/>
        <v>0</v>
      </c>
      <c r="V280" s="468">
        <f t="shared" si="46"/>
        <v>0</v>
      </c>
    </row>
    <row r="281" spans="1:22" outlineLevel="1" x14ac:dyDescent="0.3">
      <c r="A281" s="937"/>
      <c r="B281" s="915"/>
      <c r="C281" s="937"/>
      <c r="D281" s="57"/>
      <c r="E281" s="58"/>
      <c r="F281" s="57"/>
      <c r="G281" s="57"/>
      <c r="H281" s="59">
        <v>12</v>
      </c>
      <c r="I281" s="59">
        <v>40</v>
      </c>
      <c r="J281" s="57">
        <f>(F280+(50*H281/1000))*I281*C280</f>
        <v>140</v>
      </c>
      <c r="K281" s="60" t="s">
        <v>63</v>
      </c>
      <c r="L281" s="59">
        <v>8</v>
      </c>
      <c r="M281" s="61">
        <v>0.15</v>
      </c>
      <c r="N281" s="59">
        <f>ROUND((F280/2)/M281,0)+1</f>
        <v>11</v>
      </c>
      <c r="O281" s="53">
        <f>((((((((D280-0.08)+(E280-0.08))*2)+0.2)+((((E280-0.08)+0.2)*(((I281+I280+I282)/2)-2)))))))</f>
        <v>36.430000000000007</v>
      </c>
      <c r="P281" s="54">
        <f>O281*N281*C280</f>
        <v>400.73000000000008</v>
      </c>
      <c r="Q281" s="468">
        <f t="shared" si="41"/>
        <v>0</v>
      </c>
      <c r="R281" s="468">
        <f t="shared" si="42"/>
        <v>140</v>
      </c>
      <c r="S281" s="468">
        <f t="shared" si="43"/>
        <v>0</v>
      </c>
      <c r="T281" s="469">
        <f t="shared" si="44"/>
        <v>0</v>
      </c>
      <c r="U281" s="469">
        <f t="shared" si="45"/>
        <v>0</v>
      </c>
      <c r="V281" s="468">
        <f t="shared" si="46"/>
        <v>0</v>
      </c>
    </row>
    <row r="282" spans="1:22" outlineLevel="1" x14ac:dyDescent="0.3">
      <c r="A282" s="937"/>
      <c r="B282" s="915"/>
      <c r="C282" s="937"/>
      <c r="D282" s="57"/>
      <c r="E282" s="58"/>
      <c r="F282" s="57"/>
      <c r="G282" s="57"/>
      <c r="H282" s="59">
        <v>8</v>
      </c>
      <c r="I282" s="59">
        <v>14</v>
      </c>
      <c r="J282" s="57">
        <f>(F280+(50*H282/1000))*I282*C280</f>
        <v>46.199999999999996</v>
      </c>
      <c r="K282" s="60" t="s">
        <v>63</v>
      </c>
      <c r="L282" s="59"/>
      <c r="M282" s="61"/>
      <c r="N282" s="59"/>
      <c r="O282" s="62"/>
      <c r="P282" s="54">
        <f t="shared" ref="P282:P287" si="47">O282</f>
        <v>0</v>
      </c>
      <c r="Q282" s="468">
        <f t="shared" si="41"/>
        <v>0</v>
      </c>
      <c r="R282" s="468">
        <f t="shared" si="42"/>
        <v>0</v>
      </c>
      <c r="S282" s="468">
        <f t="shared" si="43"/>
        <v>0</v>
      </c>
      <c r="T282" s="469">
        <f t="shared" si="44"/>
        <v>0</v>
      </c>
      <c r="U282" s="469">
        <f t="shared" si="45"/>
        <v>0</v>
      </c>
      <c r="V282" s="468">
        <f t="shared" si="46"/>
        <v>0</v>
      </c>
    </row>
    <row r="283" spans="1:22" outlineLevel="1" x14ac:dyDescent="0.3">
      <c r="A283" s="979"/>
      <c r="B283" s="980"/>
      <c r="C283" s="979"/>
      <c r="D283" s="70"/>
      <c r="E283" s="71"/>
      <c r="F283" s="70"/>
      <c r="G283" s="70"/>
      <c r="H283" s="72"/>
      <c r="I283" s="72"/>
      <c r="J283" s="70"/>
      <c r="K283" s="73" t="s">
        <v>64</v>
      </c>
      <c r="L283" s="72"/>
      <c r="M283" s="67"/>
      <c r="N283" s="65"/>
      <c r="O283" s="69"/>
      <c r="P283" s="54">
        <f t="shared" si="47"/>
        <v>0</v>
      </c>
      <c r="Q283" s="468">
        <f t="shared" si="41"/>
        <v>0</v>
      </c>
      <c r="R283" s="468">
        <f t="shared" si="42"/>
        <v>0</v>
      </c>
      <c r="S283" s="468">
        <f t="shared" si="43"/>
        <v>0</v>
      </c>
      <c r="T283" s="469">
        <f t="shared" si="44"/>
        <v>0</v>
      </c>
      <c r="U283" s="469">
        <f t="shared" si="45"/>
        <v>0</v>
      </c>
      <c r="V283" s="468">
        <f t="shared" si="46"/>
        <v>0</v>
      </c>
    </row>
    <row r="284" spans="1:22" outlineLevel="1" x14ac:dyDescent="0.3">
      <c r="A284" s="936">
        <v>26</v>
      </c>
      <c r="B284" s="914" t="s">
        <v>94</v>
      </c>
      <c r="C284" s="936">
        <v>1</v>
      </c>
      <c r="D284" s="48">
        <v>9.42</v>
      </c>
      <c r="E284" s="49">
        <v>0.23</v>
      </c>
      <c r="F284" s="48">
        <v>2.9</v>
      </c>
      <c r="G284" s="48">
        <f>F284*E284*D284*C284</f>
        <v>6.2831400000000004</v>
      </c>
      <c r="H284" s="50">
        <v>16</v>
      </c>
      <c r="I284" s="50">
        <v>60</v>
      </c>
      <c r="J284" s="48">
        <f>(F284+(50*H284/1000))*I284*C284</f>
        <v>222</v>
      </c>
      <c r="K284" s="51" t="s">
        <v>66</v>
      </c>
      <c r="L284" s="50">
        <v>8</v>
      </c>
      <c r="M284" s="52">
        <v>0.1</v>
      </c>
      <c r="N284" s="50">
        <f>ROUND(((F284/2)/M284),0)+1</f>
        <v>16</v>
      </c>
      <c r="O284" s="53">
        <f>((((((((D284-0.08)+(E284-0.08))*2)+0.2)+((((E284-0.08)+0.2)*(((I284+I285+I286)/2)-2)))))))</f>
        <v>38.430000000000007</v>
      </c>
      <c r="P284" s="54">
        <f>O284*N284*C284</f>
        <v>614.88000000000011</v>
      </c>
      <c r="Q284" s="468">
        <f t="shared" si="41"/>
        <v>0</v>
      </c>
      <c r="R284" s="468">
        <f t="shared" si="42"/>
        <v>0</v>
      </c>
      <c r="S284" s="468">
        <f t="shared" si="43"/>
        <v>222</v>
      </c>
      <c r="T284" s="469">
        <f t="shared" si="44"/>
        <v>0</v>
      </c>
      <c r="U284" s="469">
        <f t="shared" si="45"/>
        <v>0</v>
      </c>
      <c r="V284" s="468">
        <f t="shared" si="46"/>
        <v>0</v>
      </c>
    </row>
    <row r="285" spans="1:22" outlineLevel="1" x14ac:dyDescent="0.3">
      <c r="A285" s="937"/>
      <c r="B285" s="915"/>
      <c r="C285" s="937"/>
      <c r="D285" s="57"/>
      <c r="E285" s="58"/>
      <c r="F285" s="57"/>
      <c r="G285" s="57"/>
      <c r="H285" s="59">
        <v>12</v>
      </c>
      <c r="I285" s="59">
        <v>40</v>
      </c>
      <c r="J285" s="57">
        <f>(F284+(50*H285/1000))*I285*C284</f>
        <v>140</v>
      </c>
      <c r="K285" s="60" t="s">
        <v>63</v>
      </c>
      <c r="L285" s="59">
        <v>8</v>
      </c>
      <c r="M285" s="61">
        <v>0.15</v>
      </c>
      <c r="N285" s="59">
        <f>ROUND((F284/2)/M285,0)+1</f>
        <v>11</v>
      </c>
      <c r="O285" s="53">
        <f>((((((((D284-0.08)+(E284-0.08))*2)+0.2)+((((E284-0.08)+0.2)*(((I285+I284+I286)/2)-2)))))))</f>
        <v>38.430000000000007</v>
      </c>
      <c r="P285" s="54">
        <f>O285*N285*C284</f>
        <v>422.73000000000008</v>
      </c>
      <c r="Q285" s="468">
        <f t="shared" si="41"/>
        <v>0</v>
      </c>
      <c r="R285" s="468">
        <f t="shared" si="42"/>
        <v>140</v>
      </c>
      <c r="S285" s="468">
        <f t="shared" si="43"/>
        <v>0</v>
      </c>
      <c r="T285" s="469">
        <f t="shared" si="44"/>
        <v>0</v>
      </c>
      <c r="U285" s="469">
        <f t="shared" si="45"/>
        <v>0</v>
      </c>
      <c r="V285" s="468">
        <f t="shared" si="46"/>
        <v>0</v>
      </c>
    </row>
    <row r="286" spans="1:22" outlineLevel="1" x14ac:dyDescent="0.3">
      <c r="A286" s="937"/>
      <c r="B286" s="915"/>
      <c r="C286" s="937"/>
      <c r="D286" s="57"/>
      <c r="E286" s="58"/>
      <c r="F286" s="57"/>
      <c r="G286" s="57"/>
      <c r="H286" s="59">
        <v>8</v>
      </c>
      <c r="I286" s="59">
        <v>14</v>
      </c>
      <c r="J286" s="57">
        <f>(F284+(50*H286/1000))*I286*C284</f>
        <v>46.199999999999996</v>
      </c>
      <c r="K286" s="60" t="s">
        <v>63</v>
      </c>
      <c r="L286" s="59"/>
      <c r="M286" s="61"/>
      <c r="N286" s="59"/>
      <c r="O286" s="62"/>
      <c r="P286" s="54">
        <f t="shared" si="47"/>
        <v>0</v>
      </c>
      <c r="Q286" s="468">
        <f t="shared" si="41"/>
        <v>0</v>
      </c>
      <c r="R286" s="468">
        <f t="shared" si="42"/>
        <v>0</v>
      </c>
      <c r="S286" s="468">
        <f t="shared" si="43"/>
        <v>0</v>
      </c>
      <c r="T286" s="469">
        <f t="shared" si="44"/>
        <v>0</v>
      </c>
      <c r="U286" s="469">
        <f t="shared" si="45"/>
        <v>0</v>
      </c>
      <c r="V286" s="468">
        <f t="shared" si="46"/>
        <v>0</v>
      </c>
    </row>
    <row r="287" spans="1:22" outlineLevel="1" x14ac:dyDescent="0.3">
      <c r="A287" s="979"/>
      <c r="B287" s="980"/>
      <c r="C287" s="979"/>
      <c r="D287" s="70"/>
      <c r="E287" s="71"/>
      <c r="F287" s="70"/>
      <c r="G287" s="70"/>
      <c r="H287" s="72"/>
      <c r="I287" s="72"/>
      <c r="J287" s="70"/>
      <c r="K287" s="73" t="s">
        <v>64</v>
      </c>
      <c r="L287" s="72"/>
      <c r="M287" s="67"/>
      <c r="N287" s="65"/>
      <c r="O287" s="69"/>
      <c r="P287" s="54">
        <f t="shared" si="47"/>
        <v>0</v>
      </c>
      <c r="Q287" s="468">
        <f t="shared" si="41"/>
        <v>0</v>
      </c>
      <c r="R287" s="468">
        <f t="shared" si="42"/>
        <v>0</v>
      </c>
      <c r="S287" s="468">
        <f t="shared" si="43"/>
        <v>0</v>
      </c>
      <c r="T287" s="469">
        <f t="shared" si="44"/>
        <v>0</v>
      </c>
      <c r="U287" s="469">
        <f t="shared" si="45"/>
        <v>0</v>
      </c>
      <c r="V287" s="468">
        <f t="shared" si="46"/>
        <v>0</v>
      </c>
    </row>
    <row r="288" spans="1:22" ht="15.6" outlineLevel="1" x14ac:dyDescent="0.3">
      <c r="A288" s="74"/>
      <c r="B288" s="75"/>
      <c r="C288" s="75"/>
      <c r="D288" s="75"/>
      <c r="E288" s="76"/>
      <c r="F288" s="75" t="s">
        <v>95</v>
      </c>
      <c r="G288" s="77">
        <f>SUM(G148:G287)</f>
        <v>86.457120000000018</v>
      </c>
      <c r="H288" s="75"/>
      <c r="I288" s="75"/>
      <c r="J288" s="75"/>
      <c r="K288" s="75"/>
      <c r="L288" s="78"/>
      <c r="M288" s="978" t="s">
        <v>96</v>
      </c>
      <c r="N288" s="978"/>
      <c r="O288" s="978"/>
      <c r="P288" s="77">
        <f t="shared" ref="P288:V288" si="48">SUM(P148:P287)</f>
        <v>14641.29</v>
      </c>
      <c r="Q288" s="77">
        <f t="shared" si="48"/>
        <v>0</v>
      </c>
      <c r="R288" s="77">
        <f t="shared" si="48"/>
        <v>952</v>
      </c>
      <c r="S288" s="77">
        <f t="shared" si="48"/>
        <v>4514</v>
      </c>
      <c r="T288" s="77">
        <f t="shared" si="48"/>
        <v>998.4</v>
      </c>
      <c r="U288" s="77">
        <f t="shared" si="48"/>
        <v>0</v>
      </c>
      <c r="V288" s="77">
        <f t="shared" si="48"/>
        <v>0</v>
      </c>
    </row>
    <row r="289" spans="1:22" ht="15.6" outlineLevel="1" x14ac:dyDescent="0.3">
      <c r="A289" s="79"/>
      <c r="B289" s="79"/>
      <c r="C289" s="79"/>
      <c r="D289" s="80"/>
      <c r="E289" s="81"/>
      <c r="F289" s="80"/>
      <c r="G289" s="80"/>
      <c r="H289" s="79"/>
      <c r="I289" s="79"/>
      <c r="J289" s="80"/>
      <c r="K289" s="79"/>
      <c r="L289" s="79"/>
      <c r="M289" s="977" t="s">
        <v>97</v>
      </c>
      <c r="N289" s="977"/>
      <c r="O289" s="977"/>
      <c r="P289" s="82">
        <f>8^2/162</f>
        <v>0.39506172839506171</v>
      </c>
      <c r="Q289" s="82">
        <f>10^2/162</f>
        <v>0.61728395061728392</v>
      </c>
      <c r="R289" s="82">
        <f>12^2/162</f>
        <v>0.88888888888888884</v>
      </c>
      <c r="S289" s="82">
        <f>16^2/162</f>
        <v>1.5802469135802468</v>
      </c>
      <c r="T289" s="82">
        <f>20^2/162</f>
        <v>2.4691358024691357</v>
      </c>
      <c r="U289" s="82">
        <f>25^2/162</f>
        <v>3.8580246913580245</v>
      </c>
      <c r="V289" s="82">
        <f>32^2/162</f>
        <v>6.3209876543209873</v>
      </c>
    </row>
    <row r="290" spans="1:22" ht="15.6" outlineLevel="1" x14ac:dyDescent="0.3">
      <c r="A290" s="83"/>
      <c r="B290" s="84"/>
      <c r="C290" s="84"/>
      <c r="D290" s="84"/>
      <c r="E290" s="85"/>
      <c r="F290" s="84"/>
      <c r="G290" s="84"/>
      <c r="H290" s="84"/>
      <c r="I290" s="84"/>
      <c r="J290" s="84"/>
      <c r="K290" s="84"/>
      <c r="L290" s="84"/>
      <c r="M290" s="978" t="s">
        <v>98</v>
      </c>
      <c r="N290" s="978"/>
      <c r="O290" s="978"/>
      <c r="P290" s="77">
        <f t="shared" ref="P290:V290" si="49">P289*P288</f>
        <v>5784.2133333333331</v>
      </c>
      <c r="Q290" s="77">
        <f t="shared" si="49"/>
        <v>0</v>
      </c>
      <c r="R290" s="77">
        <f t="shared" si="49"/>
        <v>846.22222222222217</v>
      </c>
      <c r="S290" s="77">
        <f t="shared" si="49"/>
        <v>7133.2345679012342</v>
      </c>
      <c r="T290" s="77">
        <f t="shared" si="49"/>
        <v>2465.1851851851852</v>
      </c>
      <c r="U290" s="77">
        <f t="shared" si="49"/>
        <v>0</v>
      </c>
      <c r="V290" s="77">
        <f t="shared" si="49"/>
        <v>0</v>
      </c>
    </row>
    <row r="291" spans="1:22" ht="15.6" outlineLevel="1" x14ac:dyDescent="0.3">
      <c r="M291" s="978" t="s">
        <v>99</v>
      </c>
      <c r="N291" s="978"/>
      <c r="O291" s="978"/>
      <c r="P291" s="77">
        <f t="shared" ref="P291:V291" si="50">P290/1000</f>
        <v>5.7842133333333328</v>
      </c>
      <c r="Q291" s="77">
        <f t="shared" si="50"/>
        <v>0</v>
      </c>
      <c r="R291" s="77">
        <f t="shared" si="50"/>
        <v>0.84622222222222221</v>
      </c>
      <c r="S291" s="77">
        <f t="shared" si="50"/>
        <v>7.1332345679012343</v>
      </c>
      <c r="T291" s="77">
        <f t="shared" si="50"/>
        <v>2.4651851851851854</v>
      </c>
      <c r="U291" s="77">
        <f t="shared" si="50"/>
        <v>0</v>
      </c>
      <c r="V291" s="77">
        <f t="shared" si="50"/>
        <v>0</v>
      </c>
    </row>
    <row r="298" spans="1:22" x14ac:dyDescent="0.3">
      <c r="A298" s="967" t="s">
        <v>695</v>
      </c>
      <c r="B298" s="968"/>
      <c r="C298" s="968"/>
      <c r="D298" s="968"/>
      <c r="E298" s="968"/>
      <c r="F298" s="968"/>
      <c r="G298" s="968"/>
      <c r="H298" s="968"/>
      <c r="I298" s="968"/>
      <c r="J298" s="968"/>
      <c r="K298" s="968"/>
      <c r="L298" s="968"/>
      <c r="M298" s="968"/>
      <c r="N298" s="968"/>
      <c r="O298" s="968"/>
      <c r="P298" s="968"/>
      <c r="Q298" s="968"/>
      <c r="R298" s="968"/>
      <c r="S298" s="968"/>
      <c r="T298" s="968"/>
      <c r="U298" s="968"/>
      <c r="V298" s="968"/>
    </row>
    <row r="299" spans="1:22" x14ac:dyDescent="0.3">
      <c r="A299" s="968"/>
      <c r="B299" s="968"/>
      <c r="C299" s="968"/>
      <c r="D299" s="968"/>
      <c r="E299" s="968"/>
      <c r="F299" s="968"/>
      <c r="G299" s="968"/>
      <c r="H299" s="968"/>
      <c r="I299" s="968"/>
      <c r="J299" s="968"/>
      <c r="K299" s="968"/>
      <c r="L299" s="968"/>
      <c r="M299" s="968"/>
      <c r="N299" s="968"/>
      <c r="O299" s="968"/>
      <c r="P299" s="968"/>
      <c r="Q299" s="968"/>
      <c r="R299" s="968"/>
      <c r="S299" s="968"/>
      <c r="T299" s="968"/>
      <c r="U299" s="968"/>
      <c r="V299" s="968"/>
    </row>
    <row r="300" spans="1:22" outlineLevel="1" x14ac:dyDescent="0.3">
      <c r="A300" s="969" t="s">
        <v>37</v>
      </c>
      <c r="B300" s="969"/>
      <c r="C300" s="969"/>
      <c r="D300" s="969"/>
      <c r="E300" s="969"/>
      <c r="F300" s="969"/>
      <c r="G300" s="969"/>
      <c r="H300" s="969" t="s">
        <v>38</v>
      </c>
      <c r="I300" s="969"/>
      <c r="J300" s="969"/>
      <c r="K300" s="969" t="s">
        <v>39</v>
      </c>
      <c r="L300" s="969"/>
      <c r="M300" s="969"/>
      <c r="N300" s="969"/>
      <c r="O300" s="969"/>
      <c r="P300" s="970" t="s">
        <v>40</v>
      </c>
      <c r="Q300" s="970"/>
      <c r="R300" s="970"/>
      <c r="S300" s="970"/>
      <c r="T300" s="970"/>
      <c r="U300" s="970"/>
      <c r="V300" s="970"/>
    </row>
    <row r="301" spans="1:22" outlineLevel="1" x14ac:dyDescent="0.3">
      <c r="A301" s="971" t="s">
        <v>41</v>
      </c>
      <c r="B301" s="971" t="s">
        <v>42</v>
      </c>
      <c r="C301" s="971" t="s">
        <v>43</v>
      </c>
      <c r="D301" s="972" t="s">
        <v>44</v>
      </c>
      <c r="E301" s="973" t="s">
        <v>45</v>
      </c>
      <c r="F301" s="974" t="s">
        <v>46</v>
      </c>
      <c r="G301" s="974" t="s">
        <v>47</v>
      </c>
      <c r="H301" s="971" t="s">
        <v>48</v>
      </c>
      <c r="I301" s="971" t="s">
        <v>49</v>
      </c>
      <c r="J301" s="974" t="s">
        <v>50</v>
      </c>
      <c r="K301" s="971" t="s">
        <v>51</v>
      </c>
      <c r="L301" s="971" t="s">
        <v>52</v>
      </c>
      <c r="M301" s="973" t="s">
        <v>53</v>
      </c>
      <c r="N301" s="971" t="s">
        <v>54</v>
      </c>
      <c r="O301" s="975" t="s">
        <v>50</v>
      </c>
      <c r="P301" s="976" t="s">
        <v>55</v>
      </c>
      <c r="Q301" s="976" t="s">
        <v>56</v>
      </c>
      <c r="R301" s="976" t="s">
        <v>57</v>
      </c>
      <c r="S301" s="976" t="s">
        <v>58</v>
      </c>
      <c r="T301" s="976" t="s">
        <v>59</v>
      </c>
      <c r="U301" s="976" t="s">
        <v>60</v>
      </c>
      <c r="V301" s="976" t="s">
        <v>61</v>
      </c>
    </row>
    <row r="302" spans="1:22" outlineLevel="1" x14ac:dyDescent="0.3">
      <c r="A302" s="971"/>
      <c r="B302" s="971"/>
      <c r="C302" s="971"/>
      <c r="D302" s="972"/>
      <c r="E302" s="973"/>
      <c r="F302" s="974"/>
      <c r="G302" s="974"/>
      <c r="H302" s="971"/>
      <c r="I302" s="971"/>
      <c r="J302" s="974"/>
      <c r="K302" s="971"/>
      <c r="L302" s="971"/>
      <c r="M302" s="973"/>
      <c r="N302" s="971"/>
      <c r="O302" s="975"/>
      <c r="P302" s="976"/>
      <c r="Q302" s="976"/>
      <c r="R302" s="976"/>
      <c r="S302" s="976"/>
      <c r="T302" s="976"/>
      <c r="U302" s="976"/>
      <c r="V302" s="976"/>
    </row>
    <row r="303" spans="1:22" outlineLevel="1" x14ac:dyDescent="0.3">
      <c r="A303" s="936">
        <v>1</v>
      </c>
      <c r="B303" s="917" t="s">
        <v>62</v>
      </c>
      <c r="C303" s="981">
        <v>2</v>
      </c>
      <c r="D303" s="48">
        <v>1.1000000000000001</v>
      </c>
      <c r="E303" s="49">
        <v>0.23</v>
      </c>
      <c r="F303" s="48">
        <v>1.1000000000000001</v>
      </c>
      <c r="G303" s="48">
        <f>F303*E303*D303*C303</f>
        <v>0.55660000000000021</v>
      </c>
      <c r="H303" s="555">
        <v>16</v>
      </c>
      <c r="I303" s="555">
        <v>12</v>
      </c>
      <c r="J303" s="48">
        <f>(F303+(50*H303/1000))*I303*C303</f>
        <v>45.6</v>
      </c>
      <c r="K303" s="51" t="s">
        <v>63</v>
      </c>
      <c r="L303" s="555">
        <v>8</v>
      </c>
      <c r="M303" s="52">
        <v>0.1</v>
      </c>
      <c r="N303" s="555">
        <f>ROUND(((F303/2)/M303),0)+1</f>
        <v>7</v>
      </c>
      <c r="O303" s="53">
        <f>((((((((D303-0.08)+(E303-0.08))*2)+0.2)+((((E303-0.08)+0.2)*(((I303+I304+I305)/2)-2)))))))</f>
        <v>4.99</v>
      </c>
      <c r="P303" s="54">
        <f>O303*N303*C303</f>
        <v>69.86</v>
      </c>
      <c r="Q303" s="468">
        <f t="shared" ref="Q303:Q370" si="51">IF(H303=10,(J303),0)+IF(L303=10,(O303*N303),0)</f>
        <v>0</v>
      </c>
      <c r="R303" s="468">
        <f t="shared" ref="R303:R370" si="52">IF(H303=12,(J303),0)+IF(L303=12,(O303*N303),0)</f>
        <v>0</v>
      </c>
      <c r="S303" s="468">
        <f t="shared" ref="S303:S370" si="53">IF(H303=16,(J303),0)+IF(L303=16,(O303*N303),0)</f>
        <v>45.6</v>
      </c>
      <c r="T303" s="469">
        <f t="shared" ref="T303:T370" si="54">IF(H303=20,(J303),0)+IF(L303=20,(O303*N303),0)</f>
        <v>0</v>
      </c>
      <c r="U303" s="469">
        <f t="shared" ref="U303:U370" si="55">IF(H303=25,(J303),0)+IF(L303=25,(O303*N303),0)</f>
        <v>0</v>
      </c>
      <c r="V303" s="468">
        <f t="shared" ref="V303:V370" si="56">IF(H303=32,(J303),0)+IF(L303=32,(O303*N303),0)</f>
        <v>0</v>
      </c>
    </row>
    <row r="304" spans="1:22" outlineLevel="1" x14ac:dyDescent="0.3">
      <c r="A304" s="937"/>
      <c r="B304" s="918"/>
      <c r="C304" s="982"/>
      <c r="D304" s="57"/>
      <c r="E304" s="58"/>
      <c r="F304" s="57"/>
      <c r="G304" s="57"/>
      <c r="H304" s="556">
        <v>12</v>
      </c>
      <c r="I304" s="556">
        <v>6</v>
      </c>
      <c r="J304" s="57">
        <f>(F303+(50*H304/1000))*I304*C303</f>
        <v>20.400000000000002</v>
      </c>
      <c r="K304" s="60" t="s">
        <v>63</v>
      </c>
      <c r="L304" s="556">
        <v>8</v>
      </c>
      <c r="M304" s="61">
        <v>0.15</v>
      </c>
      <c r="N304" s="556">
        <f>ROUND((F303/2)/M304,0)+1</f>
        <v>5</v>
      </c>
      <c r="O304" s="53">
        <f>((((((((D303-0.08)+(E303-0.08))*2)+0.2)+((((E303-0.08)+0.2)*(((I304+I303+I305)/2)-2)))))))</f>
        <v>4.99</v>
      </c>
      <c r="P304" s="54">
        <f>O304*N304*C303</f>
        <v>49.900000000000006</v>
      </c>
      <c r="Q304" s="468">
        <f t="shared" si="51"/>
        <v>0</v>
      </c>
      <c r="R304" s="468">
        <f t="shared" si="52"/>
        <v>20.400000000000002</v>
      </c>
      <c r="S304" s="468">
        <f t="shared" si="53"/>
        <v>0</v>
      </c>
      <c r="T304" s="469">
        <f t="shared" si="54"/>
        <v>0</v>
      </c>
      <c r="U304" s="469">
        <f t="shared" si="55"/>
        <v>0</v>
      </c>
      <c r="V304" s="468">
        <f t="shared" si="56"/>
        <v>0</v>
      </c>
    </row>
    <row r="305" spans="1:22" outlineLevel="1" x14ac:dyDescent="0.3">
      <c r="A305" s="937"/>
      <c r="B305" s="918"/>
      <c r="C305" s="982"/>
      <c r="D305" s="57"/>
      <c r="E305" s="58"/>
      <c r="F305" s="57"/>
      <c r="G305" s="57"/>
      <c r="H305" s="556"/>
      <c r="I305" s="556"/>
      <c r="J305" s="57">
        <f>(F303+(50*H305/1000))*I305*C303</f>
        <v>0</v>
      </c>
      <c r="K305" s="60" t="s">
        <v>63</v>
      </c>
      <c r="L305" s="556"/>
      <c r="M305" s="61"/>
      <c r="N305" s="556"/>
      <c r="O305" s="62"/>
      <c r="P305" s="54">
        <f>O305</f>
        <v>0</v>
      </c>
      <c r="Q305" s="468">
        <f t="shared" si="51"/>
        <v>0</v>
      </c>
      <c r="R305" s="468">
        <f t="shared" si="52"/>
        <v>0</v>
      </c>
      <c r="S305" s="468">
        <f t="shared" si="53"/>
        <v>0</v>
      </c>
      <c r="T305" s="469">
        <f t="shared" si="54"/>
        <v>0</v>
      </c>
      <c r="U305" s="469">
        <f t="shared" si="55"/>
        <v>0</v>
      </c>
      <c r="V305" s="468">
        <f t="shared" si="56"/>
        <v>0</v>
      </c>
    </row>
    <row r="306" spans="1:22" outlineLevel="1" x14ac:dyDescent="0.3">
      <c r="A306" s="937"/>
      <c r="B306" s="918"/>
      <c r="C306" s="982"/>
      <c r="D306" s="57"/>
      <c r="E306" s="58"/>
      <c r="F306" s="57"/>
      <c r="G306" s="57"/>
      <c r="H306" s="556"/>
      <c r="I306" s="556"/>
      <c r="J306" s="57"/>
      <c r="K306" s="60" t="s">
        <v>63</v>
      </c>
      <c r="L306" s="556"/>
      <c r="M306" s="61"/>
      <c r="N306" s="556"/>
      <c r="O306" s="62"/>
      <c r="P306" s="54">
        <f>O306</f>
        <v>0</v>
      </c>
      <c r="Q306" s="468">
        <f t="shared" si="51"/>
        <v>0</v>
      </c>
      <c r="R306" s="468">
        <f t="shared" si="52"/>
        <v>0</v>
      </c>
      <c r="S306" s="468">
        <f t="shared" si="53"/>
        <v>0</v>
      </c>
      <c r="T306" s="469">
        <f t="shared" si="54"/>
        <v>0</v>
      </c>
      <c r="U306" s="469">
        <f t="shared" si="55"/>
        <v>0</v>
      </c>
      <c r="V306" s="468">
        <f t="shared" si="56"/>
        <v>0</v>
      </c>
    </row>
    <row r="307" spans="1:22" outlineLevel="1" x14ac:dyDescent="0.3">
      <c r="A307" s="938"/>
      <c r="B307" s="919"/>
      <c r="C307" s="983"/>
      <c r="D307" s="63"/>
      <c r="E307" s="64"/>
      <c r="F307" s="63"/>
      <c r="G307" s="63"/>
      <c r="H307" s="558"/>
      <c r="I307" s="558"/>
      <c r="J307" s="63"/>
      <c r="K307" s="66" t="s">
        <v>64</v>
      </c>
      <c r="L307" s="558"/>
      <c r="M307" s="67"/>
      <c r="N307" s="558"/>
      <c r="O307" s="69"/>
      <c r="P307" s="54">
        <f>O307</f>
        <v>0</v>
      </c>
      <c r="Q307" s="468">
        <f t="shared" si="51"/>
        <v>0</v>
      </c>
      <c r="R307" s="468">
        <f t="shared" si="52"/>
        <v>0</v>
      </c>
      <c r="S307" s="468">
        <f t="shared" si="53"/>
        <v>0</v>
      </c>
      <c r="T307" s="469">
        <f t="shared" si="54"/>
        <v>0</v>
      </c>
      <c r="U307" s="469">
        <f t="shared" si="55"/>
        <v>0</v>
      </c>
      <c r="V307" s="468">
        <f t="shared" si="56"/>
        <v>0</v>
      </c>
    </row>
    <row r="308" spans="1:22" outlineLevel="1" x14ac:dyDescent="0.3">
      <c r="A308" s="936">
        <v>2</v>
      </c>
      <c r="B308" s="914" t="s">
        <v>65</v>
      </c>
      <c r="C308" s="936">
        <v>2</v>
      </c>
      <c r="D308" s="48">
        <v>1.1000000000000001</v>
      </c>
      <c r="E308" s="49">
        <v>0.23</v>
      </c>
      <c r="F308" s="48">
        <v>1.1000000000000001</v>
      </c>
      <c r="G308" s="48">
        <f>F308*E308*D308*C308</f>
        <v>0.55660000000000021</v>
      </c>
      <c r="H308" s="555">
        <v>16</v>
      </c>
      <c r="I308" s="555">
        <v>12</v>
      </c>
      <c r="J308" s="48">
        <f>(F308+(50*H308/1000))*I308*C308</f>
        <v>45.6</v>
      </c>
      <c r="K308" s="51" t="s">
        <v>66</v>
      </c>
      <c r="L308" s="555">
        <v>8</v>
      </c>
      <c r="M308" s="52">
        <v>0.1</v>
      </c>
      <c r="N308" s="555">
        <f>ROUND(((F308/2)/M308),0)+1</f>
        <v>7</v>
      </c>
      <c r="O308" s="53">
        <f>((((((((D308-0.08)+(E308-0.08))*2)+0.2)+((((E308-0.08)+0.2)*(((I308+I309+I310)/2)-2)))))))</f>
        <v>4.99</v>
      </c>
      <c r="P308" s="54">
        <f>O308*N308*C308</f>
        <v>69.86</v>
      </c>
      <c r="Q308" s="468">
        <f t="shared" si="51"/>
        <v>0</v>
      </c>
      <c r="R308" s="468">
        <f t="shared" si="52"/>
        <v>0</v>
      </c>
      <c r="S308" s="468">
        <f t="shared" si="53"/>
        <v>45.6</v>
      </c>
      <c r="T308" s="469">
        <f t="shared" si="54"/>
        <v>0</v>
      </c>
      <c r="U308" s="469">
        <f t="shared" si="55"/>
        <v>0</v>
      </c>
      <c r="V308" s="468">
        <f t="shared" si="56"/>
        <v>0</v>
      </c>
    </row>
    <row r="309" spans="1:22" outlineLevel="1" x14ac:dyDescent="0.3">
      <c r="A309" s="937"/>
      <c r="B309" s="915"/>
      <c r="C309" s="937"/>
      <c r="D309" s="57"/>
      <c r="E309" s="58"/>
      <c r="F309" s="57"/>
      <c r="G309" s="57"/>
      <c r="H309" s="556">
        <v>12</v>
      </c>
      <c r="I309" s="556">
        <v>6</v>
      </c>
      <c r="J309" s="57">
        <f>(F308+(50*H309/1000))*I309*C308</f>
        <v>20.400000000000002</v>
      </c>
      <c r="K309" s="60" t="s">
        <v>67</v>
      </c>
      <c r="L309" s="556">
        <v>8</v>
      </c>
      <c r="M309" s="61">
        <v>0.15</v>
      </c>
      <c r="N309" s="556">
        <f>ROUND((F308/2)/M309,0)+1</f>
        <v>5</v>
      </c>
      <c r="O309" s="53">
        <f>((((((((D308-0.08)+(E308-0.08))*2)+0.2)+((((E308-0.08)+0.2)*(((I309+I308+I310)/2)-2)))))))</f>
        <v>4.99</v>
      </c>
      <c r="P309" s="54">
        <f>O309*N309*C308</f>
        <v>49.900000000000006</v>
      </c>
      <c r="Q309" s="468">
        <f t="shared" si="51"/>
        <v>0</v>
      </c>
      <c r="R309" s="468">
        <f t="shared" si="52"/>
        <v>20.400000000000002</v>
      </c>
      <c r="S309" s="468">
        <f t="shared" si="53"/>
        <v>0</v>
      </c>
      <c r="T309" s="469">
        <f t="shared" si="54"/>
        <v>0</v>
      </c>
      <c r="U309" s="469">
        <f t="shared" si="55"/>
        <v>0</v>
      </c>
      <c r="V309" s="468">
        <f t="shared" si="56"/>
        <v>0</v>
      </c>
    </row>
    <row r="310" spans="1:22" outlineLevel="1" x14ac:dyDescent="0.3">
      <c r="A310" s="937"/>
      <c r="B310" s="915"/>
      <c r="C310" s="937"/>
      <c r="D310" s="57"/>
      <c r="E310" s="58"/>
      <c r="F310" s="57"/>
      <c r="G310" s="57"/>
      <c r="H310" s="556"/>
      <c r="I310" s="556"/>
      <c r="J310" s="57">
        <f>(F308+(50*H310/1000))*I310*C308</f>
        <v>0</v>
      </c>
      <c r="K310" s="60" t="s">
        <v>63</v>
      </c>
      <c r="L310" s="556"/>
      <c r="M310" s="61"/>
      <c r="N310" s="556"/>
      <c r="O310" s="62"/>
      <c r="P310" s="54">
        <f>O310</f>
        <v>0</v>
      </c>
      <c r="Q310" s="468">
        <f t="shared" si="51"/>
        <v>0</v>
      </c>
      <c r="R310" s="468">
        <f t="shared" si="52"/>
        <v>0</v>
      </c>
      <c r="S310" s="468">
        <f t="shared" si="53"/>
        <v>0</v>
      </c>
      <c r="T310" s="469">
        <f t="shared" si="54"/>
        <v>0</v>
      </c>
      <c r="U310" s="469">
        <f t="shared" si="55"/>
        <v>0</v>
      </c>
      <c r="V310" s="468">
        <f t="shared" si="56"/>
        <v>0</v>
      </c>
    </row>
    <row r="311" spans="1:22" outlineLevel="1" x14ac:dyDescent="0.3">
      <c r="A311" s="937"/>
      <c r="B311" s="915"/>
      <c r="C311" s="937"/>
      <c r="D311" s="57"/>
      <c r="E311" s="58"/>
      <c r="F311" s="57"/>
      <c r="G311" s="57"/>
      <c r="H311" s="556"/>
      <c r="I311" s="556"/>
      <c r="J311" s="57"/>
      <c r="K311" s="60" t="s">
        <v>63</v>
      </c>
      <c r="L311" s="556"/>
      <c r="M311" s="61"/>
      <c r="N311" s="556"/>
      <c r="O311" s="62"/>
      <c r="P311" s="54">
        <f>O311</f>
        <v>0</v>
      </c>
      <c r="Q311" s="468">
        <f t="shared" si="51"/>
        <v>0</v>
      </c>
      <c r="R311" s="468">
        <f t="shared" si="52"/>
        <v>0</v>
      </c>
      <c r="S311" s="468">
        <f t="shared" si="53"/>
        <v>0</v>
      </c>
      <c r="T311" s="469">
        <f t="shared" si="54"/>
        <v>0</v>
      </c>
      <c r="U311" s="469">
        <f t="shared" si="55"/>
        <v>0</v>
      </c>
      <c r="V311" s="468">
        <f t="shared" si="56"/>
        <v>0</v>
      </c>
    </row>
    <row r="312" spans="1:22" outlineLevel="1" x14ac:dyDescent="0.3">
      <c r="A312" s="937"/>
      <c r="B312" s="915"/>
      <c r="C312" s="937"/>
      <c r="D312" s="57"/>
      <c r="E312" s="58"/>
      <c r="F312" s="57"/>
      <c r="G312" s="57"/>
      <c r="H312" s="556"/>
      <c r="I312" s="556"/>
      <c r="J312" s="57"/>
      <c r="K312" s="60" t="s">
        <v>64</v>
      </c>
      <c r="L312" s="556"/>
      <c r="M312" s="61"/>
      <c r="N312" s="556"/>
      <c r="O312" s="62"/>
      <c r="P312" s="54">
        <f>O312</f>
        <v>0</v>
      </c>
      <c r="Q312" s="468">
        <f t="shared" si="51"/>
        <v>0</v>
      </c>
      <c r="R312" s="468">
        <f t="shared" si="52"/>
        <v>0</v>
      </c>
      <c r="S312" s="468">
        <f t="shared" si="53"/>
        <v>0</v>
      </c>
      <c r="T312" s="469">
        <f t="shared" si="54"/>
        <v>0</v>
      </c>
      <c r="U312" s="469">
        <f t="shared" si="55"/>
        <v>0</v>
      </c>
      <c r="V312" s="468">
        <f t="shared" si="56"/>
        <v>0</v>
      </c>
    </row>
    <row r="313" spans="1:22" outlineLevel="1" x14ac:dyDescent="0.3">
      <c r="A313" s="936">
        <v>3</v>
      </c>
      <c r="B313" s="914" t="s">
        <v>68</v>
      </c>
      <c r="C313" s="936">
        <v>6</v>
      </c>
      <c r="D313" s="48">
        <v>1.35</v>
      </c>
      <c r="E313" s="49">
        <v>0.23</v>
      </c>
      <c r="F313" s="48">
        <v>1.1000000000000001</v>
      </c>
      <c r="G313" s="48">
        <f>F313*E313*D313*C313</f>
        <v>2.0493000000000006</v>
      </c>
      <c r="H313" s="555">
        <v>16</v>
      </c>
      <c r="I313" s="555">
        <v>16</v>
      </c>
      <c r="J313" s="48">
        <f>(F313+(50*H313/1000))*I313*C313</f>
        <v>182.4</v>
      </c>
      <c r="K313" s="51" t="s">
        <v>63</v>
      </c>
      <c r="L313" s="555">
        <v>8</v>
      </c>
      <c r="M313" s="52">
        <v>0.1</v>
      </c>
      <c r="N313" s="555">
        <f>ROUND(((F313/2)/M313),0)+1</f>
        <v>7</v>
      </c>
      <c r="O313" s="53">
        <f>((((((((D313-0.08)+(E313-0.08))*2)+0.2)+((((E313-0.08)+0.2)*(((I313+I314+I315)/2)-2)))))))</f>
        <v>6.19</v>
      </c>
      <c r="P313" s="54">
        <f>O313*N313*C313</f>
        <v>259.98</v>
      </c>
      <c r="Q313" s="468">
        <f t="shared" si="51"/>
        <v>0</v>
      </c>
      <c r="R313" s="468">
        <f t="shared" si="52"/>
        <v>0</v>
      </c>
      <c r="S313" s="468">
        <f t="shared" si="53"/>
        <v>182.4</v>
      </c>
      <c r="T313" s="469">
        <f t="shared" si="54"/>
        <v>0</v>
      </c>
      <c r="U313" s="469">
        <f t="shared" si="55"/>
        <v>0</v>
      </c>
      <c r="V313" s="468">
        <f t="shared" si="56"/>
        <v>0</v>
      </c>
    </row>
    <row r="314" spans="1:22" outlineLevel="1" x14ac:dyDescent="0.3">
      <c r="A314" s="937"/>
      <c r="B314" s="915"/>
      <c r="C314" s="937"/>
      <c r="D314" s="57"/>
      <c r="E314" s="58"/>
      <c r="F314" s="57"/>
      <c r="G314" s="57"/>
      <c r="H314" s="556">
        <v>12</v>
      </c>
      <c r="I314" s="556">
        <v>6</v>
      </c>
      <c r="J314" s="57">
        <f>(F313+(50*H314/1000))*I314*C313</f>
        <v>61.2</v>
      </c>
      <c r="K314" s="60" t="s">
        <v>63</v>
      </c>
      <c r="L314" s="556">
        <v>8</v>
      </c>
      <c r="M314" s="61">
        <v>0.15</v>
      </c>
      <c r="N314" s="556">
        <f>ROUND((F313/2)/M314,0)+1</f>
        <v>5</v>
      </c>
      <c r="O314" s="53">
        <f>((((((((D313-0.08)+(E313-0.08))*2)+0.2)+((((E313-0.08)+0.2)*(((I314+I313+I315)/2)-2)))))))</f>
        <v>6.19</v>
      </c>
      <c r="P314" s="54">
        <f>O314*N314*C313</f>
        <v>185.70000000000002</v>
      </c>
      <c r="Q314" s="468">
        <f t="shared" si="51"/>
        <v>0</v>
      </c>
      <c r="R314" s="468">
        <f t="shared" si="52"/>
        <v>61.2</v>
      </c>
      <c r="S314" s="468">
        <f t="shared" si="53"/>
        <v>0</v>
      </c>
      <c r="T314" s="469">
        <f t="shared" si="54"/>
        <v>0</v>
      </c>
      <c r="U314" s="469">
        <f t="shared" si="55"/>
        <v>0</v>
      </c>
      <c r="V314" s="468">
        <f t="shared" si="56"/>
        <v>0</v>
      </c>
    </row>
    <row r="315" spans="1:22" outlineLevel="1" x14ac:dyDescent="0.3">
      <c r="A315" s="937"/>
      <c r="B315" s="915"/>
      <c r="C315" s="937"/>
      <c r="D315" s="57"/>
      <c r="E315" s="58"/>
      <c r="F315" s="57"/>
      <c r="G315" s="57"/>
      <c r="H315" s="556"/>
      <c r="I315" s="556"/>
      <c r="J315" s="57">
        <f>(F313+(50*H315/1000))*I315*C313</f>
        <v>0</v>
      </c>
      <c r="K315" s="60" t="s">
        <v>63</v>
      </c>
      <c r="L315" s="556"/>
      <c r="M315" s="61"/>
      <c r="N315" s="556"/>
      <c r="O315" s="62"/>
      <c r="P315" s="54">
        <f>O315</f>
        <v>0</v>
      </c>
      <c r="Q315" s="468">
        <f t="shared" si="51"/>
        <v>0</v>
      </c>
      <c r="R315" s="468">
        <f t="shared" si="52"/>
        <v>0</v>
      </c>
      <c r="S315" s="468">
        <f t="shared" si="53"/>
        <v>0</v>
      </c>
      <c r="T315" s="469">
        <f t="shared" si="54"/>
        <v>0</v>
      </c>
      <c r="U315" s="469">
        <f t="shared" si="55"/>
        <v>0</v>
      </c>
      <c r="V315" s="468">
        <f t="shared" si="56"/>
        <v>0</v>
      </c>
    </row>
    <row r="316" spans="1:22" outlineLevel="1" x14ac:dyDescent="0.3">
      <c r="A316" s="937"/>
      <c r="B316" s="915"/>
      <c r="C316" s="937"/>
      <c r="D316" s="57"/>
      <c r="E316" s="58"/>
      <c r="F316" s="57"/>
      <c r="G316" s="57"/>
      <c r="H316" s="556"/>
      <c r="I316" s="556"/>
      <c r="J316" s="57"/>
      <c r="K316" s="60" t="s">
        <v>63</v>
      </c>
      <c r="L316" s="556"/>
      <c r="M316" s="61"/>
      <c r="N316" s="556"/>
      <c r="O316" s="62"/>
      <c r="P316" s="54">
        <f>O316</f>
        <v>0</v>
      </c>
      <c r="Q316" s="468">
        <f t="shared" si="51"/>
        <v>0</v>
      </c>
      <c r="R316" s="468">
        <f t="shared" si="52"/>
        <v>0</v>
      </c>
      <c r="S316" s="468">
        <f t="shared" si="53"/>
        <v>0</v>
      </c>
      <c r="T316" s="469">
        <f t="shared" si="54"/>
        <v>0</v>
      </c>
      <c r="U316" s="469">
        <f t="shared" si="55"/>
        <v>0</v>
      </c>
      <c r="V316" s="468">
        <f t="shared" si="56"/>
        <v>0</v>
      </c>
    </row>
    <row r="317" spans="1:22" outlineLevel="1" x14ac:dyDescent="0.3">
      <c r="A317" s="937"/>
      <c r="B317" s="915"/>
      <c r="C317" s="937"/>
      <c r="D317" s="57"/>
      <c r="E317" s="58"/>
      <c r="F317" s="57"/>
      <c r="G317" s="57"/>
      <c r="H317" s="556"/>
      <c r="I317" s="556"/>
      <c r="J317" s="57"/>
      <c r="K317" s="60" t="s">
        <v>64</v>
      </c>
      <c r="L317" s="556"/>
      <c r="M317" s="61"/>
      <c r="N317" s="556"/>
      <c r="O317" s="62"/>
      <c r="P317" s="54">
        <f>O317</f>
        <v>0</v>
      </c>
      <c r="Q317" s="468">
        <f t="shared" si="51"/>
        <v>0</v>
      </c>
      <c r="R317" s="468">
        <f t="shared" si="52"/>
        <v>0</v>
      </c>
      <c r="S317" s="468">
        <f t="shared" si="53"/>
        <v>0</v>
      </c>
      <c r="T317" s="469">
        <f t="shared" si="54"/>
        <v>0</v>
      </c>
      <c r="U317" s="469">
        <f t="shared" si="55"/>
        <v>0</v>
      </c>
      <c r="V317" s="468">
        <f t="shared" si="56"/>
        <v>0</v>
      </c>
    </row>
    <row r="318" spans="1:22" outlineLevel="1" x14ac:dyDescent="0.3">
      <c r="A318" s="936">
        <v>4</v>
      </c>
      <c r="B318" s="914" t="s">
        <v>69</v>
      </c>
      <c r="C318" s="936">
        <v>9</v>
      </c>
      <c r="D318" s="48">
        <v>0.8</v>
      </c>
      <c r="E318" s="49">
        <v>0.23</v>
      </c>
      <c r="F318" s="48">
        <v>1.1000000000000001</v>
      </c>
      <c r="G318" s="48">
        <f>F318*E318*D318*C318</f>
        <v>1.8216000000000006</v>
      </c>
      <c r="H318" s="555">
        <v>16</v>
      </c>
      <c r="I318" s="555">
        <v>8</v>
      </c>
      <c r="J318" s="48">
        <f>(F318+(50*H318/1000))*I318*C318</f>
        <v>136.80000000000001</v>
      </c>
      <c r="K318" s="60" t="s">
        <v>63</v>
      </c>
      <c r="L318" s="555">
        <v>8</v>
      </c>
      <c r="M318" s="52">
        <v>0.1</v>
      </c>
      <c r="N318" s="555">
        <f>ROUND(((F318/2)/M318),0)+1</f>
        <v>7</v>
      </c>
      <c r="O318" s="53">
        <f>((((((((D318-0.08)+(E318-0.08))*2)+0.2)+((((E318-0.08)+0.2)*(((I318+I319+I320)/2)-2)))))))</f>
        <v>3.3400000000000003</v>
      </c>
      <c r="P318" s="54">
        <f>O318*N318*C318</f>
        <v>210.42000000000002</v>
      </c>
      <c r="Q318" s="468">
        <f t="shared" si="51"/>
        <v>0</v>
      </c>
      <c r="R318" s="468">
        <f t="shared" si="52"/>
        <v>0</v>
      </c>
      <c r="S318" s="468">
        <f t="shared" si="53"/>
        <v>136.80000000000001</v>
      </c>
      <c r="T318" s="469">
        <f t="shared" si="54"/>
        <v>0</v>
      </c>
      <c r="U318" s="469">
        <f t="shared" si="55"/>
        <v>0</v>
      </c>
      <c r="V318" s="468">
        <f t="shared" si="56"/>
        <v>0</v>
      </c>
    </row>
    <row r="319" spans="1:22" outlineLevel="1" x14ac:dyDescent="0.3">
      <c r="A319" s="937"/>
      <c r="B319" s="915"/>
      <c r="C319" s="937"/>
      <c r="D319" s="57"/>
      <c r="E319" s="58"/>
      <c r="F319" s="57"/>
      <c r="G319" s="57"/>
      <c r="H319" s="556">
        <v>12</v>
      </c>
      <c r="I319" s="556">
        <v>4</v>
      </c>
      <c r="J319" s="57">
        <f>(F318+(50*H319/1000))*I319*C318</f>
        <v>61.2</v>
      </c>
      <c r="K319" s="60" t="s">
        <v>63</v>
      </c>
      <c r="L319" s="556">
        <v>8</v>
      </c>
      <c r="M319" s="61">
        <v>0.15</v>
      </c>
      <c r="N319" s="556">
        <f>ROUND((F318/2)/M319,0)+1</f>
        <v>5</v>
      </c>
      <c r="O319" s="53">
        <f>((((((((D318-0.08)+(E318-0.08))*2)+0.2)+((((E318-0.08)+0.2)*(((I319+I318+I320)/2)-2)))))))</f>
        <v>3.3400000000000003</v>
      </c>
      <c r="P319" s="54">
        <f>O319*N319*C318</f>
        <v>150.30000000000001</v>
      </c>
      <c r="Q319" s="468">
        <f t="shared" si="51"/>
        <v>0</v>
      </c>
      <c r="R319" s="468">
        <f t="shared" si="52"/>
        <v>61.2</v>
      </c>
      <c r="S319" s="468">
        <f t="shared" si="53"/>
        <v>0</v>
      </c>
      <c r="T319" s="469">
        <f t="shared" si="54"/>
        <v>0</v>
      </c>
      <c r="U319" s="469">
        <f t="shared" si="55"/>
        <v>0</v>
      </c>
      <c r="V319" s="468">
        <f t="shared" si="56"/>
        <v>0</v>
      </c>
    </row>
    <row r="320" spans="1:22" outlineLevel="1" x14ac:dyDescent="0.3">
      <c r="A320" s="937"/>
      <c r="B320" s="915"/>
      <c r="C320" s="937"/>
      <c r="D320" s="57"/>
      <c r="E320" s="58"/>
      <c r="F320" s="57"/>
      <c r="G320" s="57"/>
      <c r="H320" s="556"/>
      <c r="I320" s="556"/>
      <c r="J320" s="57">
        <f>(F318+(50*H320/1000))*I320*C318</f>
        <v>0</v>
      </c>
      <c r="K320" s="60" t="s">
        <v>63</v>
      </c>
      <c r="L320" s="556"/>
      <c r="M320" s="61"/>
      <c r="N320" s="556"/>
      <c r="O320" s="62"/>
      <c r="P320" s="54">
        <f>O320</f>
        <v>0</v>
      </c>
      <c r="Q320" s="468">
        <f t="shared" si="51"/>
        <v>0</v>
      </c>
      <c r="R320" s="468">
        <f t="shared" si="52"/>
        <v>0</v>
      </c>
      <c r="S320" s="468">
        <f t="shared" si="53"/>
        <v>0</v>
      </c>
      <c r="T320" s="469">
        <f t="shared" si="54"/>
        <v>0</v>
      </c>
      <c r="U320" s="469">
        <f t="shared" si="55"/>
        <v>0</v>
      </c>
      <c r="V320" s="468">
        <f t="shared" si="56"/>
        <v>0</v>
      </c>
    </row>
    <row r="321" spans="1:22" outlineLevel="1" x14ac:dyDescent="0.3">
      <c r="A321" s="937"/>
      <c r="B321" s="915"/>
      <c r="C321" s="937"/>
      <c r="D321" s="57"/>
      <c r="E321" s="58"/>
      <c r="F321" s="57"/>
      <c r="G321" s="57"/>
      <c r="H321" s="556"/>
      <c r="I321" s="556"/>
      <c r="J321" s="57"/>
      <c r="K321" s="60" t="s">
        <v>63</v>
      </c>
      <c r="L321" s="556"/>
      <c r="M321" s="61"/>
      <c r="N321" s="556"/>
      <c r="O321" s="62"/>
      <c r="P321" s="54">
        <f>O321</f>
        <v>0</v>
      </c>
      <c r="Q321" s="468">
        <f t="shared" si="51"/>
        <v>0</v>
      </c>
      <c r="R321" s="468">
        <f t="shared" si="52"/>
        <v>0</v>
      </c>
      <c r="S321" s="468">
        <f t="shared" si="53"/>
        <v>0</v>
      </c>
      <c r="T321" s="469">
        <f t="shared" si="54"/>
        <v>0</v>
      </c>
      <c r="U321" s="469">
        <f t="shared" si="55"/>
        <v>0</v>
      </c>
      <c r="V321" s="468">
        <f t="shared" si="56"/>
        <v>0</v>
      </c>
    </row>
    <row r="322" spans="1:22" outlineLevel="1" x14ac:dyDescent="0.3">
      <c r="A322" s="937"/>
      <c r="B322" s="915"/>
      <c r="C322" s="937"/>
      <c r="D322" s="57"/>
      <c r="E322" s="58"/>
      <c r="F322" s="63"/>
      <c r="G322" s="57"/>
      <c r="H322" s="556"/>
      <c r="I322" s="556"/>
      <c r="J322" s="57"/>
      <c r="K322" s="60" t="s">
        <v>64</v>
      </c>
      <c r="L322" s="556"/>
      <c r="M322" s="61"/>
      <c r="N322" s="556"/>
      <c r="O322" s="62"/>
      <c r="P322" s="54">
        <f>O322</f>
        <v>0</v>
      </c>
      <c r="Q322" s="468">
        <f t="shared" si="51"/>
        <v>0</v>
      </c>
      <c r="R322" s="468">
        <f t="shared" si="52"/>
        <v>0</v>
      </c>
      <c r="S322" s="468">
        <f t="shared" si="53"/>
        <v>0</v>
      </c>
      <c r="T322" s="469">
        <f t="shared" si="54"/>
        <v>0</v>
      </c>
      <c r="U322" s="469">
        <f t="shared" si="55"/>
        <v>0</v>
      </c>
      <c r="V322" s="468">
        <f t="shared" si="56"/>
        <v>0</v>
      </c>
    </row>
    <row r="323" spans="1:22" outlineLevel="1" x14ac:dyDescent="0.3">
      <c r="A323" s="936">
        <v>5</v>
      </c>
      <c r="B323" s="914" t="s">
        <v>70</v>
      </c>
      <c r="C323" s="936">
        <v>2</v>
      </c>
      <c r="D323" s="48">
        <v>1.7</v>
      </c>
      <c r="E323" s="49">
        <v>0.23</v>
      </c>
      <c r="F323" s="48">
        <v>1.1000000000000001</v>
      </c>
      <c r="G323" s="48">
        <f>F323*E323*D323*C323</f>
        <v>0.86020000000000019</v>
      </c>
      <c r="H323" s="555">
        <v>16</v>
      </c>
      <c r="I323" s="555">
        <v>26</v>
      </c>
      <c r="J323" s="48">
        <f>(F323+(50*H323/1000))*I323*C323</f>
        <v>98.800000000000011</v>
      </c>
      <c r="K323" s="68" t="s">
        <v>63</v>
      </c>
      <c r="L323" s="555">
        <v>8</v>
      </c>
      <c r="M323" s="52">
        <v>0.1</v>
      </c>
      <c r="N323" s="555">
        <f>ROUND(((F323/2)/M323),0)+1</f>
        <v>7</v>
      </c>
      <c r="O323" s="53">
        <f>((((((((D323-0.08)+(E323-0.08))*2)+0.2)+((((E323-0.08)+0.2)*(((I323+I324+I325)/2)-2)))))))</f>
        <v>7.5900000000000007</v>
      </c>
      <c r="P323" s="54">
        <f>O323*N323*C323</f>
        <v>106.26</v>
      </c>
      <c r="Q323" s="468">
        <f t="shared" si="51"/>
        <v>0</v>
      </c>
      <c r="R323" s="468">
        <f t="shared" si="52"/>
        <v>0</v>
      </c>
      <c r="S323" s="468">
        <f t="shared" si="53"/>
        <v>98.800000000000011</v>
      </c>
      <c r="T323" s="469">
        <f t="shared" si="54"/>
        <v>0</v>
      </c>
      <c r="U323" s="469">
        <f t="shared" si="55"/>
        <v>0</v>
      </c>
      <c r="V323" s="468">
        <f t="shared" si="56"/>
        <v>0</v>
      </c>
    </row>
    <row r="324" spans="1:22" outlineLevel="1" x14ac:dyDescent="0.3">
      <c r="A324" s="937"/>
      <c r="B324" s="915"/>
      <c r="C324" s="937"/>
      <c r="D324" s="57"/>
      <c r="E324" s="58"/>
      <c r="F324" s="57"/>
      <c r="G324" s="57"/>
      <c r="H324" s="556"/>
      <c r="I324" s="556"/>
      <c r="J324" s="57">
        <f>(F323+(50*H324/1000))*I324*C323</f>
        <v>0</v>
      </c>
      <c r="K324" s="60" t="s">
        <v>63</v>
      </c>
      <c r="L324" s="556">
        <v>8</v>
      </c>
      <c r="M324" s="61">
        <v>0.15</v>
      </c>
      <c r="N324" s="556">
        <f>ROUND((F323/2)/M324,0)+1</f>
        <v>5</v>
      </c>
      <c r="O324" s="53">
        <f>((((((((D323-0.08)+(E323-0.08))*2)+0.2)+((((E323-0.08)+0.2)*(((I324+I323+I325)/2)-2)))))))</f>
        <v>7.5900000000000007</v>
      </c>
      <c r="P324" s="54">
        <f>O324*N324*C323</f>
        <v>75.900000000000006</v>
      </c>
      <c r="Q324" s="468">
        <f t="shared" si="51"/>
        <v>0</v>
      </c>
      <c r="R324" s="468">
        <f t="shared" si="52"/>
        <v>0</v>
      </c>
      <c r="S324" s="468">
        <f t="shared" si="53"/>
        <v>0</v>
      </c>
      <c r="T324" s="469">
        <f t="shared" si="54"/>
        <v>0</v>
      </c>
      <c r="U324" s="469">
        <f t="shared" si="55"/>
        <v>0</v>
      </c>
      <c r="V324" s="468">
        <f t="shared" si="56"/>
        <v>0</v>
      </c>
    </row>
    <row r="325" spans="1:22" outlineLevel="1" x14ac:dyDescent="0.3">
      <c r="A325" s="937"/>
      <c r="B325" s="915"/>
      <c r="C325" s="937"/>
      <c r="D325" s="57"/>
      <c r="E325" s="58"/>
      <c r="F325" s="57"/>
      <c r="G325" s="57"/>
      <c r="H325" s="556"/>
      <c r="I325" s="556"/>
      <c r="J325" s="57">
        <f>(F323+(50*H325/1000))*I325*C323</f>
        <v>0</v>
      </c>
      <c r="K325" s="60" t="s">
        <v>63</v>
      </c>
      <c r="L325" s="556"/>
      <c r="M325" s="61"/>
      <c r="N325" s="556"/>
      <c r="O325" s="62"/>
      <c r="P325" s="54">
        <f>O325</f>
        <v>0</v>
      </c>
      <c r="Q325" s="468">
        <f t="shared" si="51"/>
        <v>0</v>
      </c>
      <c r="R325" s="468">
        <f t="shared" si="52"/>
        <v>0</v>
      </c>
      <c r="S325" s="468">
        <f t="shared" si="53"/>
        <v>0</v>
      </c>
      <c r="T325" s="469">
        <f t="shared" si="54"/>
        <v>0</v>
      </c>
      <c r="U325" s="469">
        <f t="shared" si="55"/>
        <v>0</v>
      </c>
      <c r="V325" s="468">
        <f t="shared" si="56"/>
        <v>0</v>
      </c>
    </row>
    <row r="326" spans="1:22" outlineLevel="1" x14ac:dyDescent="0.3">
      <c r="A326" s="937"/>
      <c r="B326" s="915"/>
      <c r="C326" s="937"/>
      <c r="D326" s="57"/>
      <c r="E326" s="58"/>
      <c r="F326" s="57"/>
      <c r="G326" s="57"/>
      <c r="H326" s="556"/>
      <c r="I326" s="556"/>
      <c r="J326" s="57"/>
      <c r="K326" s="60" t="s">
        <v>63</v>
      </c>
      <c r="L326" s="556"/>
      <c r="M326" s="61"/>
      <c r="N326" s="556"/>
      <c r="O326" s="62"/>
      <c r="P326" s="54">
        <f>O326</f>
        <v>0</v>
      </c>
      <c r="Q326" s="468">
        <f t="shared" si="51"/>
        <v>0</v>
      </c>
      <c r="R326" s="468">
        <f t="shared" si="52"/>
        <v>0</v>
      </c>
      <c r="S326" s="468">
        <f t="shared" si="53"/>
        <v>0</v>
      </c>
      <c r="T326" s="469">
        <f t="shared" si="54"/>
        <v>0</v>
      </c>
      <c r="U326" s="469">
        <f t="shared" si="55"/>
        <v>0</v>
      </c>
      <c r="V326" s="468">
        <f t="shared" si="56"/>
        <v>0</v>
      </c>
    </row>
    <row r="327" spans="1:22" outlineLevel="1" x14ac:dyDescent="0.3">
      <c r="A327" s="937"/>
      <c r="B327" s="915"/>
      <c r="C327" s="937"/>
      <c r="D327" s="57"/>
      <c r="E327" s="58"/>
      <c r="F327" s="57"/>
      <c r="G327" s="57"/>
      <c r="H327" s="556"/>
      <c r="I327" s="556"/>
      <c r="J327" s="57"/>
      <c r="K327" s="60" t="s">
        <v>64</v>
      </c>
      <c r="L327" s="556"/>
      <c r="M327" s="61"/>
      <c r="N327" s="556"/>
      <c r="O327" s="62"/>
      <c r="P327" s="54">
        <f>O327</f>
        <v>0</v>
      </c>
      <c r="Q327" s="468">
        <f t="shared" si="51"/>
        <v>0</v>
      </c>
      <c r="R327" s="468">
        <f t="shared" si="52"/>
        <v>0</v>
      </c>
      <c r="S327" s="468">
        <f t="shared" si="53"/>
        <v>0</v>
      </c>
      <c r="T327" s="469">
        <f t="shared" si="54"/>
        <v>0</v>
      </c>
      <c r="U327" s="469">
        <f t="shared" si="55"/>
        <v>0</v>
      </c>
      <c r="V327" s="468">
        <f t="shared" si="56"/>
        <v>0</v>
      </c>
    </row>
    <row r="328" spans="1:22" outlineLevel="1" x14ac:dyDescent="0.3">
      <c r="A328" s="936">
        <v>5</v>
      </c>
      <c r="B328" s="914" t="s">
        <v>71</v>
      </c>
      <c r="C328" s="936">
        <v>2</v>
      </c>
      <c r="D328" s="48">
        <v>1.7</v>
      </c>
      <c r="E328" s="49">
        <v>0.23</v>
      </c>
      <c r="F328" s="48">
        <v>1.1000000000000001</v>
      </c>
      <c r="G328" s="48">
        <f>F328*E328*D328*C328</f>
        <v>0.86020000000000019</v>
      </c>
      <c r="H328" s="555">
        <v>16</v>
      </c>
      <c r="I328" s="555">
        <v>26</v>
      </c>
      <c r="J328" s="48">
        <f>(F328+(50*H328/1000))*I328*C328</f>
        <v>98.800000000000011</v>
      </c>
      <c r="K328" s="68" t="s">
        <v>63</v>
      </c>
      <c r="L328" s="555">
        <v>8</v>
      </c>
      <c r="M328" s="52">
        <v>0.1</v>
      </c>
      <c r="N328" s="555">
        <f>ROUND(((F328/2)/M328),0)+1</f>
        <v>7</v>
      </c>
      <c r="O328" s="53">
        <f>((((((((D328-0.08)+(E328-0.08))*2)+0.2)+((((E328-0.08)+0.2)*(((I328+I329+I330)/2)-2)))))))</f>
        <v>7.5900000000000007</v>
      </c>
      <c r="P328" s="54">
        <f>O328*N328*C328</f>
        <v>106.26</v>
      </c>
      <c r="Q328" s="468">
        <f t="shared" si="51"/>
        <v>0</v>
      </c>
      <c r="R328" s="468">
        <f t="shared" si="52"/>
        <v>0</v>
      </c>
      <c r="S328" s="468">
        <f t="shared" si="53"/>
        <v>98.800000000000011</v>
      </c>
      <c r="T328" s="469">
        <f t="shared" si="54"/>
        <v>0</v>
      </c>
      <c r="U328" s="469">
        <f t="shared" si="55"/>
        <v>0</v>
      </c>
      <c r="V328" s="468">
        <f t="shared" si="56"/>
        <v>0</v>
      </c>
    </row>
    <row r="329" spans="1:22" outlineLevel="1" x14ac:dyDescent="0.3">
      <c r="A329" s="937"/>
      <c r="B329" s="915"/>
      <c r="C329" s="937"/>
      <c r="D329" s="57"/>
      <c r="E329" s="58"/>
      <c r="F329" s="57"/>
      <c r="G329" s="57"/>
      <c r="H329" s="556"/>
      <c r="I329" s="556"/>
      <c r="J329" s="57">
        <f>(F328+(50*H329/1000))*I329*C328</f>
        <v>0</v>
      </c>
      <c r="K329" s="60" t="s">
        <v>63</v>
      </c>
      <c r="L329" s="556">
        <v>8</v>
      </c>
      <c r="M329" s="61">
        <v>0.15</v>
      </c>
      <c r="N329" s="556">
        <f>ROUND((F328/2)/M329,0)+1</f>
        <v>5</v>
      </c>
      <c r="O329" s="53">
        <f>((((((((D328-0.08)+(E328-0.08))*2)+0.2)+((((E328-0.08)+0.2)*(((I329+I328+I330)/2)-2)))))))</f>
        <v>7.5900000000000007</v>
      </c>
      <c r="P329" s="54">
        <f>O329*N329*C328</f>
        <v>75.900000000000006</v>
      </c>
      <c r="Q329" s="468">
        <f t="shared" si="51"/>
        <v>0</v>
      </c>
      <c r="R329" s="468">
        <f t="shared" si="52"/>
        <v>0</v>
      </c>
      <c r="S329" s="468">
        <f t="shared" si="53"/>
        <v>0</v>
      </c>
      <c r="T329" s="469">
        <f t="shared" si="54"/>
        <v>0</v>
      </c>
      <c r="U329" s="469">
        <f t="shared" si="55"/>
        <v>0</v>
      </c>
      <c r="V329" s="468">
        <f t="shared" si="56"/>
        <v>0</v>
      </c>
    </row>
    <row r="330" spans="1:22" outlineLevel="1" x14ac:dyDescent="0.3">
      <c r="A330" s="937"/>
      <c r="B330" s="915"/>
      <c r="C330" s="937"/>
      <c r="D330" s="57"/>
      <c r="E330" s="58"/>
      <c r="F330" s="57"/>
      <c r="G330" s="57"/>
      <c r="H330" s="556"/>
      <c r="I330" s="556"/>
      <c r="J330" s="57">
        <f>(F328+(50*H330/1000))*I330*C328</f>
        <v>0</v>
      </c>
      <c r="K330" s="60" t="s">
        <v>63</v>
      </c>
      <c r="L330" s="556"/>
      <c r="M330" s="61"/>
      <c r="N330" s="556"/>
      <c r="O330" s="62"/>
      <c r="P330" s="54">
        <f>O330</f>
        <v>0</v>
      </c>
      <c r="Q330" s="468">
        <f t="shared" si="51"/>
        <v>0</v>
      </c>
      <c r="R330" s="468">
        <f t="shared" si="52"/>
        <v>0</v>
      </c>
      <c r="S330" s="468">
        <f t="shared" si="53"/>
        <v>0</v>
      </c>
      <c r="T330" s="469">
        <f t="shared" si="54"/>
        <v>0</v>
      </c>
      <c r="U330" s="469">
        <f t="shared" si="55"/>
        <v>0</v>
      </c>
      <c r="V330" s="468">
        <f t="shared" si="56"/>
        <v>0</v>
      </c>
    </row>
    <row r="331" spans="1:22" outlineLevel="1" x14ac:dyDescent="0.3">
      <c r="A331" s="937"/>
      <c r="B331" s="915"/>
      <c r="C331" s="937"/>
      <c r="D331" s="57"/>
      <c r="E331" s="58"/>
      <c r="F331" s="57"/>
      <c r="G331" s="57"/>
      <c r="H331" s="556"/>
      <c r="I331" s="556"/>
      <c r="J331" s="57"/>
      <c r="K331" s="60" t="s">
        <v>63</v>
      </c>
      <c r="L331" s="556"/>
      <c r="M331" s="61"/>
      <c r="N331" s="556"/>
      <c r="O331" s="62"/>
      <c r="P331" s="54">
        <f>O331</f>
        <v>0</v>
      </c>
      <c r="Q331" s="468">
        <f t="shared" si="51"/>
        <v>0</v>
      </c>
      <c r="R331" s="468">
        <f t="shared" si="52"/>
        <v>0</v>
      </c>
      <c r="S331" s="468">
        <f t="shared" si="53"/>
        <v>0</v>
      </c>
      <c r="T331" s="469">
        <f t="shared" si="54"/>
        <v>0</v>
      </c>
      <c r="U331" s="469">
        <f t="shared" si="55"/>
        <v>0</v>
      </c>
      <c r="V331" s="468">
        <f t="shared" si="56"/>
        <v>0</v>
      </c>
    </row>
    <row r="332" spans="1:22" outlineLevel="1" x14ac:dyDescent="0.3">
      <c r="A332" s="937"/>
      <c r="B332" s="915"/>
      <c r="C332" s="937"/>
      <c r="D332" s="57"/>
      <c r="E332" s="58"/>
      <c r="F332" s="57"/>
      <c r="G332" s="57"/>
      <c r="H332" s="556"/>
      <c r="I332" s="556"/>
      <c r="J332" s="57"/>
      <c r="K332" s="60" t="s">
        <v>64</v>
      </c>
      <c r="L332" s="556"/>
      <c r="M332" s="61"/>
      <c r="N332" s="556"/>
      <c r="O332" s="62"/>
      <c r="P332" s="54">
        <f>O332</f>
        <v>0</v>
      </c>
      <c r="Q332" s="468">
        <f t="shared" si="51"/>
        <v>0</v>
      </c>
      <c r="R332" s="468">
        <f t="shared" si="52"/>
        <v>0</v>
      </c>
      <c r="S332" s="468">
        <f t="shared" si="53"/>
        <v>0</v>
      </c>
      <c r="T332" s="469">
        <f t="shared" si="54"/>
        <v>0</v>
      </c>
      <c r="U332" s="469">
        <f t="shared" si="55"/>
        <v>0</v>
      </c>
      <c r="V332" s="468">
        <f t="shared" si="56"/>
        <v>0</v>
      </c>
    </row>
    <row r="333" spans="1:22" outlineLevel="1" x14ac:dyDescent="0.3">
      <c r="A333" s="936">
        <v>6</v>
      </c>
      <c r="B333" s="914" t="s">
        <v>72</v>
      </c>
      <c r="C333" s="936">
        <v>2</v>
      </c>
      <c r="D333" s="48">
        <v>1.25</v>
      </c>
      <c r="E333" s="49">
        <v>0.23</v>
      </c>
      <c r="F333" s="48">
        <v>1.1000000000000001</v>
      </c>
      <c r="G333" s="48">
        <f>F333*E333*D333*C333</f>
        <v>0.63250000000000017</v>
      </c>
      <c r="H333" s="555">
        <v>20</v>
      </c>
      <c r="I333" s="555">
        <v>4</v>
      </c>
      <c r="J333" s="48">
        <f>(F333+(50*H333/1000))*I333*C333</f>
        <v>16.8</v>
      </c>
      <c r="K333" s="68" t="s">
        <v>63</v>
      </c>
      <c r="L333" s="555">
        <v>8</v>
      </c>
      <c r="M333" s="52">
        <v>0.1</v>
      </c>
      <c r="N333" s="555">
        <f>ROUND(((F333/2)/M333),0)+1</f>
        <v>7</v>
      </c>
      <c r="O333" s="53">
        <f>((((((((D333-0.08)+(E333-0.08))*2)+0.2)+((((E333-0.08)+0.2)*(((I333+I334+I335)/2)-2)))))))</f>
        <v>4.9399999999999995</v>
      </c>
      <c r="P333" s="54">
        <f>O333*N333*C333</f>
        <v>69.16</v>
      </c>
      <c r="Q333" s="468">
        <f t="shared" si="51"/>
        <v>0</v>
      </c>
      <c r="R333" s="468">
        <f t="shared" si="52"/>
        <v>0</v>
      </c>
      <c r="S333" s="468">
        <f t="shared" si="53"/>
        <v>0</v>
      </c>
      <c r="T333" s="469">
        <f t="shared" si="54"/>
        <v>16.8</v>
      </c>
      <c r="U333" s="469">
        <f t="shared" si="55"/>
        <v>0</v>
      </c>
      <c r="V333" s="468">
        <f t="shared" si="56"/>
        <v>0</v>
      </c>
    </row>
    <row r="334" spans="1:22" outlineLevel="1" x14ac:dyDescent="0.3">
      <c r="A334" s="937"/>
      <c r="B334" s="915"/>
      <c r="C334" s="937"/>
      <c r="D334" s="57"/>
      <c r="E334" s="58"/>
      <c r="F334" s="57"/>
      <c r="G334" s="57"/>
      <c r="H334" s="556">
        <v>16</v>
      </c>
      <c r="I334" s="556">
        <v>12</v>
      </c>
      <c r="J334" s="57">
        <f>(F333+(50*H334/1000))*I334*C333</f>
        <v>45.6</v>
      </c>
      <c r="K334" s="60" t="s">
        <v>63</v>
      </c>
      <c r="L334" s="556">
        <v>8</v>
      </c>
      <c r="M334" s="61">
        <v>0.15</v>
      </c>
      <c r="N334" s="556">
        <f>ROUND((F333/2)/M334,0)+1</f>
        <v>5</v>
      </c>
      <c r="O334" s="53">
        <f>((((((((D333-0.08)+(E333-0.08))*2)+0.2)+((((E333-0.08)+0.2)*(((I334+I333+I335)/2)-2)))))))</f>
        <v>4.9399999999999995</v>
      </c>
      <c r="P334" s="54">
        <f>O334*N334*C333</f>
        <v>49.399999999999991</v>
      </c>
      <c r="Q334" s="468">
        <f t="shared" si="51"/>
        <v>0</v>
      </c>
      <c r="R334" s="468">
        <f t="shared" si="52"/>
        <v>0</v>
      </c>
      <c r="S334" s="468">
        <f t="shared" si="53"/>
        <v>45.6</v>
      </c>
      <c r="T334" s="469">
        <f t="shared" si="54"/>
        <v>0</v>
      </c>
      <c r="U334" s="469">
        <f t="shared" si="55"/>
        <v>0</v>
      </c>
      <c r="V334" s="468">
        <f t="shared" si="56"/>
        <v>0</v>
      </c>
    </row>
    <row r="335" spans="1:22" outlineLevel="1" x14ac:dyDescent="0.3">
      <c r="A335" s="937"/>
      <c r="B335" s="915"/>
      <c r="C335" s="937"/>
      <c r="D335" s="57"/>
      <c r="E335" s="58"/>
      <c r="F335" s="57"/>
      <c r="G335" s="57"/>
      <c r="H335" s="556"/>
      <c r="I335" s="556"/>
      <c r="J335" s="57">
        <f>(F333+(50*H335/1000))*I335*C333</f>
        <v>0</v>
      </c>
      <c r="K335" s="60" t="s">
        <v>63</v>
      </c>
      <c r="L335" s="556"/>
      <c r="M335" s="61"/>
      <c r="N335" s="556"/>
      <c r="O335" s="62"/>
      <c r="P335" s="54">
        <f>O335</f>
        <v>0</v>
      </c>
      <c r="Q335" s="468">
        <f t="shared" si="51"/>
        <v>0</v>
      </c>
      <c r="R335" s="468">
        <f t="shared" si="52"/>
        <v>0</v>
      </c>
      <c r="S335" s="468">
        <f t="shared" si="53"/>
        <v>0</v>
      </c>
      <c r="T335" s="469">
        <f t="shared" si="54"/>
        <v>0</v>
      </c>
      <c r="U335" s="469">
        <f t="shared" si="55"/>
        <v>0</v>
      </c>
      <c r="V335" s="468">
        <f t="shared" si="56"/>
        <v>0</v>
      </c>
    </row>
    <row r="336" spans="1:22" outlineLevel="1" x14ac:dyDescent="0.3">
      <c r="A336" s="937"/>
      <c r="B336" s="915"/>
      <c r="C336" s="937"/>
      <c r="D336" s="57"/>
      <c r="E336" s="58"/>
      <c r="F336" s="57"/>
      <c r="G336" s="57"/>
      <c r="H336" s="556"/>
      <c r="I336" s="556"/>
      <c r="J336" s="57"/>
      <c r="K336" s="60" t="s">
        <v>63</v>
      </c>
      <c r="L336" s="556"/>
      <c r="M336" s="61"/>
      <c r="N336" s="556"/>
      <c r="O336" s="62"/>
      <c r="P336" s="54">
        <f>O336</f>
        <v>0</v>
      </c>
      <c r="Q336" s="468">
        <f t="shared" si="51"/>
        <v>0</v>
      </c>
      <c r="R336" s="468">
        <f t="shared" si="52"/>
        <v>0</v>
      </c>
      <c r="S336" s="468">
        <f t="shared" si="53"/>
        <v>0</v>
      </c>
      <c r="T336" s="469">
        <f t="shared" si="54"/>
        <v>0</v>
      </c>
      <c r="U336" s="469">
        <f t="shared" si="55"/>
        <v>0</v>
      </c>
      <c r="V336" s="468">
        <f t="shared" si="56"/>
        <v>0</v>
      </c>
    </row>
    <row r="337" spans="1:22" outlineLevel="1" x14ac:dyDescent="0.3">
      <c r="A337" s="937"/>
      <c r="B337" s="915"/>
      <c r="C337" s="937"/>
      <c r="D337" s="57"/>
      <c r="E337" s="58"/>
      <c r="F337" s="57"/>
      <c r="G337" s="57"/>
      <c r="H337" s="556"/>
      <c r="I337" s="556"/>
      <c r="J337" s="57"/>
      <c r="K337" s="60" t="s">
        <v>64</v>
      </c>
      <c r="L337" s="556"/>
      <c r="M337" s="61"/>
      <c r="N337" s="556"/>
      <c r="O337" s="62"/>
      <c r="P337" s="54">
        <f>O337</f>
        <v>0</v>
      </c>
      <c r="Q337" s="468">
        <f t="shared" si="51"/>
        <v>0</v>
      </c>
      <c r="R337" s="468">
        <f t="shared" si="52"/>
        <v>0</v>
      </c>
      <c r="S337" s="468">
        <f t="shared" si="53"/>
        <v>0</v>
      </c>
      <c r="T337" s="469">
        <f t="shared" si="54"/>
        <v>0</v>
      </c>
      <c r="U337" s="469">
        <f t="shared" si="55"/>
        <v>0</v>
      </c>
      <c r="V337" s="468">
        <f t="shared" si="56"/>
        <v>0</v>
      </c>
    </row>
    <row r="338" spans="1:22" outlineLevel="1" x14ac:dyDescent="0.3">
      <c r="A338" s="936">
        <v>7</v>
      </c>
      <c r="B338" s="917" t="s">
        <v>73</v>
      </c>
      <c r="C338" s="981">
        <v>3</v>
      </c>
      <c r="D338" s="48">
        <v>1.3</v>
      </c>
      <c r="E338" s="49">
        <v>0.23</v>
      </c>
      <c r="F338" s="48">
        <v>1.1000000000000001</v>
      </c>
      <c r="G338" s="48">
        <f>F338*E338*D338*C338</f>
        <v>0.98670000000000024</v>
      </c>
      <c r="H338" s="555">
        <v>20</v>
      </c>
      <c r="I338" s="555">
        <v>12</v>
      </c>
      <c r="J338" s="48">
        <f>(F338+(50*H338/1000))*I338*C338</f>
        <v>75.600000000000009</v>
      </c>
      <c r="K338" s="51" t="s">
        <v>66</v>
      </c>
      <c r="L338" s="555">
        <v>8</v>
      </c>
      <c r="M338" s="52">
        <v>0.1</v>
      </c>
      <c r="N338" s="555">
        <f>ROUND(((F338/2)/M338),0)+1</f>
        <v>7</v>
      </c>
      <c r="O338" s="53">
        <f>((((((((D338-0.08)+(E338-0.08))*2)+0.2)+((((E338-0.08)+0.2)*(((I338+I339+I340)/2)-2)))))))</f>
        <v>5.0400000000000009</v>
      </c>
      <c r="P338" s="54">
        <f>O338*N338*C338</f>
        <v>105.84000000000003</v>
      </c>
      <c r="Q338" s="468">
        <f t="shared" si="51"/>
        <v>0</v>
      </c>
      <c r="R338" s="468">
        <f t="shared" si="52"/>
        <v>0</v>
      </c>
      <c r="S338" s="468">
        <f t="shared" si="53"/>
        <v>0</v>
      </c>
      <c r="T338" s="469">
        <f t="shared" si="54"/>
        <v>75.600000000000009</v>
      </c>
      <c r="U338" s="469">
        <f t="shared" si="55"/>
        <v>0</v>
      </c>
      <c r="V338" s="468">
        <f t="shared" si="56"/>
        <v>0</v>
      </c>
    </row>
    <row r="339" spans="1:22" outlineLevel="1" x14ac:dyDescent="0.3">
      <c r="A339" s="937"/>
      <c r="B339" s="918"/>
      <c r="C339" s="982"/>
      <c r="D339" s="57"/>
      <c r="E339" s="58"/>
      <c r="F339" s="57"/>
      <c r="G339" s="57"/>
      <c r="H339" s="556">
        <v>16</v>
      </c>
      <c r="I339" s="556">
        <v>4</v>
      </c>
      <c r="J339" s="57">
        <f>(F338+(50*H339/1000))*I339*C338</f>
        <v>22.8</v>
      </c>
      <c r="K339" s="60" t="s">
        <v>67</v>
      </c>
      <c r="L339" s="556">
        <v>8</v>
      </c>
      <c r="M339" s="61">
        <v>0.15</v>
      </c>
      <c r="N339" s="556">
        <f>ROUND((F338/2)/M339,0)+1</f>
        <v>5</v>
      </c>
      <c r="O339" s="53">
        <f>((((((((D338-0.08)+(E338-0.08))*2)+0.2)+((((E338-0.08)+0.2)*(((I339+I338+I340)/2)-2)))))))</f>
        <v>5.0400000000000009</v>
      </c>
      <c r="P339" s="54">
        <f>O339*N339*C338</f>
        <v>75.600000000000009</v>
      </c>
      <c r="Q339" s="468">
        <f t="shared" si="51"/>
        <v>0</v>
      </c>
      <c r="R339" s="468">
        <f t="shared" si="52"/>
        <v>0</v>
      </c>
      <c r="S339" s="468">
        <f t="shared" si="53"/>
        <v>22.8</v>
      </c>
      <c r="T339" s="469">
        <f t="shared" si="54"/>
        <v>0</v>
      </c>
      <c r="U339" s="469">
        <f t="shared" si="55"/>
        <v>0</v>
      </c>
      <c r="V339" s="468">
        <f t="shared" si="56"/>
        <v>0</v>
      </c>
    </row>
    <row r="340" spans="1:22" outlineLevel="1" x14ac:dyDescent="0.3">
      <c r="A340" s="937"/>
      <c r="B340" s="918"/>
      <c r="C340" s="982"/>
      <c r="D340" s="57"/>
      <c r="E340" s="58"/>
      <c r="F340" s="57"/>
      <c r="G340" s="57"/>
      <c r="H340" s="556"/>
      <c r="I340" s="556"/>
      <c r="J340" s="57">
        <f>(F338+(50*H340/1000))*I340*C338</f>
        <v>0</v>
      </c>
      <c r="K340" s="60" t="s">
        <v>63</v>
      </c>
      <c r="L340" s="556"/>
      <c r="M340" s="61"/>
      <c r="N340" s="556"/>
      <c r="O340" s="62"/>
      <c r="P340" s="54">
        <f t="shared" ref="P340:P345" si="57">O340</f>
        <v>0</v>
      </c>
      <c r="Q340" s="468">
        <f t="shared" si="51"/>
        <v>0</v>
      </c>
      <c r="R340" s="468">
        <f t="shared" si="52"/>
        <v>0</v>
      </c>
      <c r="S340" s="468">
        <f t="shared" si="53"/>
        <v>0</v>
      </c>
      <c r="T340" s="469">
        <f t="shared" si="54"/>
        <v>0</v>
      </c>
      <c r="U340" s="469">
        <f t="shared" si="55"/>
        <v>0</v>
      </c>
      <c r="V340" s="468">
        <f t="shared" si="56"/>
        <v>0</v>
      </c>
    </row>
    <row r="341" spans="1:22" outlineLevel="1" x14ac:dyDescent="0.3">
      <c r="A341" s="937"/>
      <c r="B341" s="919"/>
      <c r="C341" s="983"/>
      <c r="D341" s="57"/>
      <c r="E341" s="58"/>
      <c r="F341" s="57"/>
      <c r="G341" s="57"/>
      <c r="H341" s="556"/>
      <c r="I341" s="556"/>
      <c r="J341" s="57"/>
      <c r="K341" s="60" t="s">
        <v>64</v>
      </c>
      <c r="L341" s="556"/>
      <c r="M341" s="61"/>
      <c r="N341" s="556"/>
      <c r="O341" s="62"/>
      <c r="P341" s="54">
        <f t="shared" si="57"/>
        <v>0</v>
      </c>
      <c r="Q341" s="468">
        <f t="shared" si="51"/>
        <v>0</v>
      </c>
      <c r="R341" s="468">
        <f t="shared" si="52"/>
        <v>0</v>
      </c>
      <c r="S341" s="468">
        <f t="shared" si="53"/>
        <v>0</v>
      </c>
      <c r="T341" s="469">
        <f t="shared" si="54"/>
        <v>0</v>
      </c>
      <c r="U341" s="469">
        <f t="shared" si="55"/>
        <v>0</v>
      </c>
      <c r="V341" s="468">
        <f t="shared" si="56"/>
        <v>0</v>
      </c>
    </row>
    <row r="342" spans="1:22" outlineLevel="1" x14ac:dyDescent="0.3">
      <c r="A342" s="936">
        <v>8</v>
      </c>
      <c r="B342" s="914" t="s">
        <v>74</v>
      </c>
      <c r="C342" s="936">
        <v>7</v>
      </c>
      <c r="D342" s="48">
        <v>0.9</v>
      </c>
      <c r="E342" s="49">
        <v>0.23</v>
      </c>
      <c r="F342" s="48">
        <v>1.1000000000000001</v>
      </c>
      <c r="G342" s="48">
        <f>F342*E342*D342*C342</f>
        <v>1.5939000000000005</v>
      </c>
      <c r="H342" s="555">
        <v>20</v>
      </c>
      <c r="I342" s="555">
        <v>4</v>
      </c>
      <c r="J342" s="48">
        <f>(F342+(50*H342/1000))*I342*C342</f>
        <v>58.800000000000004</v>
      </c>
      <c r="K342" s="51" t="s">
        <v>66</v>
      </c>
      <c r="L342" s="555">
        <v>8</v>
      </c>
      <c r="M342" s="52">
        <v>0.1</v>
      </c>
      <c r="N342" s="555">
        <f>ROUND(((F342/2)/M342),0)+1</f>
        <v>7</v>
      </c>
      <c r="O342" s="53">
        <f>((((((((D342-0.08)+(E342-0.08))*2)+0.2)+((((E342-0.08)+0.2)*(((I342+I343+I344)/2)-2)))))))</f>
        <v>3.54</v>
      </c>
      <c r="P342" s="54">
        <f>O342*N342*C342</f>
        <v>173.46</v>
      </c>
      <c r="Q342" s="468">
        <f t="shared" si="51"/>
        <v>0</v>
      </c>
      <c r="R342" s="468">
        <f t="shared" si="52"/>
        <v>0</v>
      </c>
      <c r="S342" s="468">
        <f t="shared" si="53"/>
        <v>0</v>
      </c>
      <c r="T342" s="469">
        <f t="shared" si="54"/>
        <v>58.800000000000004</v>
      </c>
      <c r="U342" s="469">
        <f t="shared" si="55"/>
        <v>0</v>
      </c>
      <c r="V342" s="468">
        <f t="shared" si="56"/>
        <v>0</v>
      </c>
    </row>
    <row r="343" spans="1:22" outlineLevel="1" x14ac:dyDescent="0.3">
      <c r="A343" s="937"/>
      <c r="B343" s="915"/>
      <c r="C343" s="937"/>
      <c r="D343" s="57"/>
      <c r="E343" s="58"/>
      <c r="F343" s="57"/>
      <c r="G343" s="57"/>
      <c r="H343" s="556">
        <v>16</v>
      </c>
      <c r="I343" s="556">
        <v>8</v>
      </c>
      <c r="J343" s="57">
        <f>(F342+(50*H343/1000))*I343*C342</f>
        <v>106.4</v>
      </c>
      <c r="K343" s="60" t="s">
        <v>63</v>
      </c>
      <c r="L343" s="556">
        <v>8</v>
      </c>
      <c r="M343" s="61">
        <v>0.15</v>
      </c>
      <c r="N343" s="556">
        <f>ROUND((F342/2)/M343,0)+1</f>
        <v>5</v>
      </c>
      <c r="O343" s="53">
        <f>((((((((D342-0.08)+(E342-0.08))*2)+0.2)+((((E342-0.08)+0.2)*(((I343+I342+I344)/2)-2)))))))</f>
        <v>3.54</v>
      </c>
      <c r="P343" s="54">
        <f>O343*N343*C342</f>
        <v>123.89999999999999</v>
      </c>
      <c r="Q343" s="468">
        <f t="shared" si="51"/>
        <v>0</v>
      </c>
      <c r="R343" s="468">
        <f t="shared" si="52"/>
        <v>0</v>
      </c>
      <c r="S343" s="468">
        <f t="shared" si="53"/>
        <v>106.4</v>
      </c>
      <c r="T343" s="469">
        <f t="shared" si="54"/>
        <v>0</v>
      </c>
      <c r="U343" s="469">
        <f t="shared" si="55"/>
        <v>0</v>
      </c>
      <c r="V343" s="468">
        <f t="shared" si="56"/>
        <v>0</v>
      </c>
    </row>
    <row r="344" spans="1:22" outlineLevel="1" x14ac:dyDescent="0.3">
      <c r="A344" s="937"/>
      <c r="B344" s="915"/>
      <c r="C344" s="937"/>
      <c r="D344" s="57"/>
      <c r="E344" s="58"/>
      <c r="F344" s="57"/>
      <c r="G344" s="57"/>
      <c r="H344" s="556"/>
      <c r="I344" s="556"/>
      <c r="J344" s="57">
        <f>(F342+(50*H344/1000))*I344*C342</f>
        <v>0</v>
      </c>
      <c r="K344" s="60" t="s">
        <v>63</v>
      </c>
      <c r="L344" s="556"/>
      <c r="M344" s="61"/>
      <c r="N344" s="556"/>
      <c r="O344" s="62"/>
      <c r="P344" s="54">
        <f t="shared" si="57"/>
        <v>0</v>
      </c>
      <c r="Q344" s="468">
        <f t="shared" si="51"/>
        <v>0</v>
      </c>
      <c r="R344" s="468">
        <f t="shared" si="52"/>
        <v>0</v>
      </c>
      <c r="S344" s="468">
        <f t="shared" si="53"/>
        <v>0</v>
      </c>
      <c r="T344" s="469">
        <f t="shared" si="54"/>
        <v>0</v>
      </c>
      <c r="U344" s="469">
        <f t="shared" si="55"/>
        <v>0</v>
      </c>
      <c r="V344" s="468">
        <f t="shared" si="56"/>
        <v>0</v>
      </c>
    </row>
    <row r="345" spans="1:22" outlineLevel="1" x14ac:dyDescent="0.3">
      <c r="A345" s="938"/>
      <c r="B345" s="916"/>
      <c r="C345" s="938"/>
      <c r="D345" s="63"/>
      <c r="E345" s="64"/>
      <c r="F345" s="63"/>
      <c r="G345" s="63"/>
      <c r="H345" s="558"/>
      <c r="I345" s="558"/>
      <c r="J345" s="63"/>
      <c r="K345" s="66" t="s">
        <v>64</v>
      </c>
      <c r="L345" s="558"/>
      <c r="M345" s="67"/>
      <c r="N345" s="558"/>
      <c r="O345" s="69"/>
      <c r="P345" s="54">
        <f t="shared" si="57"/>
        <v>0</v>
      </c>
      <c r="Q345" s="468">
        <f t="shared" si="51"/>
        <v>0</v>
      </c>
      <c r="R345" s="468">
        <f t="shared" si="52"/>
        <v>0</v>
      </c>
      <c r="S345" s="468">
        <f t="shared" si="53"/>
        <v>0</v>
      </c>
      <c r="T345" s="469">
        <f t="shared" si="54"/>
        <v>0</v>
      </c>
      <c r="U345" s="469">
        <f t="shared" si="55"/>
        <v>0</v>
      </c>
      <c r="V345" s="468">
        <f t="shared" si="56"/>
        <v>0</v>
      </c>
    </row>
    <row r="346" spans="1:22" outlineLevel="1" x14ac:dyDescent="0.3">
      <c r="A346" s="936">
        <v>9</v>
      </c>
      <c r="B346" s="914" t="s">
        <v>75</v>
      </c>
      <c r="C346" s="936">
        <v>3</v>
      </c>
      <c r="D346" s="48">
        <v>1.1000000000000001</v>
      </c>
      <c r="E346" s="49">
        <v>0.23</v>
      </c>
      <c r="F346" s="48">
        <v>1.1000000000000001</v>
      </c>
      <c r="G346" s="48">
        <f>F346*E346*D346*C346</f>
        <v>0.83490000000000031</v>
      </c>
      <c r="H346" s="555">
        <v>20</v>
      </c>
      <c r="I346" s="555">
        <v>12</v>
      </c>
      <c r="J346" s="48">
        <f>(F346+(50*H346/1000))*I346*C346</f>
        <v>75.600000000000009</v>
      </c>
      <c r="K346" s="51" t="s">
        <v>66</v>
      </c>
      <c r="L346" s="555">
        <v>8</v>
      </c>
      <c r="M346" s="52">
        <v>0.1</v>
      </c>
      <c r="N346" s="555">
        <f>ROUND(((F346/2)/M346),0)+1</f>
        <v>7</v>
      </c>
      <c r="O346" s="53">
        <f>((((((((D346-0.08)+(E346-0.08))*2)+0.2)+((((E346-0.08)+0.2)*(((I346+I347+I348)/2)-2)))))))</f>
        <v>4.6400000000000006</v>
      </c>
      <c r="P346" s="54">
        <f>O346*N346*C346</f>
        <v>97.440000000000012</v>
      </c>
      <c r="Q346" s="468">
        <f t="shared" si="51"/>
        <v>0</v>
      </c>
      <c r="R346" s="468">
        <f t="shared" si="52"/>
        <v>0</v>
      </c>
      <c r="S346" s="468">
        <f t="shared" si="53"/>
        <v>0</v>
      </c>
      <c r="T346" s="469">
        <f t="shared" si="54"/>
        <v>75.600000000000009</v>
      </c>
      <c r="U346" s="469">
        <f t="shared" si="55"/>
        <v>0</v>
      </c>
      <c r="V346" s="468">
        <f t="shared" si="56"/>
        <v>0</v>
      </c>
    </row>
    <row r="347" spans="1:22" outlineLevel="1" x14ac:dyDescent="0.3">
      <c r="A347" s="937"/>
      <c r="B347" s="915"/>
      <c r="C347" s="937"/>
      <c r="D347" s="57"/>
      <c r="E347" s="58"/>
      <c r="F347" s="57"/>
      <c r="G347" s="57"/>
      <c r="H347" s="556">
        <v>16</v>
      </c>
      <c r="I347" s="556">
        <v>4</v>
      </c>
      <c r="J347" s="57">
        <f>(F346+(50*H347/1000))*I347*C346</f>
        <v>22.8</v>
      </c>
      <c r="K347" s="60" t="s">
        <v>63</v>
      </c>
      <c r="L347" s="556">
        <v>8</v>
      </c>
      <c r="M347" s="61">
        <v>0.15</v>
      </c>
      <c r="N347" s="556">
        <f>ROUND((F346/2)/M347,0)+1</f>
        <v>5</v>
      </c>
      <c r="O347" s="53">
        <f>((((((((D346-0.08)+(E346-0.08))*2)+0.2)+((((E346-0.08)+0.2)*(((I347+I346+I348)/2)-2)))))))</f>
        <v>4.6400000000000006</v>
      </c>
      <c r="P347" s="54">
        <f>O347*N347*C346</f>
        <v>69.600000000000009</v>
      </c>
      <c r="Q347" s="468">
        <f t="shared" si="51"/>
        <v>0</v>
      </c>
      <c r="R347" s="468">
        <f t="shared" si="52"/>
        <v>0</v>
      </c>
      <c r="S347" s="468">
        <f t="shared" si="53"/>
        <v>22.8</v>
      </c>
      <c r="T347" s="469">
        <f t="shared" si="54"/>
        <v>0</v>
      </c>
      <c r="U347" s="469">
        <f t="shared" si="55"/>
        <v>0</v>
      </c>
      <c r="V347" s="468">
        <f t="shared" si="56"/>
        <v>0</v>
      </c>
    </row>
    <row r="348" spans="1:22" outlineLevel="1" x14ac:dyDescent="0.3">
      <c r="A348" s="937"/>
      <c r="B348" s="915"/>
      <c r="C348" s="937"/>
      <c r="D348" s="57"/>
      <c r="E348" s="58"/>
      <c r="F348" s="57"/>
      <c r="G348" s="57"/>
      <c r="H348" s="556"/>
      <c r="I348" s="556"/>
      <c r="J348" s="57">
        <f>(F346+(50*H348/1000))*I348*C346</f>
        <v>0</v>
      </c>
      <c r="K348" s="60" t="s">
        <v>63</v>
      </c>
      <c r="L348" s="556"/>
      <c r="M348" s="61"/>
      <c r="N348" s="556"/>
      <c r="O348" s="62"/>
      <c r="P348" s="54">
        <f t="shared" ref="P348:P353" si="58">O348</f>
        <v>0</v>
      </c>
      <c r="Q348" s="468">
        <f t="shared" si="51"/>
        <v>0</v>
      </c>
      <c r="R348" s="468">
        <f t="shared" si="52"/>
        <v>0</v>
      </c>
      <c r="S348" s="468">
        <f t="shared" si="53"/>
        <v>0</v>
      </c>
      <c r="T348" s="469">
        <f t="shared" si="54"/>
        <v>0</v>
      </c>
      <c r="U348" s="469">
        <f t="shared" si="55"/>
        <v>0</v>
      </c>
      <c r="V348" s="468">
        <f t="shared" si="56"/>
        <v>0</v>
      </c>
    </row>
    <row r="349" spans="1:22" outlineLevel="1" x14ac:dyDescent="0.3">
      <c r="A349" s="938"/>
      <c r="B349" s="916"/>
      <c r="C349" s="938"/>
      <c r="D349" s="63"/>
      <c r="E349" s="64"/>
      <c r="F349" s="63"/>
      <c r="G349" s="63"/>
      <c r="H349" s="558"/>
      <c r="I349" s="558"/>
      <c r="J349" s="63"/>
      <c r="K349" s="66" t="s">
        <v>64</v>
      </c>
      <c r="L349" s="558"/>
      <c r="M349" s="67"/>
      <c r="N349" s="558"/>
      <c r="O349" s="69"/>
      <c r="P349" s="54">
        <f t="shared" si="58"/>
        <v>0</v>
      </c>
      <c r="Q349" s="468">
        <f t="shared" si="51"/>
        <v>0</v>
      </c>
      <c r="R349" s="468">
        <f t="shared" si="52"/>
        <v>0</v>
      </c>
      <c r="S349" s="468">
        <f t="shared" si="53"/>
        <v>0</v>
      </c>
      <c r="T349" s="469">
        <f t="shared" si="54"/>
        <v>0</v>
      </c>
      <c r="U349" s="469">
        <f t="shared" si="55"/>
        <v>0</v>
      </c>
      <c r="V349" s="468">
        <f t="shared" si="56"/>
        <v>0</v>
      </c>
    </row>
    <row r="350" spans="1:22" outlineLevel="1" x14ac:dyDescent="0.3">
      <c r="A350" s="936">
        <v>10</v>
      </c>
      <c r="B350" s="914" t="s">
        <v>76</v>
      </c>
      <c r="C350" s="936">
        <v>2</v>
      </c>
      <c r="D350" s="48">
        <v>2.76</v>
      </c>
      <c r="E350" s="49">
        <v>0.23</v>
      </c>
      <c r="F350" s="48">
        <v>1.1000000000000001</v>
      </c>
      <c r="G350" s="48">
        <f>F350*E350*D350*C350</f>
        <v>1.3965600000000002</v>
      </c>
      <c r="H350" s="555">
        <v>20</v>
      </c>
      <c r="I350" s="555">
        <v>4</v>
      </c>
      <c r="J350" s="48">
        <f>(F350+(50*H350/1000))*I350*C350</f>
        <v>16.8</v>
      </c>
      <c r="K350" s="51" t="s">
        <v>66</v>
      </c>
      <c r="L350" s="555">
        <v>8</v>
      </c>
      <c r="M350" s="52">
        <v>0.1</v>
      </c>
      <c r="N350" s="555">
        <f>ROUND(((F350/2)/M350),0)+1</f>
        <v>7</v>
      </c>
      <c r="O350" s="53">
        <f>((((((((D350-0.08)+(E350-0.08))*2)+0.2)+((((E350-0.08)+0.2)*(((I350+I351+I352)/2)-2)))))))</f>
        <v>10.76</v>
      </c>
      <c r="P350" s="54">
        <f>O350*N350*C350</f>
        <v>150.63999999999999</v>
      </c>
      <c r="Q350" s="468">
        <f t="shared" si="51"/>
        <v>0</v>
      </c>
      <c r="R350" s="468">
        <f t="shared" si="52"/>
        <v>0</v>
      </c>
      <c r="S350" s="468">
        <f t="shared" si="53"/>
        <v>0</v>
      </c>
      <c r="T350" s="469">
        <f t="shared" si="54"/>
        <v>16.8</v>
      </c>
      <c r="U350" s="469">
        <f t="shared" si="55"/>
        <v>0</v>
      </c>
      <c r="V350" s="468">
        <f t="shared" si="56"/>
        <v>0</v>
      </c>
    </row>
    <row r="351" spans="1:22" outlineLevel="1" x14ac:dyDescent="0.3">
      <c r="A351" s="937"/>
      <c r="B351" s="915"/>
      <c r="C351" s="937"/>
      <c r="D351" s="57"/>
      <c r="E351" s="58"/>
      <c r="F351" s="57"/>
      <c r="G351" s="57"/>
      <c r="H351" s="556">
        <v>16</v>
      </c>
      <c r="I351" s="556">
        <v>28</v>
      </c>
      <c r="J351" s="57">
        <f>(F350+(50*H351/1000))*I351*C350</f>
        <v>106.4</v>
      </c>
      <c r="K351" s="60" t="s">
        <v>63</v>
      </c>
      <c r="L351" s="556">
        <v>8</v>
      </c>
      <c r="M351" s="61">
        <v>0.15</v>
      </c>
      <c r="N351" s="556">
        <f>ROUND((F350/2)/M351,0)+1</f>
        <v>5</v>
      </c>
      <c r="O351" s="53">
        <f>((((((((D350-0.08)+(E350-0.08))*2)+0.2)+((((E350-0.08)+0.2)*(((I351+I350+I352)/2)-2)))))))</f>
        <v>10.76</v>
      </c>
      <c r="P351" s="54">
        <f>O351*N351*C350</f>
        <v>107.6</v>
      </c>
      <c r="Q351" s="468">
        <f t="shared" si="51"/>
        <v>0</v>
      </c>
      <c r="R351" s="468">
        <f t="shared" si="52"/>
        <v>0</v>
      </c>
      <c r="S351" s="468">
        <f t="shared" si="53"/>
        <v>106.4</v>
      </c>
      <c r="T351" s="469">
        <f t="shared" si="54"/>
        <v>0</v>
      </c>
      <c r="U351" s="469">
        <f t="shared" si="55"/>
        <v>0</v>
      </c>
      <c r="V351" s="468">
        <f t="shared" si="56"/>
        <v>0</v>
      </c>
    </row>
    <row r="352" spans="1:22" outlineLevel="1" x14ac:dyDescent="0.3">
      <c r="A352" s="937"/>
      <c r="B352" s="915"/>
      <c r="C352" s="937"/>
      <c r="D352" s="57"/>
      <c r="E352" s="58"/>
      <c r="F352" s="57"/>
      <c r="G352" s="57"/>
      <c r="H352" s="556"/>
      <c r="I352" s="556"/>
      <c r="J352" s="57">
        <f>(F350+(50*H352/1000))*I352*C350</f>
        <v>0</v>
      </c>
      <c r="K352" s="60" t="s">
        <v>63</v>
      </c>
      <c r="L352" s="556"/>
      <c r="M352" s="61"/>
      <c r="N352" s="556"/>
      <c r="O352" s="62"/>
      <c r="P352" s="54">
        <f t="shared" si="58"/>
        <v>0</v>
      </c>
      <c r="Q352" s="468">
        <f t="shared" si="51"/>
        <v>0</v>
      </c>
      <c r="R352" s="468">
        <f t="shared" si="52"/>
        <v>0</v>
      </c>
      <c r="S352" s="468">
        <f t="shared" si="53"/>
        <v>0</v>
      </c>
      <c r="T352" s="469">
        <f t="shared" si="54"/>
        <v>0</v>
      </c>
      <c r="U352" s="469">
        <f t="shared" si="55"/>
        <v>0</v>
      </c>
      <c r="V352" s="468">
        <f t="shared" si="56"/>
        <v>0</v>
      </c>
    </row>
    <row r="353" spans="1:22" outlineLevel="1" x14ac:dyDescent="0.3">
      <c r="A353" s="938"/>
      <c r="B353" s="916"/>
      <c r="C353" s="938"/>
      <c r="D353" s="63"/>
      <c r="E353" s="64"/>
      <c r="F353" s="63"/>
      <c r="G353" s="63"/>
      <c r="H353" s="558"/>
      <c r="I353" s="558"/>
      <c r="J353" s="63"/>
      <c r="K353" s="66" t="s">
        <v>64</v>
      </c>
      <c r="L353" s="558"/>
      <c r="M353" s="67"/>
      <c r="N353" s="558"/>
      <c r="O353" s="69"/>
      <c r="P353" s="54">
        <f t="shared" si="58"/>
        <v>0</v>
      </c>
      <c r="Q353" s="468">
        <f t="shared" si="51"/>
        <v>0</v>
      </c>
      <c r="R353" s="468">
        <f t="shared" si="52"/>
        <v>0</v>
      </c>
      <c r="S353" s="468">
        <f t="shared" si="53"/>
        <v>0</v>
      </c>
      <c r="T353" s="469">
        <f t="shared" si="54"/>
        <v>0</v>
      </c>
      <c r="U353" s="469">
        <f t="shared" si="55"/>
        <v>0</v>
      </c>
      <c r="V353" s="468">
        <f t="shared" si="56"/>
        <v>0</v>
      </c>
    </row>
    <row r="354" spans="1:22" outlineLevel="1" x14ac:dyDescent="0.3">
      <c r="A354" s="936">
        <v>11</v>
      </c>
      <c r="B354" s="914" t="s">
        <v>564</v>
      </c>
      <c r="C354" s="936">
        <v>2</v>
      </c>
      <c r="D354" s="48">
        <v>1.9</v>
      </c>
      <c r="E354" s="49">
        <v>0.23</v>
      </c>
      <c r="F354" s="48">
        <v>1.1000000000000001</v>
      </c>
      <c r="G354" s="48">
        <f>F354*E354*D354*C354</f>
        <v>0.96140000000000014</v>
      </c>
      <c r="H354" s="556">
        <v>16</v>
      </c>
      <c r="I354" s="556">
        <v>20</v>
      </c>
      <c r="J354" s="48">
        <f>(F354+(50*H354/1000))*I354*C354</f>
        <v>76</v>
      </c>
      <c r="K354" s="51" t="s">
        <v>66</v>
      </c>
      <c r="L354" s="555">
        <v>8</v>
      </c>
      <c r="M354" s="52">
        <v>0.1</v>
      </c>
      <c r="N354" s="555">
        <f>ROUND(((F354/2)/M354),0)+1</f>
        <v>7</v>
      </c>
      <c r="O354" s="53">
        <f>((((((((D354-0.08)+(E354-0.08))*2)+0.2)+((((E354-0.08)+0.2)*(((I354+I355+I356)/2)-2)))))))</f>
        <v>7.99</v>
      </c>
      <c r="P354" s="54">
        <f>O354*N354*C354</f>
        <v>111.86</v>
      </c>
      <c r="Q354" s="468">
        <f t="shared" si="51"/>
        <v>0</v>
      </c>
      <c r="R354" s="468">
        <f t="shared" si="52"/>
        <v>0</v>
      </c>
      <c r="S354" s="468">
        <f t="shared" si="53"/>
        <v>76</v>
      </c>
      <c r="T354" s="469">
        <f t="shared" si="54"/>
        <v>0</v>
      </c>
      <c r="U354" s="469">
        <f t="shared" si="55"/>
        <v>0</v>
      </c>
      <c r="V354" s="468">
        <f t="shared" si="56"/>
        <v>0</v>
      </c>
    </row>
    <row r="355" spans="1:22" outlineLevel="1" x14ac:dyDescent="0.3">
      <c r="A355" s="937"/>
      <c r="B355" s="915"/>
      <c r="C355" s="937"/>
      <c r="D355" s="57"/>
      <c r="E355" s="58"/>
      <c r="F355" s="57"/>
      <c r="G355" s="57"/>
      <c r="H355" s="556">
        <v>12</v>
      </c>
      <c r="I355" s="556">
        <v>6</v>
      </c>
      <c r="J355" s="57">
        <f>(F354+(50*H355/1000))*I355*C354</f>
        <v>20.400000000000002</v>
      </c>
      <c r="K355" s="60" t="s">
        <v>63</v>
      </c>
      <c r="L355" s="556">
        <v>8</v>
      </c>
      <c r="M355" s="61">
        <v>0.15</v>
      </c>
      <c r="N355" s="556">
        <f>ROUND((F354/2)/M355,0)+1</f>
        <v>5</v>
      </c>
      <c r="O355" s="53">
        <f>((((((((D354-0.08)+(E354-0.08))*2)+0.2)+((((E354-0.08)+0.2)*(((I355+I354+I356)/2)-2)))))))</f>
        <v>7.99</v>
      </c>
      <c r="P355" s="54">
        <f>O355*N355*C354</f>
        <v>79.900000000000006</v>
      </c>
      <c r="Q355" s="468">
        <f t="shared" si="51"/>
        <v>0</v>
      </c>
      <c r="R355" s="468">
        <f t="shared" si="52"/>
        <v>20.400000000000002</v>
      </c>
      <c r="S355" s="468">
        <f t="shared" si="53"/>
        <v>0</v>
      </c>
      <c r="T355" s="469">
        <f t="shared" si="54"/>
        <v>0</v>
      </c>
      <c r="U355" s="469">
        <f t="shared" si="55"/>
        <v>0</v>
      </c>
      <c r="V355" s="468">
        <f t="shared" si="56"/>
        <v>0</v>
      </c>
    </row>
    <row r="356" spans="1:22" outlineLevel="1" x14ac:dyDescent="0.3">
      <c r="A356" s="937"/>
      <c r="B356" s="915"/>
      <c r="C356" s="937"/>
      <c r="D356" s="57"/>
      <c r="E356" s="58"/>
      <c r="F356" s="57"/>
      <c r="G356" s="57"/>
      <c r="H356" s="556"/>
      <c r="I356" s="556"/>
      <c r="J356" s="57">
        <f>(F354+(50*H356/1000))*I356*C354</f>
        <v>0</v>
      </c>
      <c r="K356" s="60" t="s">
        <v>63</v>
      </c>
      <c r="L356" s="556"/>
      <c r="M356" s="61"/>
      <c r="N356" s="556"/>
      <c r="O356" s="62"/>
      <c r="P356" s="54">
        <f t="shared" ref="P356:P361" si="59">O356</f>
        <v>0</v>
      </c>
      <c r="Q356" s="468">
        <f t="shared" si="51"/>
        <v>0</v>
      </c>
      <c r="R356" s="468">
        <f t="shared" si="52"/>
        <v>0</v>
      </c>
      <c r="S356" s="468">
        <f t="shared" si="53"/>
        <v>0</v>
      </c>
      <c r="T356" s="469">
        <f t="shared" si="54"/>
        <v>0</v>
      </c>
      <c r="U356" s="469">
        <f t="shared" si="55"/>
        <v>0</v>
      </c>
      <c r="V356" s="468">
        <f t="shared" si="56"/>
        <v>0</v>
      </c>
    </row>
    <row r="357" spans="1:22" outlineLevel="1" x14ac:dyDescent="0.3">
      <c r="A357" s="979"/>
      <c r="B357" s="980"/>
      <c r="C357" s="979"/>
      <c r="D357" s="70"/>
      <c r="E357" s="71"/>
      <c r="F357" s="70"/>
      <c r="G357" s="70"/>
      <c r="H357" s="557"/>
      <c r="I357" s="557"/>
      <c r="J357" s="70"/>
      <c r="K357" s="73" t="s">
        <v>64</v>
      </c>
      <c r="L357" s="557"/>
      <c r="M357" s="67"/>
      <c r="N357" s="558"/>
      <c r="O357" s="69"/>
      <c r="P357" s="54">
        <f t="shared" si="59"/>
        <v>0</v>
      </c>
      <c r="Q357" s="468">
        <f t="shared" si="51"/>
        <v>0</v>
      </c>
      <c r="R357" s="468">
        <f t="shared" si="52"/>
        <v>0</v>
      </c>
      <c r="S357" s="468">
        <f t="shared" si="53"/>
        <v>0</v>
      </c>
      <c r="T357" s="469">
        <f t="shared" si="54"/>
        <v>0</v>
      </c>
      <c r="U357" s="469">
        <f t="shared" si="55"/>
        <v>0</v>
      </c>
      <c r="V357" s="468">
        <f t="shared" si="56"/>
        <v>0</v>
      </c>
    </row>
    <row r="358" spans="1:22" outlineLevel="1" x14ac:dyDescent="0.3">
      <c r="A358" s="936">
        <v>11</v>
      </c>
      <c r="B358" s="914" t="s">
        <v>565</v>
      </c>
      <c r="C358" s="936">
        <v>2</v>
      </c>
      <c r="D358" s="48">
        <v>1.1000000000000001</v>
      </c>
      <c r="E358" s="49">
        <v>0.23</v>
      </c>
      <c r="F358" s="48">
        <v>1.1000000000000001</v>
      </c>
      <c r="G358" s="48">
        <f>F358*E358*D358*C358</f>
        <v>0.55660000000000021</v>
      </c>
      <c r="H358" s="556">
        <v>16</v>
      </c>
      <c r="I358" s="556">
        <v>16</v>
      </c>
      <c r="J358" s="48">
        <f>(F358+(50*H358/1000))*I358*C358</f>
        <v>60.800000000000004</v>
      </c>
      <c r="K358" s="51" t="s">
        <v>66</v>
      </c>
      <c r="L358" s="555">
        <v>8</v>
      </c>
      <c r="M358" s="52">
        <v>0.1</v>
      </c>
      <c r="N358" s="555">
        <f>ROUND(((F358/2)/M358),0)+1</f>
        <v>7</v>
      </c>
      <c r="O358" s="53">
        <f>((((((((D358-0.08)+(E358-0.08))*2)+0.2)+((((E358-0.08)+0.2)*(((I358+I359+I360)/2)-2)))))))</f>
        <v>4.6400000000000006</v>
      </c>
      <c r="P358" s="54">
        <f>O358*N358*C358</f>
        <v>64.960000000000008</v>
      </c>
      <c r="Q358" s="468">
        <f t="shared" si="51"/>
        <v>0</v>
      </c>
      <c r="R358" s="468">
        <f t="shared" si="52"/>
        <v>0</v>
      </c>
      <c r="S358" s="468">
        <f t="shared" si="53"/>
        <v>60.800000000000004</v>
      </c>
      <c r="T358" s="469">
        <f t="shared" si="54"/>
        <v>0</v>
      </c>
      <c r="U358" s="469">
        <f t="shared" si="55"/>
        <v>0</v>
      </c>
      <c r="V358" s="468">
        <f t="shared" si="56"/>
        <v>0</v>
      </c>
    </row>
    <row r="359" spans="1:22" outlineLevel="1" x14ac:dyDescent="0.3">
      <c r="A359" s="937"/>
      <c r="B359" s="915"/>
      <c r="C359" s="937"/>
      <c r="D359" s="57"/>
      <c r="E359" s="58"/>
      <c r="F359" s="57"/>
      <c r="G359" s="57"/>
      <c r="H359" s="556"/>
      <c r="I359" s="556"/>
      <c r="J359" s="57">
        <f>(F358+(50*H359/1000))*I359*C358</f>
        <v>0</v>
      </c>
      <c r="K359" s="60" t="s">
        <v>63</v>
      </c>
      <c r="L359" s="556">
        <v>8</v>
      </c>
      <c r="M359" s="61">
        <v>0.15</v>
      </c>
      <c r="N359" s="556">
        <f>ROUND((F358/2)/M359,0)+1</f>
        <v>5</v>
      </c>
      <c r="O359" s="53">
        <f>((((((((D358-0.08)+(E358-0.08))*2)+0.2)+((((E358-0.08)+0.2)*(((I359+I358+I360)/2)-2)))))))</f>
        <v>4.6400000000000006</v>
      </c>
      <c r="P359" s="54">
        <f>O359*N359*C358</f>
        <v>46.400000000000006</v>
      </c>
      <c r="Q359" s="468">
        <f t="shared" si="51"/>
        <v>0</v>
      </c>
      <c r="R359" s="468">
        <f t="shared" si="52"/>
        <v>0</v>
      </c>
      <c r="S359" s="468">
        <f t="shared" si="53"/>
        <v>0</v>
      </c>
      <c r="T359" s="469">
        <f t="shared" si="54"/>
        <v>0</v>
      </c>
      <c r="U359" s="469">
        <f t="shared" si="55"/>
        <v>0</v>
      </c>
      <c r="V359" s="468">
        <f t="shared" si="56"/>
        <v>0</v>
      </c>
    </row>
    <row r="360" spans="1:22" outlineLevel="1" x14ac:dyDescent="0.3">
      <c r="A360" s="937"/>
      <c r="B360" s="915"/>
      <c r="C360" s="937"/>
      <c r="D360" s="57"/>
      <c r="E360" s="58"/>
      <c r="F360" s="57"/>
      <c r="G360" s="57"/>
      <c r="H360" s="556"/>
      <c r="I360" s="556"/>
      <c r="J360" s="57">
        <f>(F358+(50*H360/1000))*I360*C358</f>
        <v>0</v>
      </c>
      <c r="K360" s="60" t="s">
        <v>63</v>
      </c>
      <c r="L360" s="556"/>
      <c r="M360" s="61"/>
      <c r="N360" s="556"/>
      <c r="O360" s="62"/>
      <c r="P360" s="54">
        <f t="shared" si="59"/>
        <v>0</v>
      </c>
      <c r="Q360" s="468">
        <f t="shared" si="51"/>
        <v>0</v>
      </c>
      <c r="R360" s="468">
        <f t="shared" si="52"/>
        <v>0</v>
      </c>
      <c r="S360" s="468">
        <f t="shared" si="53"/>
        <v>0</v>
      </c>
      <c r="T360" s="469">
        <f t="shared" si="54"/>
        <v>0</v>
      </c>
      <c r="U360" s="469">
        <f t="shared" si="55"/>
        <v>0</v>
      </c>
      <c r="V360" s="468">
        <f t="shared" si="56"/>
        <v>0</v>
      </c>
    </row>
    <row r="361" spans="1:22" outlineLevel="1" x14ac:dyDescent="0.3">
      <c r="A361" s="979"/>
      <c r="B361" s="980"/>
      <c r="C361" s="979"/>
      <c r="D361" s="70"/>
      <c r="E361" s="71"/>
      <c r="F361" s="70"/>
      <c r="G361" s="70"/>
      <c r="H361" s="557"/>
      <c r="I361" s="557"/>
      <c r="J361" s="70"/>
      <c r="K361" s="73" t="s">
        <v>64</v>
      </c>
      <c r="L361" s="557"/>
      <c r="M361" s="67"/>
      <c r="N361" s="558"/>
      <c r="O361" s="69"/>
      <c r="P361" s="54">
        <f t="shared" si="59"/>
        <v>0</v>
      </c>
      <c r="Q361" s="468">
        <f t="shared" si="51"/>
        <v>0</v>
      </c>
      <c r="R361" s="468">
        <f t="shared" si="52"/>
        <v>0</v>
      </c>
      <c r="S361" s="468">
        <f t="shared" si="53"/>
        <v>0</v>
      </c>
      <c r="T361" s="469">
        <f t="shared" si="54"/>
        <v>0</v>
      </c>
      <c r="U361" s="469">
        <f t="shared" si="55"/>
        <v>0</v>
      </c>
      <c r="V361" s="468">
        <f t="shared" si="56"/>
        <v>0</v>
      </c>
    </row>
    <row r="362" spans="1:22" outlineLevel="1" x14ac:dyDescent="0.3">
      <c r="A362" s="936">
        <v>12</v>
      </c>
      <c r="B362" s="914" t="s">
        <v>760</v>
      </c>
      <c r="C362" s="936">
        <v>4</v>
      </c>
      <c r="D362" s="48">
        <v>1.3</v>
      </c>
      <c r="E362" s="49">
        <v>0.23</v>
      </c>
      <c r="F362" s="48">
        <v>1.1000000000000001</v>
      </c>
      <c r="G362" s="48">
        <f>F362*E362*D362*C362</f>
        <v>1.3156000000000003</v>
      </c>
      <c r="H362" s="555">
        <v>16</v>
      </c>
      <c r="I362" s="555">
        <v>12</v>
      </c>
      <c r="J362" s="48">
        <f>(F362+(50*H362/1000))*I362*C362</f>
        <v>91.2</v>
      </c>
      <c r="K362" s="51" t="s">
        <v>66</v>
      </c>
      <c r="L362" s="555">
        <v>8</v>
      </c>
      <c r="M362" s="52">
        <v>0.1</v>
      </c>
      <c r="N362" s="555">
        <f>ROUND(((F362/2)/M362),0)+1</f>
        <v>7</v>
      </c>
      <c r="O362" s="53">
        <f>((((((((D362-0.08)+(E362-0.08))*2)+0.2)+((((E362-0.08)+0.2)*(((I362+I363+I364)/2)-2)))))))</f>
        <v>5.3900000000000006</v>
      </c>
      <c r="P362" s="54">
        <f>O362*N362*C362</f>
        <v>150.92000000000002</v>
      </c>
      <c r="Q362" s="468">
        <f t="shared" si="51"/>
        <v>0</v>
      </c>
      <c r="R362" s="468">
        <f t="shared" si="52"/>
        <v>0</v>
      </c>
      <c r="S362" s="468">
        <f t="shared" si="53"/>
        <v>91.2</v>
      </c>
      <c r="T362" s="469">
        <f t="shared" si="54"/>
        <v>0</v>
      </c>
      <c r="U362" s="469">
        <f t="shared" si="55"/>
        <v>0</v>
      </c>
      <c r="V362" s="468">
        <f t="shared" si="56"/>
        <v>0</v>
      </c>
    </row>
    <row r="363" spans="1:22" outlineLevel="1" x14ac:dyDescent="0.3">
      <c r="A363" s="937"/>
      <c r="B363" s="915"/>
      <c r="C363" s="937"/>
      <c r="D363" s="57"/>
      <c r="E363" s="58"/>
      <c r="F363" s="57"/>
      <c r="G363" s="57"/>
      <c r="H363" s="556">
        <v>12</v>
      </c>
      <c r="I363" s="556">
        <v>6</v>
      </c>
      <c r="J363" s="57">
        <f>(F362+(50*H363/1000))*I363*C362</f>
        <v>40.800000000000004</v>
      </c>
      <c r="K363" s="60" t="s">
        <v>63</v>
      </c>
      <c r="L363" s="556">
        <v>8</v>
      </c>
      <c r="M363" s="61">
        <v>0.15</v>
      </c>
      <c r="N363" s="556">
        <f>ROUND((F362/2)/M363,0)+1</f>
        <v>5</v>
      </c>
      <c r="O363" s="53">
        <f>((((((((D362-0.08)+(E362-0.08))*2)+0.2)+((((E362-0.08)+0.2)*(((I363+I362+I364)/2)-2)))))))</f>
        <v>5.3900000000000006</v>
      </c>
      <c r="P363" s="54">
        <f>O363*N363*C362</f>
        <v>107.80000000000001</v>
      </c>
      <c r="Q363" s="468">
        <f t="shared" si="51"/>
        <v>0</v>
      </c>
      <c r="R363" s="468">
        <f t="shared" si="52"/>
        <v>40.800000000000004</v>
      </c>
      <c r="S363" s="468">
        <f t="shared" si="53"/>
        <v>0</v>
      </c>
      <c r="T363" s="469">
        <f t="shared" si="54"/>
        <v>0</v>
      </c>
      <c r="U363" s="469">
        <f t="shared" si="55"/>
        <v>0</v>
      </c>
      <c r="V363" s="468">
        <f t="shared" si="56"/>
        <v>0</v>
      </c>
    </row>
    <row r="364" spans="1:22" outlineLevel="1" x14ac:dyDescent="0.3">
      <c r="A364" s="937"/>
      <c r="B364" s="915"/>
      <c r="C364" s="937"/>
      <c r="D364" s="57"/>
      <c r="E364" s="58"/>
      <c r="F364" s="57"/>
      <c r="G364" s="57"/>
      <c r="H364" s="556"/>
      <c r="I364" s="556"/>
      <c r="J364" s="57">
        <f>(F362+(50*H364/1000))*I364*C362</f>
        <v>0</v>
      </c>
      <c r="K364" s="60" t="s">
        <v>63</v>
      </c>
      <c r="L364" s="556"/>
      <c r="M364" s="61"/>
      <c r="N364" s="556"/>
      <c r="O364" s="62"/>
      <c r="P364" s="54">
        <f t="shared" ref="P364:P373" si="60">O364</f>
        <v>0</v>
      </c>
      <c r="Q364" s="468">
        <f t="shared" si="51"/>
        <v>0</v>
      </c>
      <c r="R364" s="468">
        <f t="shared" si="52"/>
        <v>0</v>
      </c>
      <c r="S364" s="468">
        <f t="shared" si="53"/>
        <v>0</v>
      </c>
      <c r="T364" s="469">
        <f t="shared" si="54"/>
        <v>0</v>
      </c>
      <c r="U364" s="469">
        <f t="shared" si="55"/>
        <v>0</v>
      </c>
      <c r="V364" s="468">
        <f t="shared" si="56"/>
        <v>0</v>
      </c>
    </row>
    <row r="365" spans="1:22" outlineLevel="1" x14ac:dyDescent="0.3">
      <c r="A365" s="979"/>
      <c r="B365" s="980"/>
      <c r="C365" s="979"/>
      <c r="D365" s="70"/>
      <c r="E365" s="71"/>
      <c r="F365" s="70"/>
      <c r="G365" s="70"/>
      <c r="H365" s="557"/>
      <c r="I365" s="557"/>
      <c r="J365" s="70"/>
      <c r="K365" s="73" t="s">
        <v>64</v>
      </c>
      <c r="L365" s="557"/>
      <c r="M365" s="67"/>
      <c r="N365" s="558"/>
      <c r="O365" s="69"/>
      <c r="P365" s="54">
        <f t="shared" si="60"/>
        <v>0</v>
      </c>
      <c r="Q365" s="468">
        <f t="shared" si="51"/>
        <v>0</v>
      </c>
      <c r="R365" s="468">
        <f t="shared" si="52"/>
        <v>0</v>
      </c>
      <c r="S365" s="468">
        <f t="shared" si="53"/>
        <v>0</v>
      </c>
      <c r="T365" s="469">
        <f t="shared" si="54"/>
        <v>0</v>
      </c>
      <c r="U365" s="469">
        <f t="shared" si="55"/>
        <v>0</v>
      </c>
      <c r="V365" s="468">
        <f t="shared" si="56"/>
        <v>0</v>
      </c>
    </row>
    <row r="366" spans="1:22" outlineLevel="1" x14ac:dyDescent="0.3">
      <c r="A366" s="936">
        <v>12</v>
      </c>
      <c r="B366" s="914" t="s">
        <v>759</v>
      </c>
      <c r="C366" s="936">
        <v>2</v>
      </c>
      <c r="D366" s="48">
        <v>1.3</v>
      </c>
      <c r="E366" s="49">
        <v>0.23</v>
      </c>
      <c r="F366" s="48">
        <v>2.2000000000000002</v>
      </c>
      <c r="G366" s="48">
        <f>F366*E366*D366*C366</f>
        <v>1.3156000000000003</v>
      </c>
      <c r="H366" s="661">
        <v>16</v>
      </c>
      <c r="I366" s="661">
        <v>12</v>
      </c>
      <c r="J366" s="48">
        <f>(F366+(50*H366/1000))*I366*C366</f>
        <v>72</v>
      </c>
      <c r="K366" s="51" t="s">
        <v>66</v>
      </c>
      <c r="L366" s="661">
        <v>8</v>
      </c>
      <c r="M366" s="52">
        <v>0.1</v>
      </c>
      <c r="N366" s="661">
        <f>ROUND(((F366/2)/M366),0)+1</f>
        <v>12</v>
      </c>
      <c r="O366" s="53">
        <f>((((((((D366-0.08)+(E366-0.08))*2)+0.2)+((((E366-0.08)+0.2)*(((I366+I367+I368)/2)-2)))))))</f>
        <v>5.3900000000000006</v>
      </c>
      <c r="P366" s="54">
        <f>O366*N366*C366</f>
        <v>129.36000000000001</v>
      </c>
      <c r="Q366" s="468">
        <f t="shared" ref="Q366:Q369" si="61">IF(H366=10,(J366),0)+IF(L366=10,(O366*N366),0)</f>
        <v>0</v>
      </c>
      <c r="R366" s="468">
        <f t="shared" ref="R366:R369" si="62">IF(H366=12,(J366),0)+IF(L366=12,(O366*N366),0)</f>
        <v>0</v>
      </c>
      <c r="S366" s="468">
        <f t="shared" ref="S366:S369" si="63">IF(H366=16,(J366),0)+IF(L366=16,(O366*N366),0)</f>
        <v>72</v>
      </c>
      <c r="T366" s="469">
        <f t="shared" ref="T366:T369" si="64">IF(H366=20,(J366),0)+IF(L366=20,(O366*N366),0)</f>
        <v>0</v>
      </c>
      <c r="U366" s="469">
        <f t="shared" ref="U366:U369" si="65">IF(H366=25,(J366),0)+IF(L366=25,(O366*N366),0)</f>
        <v>0</v>
      </c>
      <c r="V366" s="468">
        <f t="shared" ref="V366:V369" si="66">IF(H366=32,(J366),0)+IF(L366=32,(O366*N366),0)</f>
        <v>0</v>
      </c>
    </row>
    <row r="367" spans="1:22" outlineLevel="1" x14ac:dyDescent="0.3">
      <c r="A367" s="937"/>
      <c r="B367" s="915"/>
      <c r="C367" s="937"/>
      <c r="D367" s="57"/>
      <c r="E367" s="58"/>
      <c r="F367" s="57"/>
      <c r="G367" s="57"/>
      <c r="H367" s="662">
        <v>12</v>
      </c>
      <c r="I367" s="662">
        <v>6</v>
      </c>
      <c r="J367" s="57">
        <f>(F366+(50*H367/1000))*I367*C366</f>
        <v>33.6</v>
      </c>
      <c r="K367" s="60" t="s">
        <v>63</v>
      </c>
      <c r="L367" s="662">
        <v>8</v>
      </c>
      <c r="M367" s="61">
        <v>0.15</v>
      </c>
      <c r="N367" s="662">
        <f>ROUND((F366/2)/M367,0)+1</f>
        <v>8</v>
      </c>
      <c r="O367" s="53">
        <f>((((((((D366-0.08)+(E366-0.08))*2)+0.2)+((((E366-0.08)+0.2)*(((I367+I366+I368)/2)-2)))))))</f>
        <v>5.3900000000000006</v>
      </c>
      <c r="P367" s="54">
        <f>O367*N367*C366</f>
        <v>86.240000000000009</v>
      </c>
      <c r="Q367" s="468">
        <f t="shared" si="61"/>
        <v>0</v>
      </c>
      <c r="R367" s="468">
        <f t="shared" si="62"/>
        <v>33.6</v>
      </c>
      <c r="S367" s="468">
        <f t="shared" si="63"/>
        <v>0</v>
      </c>
      <c r="T367" s="469">
        <f t="shared" si="64"/>
        <v>0</v>
      </c>
      <c r="U367" s="469">
        <f t="shared" si="65"/>
        <v>0</v>
      </c>
      <c r="V367" s="468">
        <f t="shared" si="66"/>
        <v>0</v>
      </c>
    </row>
    <row r="368" spans="1:22" outlineLevel="1" x14ac:dyDescent="0.3">
      <c r="A368" s="937"/>
      <c r="B368" s="915"/>
      <c r="C368" s="937"/>
      <c r="D368" s="57"/>
      <c r="E368" s="58"/>
      <c r="F368" s="57"/>
      <c r="G368" s="57"/>
      <c r="H368" s="662"/>
      <c r="I368" s="662"/>
      <c r="J368" s="57">
        <f>(F366+(50*H368/1000))*I368*C366</f>
        <v>0</v>
      </c>
      <c r="K368" s="60" t="s">
        <v>63</v>
      </c>
      <c r="L368" s="662"/>
      <c r="M368" s="61"/>
      <c r="N368" s="662"/>
      <c r="O368" s="62"/>
      <c r="P368" s="54">
        <f t="shared" ref="P368:P369" si="67">O368</f>
        <v>0</v>
      </c>
      <c r="Q368" s="468">
        <f t="shared" si="61"/>
        <v>0</v>
      </c>
      <c r="R368" s="468">
        <f t="shared" si="62"/>
        <v>0</v>
      </c>
      <c r="S368" s="468">
        <f t="shared" si="63"/>
        <v>0</v>
      </c>
      <c r="T368" s="469">
        <f t="shared" si="64"/>
        <v>0</v>
      </c>
      <c r="U368" s="469">
        <f t="shared" si="65"/>
        <v>0</v>
      </c>
      <c r="V368" s="468">
        <f t="shared" si="66"/>
        <v>0</v>
      </c>
    </row>
    <row r="369" spans="1:22" outlineLevel="1" x14ac:dyDescent="0.3">
      <c r="A369" s="979"/>
      <c r="B369" s="980"/>
      <c r="C369" s="979"/>
      <c r="D369" s="70"/>
      <c r="E369" s="71"/>
      <c r="F369" s="70"/>
      <c r="G369" s="70"/>
      <c r="H369" s="664"/>
      <c r="I369" s="664"/>
      <c r="J369" s="70"/>
      <c r="K369" s="73" t="s">
        <v>64</v>
      </c>
      <c r="L369" s="664"/>
      <c r="M369" s="67"/>
      <c r="N369" s="663"/>
      <c r="O369" s="69"/>
      <c r="P369" s="54">
        <f t="shared" si="67"/>
        <v>0</v>
      </c>
      <c r="Q369" s="468">
        <f t="shared" si="61"/>
        <v>0</v>
      </c>
      <c r="R369" s="468">
        <f t="shared" si="62"/>
        <v>0</v>
      </c>
      <c r="S369" s="468">
        <f t="shared" si="63"/>
        <v>0</v>
      </c>
      <c r="T369" s="469">
        <f t="shared" si="64"/>
        <v>0</v>
      </c>
      <c r="U369" s="469">
        <f t="shared" si="65"/>
        <v>0</v>
      </c>
      <c r="V369" s="468">
        <f t="shared" si="66"/>
        <v>0</v>
      </c>
    </row>
    <row r="370" spans="1:22" outlineLevel="1" x14ac:dyDescent="0.3">
      <c r="A370" s="936">
        <v>13</v>
      </c>
      <c r="B370" s="914" t="s">
        <v>79</v>
      </c>
      <c r="C370" s="936">
        <v>1</v>
      </c>
      <c r="D370" s="48">
        <v>1.8</v>
      </c>
      <c r="E370" s="49">
        <v>0.23</v>
      </c>
      <c r="F370" s="48">
        <v>1.1000000000000001</v>
      </c>
      <c r="G370" s="48">
        <f>F370*E370*D370*C370</f>
        <v>0.45540000000000014</v>
      </c>
      <c r="H370" s="555">
        <v>16</v>
      </c>
      <c r="I370" s="555">
        <v>26</v>
      </c>
      <c r="J370" s="48">
        <f>(F370+(50*H370/1000))*I370*C370</f>
        <v>49.400000000000006</v>
      </c>
      <c r="K370" s="51" t="s">
        <v>66</v>
      </c>
      <c r="L370" s="555">
        <v>8</v>
      </c>
      <c r="M370" s="52">
        <v>0.1</v>
      </c>
      <c r="N370" s="555">
        <f>ROUND(((F370/2)/M370),0)+1</f>
        <v>7</v>
      </c>
      <c r="O370" s="53">
        <f>((((((((D370-0.08)+(E370-0.08))*2)+0.2)+((((E370-0.08)+0.2)*(((I370+I371+I372)/2)-2)))))))</f>
        <v>7.7900000000000009</v>
      </c>
      <c r="P370" s="54">
        <f>O370*N370*C370</f>
        <v>54.530000000000008</v>
      </c>
      <c r="Q370" s="468">
        <f t="shared" si="51"/>
        <v>0</v>
      </c>
      <c r="R370" s="468">
        <f t="shared" si="52"/>
        <v>0</v>
      </c>
      <c r="S370" s="468">
        <f t="shared" si="53"/>
        <v>49.400000000000006</v>
      </c>
      <c r="T370" s="469">
        <f t="shared" si="54"/>
        <v>0</v>
      </c>
      <c r="U370" s="469">
        <f t="shared" si="55"/>
        <v>0</v>
      </c>
      <c r="V370" s="468">
        <f t="shared" si="56"/>
        <v>0</v>
      </c>
    </row>
    <row r="371" spans="1:22" outlineLevel="1" x14ac:dyDescent="0.3">
      <c r="A371" s="937"/>
      <c r="B371" s="915"/>
      <c r="C371" s="937"/>
      <c r="D371" s="57"/>
      <c r="E371" s="58"/>
      <c r="F371" s="57"/>
      <c r="G371" s="57"/>
      <c r="H371" s="556"/>
      <c r="I371" s="556"/>
      <c r="J371" s="57">
        <f>(F370+(50*H371/1000))*I371*C370</f>
        <v>0</v>
      </c>
      <c r="K371" s="60" t="s">
        <v>63</v>
      </c>
      <c r="L371" s="556">
        <v>8</v>
      </c>
      <c r="M371" s="61">
        <v>0.15</v>
      </c>
      <c r="N371" s="556">
        <f>ROUND((F370/2)/M371,0)+1</f>
        <v>5</v>
      </c>
      <c r="O371" s="53">
        <f>((((((((D370-0.08)+(E370-0.08))*2)+0.2)+((((E370-0.08)+0.2)*(((I371+I370+I372)/2)-2)))))))</f>
        <v>7.7900000000000009</v>
      </c>
      <c r="P371" s="54">
        <f>O371*N371*C370</f>
        <v>38.950000000000003</v>
      </c>
      <c r="Q371" s="468">
        <f t="shared" ref="Q371:Q434" si="68">IF(H371=10,(J371),0)+IF(L371=10,(O371*N371),0)</f>
        <v>0</v>
      </c>
      <c r="R371" s="468">
        <f t="shared" ref="R371:R434" si="69">IF(H371=12,(J371),0)+IF(L371=12,(O371*N371),0)</f>
        <v>0</v>
      </c>
      <c r="S371" s="468">
        <f t="shared" ref="S371:S434" si="70">IF(H371=16,(J371),0)+IF(L371=16,(O371*N371),0)</f>
        <v>0</v>
      </c>
      <c r="T371" s="469">
        <f t="shared" ref="T371:T434" si="71">IF(H371=20,(J371),0)+IF(L371=20,(O371*N371),0)</f>
        <v>0</v>
      </c>
      <c r="U371" s="469">
        <f t="shared" ref="U371:U434" si="72">IF(H371=25,(J371),0)+IF(L371=25,(O371*N371),0)</f>
        <v>0</v>
      </c>
      <c r="V371" s="468">
        <f t="shared" ref="V371:V434" si="73">IF(H371=32,(J371),0)+IF(L371=32,(O371*N371),0)</f>
        <v>0</v>
      </c>
    </row>
    <row r="372" spans="1:22" outlineLevel="1" x14ac:dyDescent="0.3">
      <c r="A372" s="937"/>
      <c r="B372" s="915"/>
      <c r="C372" s="937"/>
      <c r="D372" s="57"/>
      <c r="E372" s="58"/>
      <c r="F372" s="57"/>
      <c r="G372" s="57"/>
      <c r="H372" s="556"/>
      <c r="I372" s="556"/>
      <c r="J372" s="57">
        <f>(F370+(50*H372/1000))*I372*C370</f>
        <v>0</v>
      </c>
      <c r="K372" s="60" t="s">
        <v>63</v>
      </c>
      <c r="L372" s="556"/>
      <c r="M372" s="61"/>
      <c r="N372" s="556"/>
      <c r="O372" s="62"/>
      <c r="P372" s="54">
        <f t="shared" si="60"/>
        <v>0</v>
      </c>
      <c r="Q372" s="468">
        <f t="shared" si="68"/>
        <v>0</v>
      </c>
      <c r="R372" s="468">
        <f t="shared" si="69"/>
        <v>0</v>
      </c>
      <c r="S372" s="468">
        <f t="shared" si="70"/>
        <v>0</v>
      </c>
      <c r="T372" s="469">
        <f t="shared" si="71"/>
        <v>0</v>
      </c>
      <c r="U372" s="469">
        <f t="shared" si="72"/>
        <v>0</v>
      </c>
      <c r="V372" s="468">
        <f t="shared" si="73"/>
        <v>0</v>
      </c>
    </row>
    <row r="373" spans="1:22" outlineLevel="1" x14ac:dyDescent="0.3">
      <c r="A373" s="979"/>
      <c r="B373" s="980"/>
      <c r="C373" s="979"/>
      <c r="D373" s="70"/>
      <c r="E373" s="71"/>
      <c r="F373" s="70"/>
      <c r="G373" s="70"/>
      <c r="H373" s="557"/>
      <c r="I373" s="557"/>
      <c r="J373" s="70"/>
      <c r="K373" s="73" t="s">
        <v>64</v>
      </c>
      <c r="L373" s="557"/>
      <c r="M373" s="67"/>
      <c r="N373" s="558"/>
      <c r="O373" s="69"/>
      <c r="P373" s="54">
        <f t="shared" si="60"/>
        <v>0</v>
      </c>
      <c r="Q373" s="468">
        <f t="shared" si="68"/>
        <v>0</v>
      </c>
      <c r="R373" s="468">
        <f t="shared" si="69"/>
        <v>0</v>
      </c>
      <c r="S373" s="468">
        <f t="shared" si="70"/>
        <v>0</v>
      </c>
      <c r="T373" s="469">
        <f t="shared" si="71"/>
        <v>0</v>
      </c>
      <c r="U373" s="469">
        <f t="shared" si="72"/>
        <v>0</v>
      </c>
      <c r="V373" s="468">
        <f t="shared" si="73"/>
        <v>0</v>
      </c>
    </row>
    <row r="374" spans="1:22" outlineLevel="1" x14ac:dyDescent="0.3">
      <c r="A374" s="936">
        <v>13</v>
      </c>
      <c r="B374" s="914" t="s">
        <v>80</v>
      </c>
      <c r="C374" s="936">
        <v>1</v>
      </c>
      <c r="D374" s="48">
        <v>1.8</v>
      </c>
      <c r="E374" s="49">
        <v>0.23</v>
      </c>
      <c r="F374" s="48">
        <v>1.1000000000000001</v>
      </c>
      <c r="G374" s="48">
        <f>F374*E374*D374*C374</f>
        <v>0.45540000000000014</v>
      </c>
      <c r="H374" s="555">
        <v>16</v>
      </c>
      <c r="I374" s="555">
        <v>26</v>
      </c>
      <c r="J374" s="48">
        <f>(F374+(50*H374/1000))*I374*C374</f>
        <v>49.400000000000006</v>
      </c>
      <c r="K374" s="51" t="s">
        <v>66</v>
      </c>
      <c r="L374" s="555">
        <v>8</v>
      </c>
      <c r="M374" s="52">
        <v>0.1</v>
      </c>
      <c r="N374" s="555">
        <f>ROUND(((F374/2)/M374),0)+1</f>
        <v>7</v>
      </c>
      <c r="O374" s="53">
        <f>((((((((D374-0.08)+(E374-0.08))*2)+0.2)+((((E374-0.08)+0.2)*(((I374+I375+I376)/2)-2)))))))</f>
        <v>7.7900000000000009</v>
      </c>
      <c r="P374" s="54">
        <f>O374*N374*C374</f>
        <v>54.530000000000008</v>
      </c>
      <c r="Q374" s="468">
        <f t="shared" si="68"/>
        <v>0</v>
      </c>
      <c r="R374" s="468">
        <f t="shared" si="69"/>
        <v>0</v>
      </c>
      <c r="S374" s="468">
        <f t="shared" si="70"/>
        <v>49.400000000000006</v>
      </c>
      <c r="T374" s="469">
        <f t="shared" si="71"/>
        <v>0</v>
      </c>
      <c r="U374" s="469">
        <f t="shared" si="72"/>
        <v>0</v>
      </c>
      <c r="V374" s="468">
        <f t="shared" si="73"/>
        <v>0</v>
      </c>
    </row>
    <row r="375" spans="1:22" outlineLevel="1" x14ac:dyDescent="0.3">
      <c r="A375" s="937"/>
      <c r="B375" s="915"/>
      <c r="C375" s="937"/>
      <c r="D375" s="57"/>
      <c r="E375" s="58"/>
      <c r="F375" s="57"/>
      <c r="G375" s="57"/>
      <c r="H375" s="556"/>
      <c r="I375" s="556"/>
      <c r="J375" s="57">
        <f>(F374+(50*H375/1000))*I375*C374</f>
        <v>0</v>
      </c>
      <c r="K375" s="60" t="s">
        <v>63</v>
      </c>
      <c r="L375" s="556">
        <v>8</v>
      </c>
      <c r="M375" s="61">
        <v>0.15</v>
      </c>
      <c r="N375" s="556">
        <f>ROUND((F374/2)/M375,0)+1</f>
        <v>5</v>
      </c>
      <c r="O375" s="53">
        <f>((((((((D374-0.08)+(E374-0.08))*2)+0.2)+((((E374-0.08)+0.2)*(((I375+I374+I376)/2)-2)))))))</f>
        <v>7.7900000000000009</v>
      </c>
      <c r="P375" s="54">
        <f>O375*N375*C374</f>
        <v>38.950000000000003</v>
      </c>
      <c r="Q375" s="468">
        <f t="shared" si="68"/>
        <v>0</v>
      </c>
      <c r="R375" s="468">
        <f t="shared" si="69"/>
        <v>0</v>
      </c>
      <c r="S375" s="468">
        <f t="shared" si="70"/>
        <v>0</v>
      </c>
      <c r="T375" s="469">
        <f t="shared" si="71"/>
        <v>0</v>
      </c>
      <c r="U375" s="469">
        <f t="shared" si="72"/>
        <v>0</v>
      </c>
      <c r="V375" s="468">
        <f t="shared" si="73"/>
        <v>0</v>
      </c>
    </row>
    <row r="376" spans="1:22" outlineLevel="1" x14ac:dyDescent="0.3">
      <c r="A376" s="937"/>
      <c r="B376" s="915"/>
      <c r="C376" s="937"/>
      <c r="D376" s="57"/>
      <c r="E376" s="58"/>
      <c r="F376" s="57"/>
      <c r="G376" s="57"/>
      <c r="H376" s="556"/>
      <c r="I376" s="556"/>
      <c r="J376" s="57">
        <f>(F374+(50*H376/1000))*I376*C374</f>
        <v>0</v>
      </c>
      <c r="K376" s="60" t="s">
        <v>63</v>
      </c>
      <c r="L376" s="556"/>
      <c r="M376" s="61"/>
      <c r="N376" s="556"/>
      <c r="O376" s="62"/>
      <c r="P376" s="54">
        <f t="shared" ref="P376:P381" si="74">O376</f>
        <v>0</v>
      </c>
      <c r="Q376" s="468">
        <f t="shared" si="68"/>
        <v>0</v>
      </c>
      <c r="R376" s="468">
        <f t="shared" si="69"/>
        <v>0</v>
      </c>
      <c r="S376" s="468">
        <f t="shared" si="70"/>
        <v>0</v>
      </c>
      <c r="T376" s="469">
        <f t="shared" si="71"/>
        <v>0</v>
      </c>
      <c r="U376" s="469">
        <f t="shared" si="72"/>
        <v>0</v>
      </c>
      <c r="V376" s="468">
        <f t="shared" si="73"/>
        <v>0</v>
      </c>
    </row>
    <row r="377" spans="1:22" outlineLevel="1" x14ac:dyDescent="0.3">
      <c r="A377" s="979"/>
      <c r="B377" s="980"/>
      <c r="C377" s="979"/>
      <c r="D377" s="70"/>
      <c r="E377" s="71"/>
      <c r="F377" s="70"/>
      <c r="G377" s="70"/>
      <c r="H377" s="557"/>
      <c r="I377" s="557"/>
      <c r="J377" s="70"/>
      <c r="K377" s="73" t="s">
        <v>64</v>
      </c>
      <c r="L377" s="557"/>
      <c r="M377" s="67"/>
      <c r="N377" s="558"/>
      <c r="O377" s="69"/>
      <c r="P377" s="54">
        <f t="shared" si="74"/>
        <v>0</v>
      </c>
      <c r="Q377" s="468">
        <f t="shared" si="68"/>
        <v>0</v>
      </c>
      <c r="R377" s="468">
        <f t="shared" si="69"/>
        <v>0</v>
      </c>
      <c r="S377" s="468">
        <f t="shared" si="70"/>
        <v>0</v>
      </c>
      <c r="T377" s="469">
        <f t="shared" si="71"/>
        <v>0</v>
      </c>
      <c r="U377" s="469">
        <f t="shared" si="72"/>
        <v>0</v>
      </c>
      <c r="V377" s="468">
        <f t="shared" si="73"/>
        <v>0</v>
      </c>
    </row>
    <row r="378" spans="1:22" outlineLevel="1" x14ac:dyDescent="0.3">
      <c r="A378" s="936">
        <v>14</v>
      </c>
      <c r="B378" s="914" t="s">
        <v>81</v>
      </c>
      <c r="C378" s="936">
        <v>1</v>
      </c>
      <c r="D378" s="48">
        <v>2.1</v>
      </c>
      <c r="E378" s="49">
        <v>0.23</v>
      </c>
      <c r="F378" s="48">
        <v>2.2000000000000002</v>
      </c>
      <c r="G378" s="48">
        <f>F378*E378*D378*C378</f>
        <v>1.0626000000000002</v>
      </c>
      <c r="H378" s="556">
        <v>20</v>
      </c>
      <c r="I378" s="556">
        <v>4</v>
      </c>
      <c r="J378" s="48">
        <f>(F378+(50*H378/1000))*I378*C378</f>
        <v>12.8</v>
      </c>
      <c r="K378" s="51" t="s">
        <v>66</v>
      </c>
      <c r="L378" s="555">
        <v>8</v>
      </c>
      <c r="M378" s="52">
        <v>0.1</v>
      </c>
      <c r="N378" s="555">
        <f>ROUND(((F378/2)/M378),0)+1</f>
        <v>12</v>
      </c>
      <c r="O378" s="53">
        <f>((((((((D378-0.08)+(E378-0.08))*2)+0.2)+((((E378-0.08)+0.2)*(((I378+I379+I380)/2)-2)))))))</f>
        <v>9.09</v>
      </c>
      <c r="P378" s="54">
        <f>O378*N378*C378</f>
        <v>109.08</v>
      </c>
      <c r="Q378" s="468">
        <f t="shared" si="68"/>
        <v>0</v>
      </c>
      <c r="R378" s="468">
        <f t="shared" si="69"/>
        <v>0</v>
      </c>
      <c r="S378" s="468">
        <f t="shared" si="70"/>
        <v>0</v>
      </c>
      <c r="T378" s="469">
        <f t="shared" si="71"/>
        <v>12.8</v>
      </c>
      <c r="U378" s="469">
        <f t="shared" si="72"/>
        <v>0</v>
      </c>
      <c r="V378" s="468">
        <f t="shared" si="73"/>
        <v>0</v>
      </c>
    </row>
    <row r="379" spans="1:22" outlineLevel="1" x14ac:dyDescent="0.3">
      <c r="A379" s="937"/>
      <c r="B379" s="915"/>
      <c r="C379" s="937"/>
      <c r="D379" s="57"/>
      <c r="E379" s="58"/>
      <c r="F379" s="57"/>
      <c r="G379" s="57"/>
      <c r="H379" s="556">
        <v>16</v>
      </c>
      <c r="I379" s="556">
        <v>26</v>
      </c>
      <c r="J379" s="57">
        <f>(F378+(50*H379/1000))*I379*C378</f>
        <v>78</v>
      </c>
      <c r="K379" s="60" t="s">
        <v>63</v>
      </c>
      <c r="L379" s="556">
        <v>8</v>
      </c>
      <c r="M379" s="61">
        <v>0.15</v>
      </c>
      <c r="N379" s="556">
        <f>ROUND((F378/2)/M379,0)+1</f>
        <v>8</v>
      </c>
      <c r="O379" s="53">
        <f>((((((((D378-0.08)+(E378-0.08))*2)+0.2)+((((E378-0.08)+0.2)*(((I379+I378+I380)/2)-2)))))))</f>
        <v>9.09</v>
      </c>
      <c r="P379" s="54">
        <f>O379*N379*C378</f>
        <v>72.72</v>
      </c>
      <c r="Q379" s="468">
        <f t="shared" si="68"/>
        <v>0</v>
      </c>
      <c r="R379" s="468">
        <f t="shared" si="69"/>
        <v>0</v>
      </c>
      <c r="S379" s="468">
        <f t="shared" si="70"/>
        <v>78</v>
      </c>
      <c r="T379" s="469">
        <f t="shared" si="71"/>
        <v>0</v>
      </c>
      <c r="U379" s="469">
        <f t="shared" si="72"/>
        <v>0</v>
      </c>
      <c r="V379" s="468">
        <f t="shared" si="73"/>
        <v>0</v>
      </c>
    </row>
    <row r="380" spans="1:22" outlineLevel="1" x14ac:dyDescent="0.3">
      <c r="A380" s="937"/>
      <c r="B380" s="915"/>
      <c r="C380" s="937"/>
      <c r="D380" s="57"/>
      <c r="E380" s="58"/>
      <c r="F380" s="57"/>
      <c r="G380" s="57"/>
      <c r="H380" s="556"/>
      <c r="I380" s="556"/>
      <c r="J380" s="57"/>
      <c r="K380" s="60" t="s">
        <v>63</v>
      </c>
      <c r="L380" s="556"/>
      <c r="M380" s="61"/>
      <c r="N380" s="556"/>
      <c r="O380" s="62"/>
      <c r="P380" s="54">
        <f t="shared" si="74"/>
        <v>0</v>
      </c>
      <c r="Q380" s="468">
        <f t="shared" si="68"/>
        <v>0</v>
      </c>
      <c r="R380" s="468">
        <f t="shared" si="69"/>
        <v>0</v>
      </c>
      <c r="S380" s="468">
        <f t="shared" si="70"/>
        <v>0</v>
      </c>
      <c r="T380" s="469">
        <f t="shared" si="71"/>
        <v>0</v>
      </c>
      <c r="U380" s="469">
        <f t="shared" si="72"/>
        <v>0</v>
      </c>
      <c r="V380" s="468">
        <f t="shared" si="73"/>
        <v>0</v>
      </c>
    </row>
    <row r="381" spans="1:22" outlineLevel="1" x14ac:dyDescent="0.3">
      <c r="A381" s="979"/>
      <c r="B381" s="980"/>
      <c r="C381" s="979"/>
      <c r="D381" s="70"/>
      <c r="E381" s="71"/>
      <c r="F381" s="70"/>
      <c r="G381" s="70"/>
      <c r="H381" s="557"/>
      <c r="I381" s="557"/>
      <c r="J381" s="70"/>
      <c r="K381" s="73" t="s">
        <v>64</v>
      </c>
      <c r="L381" s="557"/>
      <c r="M381" s="67"/>
      <c r="N381" s="558"/>
      <c r="O381" s="69"/>
      <c r="P381" s="54">
        <f t="shared" si="74"/>
        <v>0</v>
      </c>
      <c r="Q381" s="468">
        <f t="shared" si="68"/>
        <v>0</v>
      </c>
      <c r="R381" s="468">
        <f t="shared" si="69"/>
        <v>0</v>
      </c>
      <c r="S381" s="468">
        <f t="shared" si="70"/>
        <v>0</v>
      </c>
      <c r="T381" s="469">
        <f t="shared" si="71"/>
        <v>0</v>
      </c>
      <c r="U381" s="469">
        <f t="shared" si="72"/>
        <v>0</v>
      </c>
      <c r="V381" s="468">
        <f t="shared" si="73"/>
        <v>0</v>
      </c>
    </row>
    <row r="382" spans="1:22" outlineLevel="1" x14ac:dyDescent="0.3">
      <c r="A382" s="936">
        <v>15</v>
      </c>
      <c r="B382" s="914" t="s">
        <v>82</v>
      </c>
      <c r="C382" s="936">
        <v>2</v>
      </c>
      <c r="D382" s="48">
        <v>1.6</v>
      </c>
      <c r="E382" s="49">
        <v>0.23</v>
      </c>
      <c r="F382" s="48">
        <v>1.1000000000000001</v>
      </c>
      <c r="G382" s="48">
        <f>F382*E382*D382*C382</f>
        <v>0.80960000000000021</v>
      </c>
      <c r="H382" s="555">
        <v>16</v>
      </c>
      <c r="I382" s="555">
        <v>12</v>
      </c>
      <c r="J382" s="48">
        <f>(F382+(50*H382/1000))*I382*C382</f>
        <v>45.6</v>
      </c>
      <c r="K382" s="51" t="s">
        <v>66</v>
      </c>
      <c r="L382" s="555">
        <v>8</v>
      </c>
      <c r="M382" s="52">
        <v>0.1</v>
      </c>
      <c r="N382" s="555">
        <f>ROUND(((F382/2)/M382),0)+1</f>
        <v>7</v>
      </c>
      <c r="O382" s="53">
        <f>((((((((D382-0.08)+(E382-0.08))*2)+0.2)+((((E382-0.08)+0.2)*(((I382+I383+I384)/2)-2)))))))</f>
        <v>7.0400000000000009</v>
      </c>
      <c r="P382" s="54">
        <f>O382*N382*C382</f>
        <v>98.560000000000016</v>
      </c>
      <c r="Q382" s="468">
        <f t="shared" si="68"/>
        <v>0</v>
      </c>
      <c r="R382" s="468">
        <f t="shared" si="69"/>
        <v>0</v>
      </c>
      <c r="S382" s="468">
        <f t="shared" si="70"/>
        <v>45.6</v>
      </c>
      <c r="T382" s="469">
        <f t="shared" si="71"/>
        <v>0</v>
      </c>
      <c r="U382" s="469">
        <f t="shared" si="72"/>
        <v>0</v>
      </c>
      <c r="V382" s="468">
        <f t="shared" si="73"/>
        <v>0</v>
      </c>
    </row>
    <row r="383" spans="1:22" outlineLevel="1" x14ac:dyDescent="0.3">
      <c r="A383" s="937"/>
      <c r="B383" s="915"/>
      <c r="C383" s="937"/>
      <c r="D383" s="57"/>
      <c r="E383" s="58"/>
      <c r="F383" s="57"/>
      <c r="G383" s="57"/>
      <c r="H383" s="556">
        <v>12</v>
      </c>
      <c r="I383" s="556">
        <v>12</v>
      </c>
      <c r="J383" s="57">
        <f>(F382+(50*H383/1000))*I383*C382</f>
        <v>40.800000000000004</v>
      </c>
      <c r="K383" s="60" t="s">
        <v>63</v>
      </c>
      <c r="L383" s="556">
        <v>8</v>
      </c>
      <c r="M383" s="61">
        <v>0.15</v>
      </c>
      <c r="N383" s="556">
        <f>ROUND((F382/2)/M383,0)+1</f>
        <v>5</v>
      </c>
      <c r="O383" s="53">
        <f>((((((((D382-0.08)+(E382-0.08))*2)+0.2)+((((E382-0.08)+0.2)*(((I383+I382+I384)/2)-2)))))))</f>
        <v>7.0400000000000009</v>
      </c>
      <c r="P383" s="54">
        <f>O383*N383*C382</f>
        <v>70.400000000000006</v>
      </c>
      <c r="Q383" s="468">
        <f t="shared" si="68"/>
        <v>0</v>
      </c>
      <c r="R383" s="468">
        <f t="shared" si="69"/>
        <v>40.800000000000004</v>
      </c>
      <c r="S383" s="468">
        <f t="shared" si="70"/>
        <v>0</v>
      </c>
      <c r="T383" s="469">
        <f t="shared" si="71"/>
        <v>0</v>
      </c>
      <c r="U383" s="469">
        <f t="shared" si="72"/>
        <v>0</v>
      </c>
      <c r="V383" s="468">
        <f t="shared" si="73"/>
        <v>0</v>
      </c>
    </row>
    <row r="384" spans="1:22" outlineLevel="1" x14ac:dyDescent="0.3">
      <c r="A384" s="937"/>
      <c r="B384" s="915"/>
      <c r="C384" s="937"/>
      <c r="D384" s="57"/>
      <c r="E384" s="58"/>
      <c r="F384" s="57"/>
      <c r="G384" s="57"/>
      <c r="H384" s="556"/>
      <c r="I384" s="556"/>
      <c r="J384" s="57">
        <f>(F382+(50*H384/1000))*I384*C382</f>
        <v>0</v>
      </c>
      <c r="K384" s="60" t="s">
        <v>63</v>
      </c>
      <c r="L384" s="556"/>
      <c r="M384" s="61"/>
      <c r="N384" s="556"/>
      <c r="O384" s="62"/>
      <c r="P384" s="54">
        <f t="shared" ref="P384:P390" si="75">O384</f>
        <v>0</v>
      </c>
      <c r="Q384" s="468">
        <f t="shared" si="68"/>
        <v>0</v>
      </c>
      <c r="R384" s="468">
        <f t="shared" si="69"/>
        <v>0</v>
      </c>
      <c r="S384" s="468">
        <f t="shared" si="70"/>
        <v>0</v>
      </c>
      <c r="T384" s="469">
        <f t="shared" si="71"/>
        <v>0</v>
      </c>
      <c r="U384" s="469">
        <f t="shared" si="72"/>
        <v>0</v>
      </c>
      <c r="V384" s="468">
        <f t="shared" si="73"/>
        <v>0</v>
      </c>
    </row>
    <row r="385" spans="1:22" outlineLevel="1" x14ac:dyDescent="0.3">
      <c r="A385" s="979"/>
      <c r="B385" s="980"/>
      <c r="C385" s="979"/>
      <c r="D385" s="70"/>
      <c r="E385" s="71"/>
      <c r="F385" s="70"/>
      <c r="G385" s="70"/>
      <c r="H385" s="557"/>
      <c r="I385" s="557"/>
      <c r="J385" s="70"/>
      <c r="K385" s="73" t="s">
        <v>64</v>
      </c>
      <c r="L385" s="557"/>
      <c r="M385" s="67"/>
      <c r="N385" s="558"/>
      <c r="O385" s="69"/>
      <c r="P385" s="54">
        <f t="shared" si="75"/>
        <v>0</v>
      </c>
      <c r="Q385" s="468">
        <f t="shared" si="68"/>
        <v>0</v>
      </c>
      <c r="R385" s="468">
        <f t="shared" si="69"/>
        <v>0</v>
      </c>
      <c r="S385" s="468">
        <f t="shared" si="70"/>
        <v>0</v>
      </c>
      <c r="T385" s="469">
        <f t="shared" si="71"/>
        <v>0</v>
      </c>
      <c r="U385" s="469">
        <f t="shared" si="72"/>
        <v>0</v>
      </c>
      <c r="V385" s="468">
        <f t="shared" si="73"/>
        <v>0</v>
      </c>
    </row>
    <row r="386" spans="1:22" outlineLevel="1" x14ac:dyDescent="0.3">
      <c r="A386" s="936">
        <v>16</v>
      </c>
      <c r="B386" s="917" t="s">
        <v>83</v>
      </c>
      <c r="C386" s="981">
        <v>2</v>
      </c>
      <c r="D386" s="48">
        <v>1.6</v>
      </c>
      <c r="E386" s="49">
        <v>0.23</v>
      </c>
      <c r="F386" s="48">
        <v>1.1000000000000001</v>
      </c>
      <c r="G386" s="48">
        <f>F386*E386*D386*C386</f>
        <v>0.80960000000000021</v>
      </c>
      <c r="H386" s="555">
        <v>16</v>
      </c>
      <c r="I386" s="555">
        <v>20</v>
      </c>
      <c r="J386" s="48">
        <f>(F386+(50*H386/1000))*I386*C386</f>
        <v>76</v>
      </c>
      <c r="K386" s="51" t="s">
        <v>84</v>
      </c>
      <c r="L386" s="555">
        <v>8</v>
      </c>
      <c r="M386" s="52">
        <v>0.1</v>
      </c>
      <c r="N386" s="555">
        <f>ROUND(((F386/2)/M386),0)+1</f>
        <v>7</v>
      </c>
      <c r="O386" s="53">
        <f>((((((((D386-0.08)+(E386-0.08))*2)+0.2)+((((E386-0.08)+0.2)*(((I386+I387+I388)/2)-2)))))))</f>
        <v>6.69</v>
      </c>
      <c r="P386" s="54">
        <f>O386*N386*C386</f>
        <v>93.660000000000011</v>
      </c>
      <c r="Q386" s="468">
        <f t="shared" si="68"/>
        <v>0</v>
      </c>
      <c r="R386" s="468">
        <f t="shared" si="69"/>
        <v>0</v>
      </c>
      <c r="S386" s="468">
        <f t="shared" si="70"/>
        <v>76</v>
      </c>
      <c r="T386" s="469">
        <f t="shared" si="71"/>
        <v>0</v>
      </c>
      <c r="U386" s="469">
        <f t="shared" si="72"/>
        <v>0</v>
      </c>
      <c r="V386" s="468">
        <f t="shared" si="73"/>
        <v>0</v>
      </c>
    </row>
    <row r="387" spans="1:22" outlineLevel="1" x14ac:dyDescent="0.3">
      <c r="A387" s="937"/>
      <c r="B387" s="918"/>
      <c r="C387" s="982"/>
      <c r="D387" s="57"/>
      <c r="E387" s="58"/>
      <c r="F387" s="57"/>
      <c r="G387" s="57"/>
      <c r="H387" s="556">
        <v>12</v>
      </c>
      <c r="I387" s="556">
        <v>2</v>
      </c>
      <c r="J387" s="57">
        <f>(F386+(50*H387/1000))*I387*C386</f>
        <v>6.8000000000000007</v>
      </c>
      <c r="K387" s="51" t="s">
        <v>84</v>
      </c>
      <c r="L387" s="556">
        <v>8</v>
      </c>
      <c r="M387" s="61">
        <v>0.15</v>
      </c>
      <c r="N387" s="556">
        <f>ROUND((F386/2)/M387,0)+1</f>
        <v>5</v>
      </c>
      <c r="O387" s="53">
        <f>((((((((D386-0.08)+(E386-0.08))*2)+0.2)+((((E386-0.08)+0.2)*(((I387+I386+I388)/2)-2)))))))</f>
        <v>6.69</v>
      </c>
      <c r="P387" s="54">
        <f>O387*N387*C386</f>
        <v>66.900000000000006</v>
      </c>
      <c r="Q387" s="468">
        <f t="shared" si="68"/>
        <v>0</v>
      </c>
      <c r="R387" s="468">
        <f t="shared" si="69"/>
        <v>6.8000000000000007</v>
      </c>
      <c r="S387" s="468">
        <f t="shared" si="70"/>
        <v>0</v>
      </c>
      <c r="T387" s="469">
        <f t="shared" si="71"/>
        <v>0</v>
      </c>
      <c r="U387" s="469">
        <f t="shared" si="72"/>
        <v>0</v>
      </c>
      <c r="V387" s="468">
        <f t="shared" si="73"/>
        <v>0</v>
      </c>
    </row>
    <row r="388" spans="1:22" outlineLevel="1" x14ac:dyDescent="0.3">
      <c r="A388" s="937"/>
      <c r="B388" s="918"/>
      <c r="C388" s="982"/>
      <c r="D388" s="57"/>
      <c r="E388" s="58"/>
      <c r="F388" s="57"/>
      <c r="G388" s="57"/>
      <c r="H388" s="556"/>
      <c r="I388" s="556"/>
      <c r="J388" s="57">
        <f>(F386+(50*H388/1000))*I388*C386</f>
        <v>0</v>
      </c>
      <c r="K388" s="60"/>
      <c r="L388" s="556"/>
      <c r="M388" s="61"/>
      <c r="N388" s="556"/>
      <c r="O388" s="62"/>
      <c r="P388" s="54">
        <f t="shared" si="75"/>
        <v>0</v>
      </c>
      <c r="Q388" s="468">
        <f t="shared" si="68"/>
        <v>0</v>
      </c>
      <c r="R388" s="468">
        <f t="shared" si="69"/>
        <v>0</v>
      </c>
      <c r="S388" s="468">
        <f t="shared" si="70"/>
        <v>0</v>
      </c>
      <c r="T388" s="469">
        <f t="shared" si="71"/>
        <v>0</v>
      </c>
      <c r="U388" s="469">
        <f t="shared" si="72"/>
        <v>0</v>
      </c>
      <c r="V388" s="468">
        <f t="shared" si="73"/>
        <v>0</v>
      </c>
    </row>
    <row r="389" spans="1:22" outlineLevel="1" x14ac:dyDescent="0.3">
      <c r="A389" s="937"/>
      <c r="B389" s="918"/>
      <c r="C389" s="982"/>
      <c r="D389" s="57"/>
      <c r="E389" s="58"/>
      <c r="F389" s="57"/>
      <c r="G389" s="57"/>
      <c r="H389" s="556"/>
      <c r="I389" s="556"/>
      <c r="J389" s="57"/>
      <c r="K389" s="60"/>
      <c r="L389" s="556"/>
      <c r="M389" s="61"/>
      <c r="N389" s="556"/>
      <c r="O389" s="62"/>
      <c r="P389" s="54">
        <f t="shared" si="75"/>
        <v>0</v>
      </c>
      <c r="Q389" s="468">
        <f t="shared" si="68"/>
        <v>0</v>
      </c>
      <c r="R389" s="468">
        <f t="shared" si="69"/>
        <v>0</v>
      </c>
      <c r="S389" s="468">
        <f t="shared" si="70"/>
        <v>0</v>
      </c>
      <c r="T389" s="469">
        <f t="shared" si="71"/>
        <v>0</v>
      </c>
      <c r="U389" s="469">
        <f t="shared" si="72"/>
        <v>0</v>
      </c>
      <c r="V389" s="468">
        <f t="shared" si="73"/>
        <v>0</v>
      </c>
    </row>
    <row r="390" spans="1:22" outlineLevel="1" x14ac:dyDescent="0.3">
      <c r="A390" s="938"/>
      <c r="B390" s="919"/>
      <c r="C390" s="983"/>
      <c r="D390" s="63"/>
      <c r="E390" s="64"/>
      <c r="F390" s="63"/>
      <c r="G390" s="63"/>
      <c r="H390" s="558"/>
      <c r="I390" s="558"/>
      <c r="J390" s="63"/>
      <c r="K390" s="66"/>
      <c r="L390" s="558"/>
      <c r="M390" s="67"/>
      <c r="N390" s="558"/>
      <c r="O390" s="69"/>
      <c r="P390" s="54">
        <f t="shared" si="75"/>
        <v>0</v>
      </c>
      <c r="Q390" s="468">
        <f t="shared" si="68"/>
        <v>0</v>
      </c>
      <c r="R390" s="468">
        <f t="shared" si="69"/>
        <v>0</v>
      </c>
      <c r="S390" s="468">
        <f t="shared" si="70"/>
        <v>0</v>
      </c>
      <c r="T390" s="469">
        <f t="shared" si="71"/>
        <v>0</v>
      </c>
      <c r="U390" s="469">
        <f t="shared" si="72"/>
        <v>0</v>
      </c>
      <c r="V390" s="468">
        <f t="shared" si="73"/>
        <v>0</v>
      </c>
    </row>
    <row r="391" spans="1:22" outlineLevel="1" x14ac:dyDescent="0.3">
      <c r="A391" s="936">
        <v>17</v>
      </c>
      <c r="B391" s="914" t="s">
        <v>85</v>
      </c>
      <c r="C391" s="936">
        <v>1</v>
      </c>
      <c r="D391" s="48">
        <v>1.4</v>
      </c>
      <c r="E391" s="49">
        <v>0.23</v>
      </c>
      <c r="F391" s="48">
        <v>1.1000000000000001</v>
      </c>
      <c r="G391" s="48">
        <f>F391*E391*D391*C391</f>
        <v>0.35420000000000007</v>
      </c>
      <c r="H391" s="555">
        <v>20</v>
      </c>
      <c r="I391" s="555">
        <v>4</v>
      </c>
      <c r="J391" s="48">
        <f>(F391+(50*H391/1000))*I391*C391</f>
        <v>8.4</v>
      </c>
      <c r="K391" s="60" t="s">
        <v>63</v>
      </c>
      <c r="L391" s="555">
        <v>8</v>
      </c>
      <c r="M391" s="52">
        <v>0.1</v>
      </c>
      <c r="N391" s="555">
        <f>ROUND(((F391/2)/M391),0)+1</f>
        <v>7</v>
      </c>
      <c r="O391" s="53">
        <f>((((((((D391-0.08)+(E391-0.08))*2)+0.2)+((((E391-0.08)+0.2)*(((I391+I392+I393)/2)-2)))))))</f>
        <v>6.29</v>
      </c>
      <c r="P391" s="54">
        <f>O391*N391*C391</f>
        <v>44.03</v>
      </c>
      <c r="Q391" s="468">
        <f t="shared" si="68"/>
        <v>0</v>
      </c>
      <c r="R391" s="468">
        <f t="shared" si="69"/>
        <v>0</v>
      </c>
      <c r="S391" s="468">
        <f t="shared" si="70"/>
        <v>0</v>
      </c>
      <c r="T391" s="469">
        <f t="shared" si="71"/>
        <v>8.4</v>
      </c>
      <c r="U391" s="469">
        <f t="shared" si="72"/>
        <v>0</v>
      </c>
      <c r="V391" s="468">
        <f t="shared" si="73"/>
        <v>0</v>
      </c>
    </row>
    <row r="392" spans="1:22" outlineLevel="1" x14ac:dyDescent="0.3">
      <c r="A392" s="937"/>
      <c r="B392" s="915"/>
      <c r="C392" s="937"/>
      <c r="D392" s="57"/>
      <c r="E392" s="58"/>
      <c r="F392" s="57"/>
      <c r="G392" s="57"/>
      <c r="H392" s="556">
        <v>16</v>
      </c>
      <c r="I392" s="556">
        <v>18</v>
      </c>
      <c r="J392" s="57">
        <f>(F391+(50*H392/1000))*I392*C391</f>
        <v>34.200000000000003</v>
      </c>
      <c r="K392" s="60" t="s">
        <v>63</v>
      </c>
      <c r="L392" s="556">
        <v>8</v>
      </c>
      <c r="M392" s="61">
        <v>0.15</v>
      </c>
      <c r="N392" s="556">
        <f>ROUND((F391/2)/M392,0)+1</f>
        <v>5</v>
      </c>
      <c r="O392" s="53">
        <f>((((((((D391-0.08)+(E391-0.08))*2)+0.2)+((((E391-0.08)+0.2)*(((I392+I391+I393)/2)-2)))))))</f>
        <v>6.29</v>
      </c>
      <c r="P392" s="54">
        <f>O392*N392*C391</f>
        <v>31.45</v>
      </c>
      <c r="Q392" s="468">
        <f t="shared" si="68"/>
        <v>0</v>
      </c>
      <c r="R392" s="468">
        <f t="shared" si="69"/>
        <v>0</v>
      </c>
      <c r="S392" s="468">
        <f t="shared" si="70"/>
        <v>34.200000000000003</v>
      </c>
      <c r="T392" s="469">
        <f t="shared" si="71"/>
        <v>0</v>
      </c>
      <c r="U392" s="469">
        <f t="shared" si="72"/>
        <v>0</v>
      </c>
      <c r="V392" s="468">
        <f t="shared" si="73"/>
        <v>0</v>
      </c>
    </row>
    <row r="393" spans="1:22" outlineLevel="1" x14ac:dyDescent="0.3">
      <c r="A393" s="937"/>
      <c r="B393" s="915"/>
      <c r="C393" s="937"/>
      <c r="D393" s="57"/>
      <c r="E393" s="58"/>
      <c r="F393" s="57"/>
      <c r="G393" s="57"/>
      <c r="H393" s="556"/>
      <c r="I393" s="556"/>
      <c r="J393" s="57">
        <f>(F391+(50*H393/1000))*I393*C391</f>
        <v>0</v>
      </c>
      <c r="K393" s="60"/>
      <c r="L393" s="556"/>
      <c r="M393" s="61"/>
      <c r="N393" s="556"/>
      <c r="O393" s="62"/>
      <c r="P393" s="54">
        <f>O393</f>
        <v>0</v>
      </c>
      <c r="Q393" s="468">
        <f t="shared" si="68"/>
        <v>0</v>
      </c>
      <c r="R393" s="468">
        <f t="shared" si="69"/>
        <v>0</v>
      </c>
      <c r="S393" s="468">
        <f t="shared" si="70"/>
        <v>0</v>
      </c>
      <c r="T393" s="469">
        <f t="shared" si="71"/>
        <v>0</v>
      </c>
      <c r="U393" s="469">
        <f t="shared" si="72"/>
        <v>0</v>
      </c>
      <c r="V393" s="468">
        <f t="shared" si="73"/>
        <v>0</v>
      </c>
    </row>
    <row r="394" spans="1:22" outlineLevel="1" x14ac:dyDescent="0.3">
      <c r="A394" s="937"/>
      <c r="B394" s="915"/>
      <c r="C394" s="937"/>
      <c r="D394" s="57"/>
      <c r="E394" s="58"/>
      <c r="F394" s="57"/>
      <c r="G394" s="57"/>
      <c r="H394" s="556"/>
      <c r="I394" s="556"/>
      <c r="J394" s="57"/>
      <c r="K394" s="60"/>
      <c r="L394" s="556"/>
      <c r="M394" s="61"/>
      <c r="N394" s="556"/>
      <c r="O394" s="62"/>
      <c r="P394" s="54">
        <f>O394</f>
        <v>0</v>
      </c>
      <c r="Q394" s="468">
        <f t="shared" si="68"/>
        <v>0</v>
      </c>
      <c r="R394" s="468">
        <f t="shared" si="69"/>
        <v>0</v>
      </c>
      <c r="S394" s="468">
        <f t="shared" si="70"/>
        <v>0</v>
      </c>
      <c r="T394" s="469">
        <f t="shared" si="71"/>
        <v>0</v>
      </c>
      <c r="U394" s="469">
        <f t="shared" si="72"/>
        <v>0</v>
      </c>
      <c r="V394" s="468">
        <f t="shared" si="73"/>
        <v>0</v>
      </c>
    </row>
    <row r="395" spans="1:22" outlineLevel="1" x14ac:dyDescent="0.3">
      <c r="A395" s="937"/>
      <c r="B395" s="915"/>
      <c r="C395" s="937"/>
      <c r="D395" s="57"/>
      <c r="E395" s="58"/>
      <c r="F395" s="57"/>
      <c r="G395" s="57"/>
      <c r="H395" s="556"/>
      <c r="I395" s="556"/>
      <c r="J395" s="57"/>
      <c r="K395" s="60"/>
      <c r="L395" s="556"/>
      <c r="M395" s="61"/>
      <c r="N395" s="556"/>
      <c r="O395" s="69"/>
      <c r="P395" s="54">
        <f>O395</f>
        <v>0</v>
      </c>
      <c r="Q395" s="468">
        <f t="shared" si="68"/>
        <v>0</v>
      </c>
      <c r="R395" s="468">
        <f t="shared" si="69"/>
        <v>0</v>
      </c>
      <c r="S395" s="468">
        <f t="shared" si="70"/>
        <v>0</v>
      </c>
      <c r="T395" s="469">
        <f t="shared" si="71"/>
        <v>0</v>
      </c>
      <c r="U395" s="469">
        <f t="shared" si="72"/>
        <v>0</v>
      </c>
      <c r="V395" s="468">
        <f t="shared" si="73"/>
        <v>0</v>
      </c>
    </row>
    <row r="396" spans="1:22" outlineLevel="1" x14ac:dyDescent="0.3">
      <c r="A396" s="936">
        <v>18</v>
      </c>
      <c r="B396" s="914" t="s">
        <v>86</v>
      </c>
      <c r="C396" s="936">
        <v>1</v>
      </c>
      <c r="D396" s="48">
        <v>6.55</v>
      </c>
      <c r="E396" s="49">
        <v>0.23</v>
      </c>
      <c r="F396" s="48">
        <v>1.1000000000000001</v>
      </c>
      <c r="G396" s="48">
        <f>F396*E396*D396*C396</f>
        <v>1.6571500000000003</v>
      </c>
      <c r="H396" s="555">
        <v>16</v>
      </c>
      <c r="I396" s="555">
        <v>60</v>
      </c>
      <c r="J396" s="48">
        <f>(F396+(50*H396/1000))*I396*C396</f>
        <v>114.00000000000001</v>
      </c>
      <c r="K396" s="51" t="s">
        <v>63</v>
      </c>
      <c r="L396" s="555">
        <v>8</v>
      </c>
      <c r="M396" s="52">
        <v>0.1</v>
      </c>
      <c r="N396" s="555">
        <f>ROUND(((F396/2)/M396),0)+1</f>
        <v>7</v>
      </c>
      <c r="O396" s="53">
        <f>((((((((D396-0.08)+(E396-0.08))*2)+0.2)+((((E396-0.08)+0.2)*(((I396+I397+I398)/2)-2)))))))</f>
        <v>28.840000000000003</v>
      </c>
      <c r="P396" s="54">
        <f>O396*N396*C396</f>
        <v>201.88000000000002</v>
      </c>
      <c r="Q396" s="468">
        <f t="shared" si="68"/>
        <v>0</v>
      </c>
      <c r="R396" s="468">
        <f t="shared" si="69"/>
        <v>0</v>
      </c>
      <c r="S396" s="468">
        <f t="shared" si="70"/>
        <v>114.00000000000001</v>
      </c>
      <c r="T396" s="469">
        <f t="shared" si="71"/>
        <v>0</v>
      </c>
      <c r="U396" s="469">
        <f t="shared" si="72"/>
        <v>0</v>
      </c>
      <c r="V396" s="468">
        <f t="shared" si="73"/>
        <v>0</v>
      </c>
    </row>
    <row r="397" spans="1:22" outlineLevel="1" x14ac:dyDescent="0.3">
      <c r="A397" s="937"/>
      <c r="B397" s="915"/>
      <c r="C397" s="937"/>
      <c r="D397" s="57"/>
      <c r="E397" s="58"/>
      <c r="F397" s="57"/>
      <c r="G397" s="57"/>
      <c r="H397" s="556">
        <v>12</v>
      </c>
      <c r="I397" s="556">
        <v>32</v>
      </c>
      <c r="J397" s="57">
        <f>(F396+(50*H397/1000))*I397*C396</f>
        <v>54.400000000000006</v>
      </c>
      <c r="K397" s="60" t="s">
        <v>63</v>
      </c>
      <c r="L397" s="556">
        <v>8</v>
      </c>
      <c r="M397" s="61">
        <v>0.15</v>
      </c>
      <c r="N397" s="556">
        <f>ROUND((F396/2)/M397,0)+1</f>
        <v>5</v>
      </c>
      <c r="O397" s="53">
        <f>((((((((D396-0.08)+(E396-0.08))*2)+0.2)+((((E396-0.08)+0.2)*(((I397+I396+I398)/2)-2)))))))</f>
        <v>28.840000000000003</v>
      </c>
      <c r="P397" s="54">
        <f>O397*N397*C396</f>
        <v>144.20000000000002</v>
      </c>
      <c r="Q397" s="468">
        <f t="shared" si="68"/>
        <v>0</v>
      </c>
      <c r="R397" s="468">
        <f t="shared" si="69"/>
        <v>54.400000000000006</v>
      </c>
      <c r="S397" s="468">
        <f t="shared" si="70"/>
        <v>0</v>
      </c>
      <c r="T397" s="469">
        <f t="shared" si="71"/>
        <v>0</v>
      </c>
      <c r="U397" s="469">
        <f t="shared" si="72"/>
        <v>0</v>
      </c>
      <c r="V397" s="468">
        <f t="shared" si="73"/>
        <v>0</v>
      </c>
    </row>
    <row r="398" spans="1:22" outlineLevel="1" x14ac:dyDescent="0.3">
      <c r="A398" s="937"/>
      <c r="B398" s="915"/>
      <c r="C398" s="937"/>
      <c r="D398" s="57"/>
      <c r="E398" s="58"/>
      <c r="F398" s="57"/>
      <c r="G398" s="57"/>
      <c r="H398" s="556"/>
      <c r="I398" s="556"/>
      <c r="J398" s="57">
        <f>(F396+(50*H398/1000))*I398*C396</f>
        <v>0</v>
      </c>
      <c r="K398" s="60"/>
      <c r="L398" s="556"/>
      <c r="M398" s="61"/>
      <c r="N398" s="556"/>
      <c r="O398" s="62"/>
      <c r="P398" s="54">
        <f>O398</f>
        <v>0</v>
      </c>
      <c r="Q398" s="468">
        <f t="shared" si="68"/>
        <v>0</v>
      </c>
      <c r="R398" s="468">
        <f t="shared" si="69"/>
        <v>0</v>
      </c>
      <c r="S398" s="468">
        <f t="shared" si="70"/>
        <v>0</v>
      </c>
      <c r="T398" s="469">
        <f t="shared" si="71"/>
        <v>0</v>
      </c>
      <c r="U398" s="469">
        <f t="shared" si="72"/>
        <v>0</v>
      </c>
      <c r="V398" s="468">
        <f t="shared" si="73"/>
        <v>0</v>
      </c>
    </row>
    <row r="399" spans="1:22" outlineLevel="1" x14ac:dyDescent="0.3">
      <c r="A399" s="937"/>
      <c r="B399" s="915"/>
      <c r="C399" s="937"/>
      <c r="D399" s="57"/>
      <c r="E399" s="58"/>
      <c r="F399" s="57"/>
      <c r="G399" s="57"/>
      <c r="H399" s="556"/>
      <c r="I399" s="556"/>
      <c r="J399" s="57"/>
      <c r="K399" s="60"/>
      <c r="L399" s="556"/>
      <c r="M399" s="61"/>
      <c r="N399" s="556"/>
      <c r="O399" s="62"/>
      <c r="P399" s="54">
        <f>O399</f>
        <v>0</v>
      </c>
      <c r="Q399" s="468">
        <f t="shared" si="68"/>
        <v>0</v>
      </c>
      <c r="R399" s="468">
        <f t="shared" si="69"/>
        <v>0</v>
      </c>
      <c r="S399" s="468">
        <f t="shared" si="70"/>
        <v>0</v>
      </c>
      <c r="T399" s="469">
        <f t="shared" si="71"/>
        <v>0</v>
      </c>
      <c r="U399" s="469">
        <f t="shared" si="72"/>
        <v>0</v>
      </c>
      <c r="V399" s="468">
        <f t="shared" si="73"/>
        <v>0</v>
      </c>
    </row>
    <row r="400" spans="1:22" outlineLevel="1" x14ac:dyDescent="0.3">
      <c r="A400" s="937"/>
      <c r="B400" s="915"/>
      <c r="C400" s="937"/>
      <c r="D400" s="57"/>
      <c r="E400" s="58"/>
      <c r="F400" s="57"/>
      <c r="G400" s="57"/>
      <c r="H400" s="556"/>
      <c r="I400" s="556"/>
      <c r="J400" s="57"/>
      <c r="K400" s="60"/>
      <c r="L400" s="556"/>
      <c r="M400" s="61"/>
      <c r="N400" s="556"/>
      <c r="O400" s="69"/>
      <c r="P400" s="54">
        <f>O400</f>
        <v>0</v>
      </c>
      <c r="Q400" s="468">
        <f t="shared" si="68"/>
        <v>0</v>
      </c>
      <c r="R400" s="468">
        <f t="shared" si="69"/>
        <v>0</v>
      </c>
      <c r="S400" s="468">
        <f t="shared" si="70"/>
        <v>0</v>
      </c>
      <c r="T400" s="469">
        <f t="shared" si="71"/>
        <v>0</v>
      </c>
      <c r="U400" s="469">
        <f t="shared" si="72"/>
        <v>0</v>
      </c>
      <c r="V400" s="468">
        <f t="shared" si="73"/>
        <v>0</v>
      </c>
    </row>
    <row r="401" spans="1:22" outlineLevel="1" x14ac:dyDescent="0.3">
      <c r="A401" s="936">
        <v>19</v>
      </c>
      <c r="B401" s="914" t="s">
        <v>566</v>
      </c>
      <c r="C401" s="936">
        <v>2</v>
      </c>
      <c r="D401" s="48">
        <v>1.1499999999999999</v>
      </c>
      <c r="E401" s="49">
        <v>0.32</v>
      </c>
      <c r="F401" s="48">
        <v>1.1000000000000001</v>
      </c>
      <c r="G401" s="48">
        <f>F401*E401*D401*C401</f>
        <v>0.80959999999999999</v>
      </c>
      <c r="H401" s="555">
        <v>20</v>
      </c>
      <c r="I401" s="555">
        <v>8</v>
      </c>
      <c r="J401" s="48">
        <f>(F401+(50*H401/1000))*I401*C401</f>
        <v>33.6</v>
      </c>
      <c r="K401" s="60" t="s">
        <v>63</v>
      </c>
      <c r="L401" s="555">
        <v>8</v>
      </c>
      <c r="M401" s="52">
        <v>0.1</v>
      </c>
      <c r="N401" s="555">
        <f>ROUND(((F401/2)/M401),0)+1</f>
        <v>7</v>
      </c>
      <c r="O401" s="53">
        <f>((((((((D401-0.08)+(E401-0.08))*2)+0.2)+((((E401-0.08)+0.2)*(((I401+I402+I403)/2)-2)))))))</f>
        <v>5.9</v>
      </c>
      <c r="P401" s="54">
        <f>O401*N401*C401</f>
        <v>82.600000000000009</v>
      </c>
      <c r="Q401" s="468">
        <f t="shared" si="68"/>
        <v>0</v>
      </c>
      <c r="R401" s="468">
        <f t="shared" si="69"/>
        <v>0</v>
      </c>
      <c r="S401" s="468">
        <f t="shared" si="70"/>
        <v>0</v>
      </c>
      <c r="T401" s="469">
        <f t="shared" si="71"/>
        <v>33.6</v>
      </c>
      <c r="U401" s="469">
        <f t="shared" si="72"/>
        <v>0</v>
      </c>
      <c r="V401" s="468">
        <f t="shared" si="73"/>
        <v>0</v>
      </c>
    </row>
    <row r="402" spans="1:22" outlineLevel="1" x14ac:dyDescent="0.3">
      <c r="A402" s="937"/>
      <c r="B402" s="915"/>
      <c r="C402" s="937"/>
      <c r="D402" s="57"/>
      <c r="E402" s="58"/>
      <c r="F402" s="57"/>
      <c r="G402" s="57"/>
      <c r="H402" s="556">
        <v>16</v>
      </c>
      <c r="I402" s="556">
        <v>4</v>
      </c>
      <c r="J402" s="57">
        <f>(F401+(50*H402/1000))*I402*C401</f>
        <v>15.200000000000001</v>
      </c>
      <c r="K402" s="60" t="s">
        <v>63</v>
      </c>
      <c r="L402" s="556">
        <v>8</v>
      </c>
      <c r="M402" s="61">
        <v>0.15</v>
      </c>
      <c r="N402" s="556">
        <f>ROUND((F401/2)/M402,0)+1</f>
        <v>5</v>
      </c>
      <c r="O402" s="53">
        <f>((((((((D401-0.08)+(E401-0.08))*2)+0.2)+((((E401-0.08)+0.2)*(((I402+I401+I403)/2)-2)))))))</f>
        <v>5.9</v>
      </c>
      <c r="P402" s="54">
        <f>O402*N402*C401</f>
        <v>59</v>
      </c>
      <c r="Q402" s="468">
        <f t="shared" si="68"/>
        <v>0</v>
      </c>
      <c r="R402" s="468">
        <f t="shared" si="69"/>
        <v>0</v>
      </c>
      <c r="S402" s="468">
        <f t="shared" si="70"/>
        <v>15.200000000000001</v>
      </c>
      <c r="T402" s="469">
        <f t="shared" si="71"/>
        <v>0</v>
      </c>
      <c r="U402" s="469">
        <f t="shared" si="72"/>
        <v>0</v>
      </c>
      <c r="V402" s="468">
        <f t="shared" si="73"/>
        <v>0</v>
      </c>
    </row>
    <row r="403" spans="1:22" outlineLevel="1" x14ac:dyDescent="0.3">
      <c r="A403" s="937"/>
      <c r="B403" s="915"/>
      <c r="C403" s="937"/>
      <c r="D403" s="57"/>
      <c r="E403" s="58"/>
      <c r="F403" s="57"/>
      <c r="G403" s="57"/>
      <c r="H403" s="556">
        <v>12</v>
      </c>
      <c r="I403" s="556">
        <v>6</v>
      </c>
      <c r="J403" s="57">
        <f>(F401+(50*H403/1000))*I403*C401</f>
        <v>20.400000000000002</v>
      </c>
      <c r="K403" s="60"/>
      <c r="L403" s="556"/>
      <c r="M403" s="61"/>
      <c r="N403" s="556"/>
      <c r="O403" s="62"/>
      <c r="P403" s="54">
        <f>O403</f>
        <v>0</v>
      </c>
      <c r="Q403" s="468">
        <f t="shared" si="68"/>
        <v>0</v>
      </c>
      <c r="R403" s="468">
        <f t="shared" si="69"/>
        <v>20.400000000000002</v>
      </c>
      <c r="S403" s="468">
        <f t="shared" si="70"/>
        <v>0</v>
      </c>
      <c r="T403" s="469">
        <f t="shared" si="71"/>
        <v>0</v>
      </c>
      <c r="U403" s="469">
        <f t="shared" si="72"/>
        <v>0</v>
      </c>
      <c r="V403" s="468">
        <f t="shared" si="73"/>
        <v>0</v>
      </c>
    </row>
    <row r="404" spans="1:22" outlineLevel="1" x14ac:dyDescent="0.3">
      <c r="A404" s="937"/>
      <c r="B404" s="915"/>
      <c r="C404" s="937"/>
      <c r="D404" s="57"/>
      <c r="E404" s="58"/>
      <c r="F404" s="57"/>
      <c r="G404" s="57"/>
      <c r="H404" s="556"/>
      <c r="I404" s="556"/>
      <c r="J404" s="57"/>
      <c r="K404" s="60"/>
      <c r="L404" s="556"/>
      <c r="M404" s="61"/>
      <c r="N404" s="556"/>
      <c r="O404" s="62"/>
      <c r="P404" s="54">
        <f>O404</f>
        <v>0</v>
      </c>
      <c r="Q404" s="468">
        <f t="shared" si="68"/>
        <v>0</v>
      </c>
      <c r="R404" s="468">
        <f t="shared" si="69"/>
        <v>0</v>
      </c>
      <c r="S404" s="468">
        <f t="shared" si="70"/>
        <v>0</v>
      </c>
      <c r="T404" s="469">
        <f t="shared" si="71"/>
        <v>0</v>
      </c>
      <c r="U404" s="469">
        <f t="shared" si="72"/>
        <v>0</v>
      </c>
      <c r="V404" s="468">
        <f t="shared" si="73"/>
        <v>0</v>
      </c>
    </row>
    <row r="405" spans="1:22" outlineLevel="1" x14ac:dyDescent="0.3">
      <c r="A405" s="979"/>
      <c r="B405" s="980"/>
      <c r="C405" s="979"/>
      <c r="D405" s="70"/>
      <c r="E405" s="71"/>
      <c r="F405" s="70"/>
      <c r="G405" s="70"/>
      <c r="H405" s="557"/>
      <c r="I405" s="557"/>
      <c r="J405" s="70"/>
      <c r="K405" s="73"/>
      <c r="L405" s="557"/>
      <c r="M405" s="457"/>
      <c r="N405" s="557"/>
      <c r="O405" s="458">
        <f>((E401-0.08)+(2*10*(L405/1000)))*N405*C401</f>
        <v>0</v>
      </c>
      <c r="P405" s="459">
        <f>O405</f>
        <v>0</v>
      </c>
      <c r="Q405" s="468">
        <f t="shared" si="68"/>
        <v>0</v>
      </c>
      <c r="R405" s="468">
        <f t="shared" si="69"/>
        <v>0</v>
      </c>
      <c r="S405" s="468">
        <f t="shared" si="70"/>
        <v>0</v>
      </c>
      <c r="T405" s="469">
        <f t="shared" si="71"/>
        <v>0</v>
      </c>
      <c r="U405" s="469">
        <f t="shared" si="72"/>
        <v>0</v>
      </c>
      <c r="V405" s="468">
        <f t="shared" si="73"/>
        <v>0</v>
      </c>
    </row>
    <row r="406" spans="1:22" outlineLevel="1" x14ac:dyDescent="0.3">
      <c r="A406" s="981">
        <v>19</v>
      </c>
      <c r="B406" s="914" t="s">
        <v>567</v>
      </c>
      <c r="C406" s="936">
        <v>2</v>
      </c>
      <c r="D406" s="48">
        <v>0.95</v>
      </c>
      <c r="E406" s="49">
        <v>0.32</v>
      </c>
      <c r="F406" s="48">
        <v>1.1000000000000001</v>
      </c>
      <c r="G406" s="48">
        <f>F406*E406*D406*C406</f>
        <v>0.66880000000000006</v>
      </c>
      <c r="H406" s="555">
        <v>20</v>
      </c>
      <c r="I406" s="555">
        <v>8</v>
      </c>
      <c r="J406" s="48">
        <f>(F406+(50*H406/1000))*I406*C406</f>
        <v>33.6</v>
      </c>
      <c r="K406" s="60" t="s">
        <v>63</v>
      </c>
      <c r="L406" s="555">
        <v>8</v>
      </c>
      <c r="M406" s="52">
        <v>0.1</v>
      </c>
      <c r="N406" s="555">
        <f>ROUND(((F406/2)/M406),0)+1</f>
        <v>7</v>
      </c>
      <c r="O406" s="53">
        <f>((((((((D406-0.08)+(E406-0.08))*2)+0.2)+((((E406-0.08)+0.2)*(((I406+I407+I408)/2)-2)))))))</f>
        <v>4.62</v>
      </c>
      <c r="P406" s="54">
        <f>O406*N406*C406</f>
        <v>64.680000000000007</v>
      </c>
      <c r="Q406" s="468">
        <f t="shared" si="68"/>
        <v>0</v>
      </c>
      <c r="R406" s="468">
        <f t="shared" si="69"/>
        <v>0</v>
      </c>
      <c r="S406" s="468">
        <f t="shared" si="70"/>
        <v>0</v>
      </c>
      <c r="T406" s="469">
        <f t="shared" si="71"/>
        <v>33.6</v>
      </c>
      <c r="U406" s="469">
        <f t="shared" si="72"/>
        <v>0</v>
      </c>
      <c r="V406" s="468">
        <f t="shared" si="73"/>
        <v>0</v>
      </c>
    </row>
    <row r="407" spans="1:22" outlineLevel="1" x14ac:dyDescent="0.3">
      <c r="A407" s="982"/>
      <c r="B407" s="915"/>
      <c r="C407" s="937"/>
      <c r="D407" s="460"/>
      <c r="E407" s="461"/>
      <c r="F407" s="57"/>
      <c r="G407" s="57"/>
      <c r="H407" s="556">
        <v>16</v>
      </c>
      <c r="I407" s="556">
        <v>4</v>
      </c>
      <c r="J407" s="57">
        <f>(F406+(50*H407/1000))*I407*C406</f>
        <v>15.200000000000001</v>
      </c>
      <c r="K407" s="60" t="s">
        <v>63</v>
      </c>
      <c r="L407" s="556">
        <v>8</v>
      </c>
      <c r="M407" s="61">
        <v>0.15</v>
      </c>
      <c r="N407" s="556">
        <f>ROUND((F406/2)/M407,0)+1</f>
        <v>5</v>
      </c>
      <c r="O407" s="53">
        <f>((((((((D406-0.08)+(E406-0.08))*2)+0.2)+((((E406-0.08)+0.2)*(((I407+I406+I408)/2)-2)))))))</f>
        <v>4.62</v>
      </c>
      <c r="P407" s="54">
        <f>O407*N407*C406</f>
        <v>46.2</v>
      </c>
      <c r="Q407" s="468">
        <f t="shared" si="68"/>
        <v>0</v>
      </c>
      <c r="R407" s="468">
        <f t="shared" si="69"/>
        <v>0</v>
      </c>
      <c r="S407" s="468">
        <f t="shared" si="70"/>
        <v>15.200000000000001</v>
      </c>
      <c r="T407" s="469">
        <f t="shared" si="71"/>
        <v>0</v>
      </c>
      <c r="U407" s="469">
        <f t="shared" si="72"/>
        <v>0</v>
      </c>
      <c r="V407" s="468">
        <f t="shared" si="73"/>
        <v>0</v>
      </c>
    </row>
    <row r="408" spans="1:22" outlineLevel="1" x14ac:dyDescent="0.3">
      <c r="A408" s="982"/>
      <c r="B408" s="915"/>
      <c r="C408" s="937"/>
      <c r="D408" s="460"/>
      <c r="E408" s="461"/>
      <c r="F408" s="57"/>
      <c r="G408" s="57"/>
      <c r="H408" s="556">
        <v>12</v>
      </c>
      <c r="I408" s="556">
        <v>2</v>
      </c>
      <c r="J408" s="57">
        <f>(F406+(50*H408/1000))*I408*C406</f>
        <v>6.8000000000000007</v>
      </c>
      <c r="K408" s="60"/>
      <c r="L408" s="556"/>
      <c r="M408" s="61"/>
      <c r="N408" s="556"/>
      <c r="O408" s="62"/>
      <c r="P408" s="54">
        <f>O408</f>
        <v>0</v>
      </c>
      <c r="Q408" s="468">
        <f t="shared" si="68"/>
        <v>0</v>
      </c>
      <c r="R408" s="468">
        <f t="shared" si="69"/>
        <v>6.8000000000000007</v>
      </c>
      <c r="S408" s="468">
        <f t="shared" si="70"/>
        <v>0</v>
      </c>
      <c r="T408" s="469">
        <f t="shared" si="71"/>
        <v>0</v>
      </c>
      <c r="U408" s="469">
        <f t="shared" si="72"/>
        <v>0</v>
      </c>
      <c r="V408" s="468">
        <f t="shared" si="73"/>
        <v>0</v>
      </c>
    </row>
    <row r="409" spans="1:22" outlineLevel="1" x14ac:dyDescent="0.3">
      <c r="A409" s="982"/>
      <c r="B409" s="915"/>
      <c r="C409" s="937"/>
      <c r="D409" s="460"/>
      <c r="E409" s="461"/>
      <c r="F409" s="57"/>
      <c r="G409" s="57"/>
      <c r="H409" s="556"/>
      <c r="I409" s="556"/>
      <c r="J409" s="57"/>
      <c r="K409" s="60"/>
      <c r="L409" s="556"/>
      <c r="M409" s="61"/>
      <c r="N409" s="556"/>
      <c r="O409" s="62"/>
      <c r="P409" s="54">
        <f>O409</f>
        <v>0</v>
      </c>
      <c r="Q409" s="468">
        <f t="shared" si="68"/>
        <v>0</v>
      </c>
      <c r="R409" s="468">
        <f t="shared" si="69"/>
        <v>0</v>
      </c>
      <c r="S409" s="468">
        <f t="shared" si="70"/>
        <v>0</v>
      </c>
      <c r="T409" s="469">
        <f t="shared" si="71"/>
        <v>0</v>
      </c>
      <c r="U409" s="469">
        <f t="shared" si="72"/>
        <v>0</v>
      </c>
      <c r="V409" s="468">
        <f t="shared" si="73"/>
        <v>0</v>
      </c>
    </row>
    <row r="410" spans="1:22" outlineLevel="1" x14ac:dyDescent="0.3">
      <c r="A410" s="983"/>
      <c r="B410" s="980"/>
      <c r="C410" s="979"/>
      <c r="D410" s="462"/>
      <c r="E410" s="463"/>
      <c r="F410" s="70"/>
      <c r="G410" s="70"/>
      <c r="H410" s="557"/>
      <c r="I410" s="557"/>
      <c r="J410" s="70"/>
      <c r="K410" s="73"/>
      <c r="L410" s="557"/>
      <c r="M410" s="457"/>
      <c r="N410" s="557"/>
      <c r="O410" s="458">
        <f>((E406-0.08)+(2*10*(L410/1000)))*N410*C406</f>
        <v>0</v>
      </c>
      <c r="P410" s="459">
        <f>O410</f>
        <v>0</v>
      </c>
      <c r="Q410" s="468">
        <f t="shared" si="68"/>
        <v>0</v>
      </c>
      <c r="R410" s="468">
        <f t="shared" si="69"/>
        <v>0</v>
      </c>
      <c r="S410" s="468">
        <f t="shared" si="70"/>
        <v>0</v>
      </c>
      <c r="T410" s="469">
        <f t="shared" si="71"/>
        <v>0</v>
      </c>
      <c r="U410" s="469">
        <f t="shared" si="72"/>
        <v>0</v>
      </c>
      <c r="V410" s="468">
        <f t="shared" si="73"/>
        <v>0</v>
      </c>
    </row>
    <row r="411" spans="1:22" outlineLevel="1" x14ac:dyDescent="0.3">
      <c r="A411" s="984">
        <v>20</v>
      </c>
      <c r="B411" s="985" t="s">
        <v>568</v>
      </c>
      <c r="C411" s="984">
        <v>2</v>
      </c>
      <c r="D411" s="460">
        <v>1.5</v>
      </c>
      <c r="E411" s="461">
        <v>0.3</v>
      </c>
      <c r="F411" s="48">
        <v>1.1000000000000001</v>
      </c>
      <c r="G411" s="460">
        <f>F411*E411*D411*C411</f>
        <v>0.99</v>
      </c>
      <c r="H411" s="559">
        <v>20</v>
      </c>
      <c r="I411" s="559">
        <v>12</v>
      </c>
      <c r="J411" s="460">
        <f>(F411+(50*H411/1000))*I411*C411</f>
        <v>50.400000000000006</v>
      </c>
      <c r="K411" s="68" t="s">
        <v>63</v>
      </c>
      <c r="L411" s="559">
        <v>8</v>
      </c>
      <c r="M411" s="465">
        <v>0.1</v>
      </c>
      <c r="N411" s="559">
        <f>ROUND(((F411/2)/M411),0)+1</f>
        <v>7</v>
      </c>
      <c r="O411" s="466">
        <f>((((((((D411-0.08)+(E411-0.08))*2)+0.2)+((((E411-0.08)+0.2)*(((I411+I412+I413)/2)-2)))))))</f>
        <v>6.84</v>
      </c>
      <c r="P411" s="467">
        <f>O411*N411*C411</f>
        <v>95.759999999999991</v>
      </c>
      <c r="Q411" s="468">
        <f t="shared" si="68"/>
        <v>0</v>
      </c>
      <c r="R411" s="468">
        <f t="shared" si="69"/>
        <v>0</v>
      </c>
      <c r="S411" s="468">
        <f t="shared" si="70"/>
        <v>0</v>
      </c>
      <c r="T411" s="469">
        <f t="shared" si="71"/>
        <v>50.400000000000006</v>
      </c>
      <c r="U411" s="469">
        <f t="shared" si="72"/>
        <v>0</v>
      </c>
      <c r="V411" s="468">
        <f t="shared" si="73"/>
        <v>0</v>
      </c>
    </row>
    <row r="412" spans="1:22" outlineLevel="1" x14ac:dyDescent="0.3">
      <c r="A412" s="937"/>
      <c r="B412" s="915"/>
      <c r="C412" s="937"/>
      <c r="D412" s="57"/>
      <c r="E412" s="58"/>
      <c r="F412" s="57"/>
      <c r="G412" s="57"/>
      <c r="H412" s="556">
        <v>16</v>
      </c>
      <c r="I412" s="556">
        <v>8</v>
      </c>
      <c r="J412" s="57">
        <f>(F411+(50*H412/1000))*I412*C411</f>
        <v>30.400000000000002</v>
      </c>
      <c r="K412" s="60" t="s">
        <v>63</v>
      </c>
      <c r="L412" s="556">
        <v>8</v>
      </c>
      <c r="M412" s="61">
        <v>0.15</v>
      </c>
      <c r="N412" s="556">
        <f>ROUND((F411/2)/M412,0)+1</f>
        <v>5</v>
      </c>
      <c r="O412" s="53">
        <f>((((((((D411-0.08)+(E411-0.08))*2)+0.2)+((((E411-0.08)+0.2)*(((I412+I411+I413)/2)-2)))))))</f>
        <v>6.84</v>
      </c>
      <c r="P412" s="54">
        <f>O412*N412*C411</f>
        <v>68.400000000000006</v>
      </c>
      <c r="Q412" s="468">
        <f t="shared" si="68"/>
        <v>0</v>
      </c>
      <c r="R412" s="468">
        <f t="shared" si="69"/>
        <v>0</v>
      </c>
      <c r="S412" s="468">
        <f t="shared" si="70"/>
        <v>30.400000000000002</v>
      </c>
      <c r="T412" s="469">
        <f t="shared" si="71"/>
        <v>0</v>
      </c>
      <c r="U412" s="469">
        <f t="shared" si="72"/>
        <v>0</v>
      </c>
      <c r="V412" s="468">
        <f t="shared" si="73"/>
        <v>0</v>
      </c>
    </row>
    <row r="413" spans="1:22" outlineLevel="1" x14ac:dyDescent="0.3">
      <c r="A413" s="937"/>
      <c r="B413" s="915"/>
      <c r="C413" s="937"/>
      <c r="D413" s="57"/>
      <c r="E413" s="58"/>
      <c r="F413" s="57"/>
      <c r="G413" s="57"/>
      <c r="H413" s="556"/>
      <c r="I413" s="556"/>
      <c r="J413" s="57">
        <f>(F411+(50*H413/1000))*I413*C411</f>
        <v>0</v>
      </c>
      <c r="K413" s="60"/>
      <c r="L413" s="556"/>
      <c r="M413" s="61"/>
      <c r="N413" s="556"/>
      <c r="O413" s="62"/>
      <c r="P413" s="54">
        <f>O413</f>
        <v>0</v>
      </c>
      <c r="Q413" s="468">
        <f t="shared" si="68"/>
        <v>0</v>
      </c>
      <c r="R413" s="468">
        <f t="shared" si="69"/>
        <v>0</v>
      </c>
      <c r="S413" s="468">
        <f t="shared" si="70"/>
        <v>0</v>
      </c>
      <c r="T413" s="469">
        <f t="shared" si="71"/>
        <v>0</v>
      </c>
      <c r="U413" s="469">
        <f t="shared" si="72"/>
        <v>0</v>
      </c>
      <c r="V413" s="468">
        <f t="shared" si="73"/>
        <v>0</v>
      </c>
    </row>
    <row r="414" spans="1:22" outlineLevel="1" x14ac:dyDescent="0.3">
      <c r="A414" s="937"/>
      <c r="B414" s="915"/>
      <c r="C414" s="937"/>
      <c r="D414" s="57"/>
      <c r="E414" s="58"/>
      <c r="F414" s="57"/>
      <c r="G414" s="57"/>
      <c r="H414" s="556"/>
      <c r="I414" s="556"/>
      <c r="J414" s="57"/>
      <c r="K414" s="60"/>
      <c r="L414" s="556"/>
      <c r="M414" s="61"/>
      <c r="N414" s="556"/>
      <c r="O414" s="62"/>
      <c r="P414" s="54">
        <f>O414</f>
        <v>0</v>
      </c>
      <c r="Q414" s="468">
        <f t="shared" si="68"/>
        <v>0</v>
      </c>
      <c r="R414" s="468">
        <f t="shared" si="69"/>
        <v>0</v>
      </c>
      <c r="S414" s="468">
        <f t="shared" si="70"/>
        <v>0</v>
      </c>
      <c r="T414" s="469">
        <f t="shared" si="71"/>
        <v>0</v>
      </c>
      <c r="U414" s="469">
        <f t="shared" si="72"/>
        <v>0</v>
      </c>
      <c r="V414" s="468">
        <f t="shared" si="73"/>
        <v>0</v>
      </c>
    </row>
    <row r="415" spans="1:22" outlineLevel="1" x14ac:dyDescent="0.3">
      <c r="A415" s="979"/>
      <c r="B415" s="916"/>
      <c r="C415" s="938"/>
      <c r="D415" s="63"/>
      <c r="E415" s="64"/>
      <c r="F415" s="63"/>
      <c r="G415" s="63"/>
      <c r="H415" s="558"/>
      <c r="I415" s="558"/>
      <c r="J415" s="63"/>
      <c r="K415" s="66"/>
      <c r="L415" s="558"/>
      <c r="M415" s="67"/>
      <c r="N415" s="558"/>
      <c r="O415" s="69">
        <f>((E411-0.08)+(2*10*(L415/1000)))*N415*C411</f>
        <v>0</v>
      </c>
      <c r="P415" s="55">
        <f>O415</f>
        <v>0</v>
      </c>
      <c r="Q415" s="468">
        <f t="shared" si="68"/>
        <v>0</v>
      </c>
      <c r="R415" s="468">
        <f t="shared" si="69"/>
        <v>0</v>
      </c>
      <c r="S415" s="468">
        <f t="shared" si="70"/>
        <v>0</v>
      </c>
      <c r="T415" s="469">
        <f t="shared" si="71"/>
        <v>0</v>
      </c>
      <c r="U415" s="469">
        <f t="shared" si="72"/>
        <v>0</v>
      </c>
      <c r="V415" s="468">
        <f t="shared" si="73"/>
        <v>0</v>
      </c>
    </row>
    <row r="416" spans="1:22" outlineLevel="1" x14ac:dyDescent="0.3">
      <c r="A416" s="981">
        <v>20</v>
      </c>
      <c r="B416" s="985" t="s">
        <v>569</v>
      </c>
      <c r="C416" s="982">
        <v>2</v>
      </c>
      <c r="D416" s="460">
        <v>1.3</v>
      </c>
      <c r="E416" s="461">
        <v>0.3</v>
      </c>
      <c r="F416" s="48">
        <v>1.1000000000000001</v>
      </c>
      <c r="G416" s="460">
        <f>F416*E416*D416*C416</f>
        <v>0.8580000000000001</v>
      </c>
      <c r="H416" s="559">
        <v>20</v>
      </c>
      <c r="I416" s="559">
        <v>8</v>
      </c>
      <c r="J416" s="460">
        <f>(F416+(50*H416/1000))*I416*C416</f>
        <v>33.6</v>
      </c>
      <c r="K416" s="68" t="s">
        <v>63</v>
      </c>
      <c r="L416" s="559">
        <v>8</v>
      </c>
      <c r="M416" s="465">
        <v>0.1</v>
      </c>
      <c r="N416" s="559">
        <f>ROUND(((F416/2)/M416),0)+1</f>
        <v>7</v>
      </c>
      <c r="O416" s="466">
        <f>((((((((D416-0.08)+(E416-0.08))*2)+0.2)+((((E416-0.08)+0.2)*(((I416+I417+I418)/2)-2)))))))</f>
        <v>6.4399999999999995</v>
      </c>
      <c r="P416" s="467">
        <f>O416*N416*C416</f>
        <v>90.16</v>
      </c>
      <c r="Q416" s="468">
        <f t="shared" si="68"/>
        <v>0</v>
      </c>
      <c r="R416" s="468">
        <f t="shared" si="69"/>
        <v>0</v>
      </c>
      <c r="S416" s="468">
        <f t="shared" si="70"/>
        <v>0</v>
      </c>
      <c r="T416" s="469">
        <f t="shared" si="71"/>
        <v>33.6</v>
      </c>
      <c r="U416" s="469">
        <f t="shared" si="72"/>
        <v>0</v>
      </c>
      <c r="V416" s="468">
        <f t="shared" si="73"/>
        <v>0</v>
      </c>
    </row>
    <row r="417" spans="1:22" outlineLevel="1" x14ac:dyDescent="0.3">
      <c r="A417" s="982"/>
      <c r="B417" s="915"/>
      <c r="C417" s="982"/>
      <c r="D417" s="57"/>
      <c r="E417" s="58"/>
      <c r="F417" s="57"/>
      <c r="G417" s="57"/>
      <c r="H417" s="556">
        <v>16</v>
      </c>
      <c r="I417" s="556">
        <v>12</v>
      </c>
      <c r="J417" s="57">
        <f>(F416+(50*H417/1000))*I417*C416</f>
        <v>45.6</v>
      </c>
      <c r="K417" s="60" t="s">
        <v>63</v>
      </c>
      <c r="L417" s="556">
        <v>8</v>
      </c>
      <c r="M417" s="61">
        <v>0.15</v>
      </c>
      <c r="N417" s="556">
        <f>ROUND((F416/2)/M417,0)+1</f>
        <v>5</v>
      </c>
      <c r="O417" s="53">
        <f>((((((((D416-0.08)+(E416-0.08))*2)+0.2)+((((E416-0.08)+0.2)*(((I417+I416+I418)/2)-2)))))))</f>
        <v>6.4399999999999995</v>
      </c>
      <c r="P417" s="54">
        <f>O417*N417*C416</f>
        <v>64.399999999999991</v>
      </c>
      <c r="Q417" s="468">
        <f t="shared" si="68"/>
        <v>0</v>
      </c>
      <c r="R417" s="468">
        <f t="shared" si="69"/>
        <v>0</v>
      </c>
      <c r="S417" s="468">
        <f t="shared" si="70"/>
        <v>45.6</v>
      </c>
      <c r="T417" s="469">
        <f t="shared" si="71"/>
        <v>0</v>
      </c>
      <c r="U417" s="469">
        <f t="shared" si="72"/>
        <v>0</v>
      </c>
      <c r="V417" s="468">
        <f t="shared" si="73"/>
        <v>0</v>
      </c>
    </row>
    <row r="418" spans="1:22" outlineLevel="1" x14ac:dyDescent="0.3">
      <c r="A418" s="982"/>
      <c r="B418" s="915"/>
      <c r="C418" s="982"/>
      <c r="D418" s="57"/>
      <c r="E418" s="58"/>
      <c r="F418" s="57"/>
      <c r="G418" s="57"/>
      <c r="H418" s="556"/>
      <c r="I418" s="556"/>
      <c r="J418" s="57">
        <f>(F416+(50*H418/1000))*I418*C416</f>
        <v>0</v>
      </c>
      <c r="K418" s="60"/>
      <c r="L418" s="556"/>
      <c r="M418" s="61"/>
      <c r="N418" s="556"/>
      <c r="O418" s="62"/>
      <c r="P418" s="54">
        <f>O418</f>
        <v>0</v>
      </c>
      <c r="Q418" s="468">
        <f t="shared" si="68"/>
        <v>0</v>
      </c>
      <c r="R418" s="468">
        <f t="shared" si="69"/>
        <v>0</v>
      </c>
      <c r="S418" s="468">
        <f t="shared" si="70"/>
        <v>0</v>
      </c>
      <c r="T418" s="469">
        <f t="shared" si="71"/>
        <v>0</v>
      </c>
      <c r="U418" s="469">
        <f t="shared" si="72"/>
        <v>0</v>
      </c>
      <c r="V418" s="468">
        <f t="shared" si="73"/>
        <v>0</v>
      </c>
    </row>
    <row r="419" spans="1:22" outlineLevel="1" x14ac:dyDescent="0.3">
      <c r="A419" s="982"/>
      <c r="B419" s="915"/>
      <c r="C419" s="982"/>
      <c r="D419" s="57"/>
      <c r="E419" s="58"/>
      <c r="F419" s="57"/>
      <c r="G419" s="57"/>
      <c r="H419" s="556"/>
      <c r="I419" s="556"/>
      <c r="J419" s="57"/>
      <c r="K419" s="60"/>
      <c r="L419" s="556"/>
      <c r="M419" s="61"/>
      <c r="N419" s="556"/>
      <c r="O419" s="62"/>
      <c r="P419" s="54">
        <f>O419</f>
        <v>0</v>
      </c>
      <c r="Q419" s="468">
        <f t="shared" si="68"/>
        <v>0</v>
      </c>
      <c r="R419" s="468">
        <f t="shared" si="69"/>
        <v>0</v>
      </c>
      <c r="S419" s="468">
        <f t="shared" si="70"/>
        <v>0</v>
      </c>
      <c r="T419" s="469">
        <f t="shared" si="71"/>
        <v>0</v>
      </c>
      <c r="U419" s="469">
        <f t="shared" si="72"/>
        <v>0</v>
      </c>
      <c r="V419" s="468">
        <f t="shared" si="73"/>
        <v>0</v>
      </c>
    </row>
    <row r="420" spans="1:22" outlineLevel="1" x14ac:dyDescent="0.3">
      <c r="A420" s="983"/>
      <c r="B420" s="916"/>
      <c r="C420" s="983"/>
      <c r="D420" s="70"/>
      <c r="E420" s="71"/>
      <c r="F420" s="70"/>
      <c r="G420" s="70"/>
      <c r="H420" s="557"/>
      <c r="I420" s="557"/>
      <c r="J420" s="70"/>
      <c r="K420" s="73"/>
      <c r="L420" s="557"/>
      <c r="M420" s="457"/>
      <c r="N420" s="557"/>
      <c r="O420" s="458">
        <f>((E416-0.08)+(2*10*(L420/1000)))*N420*C416</f>
        <v>0</v>
      </c>
      <c r="P420" s="459">
        <f>O420</f>
        <v>0</v>
      </c>
      <c r="Q420" s="468">
        <f t="shared" si="68"/>
        <v>0</v>
      </c>
      <c r="R420" s="468">
        <f t="shared" si="69"/>
        <v>0</v>
      </c>
      <c r="S420" s="468">
        <f t="shared" si="70"/>
        <v>0</v>
      </c>
      <c r="T420" s="469">
        <f t="shared" si="71"/>
        <v>0</v>
      </c>
      <c r="U420" s="469">
        <f t="shared" si="72"/>
        <v>0</v>
      </c>
      <c r="V420" s="468">
        <f t="shared" si="73"/>
        <v>0</v>
      </c>
    </row>
    <row r="421" spans="1:22" outlineLevel="1" x14ac:dyDescent="0.3">
      <c r="A421" s="984">
        <v>21</v>
      </c>
      <c r="B421" s="985" t="s">
        <v>89</v>
      </c>
      <c r="C421" s="984">
        <v>1</v>
      </c>
      <c r="D421" s="460">
        <v>3.05</v>
      </c>
      <c r="E421" s="461">
        <v>0.3</v>
      </c>
      <c r="F421" s="48">
        <v>1.1000000000000001</v>
      </c>
      <c r="G421" s="460">
        <v>2.2000000000000002</v>
      </c>
      <c r="H421" s="559">
        <v>20</v>
      </c>
      <c r="I421" s="559">
        <v>16</v>
      </c>
      <c r="J421" s="460">
        <f>(F421+(50*H421/1000))*I421*C421</f>
        <v>33.6</v>
      </c>
      <c r="K421" s="68" t="s">
        <v>63</v>
      </c>
      <c r="L421" s="559">
        <v>8</v>
      </c>
      <c r="M421" s="465">
        <v>0.1</v>
      </c>
      <c r="N421" s="559">
        <f>ROUND(((F421/2)/M421),0)+1</f>
        <v>7</v>
      </c>
      <c r="O421" s="466">
        <f>((((((((D421-0.08)+(E421-0.08))*2)+0.2)+((((E421-0.08)+0.2)*(((I421+I422+I423)/2)-2)))))))</f>
        <v>14.559999999999999</v>
      </c>
      <c r="P421" s="467">
        <f>O421*N421*C421</f>
        <v>101.91999999999999</v>
      </c>
      <c r="Q421" s="468">
        <f t="shared" si="68"/>
        <v>0</v>
      </c>
      <c r="R421" s="468">
        <f t="shared" si="69"/>
        <v>0</v>
      </c>
      <c r="S421" s="468">
        <f t="shared" si="70"/>
        <v>0</v>
      </c>
      <c r="T421" s="469">
        <f t="shared" si="71"/>
        <v>33.6</v>
      </c>
      <c r="U421" s="469">
        <f t="shared" si="72"/>
        <v>0</v>
      </c>
      <c r="V421" s="468">
        <f t="shared" si="73"/>
        <v>0</v>
      </c>
    </row>
    <row r="422" spans="1:22" outlineLevel="1" x14ac:dyDescent="0.3">
      <c r="A422" s="937"/>
      <c r="B422" s="915"/>
      <c r="C422" s="937"/>
      <c r="D422" s="57"/>
      <c r="E422" s="58"/>
      <c r="F422" s="57"/>
      <c r="G422" s="57"/>
      <c r="H422" s="556">
        <v>16</v>
      </c>
      <c r="I422" s="556">
        <v>26</v>
      </c>
      <c r="J422" s="57">
        <f>(F421+(50*H422/1000))*I422*C421</f>
        <v>49.400000000000006</v>
      </c>
      <c r="K422" s="60" t="s">
        <v>63</v>
      </c>
      <c r="L422" s="556">
        <v>8</v>
      </c>
      <c r="M422" s="61">
        <v>0.15</v>
      </c>
      <c r="N422" s="556">
        <f>ROUND((F421/2)/M422,0)+1</f>
        <v>5</v>
      </c>
      <c r="O422" s="53">
        <f>((((((((D421-0.08)+(E421-0.08))*2)+0.2)+((((E421-0.08)+0.2)*(((I422+I421+I423)/2)-2)))))))</f>
        <v>14.559999999999999</v>
      </c>
      <c r="P422" s="54">
        <f>O422*N422*C421</f>
        <v>72.8</v>
      </c>
      <c r="Q422" s="468">
        <f t="shared" si="68"/>
        <v>0</v>
      </c>
      <c r="R422" s="468">
        <f t="shared" si="69"/>
        <v>0</v>
      </c>
      <c r="S422" s="468">
        <f t="shared" si="70"/>
        <v>49.400000000000006</v>
      </c>
      <c r="T422" s="469">
        <f t="shared" si="71"/>
        <v>0</v>
      </c>
      <c r="U422" s="469">
        <f t="shared" si="72"/>
        <v>0</v>
      </c>
      <c r="V422" s="468">
        <f t="shared" si="73"/>
        <v>0</v>
      </c>
    </row>
    <row r="423" spans="1:22" outlineLevel="1" x14ac:dyDescent="0.3">
      <c r="A423" s="937"/>
      <c r="B423" s="915"/>
      <c r="C423" s="937"/>
      <c r="D423" s="57"/>
      <c r="E423" s="58"/>
      <c r="F423" s="57"/>
      <c r="G423" s="57"/>
      <c r="H423" s="556"/>
      <c r="I423" s="556"/>
      <c r="J423" s="57">
        <f>(F421+(50*H423/1000))*I423*C421</f>
        <v>0</v>
      </c>
      <c r="K423" s="60"/>
      <c r="L423" s="556"/>
      <c r="M423" s="61"/>
      <c r="N423" s="556"/>
      <c r="O423" s="62"/>
      <c r="P423" s="54">
        <f>O423</f>
        <v>0</v>
      </c>
      <c r="Q423" s="468">
        <f t="shared" si="68"/>
        <v>0</v>
      </c>
      <c r="R423" s="468">
        <f t="shared" si="69"/>
        <v>0</v>
      </c>
      <c r="S423" s="468">
        <f t="shared" si="70"/>
        <v>0</v>
      </c>
      <c r="T423" s="469">
        <f t="shared" si="71"/>
        <v>0</v>
      </c>
      <c r="U423" s="469">
        <f t="shared" si="72"/>
        <v>0</v>
      </c>
      <c r="V423" s="468">
        <f t="shared" si="73"/>
        <v>0</v>
      </c>
    </row>
    <row r="424" spans="1:22" outlineLevel="1" x14ac:dyDescent="0.3">
      <c r="A424" s="937"/>
      <c r="B424" s="915"/>
      <c r="C424" s="937"/>
      <c r="D424" s="57"/>
      <c r="E424" s="58"/>
      <c r="F424" s="57"/>
      <c r="G424" s="57"/>
      <c r="H424" s="556"/>
      <c r="I424" s="556"/>
      <c r="J424" s="57"/>
      <c r="K424" s="60"/>
      <c r="L424" s="556"/>
      <c r="M424" s="61"/>
      <c r="N424" s="556"/>
      <c r="O424" s="62"/>
      <c r="P424" s="54">
        <f>O424</f>
        <v>0</v>
      </c>
      <c r="Q424" s="468">
        <f t="shared" si="68"/>
        <v>0</v>
      </c>
      <c r="R424" s="468">
        <f t="shared" si="69"/>
        <v>0</v>
      </c>
      <c r="S424" s="468">
        <f t="shared" si="70"/>
        <v>0</v>
      </c>
      <c r="T424" s="469">
        <f t="shared" si="71"/>
        <v>0</v>
      </c>
      <c r="U424" s="469">
        <f t="shared" si="72"/>
        <v>0</v>
      </c>
      <c r="V424" s="468">
        <f t="shared" si="73"/>
        <v>0</v>
      </c>
    </row>
    <row r="425" spans="1:22" outlineLevel="1" x14ac:dyDescent="0.3">
      <c r="A425" s="937"/>
      <c r="B425" s="915"/>
      <c r="C425" s="937"/>
      <c r="D425" s="57"/>
      <c r="E425" s="58"/>
      <c r="F425" s="57"/>
      <c r="G425" s="57"/>
      <c r="H425" s="556"/>
      <c r="I425" s="556"/>
      <c r="J425" s="57"/>
      <c r="K425" s="60"/>
      <c r="L425" s="556"/>
      <c r="M425" s="61"/>
      <c r="N425" s="556"/>
      <c r="O425" s="69">
        <f>((E421-0.08)+(2*10*(L425/1000)))*N425*C421</f>
        <v>0</v>
      </c>
      <c r="P425" s="54">
        <f>O425</f>
        <v>0</v>
      </c>
      <c r="Q425" s="468">
        <f t="shared" si="68"/>
        <v>0</v>
      </c>
      <c r="R425" s="468">
        <f t="shared" si="69"/>
        <v>0</v>
      </c>
      <c r="S425" s="468">
        <f t="shared" si="70"/>
        <v>0</v>
      </c>
      <c r="T425" s="469">
        <f t="shared" si="71"/>
        <v>0</v>
      </c>
      <c r="U425" s="469">
        <f t="shared" si="72"/>
        <v>0</v>
      </c>
      <c r="V425" s="468">
        <f t="shared" si="73"/>
        <v>0</v>
      </c>
    </row>
    <row r="426" spans="1:22" outlineLevel="1" x14ac:dyDescent="0.3">
      <c r="A426" s="936">
        <v>22</v>
      </c>
      <c r="B426" s="914" t="s">
        <v>90</v>
      </c>
      <c r="C426" s="936">
        <v>2</v>
      </c>
      <c r="D426" s="48">
        <v>1.1000000000000001</v>
      </c>
      <c r="E426" s="49">
        <v>0.23</v>
      </c>
      <c r="F426" s="48">
        <v>1.1000000000000001</v>
      </c>
      <c r="G426" s="48">
        <f>F426*E426*D426*C426</f>
        <v>0.55660000000000021</v>
      </c>
      <c r="H426" s="555">
        <v>20</v>
      </c>
      <c r="I426" s="555">
        <v>4</v>
      </c>
      <c r="J426" s="48">
        <f>(F426+(50*H426/1000))*I426*C426</f>
        <v>16.8</v>
      </c>
      <c r="K426" s="68" t="s">
        <v>63</v>
      </c>
      <c r="L426" s="555">
        <v>8</v>
      </c>
      <c r="M426" s="52">
        <v>0.1</v>
      </c>
      <c r="N426" s="555">
        <f>ROUND(((F426/2)/M426),0)+1</f>
        <v>7</v>
      </c>
      <c r="O426" s="53">
        <f>((((((((D426-0.08)+(E426-0.08))*2)+0.2)+((((E426-0.08)+0.2)*(((I426+I427+I428)/2)-2)))))))</f>
        <v>4.29</v>
      </c>
      <c r="P426" s="54">
        <f>O426*N426*C426</f>
        <v>60.06</v>
      </c>
      <c r="Q426" s="468">
        <f t="shared" si="68"/>
        <v>0</v>
      </c>
      <c r="R426" s="468">
        <f t="shared" si="69"/>
        <v>0</v>
      </c>
      <c r="S426" s="468">
        <f t="shared" si="70"/>
        <v>0</v>
      </c>
      <c r="T426" s="469">
        <f t="shared" si="71"/>
        <v>16.8</v>
      </c>
      <c r="U426" s="469">
        <f t="shared" si="72"/>
        <v>0</v>
      </c>
      <c r="V426" s="468">
        <f t="shared" si="73"/>
        <v>0</v>
      </c>
    </row>
    <row r="427" spans="1:22" outlineLevel="1" x14ac:dyDescent="0.3">
      <c r="A427" s="937"/>
      <c r="B427" s="915"/>
      <c r="C427" s="937"/>
      <c r="D427" s="57"/>
      <c r="E427" s="58"/>
      <c r="F427" s="57"/>
      <c r="G427" s="57"/>
      <c r="H427" s="556">
        <v>16</v>
      </c>
      <c r="I427" s="556">
        <v>10</v>
      </c>
      <c r="J427" s="57">
        <f>(F426+(50*H427/1000))*I427*C426</f>
        <v>38</v>
      </c>
      <c r="K427" s="60" t="s">
        <v>63</v>
      </c>
      <c r="L427" s="556">
        <v>8</v>
      </c>
      <c r="M427" s="61">
        <v>0.15</v>
      </c>
      <c r="N427" s="556">
        <f>ROUND((F426/2)/M427,0)+1</f>
        <v>5</v>
      </c>
      <c r="O427" s="53">
        <f>((((((((D426-0.08)+(E426-0.08))*2)+0.2)+((((E426-0.08)+0.2)*(((I427+I426+I428)/2)-2)))))))</f>
        <v>4.29</v>
      </c>
      <c r="P427" s="54">
        <f>O427*N427*C426</f>
        <v>42.9</v>
      </c>
      <c r="Q427" s="468">
        <f t="shared" si="68"/>
        <v>0</v>
      </c>
      <c r="R427" s="468">
        <f t="shared" si="69"/>
        <v>0</v>
      </c>
      <c r="S427" s="468">
        <f t="shared" si="70"/>
        <v>38</v>
      </c>
      <c r="T427" s="469">
        <f t="shared" si="71"/>
        <v>0</v>
      </c>
      <c r="U427" s="469">
        <f t="shared" si="72"/>
        <v>0</v>
      </c>
      <c r="V427" s="468">
        <f t="shared" si="73"/>
        <v>0</v>
      </c>
    </row>
    <row r="428" spans="1:22" outlineLevel="1" x14ac:dyDescent="0.3">
      <c r="A428" s="937"/>
      <c r="B428" s="915"/>
      <c r="C428" s="937"/>
      <c r="D428" s="57"/>
      <c r="E428" s="58"/>
      <c r="F428" s="57"/>
      <c r="G428" s="57"/>
      <c r="H428" s="556"/>
      <c r="I428" s="556"/>
      <c r="J428" s="57">
        <f>(F426+(50*H428/1000))*I428*C426</f>
        <v>0</v>
      </c>
      <c r="K428" s="60"/>
      <c r="L428" s="556"/>
      <c r="M428" s="61"/>
      <c r="N428" s="556"/>
      <c r="O428" s="62"/>
      <c r="P428" s="54">
        <f>O428</f>
        <v>0</v>
      </c>
      <c r="Q428" s="468">
        <f t="shared" si="68"/>
        <v>0</v>
      </c>
      <c r="R428" s="468">
        <f t="shared" si="69"/>
        <v>0</v>
      </c>
      <c r="S428" s="468">
        <f t="shared" si="70"/>
        <v>0</v>
      </c>
      <c r="T428" s="469">
        <f t="shared" si="71"/>
        <v>0</v>
      </c>
      <c r="U428" s="469">
        <f t="shared" si="72"/>
        <v>0</v>
      </c>
      <c r="V428" s="468">
        <f t="shared" si="73"/>
        <v>0</v>
      </c>
    </row>
    <row r="429" spans="1:22" outlineLevel="1" x14ac:dyDescent="0.3">
      <c r="A429" s="937"/>
      <c r="B429" s="915"/>
      <c r="C429" s="937"/>
      <c r="D429" s="57"/>
      <c r="E429" s="58"/>
      <c r="F429" s="57"/>
      <c r="G429" s="57"/>
      <c r="H429" s="556"/>
      <c r="I429" s="556"/>
      <c r="J429" s="57"/>
      <c r="K429" s="60"/>
      <c r="L429" s="556"/>
      <c r="M429" s="61"/>
      <c r="N429" s="556"/>
      <c r="O429" s="62"/>
      <c r="P429" s="54">
        <f>O429</f>
        <v>0</v>
      </c>
      <c r="Q429" s="468">
        <f t="shared" si="68"/>
        <v>0</v>
      </c>
      <c r="R429" s="468">
        <f t="shared" si="69"/>
        <v>0</v>
      </c>
      <c r="S429" s="468">
        <f t="shared" si="70"/>
        <v>0</v>
      </c>
      <c r="T429" s="469">
        <f t="shared" si="71"/>
        <v>0</v>
      </c>
      <c r="U429" s="469">
        <f t="shared" si="72"/>
        <v>0</v>
      </c>
      <c r="V429" s="468">
        <f t="shared" si="73"/>
        <v>0</v>
      </c>
    </row>
    <row r="430" spans="1:22" outlineLevel="1" x14ac:dyDescent="0.3">
      <c r="A430" s="937"/>
      <c r="B430" s="915"/>
      <c r="C430" s="937"/>
      <c r="D430" s="57"/>
      <c r="E430" s="58"/>
      <c r="F430" s="57"/>
      <c r="G430" s="57"/>
      <c r="H430" s="556"/>
      <c r="I430" s="556"/>
      <c r="J430" s="57"/>
      <c r="K430" s="60"/>
      <c r="L430" s="556"/>
      <c r="M430" s="61"/>
      <c r="N430" s="556"/>
      <c r="O430" s="69">
        <f>((E426-0.08)+(2*10*(L430/1000)))*N430*C426</f>
        <v>0</v>
      </c>
      <c r="P430" s="54">
        <f>O430</f>
        <v>0</v>
      </c>
      <c r="Q430" s="468">
        <f t="shared" si="68"/>
        <v>0</v>
      </c>
      <c r="R430" s="468">
        <f t="shared" si="69"/>
        <v>0</v>
      </c>
      <c r="S430" s="468">
        <f t="shared" si="70"/>
        <v>0</v>
      </c>
      <c r="T430" s="469">
        <f t="shared" si="71"/>
        <v>0</v>
      </c>
      <c r="U430" s="469">
        <f t="shared" si="72"/>
        <v>0</v>
      </c>
      <c r="V430" s="468">
        <f t="shared" si="73"/>
        <v>0</v>
      </c>
    </row>
    <row r="431" spans="1:22" outlineLevel="1" x14ac:dyDescent="0.3">
      <c r="A431" s="936">
        <v>23</v>
      </c>
      <c r="B431" s="917" t="s">
        <v>91</v>
      </c>
      <c r="C431" s="981">
        <v>1</v>
      </c>
      <c r="D431" s="48">
        <v>2.6</v>
      </c>
      <c r="E431" s="49">
        <v>0.23</v>
      </c>
      <c r="F431" s="48">
        <v>2.2000000000000002</v>
      </c>
      <c r="G431" s="48">
        <f>F431*E431*D431*C431</f>
        <v>1.3156000000000003</v>
      </c>
      <c r="H431" s="555">
        <v>20</v>
      </c>
      <c r="I431" s="555">
        <v>8</v>
      </c>
      <c r="J431" s="48">
        <f>(F431+(50*H431/1000))*I431*C431</f>
        <v>25.6</v>
      </c>
      <c r="K431" s="68" t="s">
        <v>63</v>
      </c>
      <c r="L431" s="555">
        <v>8</v>
      </c>
      <c r="M431" s="52">
        <v>0.1</v>
      </c>
      <c r="N431" s="555">
        <f>ROUND(((F431/2)/M431),0)+1</f>
        <v>12</v>
      </c>
      <c r="O431" s="53">
        <f>((((((((D431-0.08)+(E431-0.08))*2)+0.2)+((((E431-0.08)+0.2)*(((I431+I432+I433)/2)-2)))))))</f>
        <v>10.440000000000001</v>
      </c>
      <c r="P431" s="54">
        <f>O431*N431*C431</f>
        <v>125.28000000000002</v>
      </c>
      <c r="Q431" s="468">
        <f t="shared" si="68"/>
        <v>0</v>
      </c>
      <c r="R431" s="468">
        <f t="shared" si="69"/>
        <v>0</v>
      </c>
      <c r="S431" s="468">
        <f t="shared" si="70"/>
        <v>0</v>
      </c>
      <c r="T431" s="469">
        <f t="shared" si="71"/>
        <v>25.6</v>
      </c>
      <c r="U431" s="469">
        <f t="shared" si="72"/>
        <v>0</v>
      </c>
      <c r="V431" s="468">
        <f t="shared" si="73"/>
        <v>0</v>
      </c>
    </row>
    <row r="432" spans="1:22" outlineLevel="1" x14ac:dyDescent="0.3">
      <c r="A432" s="937"/>
      <c r="B432" s="918"/>
      <c r="C432" s="982"/>
      <c r="D432" s="57"/>
      <c r="E432" s="58"/>
      <c r="F432" s="57"/>
      <c r="G432" s="57"/>
      <c r="H432" s="556">
        <v>16</v>
      </c>
      <c r="I432" s="556">
        <v>16</v>
      </c>
      <c r="J432" s="57">
        <f>(F431+(50*H432/1000))*I432*C431</f>
        <v>48</v>
      </c>
      <c r="K432" s="60" t="s">
        <v>63</v>
      </c>
      <c r="L432" s="556">
        <v>8</v>
      </c>
      <c r="M432" s="61">
        <v>0.15</v>
      </c>
      <c r="N432" s="556">
        <f>ROUND((F431/2)/M432,0)+1</f>
        <v>8</v>
      </c>
      <c r="O432" s="53">
        <f>((((((((D431-0.08)+(E431-0.08))*2)+0.2)+((((E431-0.08)+0.2)*(((I432+I431+I433)/2)-2)))))))</f>
        <v>10.440000000000001</v>
      </c>
      <c r="P432" s="54">
        <f>O432*N432*C431</f>
        <v>83.52000000000001</v>
      </c>
      <c r="Q432" s="468">
        <f t="shared" si="68"/>
        <v>0</v>
      </c>
      <c r="R432" s="468">
        <f t="shared" si="69"/>
        <v>0</v>
      </c>
      <c r="S432" s="468">
        <f t="shared" si="70"/>
        <v>48</v>
      </c>
      <c r="T432" s="469">
        <f t="shared" si="71"/>
        <v>0</v>
      </c>
      <c r="U432" s="469">
        <f t="shared" si="72"/>
        <v>0</v>
      </c>
      <c r="V432" s="468">
        <f t="shared" si="73"/>
        <v>0</v>
      </c>
    </row>
    <row r="433" spans="1:22" outlineLevel="1" x14ac:dyDescent="0.3">
      <c r="A433" s="937"/>
      <c r="B433" s="918"/>
      <c r="C433" s="982"/>
      <c r="D433" s="57"/>
      <c r="E433" s="58"/>
      <c r="F433" s="57"/>
      <c r="G433" s="57"/>
      <c r="H433" s="556">
        <v>12</v>
      </c>
      <c r="I433" s="556">
        <v>8</v>
      </c>
      <c r="J433" s="57">
        <f>(F431+(50*H433/1000))*I433*C431</f>
        <v>22.400000000000002</v>
      </c>
      <c r="K433" s="60"/>
      <c r="L433" s="556"/>
      <c r="M433" s="61"/>
      <c r="N433" s="556"/>
      <c r="O433" s="62"/>
      <c r="P433" s="54">
        <f t="shared" ref="P433:P438" si="76">O433</f>
        <v>0</v>
      </c>
      <c r="Q433" s="468">
        <f t="shared" si="68"/>
        <v>0</v>
      </c>
      <c r="R433" s="468">
        <f t="shared" si="69"/>
        <v>22.400000000000002</v>
      </c>
      <c r="S433" s="468">
        <f t="shared" si="70"/>
        <v>0</v>
      </c>
      <c r="T433" s="469">
        <f t="shared" si="71"/>
        <v>0</v>
      </c>
      <c r="U433" s="469">
        <f t="shared" si="72"/>
        <v>0</v>
      </c>
      <c r="V433" s="468">
        <f t="shared" si="73"/>
        <v>0</v>
      </c>
    </row>
    <row r="434" spans="1:22" outlineLevel="1" x14ac:dyDescent="0.3">
      <c r="A434" s="937"/>
      <c r="B434" s="919"/>
      <c r="C434" s="983"/>
      <c r="D434" s="57"/>
      <c r="E434" s="58"/>
      <c r="F434" s="57"/>
      <c r="G434" s="57"/>
      <c r="H434" s="556"/>
      <c r="I434" s="556"/>
      <c r="J434" s="57"/>
      <c r="K434" s="60"/>
      <c r="L434" s="556"/>
      <c r="M434" s="61"/>
      <c r="N434" s="556"/>
      <c r="O434" s="62"/>
      <c r="P434" s="54">
        <f t="shared" si="76"/>
        <v>0</v>
      </c>
      <c r="Q434" s="468">
        <f t="shared" si="68"/>
        <v>0</v>
      </c>
      <c r="R434" s="468">
        <f t="shared" si="69"/>
        <v>0</v>
      </c>
      <c r="S434" s="468">
        <f t="shared" si="70"/>
        <v>0</v>
      </c>
      <c r="T434" s="469">
        <f t="shared" si="71"/>
        <v>0</v>
      </c>
      <c r="U434" s="469">
        <f t="shared" si="72"/>
        <v>0</v>
      </c>
      <c r="V434" s="468">
        <f t="shared" si="73"/>
        <v>0</v>
      </c>
    </row>
    <row r="435" spans="1:22" outlineLevel="1" x14ac:dyDescent="0.3">
      <c r="A435" s="936">
        <v>24</v>
      </c>
      <c r="B435" s="914" t="s">
        <v>92</v>
      </c>
      <c r="C435" s="936">
        <v>1</v>
      </c>
      <c r="D435" s="48">
        <v>2.4</v>
      </c>
      <c r="E435" s="49">
        <v>0.23</v>
      </c>
      <c r="F435" s="48">
        <v>2.2000000000000002</v>
      </c>
      <c r="G435" s="48">
        <f>F435*E435*D435*C435</f>
        <v>1.2144000000000001</v>
      </c>
      <c r="H435" s="555">
        <v>16</v>
      </c>
      <c r="I435" s="555">
        <v>24</v>
      </c>
      <c r="J435" s="48">
        <f>(F435+(50*H435/1000))*I435*C435</f>
        <v>72</v>
      </c>
      <c r="K435" s="60" t="s">
        <v>63</v>
      </c>
      <c r="L435" s="555">
        <v>8</v>
      </c>
      <c r="M435" s="52">
        <v>0.1</v>
      </c>
      <c r="N435" s="555">
        <f>ROUND(((F435/2)/M435),0)+1</f>
        <v>12</v>
      </c>
      <c r="O435" s="53">
        <f>((((((((D435-0.08)+(E435-0.08))*2)+0.2)+((((E435-0.08)+0.2)*(((I435+I436+I437)/2)-2)))))))</f>
        <v>11.09</v>
      </c>
      <c r="P435" s="54">
        <f>O435*N435*C435</f>
        <v>133.07999999999998</v>
      </c>
      <c r="Q435" s="468">
        <f t="shared" ref="Q435:Q438" si="77">IF(H435=10,(J435),0)+IF(L435=10,(O435*N435),0)</f>
        <v>0</v>
      </c>
      <c r="R435" s="468">
        <f t="shared" ref="R435:R438" si="78">IF(H435=12,(J435),0)+IF(L435=12,(O435*N435),0)</f>
        <v>0</v>
      </c>
      <c r="S435" s="468">
        <f t="shared" ref="S435:S438" si="79">IF(H435=16,(J435),0)+IF(L435=16,(O435*N435),0)</f>
        <v>72</v>
      </c>
      <c r="T435" s="469">
        <f t="shared" ref="T435:T438" si="80">IF(H435=20,(J435),0)+IF(L435=20,(O435*N435),0)</f>
        <v>0</v>
      </c>
      <c r="U435" s="469">
        <f t="shared" ref="U435:U438" si="81">IF(H435=25,(J435),0)+IF(L435=25,(O435*N435),0)</f>
        <v>0</v>
      </c>
      <c r="V435" s="468">
        <f t="shared" ref="V435:V438" si="82">IF(H435=32,(J435),0)+IF(L435=32,(O435*N435),0)</f>
        <v>0</v>
      </c>
    </row>
    <row r="436" spans="1:22" outlineLevel="1" x14ac:dyDescent="0.3">
      <c r="A436" s="937"/>
      <c r="B436" s="915"/>
      <c r="C436" s="937"/>
      <c r="D436" s="57"/>
      <c r="E436" s="58"/>
      <c r="F436" s="57"/>
      <c r="G436" s="57"/>
      <c r="H436" s="556">
        <v>12</v>
      </c>
      <c r="I436" s="556">
        <v>14</v>
      </c>
      <c r="J436" s="57">
        <f>(F435+(50*H436/1000))*I436*C435</f>
        <v>39.200000000000003</v>
      </c>
      <c r="K436" s="60" t="s">
        <v>63</v>
      </c>
      <c r="L436" s="556">
        <v>8</v>
      </c>
      <c r="M436" s="61">
        <v>0.15</v>
      </c>
      <c r="N436" s="556">
        <f>ROUND((F435/2)/M436,0)+1</f>
        <v>8</v>
      </c>
      <c r="O436" s="53">
        <f>((((((((D435-0.08)+(E435-0.08))*2)+0.2)+((((E435-0.08)+0.2)*(((I436+I435+I437)/2)-2)))))))</f>
        <v>11.09</v>
      </c>
      <c r="P436" s="54">
        <f>O436*N436*C435</f>
        <v>88.72</v>
      </c>
      <c r="Q436" s="468">
        <f t="shared" si="77"/>
        <v>0</v>
      </c>
      <c r="R436" s="468">
        <f t="shared" si="78"/>
        <v>39.200000000000003</v>
      </c>
      <c r="S436" s="468">
        <f t="shared" si="79"/>
        <v>0</v>
      </c>
      <c r="T436" s="469">
        <f t="shared" si="80"/>
        <v>0</v>
      </c>
      <c r="U436" s="469">
        <f t="shared" si="81"/>
        <v>0</v>
      </c>
      <c r="V436" s="468">
        <f t="shared" si="82"/>
        <v>0</v>
      </c>
    </row>
    <row r="437" spans="1:22" outlineLevel="1" x14ac:dyDescent="0.3">
      <c r="A437" s="937"/>
      <c r="B437" s="915"/>
      <c r="C437" s="937"/>
      <c r="D437" s="57"/>
      <c r="E437" s="58"/>
      <c r="F437" s="57"/>
      <c r="G437" s="57"/>
      <c r="H437" s="556"/>
      <c r="I437" s="556"/>
      <c r="J437" s="57">
        <f>(F435+(50*H437/1000))*I437*C435</f>
        <v>0</v>
      </c>
      <c r="K437" s="60"/>
      <c r="L437" s="556"/>
      <c r="M437" s="61"/>
      <c r="N437" s="556"/>
      <c r="O437" s="62"/>
      <c r="P437" s="54">
        <f t="shared" si="76"/>
        <v>0</v>
      </c>
      <c r="Q437" s="468">
        <f t="shared" si="77"/>
        <v>0</v>
      </c>
      <c r="R437" s="468">
        <f t="shared" si="78"/>
        <v>0</v>
      </c>
      <c r="S437" s="468">
        <f t="shared" si="79"/>
        <v>0</v>
      </c>
      <c r="T437" s="469">
        <f t="shared" si="80"/>
        <v>0</v>
      </c>
      <c r="U437" s="469">
        <f t="shared" si="81"/>
        <v>0</v>
      </c>
      <c r="V437" s="468">
        <f t="shared" si="82"/>
        <v>0</v>
      </c>
    </row>
    <row r="438" spans="1:22" outlineLevel="1" x14ac:dyDescent="0.3">
      <c r="A438" s="938"/>
      <c r="B438" s="916"/>
      <c r="C438" s="938"/>
      <c r="D438" s="63"/>
      <c r="E438" s="64"/>
      <c r="F438" s="63"/>
      <c r="G438" s="63"/>
      <c r="H438" s="558"/>
      <c r="I438" s="558"/>
      <c r="J438" s="63"/>
      <c r="K438" s="66"/>
      <c r="L438" s="558"/>
      <c r="M438" s="67"/>
      <c r="N438" s="558"/>
      <c r="O438" s="69"/>
      <c r="P438" s="54">
        <f t="shared" si="76"/>
        <v>0</v>
      </c>
      <c r="Q438" s="468">
        <f t="shared" si="77"/>
        <v>0</v>
      </c>
      <c r="R438" s="468">
        <f t="shared" si="78"/>
        <v>0</v>
      </c>
      <c r="S438" s="468">
        <f t="shared" si="79"/>
        <v>0</v>
      </c>
      <c r="T438" s="469">
        <f t="shared" si="80"/>
        <v>0</v>
      </c>
      <c r="U438" s="469">
        <f t="shared" si="81"/>
        <v>0</v>
      </c>
      <c r="V438" s="468">
        <f t="shared" si="82"/>
        <v>0</v>
      </c>
    </row>
    <row r="439" spans="1:22" ht="15.6" outlineLevel="1" x14ac:dyDescent="0.3">
      <c r="A439" s="74"/>
      <c r="B439" s="75"/>
      <c r="C439" s="75"/>
      <c r="D439" s="75"/>
      <c r="E439" s="76"/>
      <c r="F439" s="75" t="s">
        <v>95</v>
      </c>
      <c r="G439" s="77">
        <f>SUM(G303:G438)</f>
        <v>30.515210000000007</v>
      </c>
      <c r="H439" s="75"/>
      <c r="I439" s="75"/>
      <c r="J439" s="75"/>
      <c r="K439" s="75"/>
      <c r="L439" s="78"/>
      <c r="M439" s="978" t="s">
        <v>96</v>
      </c>
      <c r="N439" s="978"/>
      <c r="O439" s="978"/>
      <c r="P439" s="77">
        <f>SUM(P303:P438)</f>
        <v>5609.64</v>
      </c>
      <c r="Q439" s="77">
        <f t="shared" ref="Q439:V439" si="83">SUM(Q303:Q438)</f>
        <v>0</v>
      </c>
      <c r="R439" s="77">
        <f t="shared" si="83"/>
        <v>448.79999999999995</v>
      </c>
      <c r="S439" s="77">
        <f t="shared" si="83"/>
        <v>1972.4000000000003</v>
      </c>
      <c r="T439" s="77">
        <f t="shared" si="83"/>
        <v>492.00000000000017</v>
      </c>
      <c r="U439" s="77">
        <f t="shared" si="83"/>
        <v>0</v>
      </c>
      <c r="V439" s="77">
        <f t="shared" si="83"/>
        <v>0</v>
      </c>
    </row>
    <row r="440" spans="1:22" ht="15.6" outlineLevel="1" x14ac:dyDescent="0.3">
      <c r="A440" s="79"/>
      <c r="B440" s="79"/>
      <c r="C440" s="79"/>
      <c r="D440" s="80"/>
      <c r="E440" s="81"/>
      <c r="F440" s="80"/>
      <c r="G440" s="80"/>
      <c r="H440" s="79"/>
      <c r="I440" s="79"/>
      <c r="J440" s="80"/>
      <c r="K440" s="79"/>
      <c r="L440" s="79"/>
      <c r="M440" s="977" t="s">
        <v>97</v>
      </c>
      <c r="N440" s="977"/>
      <c r="O440" s="977"/>
      <c r="P440" s="82">
        <f>8^2/162</f>
        <v>0.39506172839506171</v>
      </c>
      <c r="Q440" s="82">
        <f>10^2/162</f>
        <v>0.61728395061728392</v>
      </c>
      <c r="R440" s="82">
        <f>12^2/162</f>
        <v>0.88888888888888884</v>
      </c>
      <c r="S440" s="82">
        <f>16^2/162</f>
        <v>1.5802469135802468</v>
      </c>
      <c r="T440" s="82">
        <f>20^2/162</f>
        <v>2.4691358024691357</v>
      </c>
      <c r="U440" s="82">
        <f>25^2/162</f>
        <v>3.8580246913580245</v>
      </c>
      <c r="V440" s="82">
        <f>32^2/162</f>
        <v>6.3209876543209873</v>
      </c>
    </row>
    <row r="441" spans="1:22" ht="15.6" outlineLevel="1" x14ac:dyDescent="0.3">
      <c r="A441" s="83"/>
      <c r="B441" s="84"/>
      <c r="C441" s="84"/>
      <c r="D441" s="84"/>
      <c r="E441" s="85"/>
      <c r="F441" s="84"/>
      <c r="G441" s="84"/>
      <c r="H441" s="84"/>
      <c r="I441" s="84"/>
      <c r="J441" s="84"/>
      <c r="K441" s="84"/>
      <c r="L441" s="84"/>
      <c r="M441" s="978" t="s">
        <v>98</v>
      </c>
      <c r="N441" s="978"/>
      <c r="O441" s="978"/>
      <c r="P441" s="77">
        <f t="shared" ref="P441:V441" si="84">P440*P439</f>
        <v>2216.1540740740743</v>
      </c>
      <c r="Q441" s="77">
        <f t="shared" si="84"/>
        <v>0</v>
      </c>
      <c r="R441" s="77">
        <f t="shared" si="84"/>
        <v>398.93333333333328</v>
      </c>
      <c r="S441" s="77">
        <f t="shared" si="84"/>
        <v>3116.8790123456793</v>
      </c>
      <c r="T441" s="77">
        <f t="shared" si="84"/>
        <v>1214.8148148148152</v>
      </c>
      <c r="U441" s="77">
        <f t="shared" si="84"/>
        <v>0</v>
      </c>
      <c r="V441" s="77">
        <f t="shared" si="84"/>
        <v>0</v>
      </c>
    </row>
    <row r="442" spans="1:22" ht="15.6" outlineLevel="1" x14ac:dyDescent="0.3">
      <c r="M442" s="978" t="s">
        <v>99</v>
      </c>
      <c r="N442" s="978"/>
      <c r="O442" s="978"/>
      <c r="P442" s="77">
        <f>P441/1000</f>
        <v>2.2161540740740744</v>
      </c>
      <c r="Q442" s="77">
        <f t="shared" ref="Q442:V442" si="85">Q441/1000</f>
        <v>0</v>
      </c>
      <c r="R442" s="77">
        <f t="shared" si="85"/>
        <v>0.39893333333333331</v>
      </c>
      <c r="S442" s="77">
        <f t="shared" si="85"/>
        <v>3.1168790123456791</v>
      </c>
      <c r="T442" s="77">
        <f t="shared" si="85"/>
        <v>1.2148148148148152</v>
      </c>
      <c r="U442" s="77">
        <f t="shared" si="85"/>
        <v>0</v>
      </c>
      <c r="V442" s="77">
        <f t="shared" si="85"/>
        <v>0</v>
      </c>
    </row>
    <row r="443" spans="1:22" ht="14.25" customHeight="1" x14ac:dyDescent="0.3"/>
    <row r="444" spans="1:22" ht="14.25" customHeight="1" x14ac:dyDescent="0.3"/>
    <row r="445" spans="1:22" outlineLevel="1" x14ac:dyDescent="0.3">
      <c r="A445" s="988">
        <v>25</v>
      </c>
      <c r="B445" s="989" t="s">
        <v>93</v>
      </c>
      <c r="C445" s="988">
        <v>2</v>
      </c>
      <c r="D445" s="712">
        <v>8.42</v>
      </c>
      <c r="E445" s="713">
        <v>0.23</v>
      </c>
      <c r="F445" s="712">
        <v>2.2000000000000002</v>
      </c>
      <c r="G445" s="712">
        <f>F445*E445*D445*C445</f>
        <v>8.5210400000000011</v>
      </c>
      <c r="H445" s="714">
        <v>16</v>
      </c>
      <c r="I445" s="714">
        <v>56</v>
      </c>
      <c r="J445" s="712">
        <f>(F445+(50*H445/1000))*I445*C445</f>
        <v>336</v>
      </c>
      <c r="K445" s="74" t="s">
        <v>66</v>
      </c>
      <c r="L445" s="714">
        <v>8</v>
      </c>
      <c r="M445" s="715">
        <v>0.1</v>
      </c>
      <c r="N445" s="714">
        <f>ROUND(((F445/2)/M445),0)+1</f>
        <v>12</v>
      </c>
      <c r="O445" s="716">
        <f>((((((((D445-0.08)+(E445-0.08))*2)+0.2)+((((E445-0.08)+0.2)*(((I445+I446+I447)/2)-2)))))))</f>
        <v>36.78</v>
      </c>
      <c r="P445" s="55">
        <f>O445*N445*C445</f>
        <v>882.72</v>
      </c>
      <c r="Q445" s="468">
        <f t="shared" ref="Q445:Q452" si="86">IF(H445=10,(J445),0)+IF(L445=10,(O445*N445),0)</f>
        <v>0</v>
      </c>
      <c r="R445" s="468">
        <f t="shared" ref="R445:R452" si="87">IF(H445=12,(J445),0)+IF(L445=12,(O445*N445),0)</f>
        <v>0</v>
      </c>
      <c r="S445" s="468">
        <f t="shared" ref="S445:S452" si="88">IF(H445=16,(J445),0)+IF(L445=16,(O445*N445),0)</f>
        <v>336</v>
      </c>
      <c r="T445" s="469">
        <f t="shared" ref="T445:T452" si="89">IF(H445=20,(J445),0)+IF(L445=20,(O445*N445),0)</f>
        <v>0</v>
      </c>
      <c r="U445" s="469">
        <f t="shared" ref="U445:U452" si="90">IF(H445=25,(J445),0)+IF(L445=25,(O445*N445),0)</f>
        <v>0</v>
      </c>
      <c r="V445" s="468">
        <f t="shared" ref="V445:V452" si="91">IF(H445=32,(J445),0)+IF(L445=32,(O445*N445),0)</f>
        <v>0</v>
      </c>
    </row>
    <row r="446" spans="1:22" outlineLevel="1" x14ac:dyDescent="0.3">
      <c r="A446" s="988"/>
      <c r="B446" s="989"/>
      <c r="C446" s="988"/>
      <c r="D446" s="712"/>
      <c r="E446" s="713"/>
      <c r="F446" s="712"/>
      <c r="G446" s="712"/>
      <c r="H446" s="714">
        <v>12</v>
      </c>
      <c r="I446" s="714">
        <v>46</v>
      </c>
      <c r="J446" s="712">
        <f>(F445+(50*H446/1000))*I446*C445</f>
        <v>257.60000000000002</v>
      </c>
      <c r="K446" s="74" t="s">
        <v>63</v>
      </c>
      <c r="L446" s="714">
        <v>8</v>
      </c>
      <c r="M446" s="715">
        <v>0.15</v>
      </c>
      <c r="N446" s="714">
        <f>ROUND((F445/2)/M446,0)+1</f>
        <v>8</v>
      </c>
      <c r="O446" s="716">
        <f>((((((((D445-0.08)+(E445-0.08))*2)+0.2)+((((E445-0.08)+0.2)*(((I446+I445+I447)/2)-2)))))))</f>
        <v>36.78</v>
      </c>
      <c r="P446" s="55">
        <f>O446*N446*C445</f>
        <v>588.48</v>
      </c>
      <c r="Q446" s="468">
        <f t="shared" si="86"/>
        <v>0</v>
      </c>
      <c r="R446" s="468">
        <f t="shared" si="87"/>
        <v>257.60000000000002</v>
      </c>
      <c r="S446" s="468">
        <f t="shared" si="88"/>
        <v>0</v>
      </c>
      <c r="T446" s="469">
        <f t="shared" si="89"/>
        <v>0</v>
      </c>
      <c r="U446" s="469">
        <f t="shared" si="90"/>
        <v>0</v>
      </c>
      <c r="V446" s="468">
        <f t="shared" si="91"/>
        <v>0</v>
      </c>
    </row>
    <row r="447" spans="1:22" outlineLevel="1" x14ac:dyDescent="0.3">
      <c r="A447" s="988"/>
      <c r="B447" s="989"/>
      <c r="C447" s="988"/>
      <c r="D447" s="712"/>
      <c r="E447" s="713"/>
      <c r="F447" s="712"/>
      <c r="G447" s="712"/>
      <c r="H447" s="714">
        <v>8</v>
      </c>
      <c r="I447" s="714">
        <v>14</v>
      </c>
      <c r="J447" s="712">
        <f>(F445+(50*H447/1000))*I447*C445</f>
        <v>72.8</v>
      </c>
      <c r="K447" s="74" t="s">
        <v>63</v>
      </c>
      <c r="L447" s="714"/>
      <c r="M447" s="715"/>
      <c r="N447" s="714"/>
      <c r="O447" s="716"/>
      <c r="P447" s="55">
        <f t="shared" ref="P447:P452" si="92">O447</f>
        <v>0</v>
      </c>
      <c r="Q447" s="468">
        <f t="shared" si="86"/>
        <v>0</v>
      </c>
      <c r="R447" s="468">
        <f t="shared" si="87"/>
        <v>0</v>
      </c>
      <c r="S447" s="468">
        <f t="shared" si="88"/>
        <v>0</v>
      </c>
      <c r="T447" s="469">
        <f t="shared" si="89"/>
        <v>0</v>
      </c>
      <c r="U447" s="469">
        <f t="shared" si="90"/>
        <v>0</v>
      </c>
      <c r="V447" s="468">
        <f t="shared" si="91"/>
        <v>0</v>
      </c>
    </row>
    <row r="448" spans="1:22" outlineLevel="1" x14ac:dyDescent="0.3">
      <c r="A448" s="988"/>
      <c r="B448" s="989"/>
      <c r="C448" s="988"/>
      <c r="D448" s="712"/>
      <c r="E448" s="713"/>
      <c r="F448" s="712"/>
      <c r="G448" s="712"/>
      <c r="H448" s="714"/>
      <c r="I448" s="714"/>
      <c r="J448" s="712"/>
      <c r="K448" s="74" t="s">
        <v>64</v>
      </c>
      <c r="L448" s="714"/>
      <c r="M448" s="715"/>
      <c r="N448" s="714"/>
      <c r="O448" s="716"/>
      <c r="P448" s="55">
        <f t="shared" si="92"/>
        <v>0</v>
      </c>
      <c r="Q448" s="468">
        <f t="shared" si="86"/>
        <v>0</v>
      </c>
      <c r="R448" s="468">
        <f t="shared" si="87"/>
        <v>0</v>
      </c>
      <c r="S448" s="468">
        <f t="shared" si="88"/>
        <v>0</v>
      </c>
      <c r="T448" s="469">
        <f t="shared" si="89"/>
        <v>0</v>
      </c>
      <c r="U448" s="469">
        <f t="shared" si="90"/>
        <v>0</v>
      </c>
      <c r="V448" s="468">
        <f t="shared" si="91"/>
        <v>0</v>
      </c>
    </row>
    <row r="449" spans="1:27" outlineLevel="1" x14ac:dyDescent="0.3">
      <c r="A449" s="988">
        <v>26</v>
      </c>
      <c r="B449" s="989" t="s">
        <v>94</v>
      </c>
      <c r="C449" s="988">
        <v>1</v>
      </c>
      <c r="D449" s="712">
        <v>9.42</v>
      </c>
      <c r="E449" s="713">
        <v>0.23</v>
      </c>
      <c r="F449" s="712">
        <v>2.2000000000000002</v>
      </c>
      <c r="G449" s="712">
        <f>F449*E449*D449*C449</f>
        <v>4.7665200000000008</v>
      </c>
      <c r="H449" s="714">
        <v>16</v>
      </c>
      <c r="I449" s="714">
        <v>56</v>
      </c>
      <c r="J449" s="712">
        <f>(F449+(50*H449/1000))*I449*C449</f>
        <v>168</v>
      </c>
      <c r="K449" s="74" t="s">
        <v>66</v>
      </c>
      <c r="L449" s="714">
        <v>8</v>
      </c>
      <c r="M449" s="715">
        <v>0.1</v>
      </c>
      <c r="N449" s="714">
        <f>ROUND(((F449/2)/M449),0)+1</f>
        <v>12</v>
      </c>
      <c r="O449" s="716">
        <f>((((((((D449-0.08)+(E449-0.08))*2)+0.2)+((((E449-0.08)+0.2)*(((I449+I450+I451)/2)-2)))))))</f>
        <v>38.78</v>
      </c>
      <c r="P449" s="55">
        <f>O449*N449*C449</f>
        <v>465.36</v>
      </c>
      <c r="Q449" s="468">
        <f t="shared" si="86"/>
        <v>0</v>
      </c>
      <c r="R449" s="468">
        <f t="shared" si="87"/>
        <v>0</v>
      </c>
      <c r="S449" s="468">
        <f t="shared" si="88"/>
        <v>168</v>
      </c>
      <c r="T449" s="469">
        <f t="shared" si="89"/>
        <v>0</v>
      </c>
      <c r="U449" s="469">
        <f t="shared" si="90"/>
        <v>0</v>
      </c>
      <c r="V449" s="468">
        <f t="shared" si="91"/>
        <v>0</v>
      </c>
    </row>
    <row r="450" spans="1:27" outlineLevel="1" x14ac:dyDescent="0.3">
      <c r="A450" s="988"/>
      <c r="B450" s="989"/>
      <c r="C450" s="988"/>
      <c r="D450" s="712"/>
      <c r="E450" s="713"/>
      <c r="F450" s="712"/>
      <c r="G450" s="712"/>
      <c r="H450" s="714">
        <v>12</v>
      </c>
      <c r="I450" s="714">
        <v>46</v>
      </c>
      <c r="J450" s="712">
        <f>(F449+(50*H450/1000))*I450*C449</f>
        <v>128.80000000000001</v>
      </c>
      <c r="K450" s="74" t="s">
        <v>63</v>
      </c>
      <c r="L450" s="714">
        <v>8</v>
      </c>
      <c r="M450" s="715">
        <v>0.15</v>
      </c>
      <c r="N450" s="714">
        <f>ROUND((F449/2)/M450,0)+1</f>
        <v>8</v>
      </c>
      <c r="O450" s="716">
        <f>((((((((D449-0.08)+(E449-0.08))*2)+0.2)+((((E449-0.08)+0.2)*(((I450+I449+I451)/2)-2)))))))</f>
        <v>38.78</v>
      </c>
      <c r="P450" s="55">
        <f>O450*N450*C449</f>
        <v>310.24</v>
      </c>
      <c r="Q450" s="468">
        <f t="shared" si="86"/>
        <v>0</v>
      </c>
      <c r="R450" s="468">
        <f t="shared" si="87"/>
        <v>128.80000000000001</v>
      </c>
      <c r="S450" s="468">
        <f t="shared" si="88"/>
        <v>0</v>
      </c>
      <c r="T450" s="469">
        <f t="shared" si="89"/>
        <v>0</v>
      </c>
      <c r="U450" s="469">
        <f t="shared" si="90"/>
        <v>0</v>
      </c>
      <c r="V450" s="468">
        <f t="shared" si="91"/>
        <v>0</v>
      </c>
    </row>
    <row r="451" spans="1:27" outlineLevel="1" x14ac:dyDescent="0.3">
      <c r="A451" s="988"/>
      <c r="B451" s="989"/>
      <c r="C451" s="988"/>
      <c r="D451" s="712"/>
      <c r="E451" s="713"/>
      <c r="F451" s="712"/>
      <c r="G451" s="712"/>
      <c r="H451" s="714">
        <v>8</v>
      </c>
      <c r="I451" s="714">
        <v>14</v>
      </c>
      <c r="J451" s="712">
        <f>(F449+(50*H451/1000))*I451*C449</f>
        <v>36.4</v>
      </c>
      <c r="K451" s="74" t="s">
        <v>63</v>
      </c>
      <c r="L451" s="714"/>
      <c r="M451" s="715"/>
      <c r="N451" s="714"/>
      <c r="O451" s="716"/>
      <c r="P451" s="55">
        <f t="shared" si="92"/>
        <v>0</v>
      </c>
      <c r="Q451" s="468">
        <f t="shared" si="86"/>
        <v>0</v>
      </c>
      <c r="R451" s="468">
        <f t="shared" si="87"/>
        <v>0</v>
      </c>
      <c r="S451" s="468">
        <f t="shared" si="88"/>
        <v>0</v>
      </c>
      <c r="T451" s="469">
        <f t="shared" si="89"/>
        <v>0</v>
      </c>
      <c r="U451" s="469">
        <f t="shared" si="90"/>
        <v>0</v>
      </c>
      <c r="V451" s="468">
        <f t="shared" si="91"/>
        <v>0</v>
      </c>
    </row>
    <row r="452" spans="1:27" outlineLevel="1" x14ac:dyDescent="0.3">
      <c r="A452" s="988"/>
      <c r="B452" s="989"/>
      <c r="C452" s="988"/>
      <c r="D452" s="712"/>
      <c r="E452" s="713"/>
      <c r="F452" s="712"/>
      <c r="G452" s="717">
        <f>SUM(G445:G451)</f>
        <v>13.287560000000003</v>
      </c>
      <c r="H452" s="714"/>
      <c r="I452" s="714"/>
      <c r="J452" s="712"/>
      <c r="K452" s="74" t="s">
        <v>64</v>
      </c>
      <c r="L452" s="714"/>
      <c r="M452" s="715"/>
      <c r="N452" s="714"/>
      <c r="O452" s="716"/>
      <c r="P452" s="55">
        <f t="shared" si="92"/>
        <v>0</v>
      </c>
      <c r="Q452" s="468">
        <f t="shared" si="86"/>
        <v>0</v>
      </c>
      <c r="R452" s="468">
        <f t="shared" si="87"/>
        <v>0</v>
      </c>
      <c r="S452" s="468">
        <f t="shared" si="88"/>
        <v>0</v>
      </c>
      <c r="T452" s="469">
        <f t="shared" si="89"/>
        <v>0</v>
      </c>
      <c r="U452" s="469">
        <f t="shared" si="90"/>
        <v>0</v>
      </c>
      <c r="V452" s="468">
        <f t="shared" si="91"/>
        <v>0</v>
      </c>
    </row>
    <row r="453" spans="1:27" ht="14.25" customHeight="1" x14ac:dyDescent="0.3"/>
    <row r="454" spans="1:27" ht="14.25" customHeight="1" x14ac:dyDescent="0.3"/>
    <row r="455" spans="1:27" ht="14.25" customHeight="1" x14ac:dyDescent="0.3"/>
    <row r="456" spans="1:27" ht="14.25" customHeight="1" x14ac:dyDescent="0.3"/>
    <row r="457" spans="1:27" ht="14.25" customHeight="1" x14ac:dyDescent="0.3"/>
    <row r="458" spans="1:27" x14ac:dyDescent="0.3">
      <c r="A458" s="477"/>
      <c r="B458" s="953" t="s">
        <v>573</v>
      </c>
      <c r="C458" s="953"/>
      <c r="D458" s="953"/>
      <c r="E458" s="953"/>
      <c r="F458" s="953"/>
      <c r="G458" s="953"/>
      <c r="H458" s="953"/>
      <c r="I458" s="953"/>
      <c r="J458" s="953"/>
      <c r="K458" s="953"/>
      <c r="L458" s="953"/>
      <c r="M458" s="953"/>
      <c r="N458" s="478"/>
      <c r="P458" s="479"/>
      <c r="R458" s="479"/>
      <c r="S458" s="480"/>
      <c r="T458" s="480"/>
      <c r="U458" s="480"/>
      <c r="V458" s="480"/>
      <c r="W458" s="480"/>
      <c r="X458" s="480"/>
      <c r="Y458" s="480"/>
      <c r="Z458" s="478"/>
    </row>
    <row r="459" spans="1:27" ht="15" thickBot="1" x14ac:dyDescent="0.35">
      <c r="A459" s="954"/>
      <c r="B459" s="954"/>
      <c r="C459" s="954"/>
      <c r="D459" s="954"/>
      <c r="E459" s="954"/>
      <c r="F459" s="954"/>
      <c r="G459" s="954"/>
      <c r="H459" s="954"/>
      <c r="I459" s="954"/>
      <c r="J459" s="954"/>
      <c r="K459" s="954"/>
      <c r="L459" s="954"/>
      <c r="M459" s="954"/>
      <c r="N459" s="478"/>
      <c r="P459" s="479"/>
      <c r="R459" s="479"/>
      <c r="S459" s="480"/>
      <c r="T459" s="480"/>
      <c r="U459" s="480"/>
      <c r="V459" s="480"/>
      <c r="W459" s="480"/>
      <c r="X459" s="480"/>
      <c r="Y459" s="480"/>
      <c r="Z459" s="478"/>
    </row>
    <row r="460" spans="1:27" x14ac:dyDescent="0.3">
      <c r="B460" s="955" t="s">
        <v>574</v>
      </c>
      <c r="C460" s="956"/>
      <c r="D460" s="956"/>
      <c r="E460" s="956"/>
      <c r="F460" s="956"/>
      <c r="G460" s="956"/>
      <c r="H460" s="956"/>
      <c r="I460" s="956"/>
      <c r="J460" s="956"/>
      <c r="K460" s="956"/>
      <c r="L460" s="956"/>
      <c r="M460" s="956"/>
      <c r="N460" s="956"/>
      <c r="O460" s="956"/>
      <c r="P460" s="956"/>
      <c r="Q460" s="956"/>
      <c r="R460" s="956"/>
      <c r="S460" s="956"/>
      <c r="T460" s="956"/>
      <c r="U460" s="956"/>
      <c r="V460" s="956"/>
      <c r="W460" s="956"/>
      <c r="X460" s="956"/>
      <c r="Y460" s="956"/>
      <c r="Z460" s="956"/>
      <c r="AA460" s="957"/>
    </row>
    <row r="461" spans="1:27" ht="15" thickBot="1" x14ac:dyDescent="0.35">
      <c r="B461" s="958"/>
      <c r="C461" s="959"/>
      <c r="D461" s="959"/>
      <c r="E461" s="959"/>
      <c r="F461" s="959"/>
      <c r="G461" s="959"/>
      <c r="H461" s="959"/>
      <c r="I461" s="959"/>
      <c r="J461" s="959"/>
      <c r="K461" s="959"/>
      <c r="L461" s="959"/>
      <c r="M461" s="959"/>
      <c r="N461" s="959"/>
      <c r="O461" s="959"/>
      <c r="P461" s="959"/>
      <c r="Q461" s="959"/>
      <c r="R461" s="959"/>
      <c r="S461" s="959"/>
      <c r="T461" s="959"/>
      <c r="U461" s="959"/>
      <c r="V461" s="959"/>
      <c r="W461" s="959"/>
      <c r="X461" s="959"/>
      <c r="Y461" s="959"/>
      <c r="Z461" s="959"/>
      <c r="AA461" s="960"/>
    </row>
    <row r="462" spans="1:27" ht="15" outlineLevel="1" thickBot="1" x14ac:dyDescent="0.35">
      <c r="B462" s="961" t="s">
        <v>37</v>
      </c>
      <c r="C462" s="962"/>
      <c r="D462" s="962"/>
      <c r="E462" s="962"/>
      <c r="F462" s="962"/>
      <c r="G462" s="962"/>
      <c r="H462" s="962"/>
      <c r="I462" s="962"/>
      <c r="J462" s="963"/>
      <c r="K462" s="962" t="s">
        <v>38</v>
      </c>
      <c r="L462" s="962"/>
      <c r="M462" s="962"/>
      <c r="N462" s="961" t="s">
        <v>39</v>
      </c>
      <c r="O462" s="962"/>
      <c r="P462" s="962"/>
      <c r="Q462" s="962"/>
      <c r="R462" s="963"/>
      <c r="S462" s="964" t="s">
        <v>40</v>
      </c>
      <c r="T462" s="965"/>
      <c r="U462" s="965"/>
      <c r="V462" s="965"/>
      <c r="W462" s="965"/>
      <c r="X462" s="965"/>
      <c r="Y462" s="966"/>
    </row>
    <row r="463" spans="1:27" outlineLevel="1" x14ac:dyDescent="0.3">
      <c r="A463" s="481"/>
      <c r="B463" s="943" t="s">
        <v>575</v>
      </c>
      <c r="C463" s="943" t="s">
        <v>42</v>
      </c>
      <c r="D463" s="943" t="s">
        <v>43</v>
      </c>
      <c r="E463" s="951" t="s">
        <v>44</v>
      </c>
      <c r="F463" s="943" t="s">
        <v>45</v>
      </c>
      <c r="G463" s="945" t="s">
        <v>576</v>
      </c>
      <c r="H463" s="945" t="s">
        <v>577</v>
      </c>
      <c r="I463" s="945" t="s">
        <v>46</v>
      </c>
      <c r="J463" s="945" t="s">
        <v>47</v>
      </c>
      <c r="K463" s="943" t="s">
        <v>48</v>
      </c>
      <c r="L463" s="943" t="s">
        <v>49</v>
      </c>
      <c r="M463" s="943" t="s">
        <v>50</v>
      </c>
      <c r="N463" s="945" t="s">
        <v>51</v>
      </c>
      <c r="O463" s="943" t="s">
        <v>52</v>
      </c>
      <c r="P463" s="945" t="s">
        <v>578</v>
      </c>
      <c r="Q463" s="945" t="s">
        <v>54</v>
      </c>
      <c r="R463" s="947" t="s">
        <v>50</v>
      </c>
      <c r="S463" s="949" t="s">
        <v>55</v>
      </c>
      <c r="T463" s="939" t="s">
        <v>56</v>
      </c>
      <c r="U463" s="939" t="s">
        <v>57</v>
      </c>
      <c r="V463" s="939" t="s">
        <v>58</v>
      </c>
      <c r="W463" s="939" t="s">
        <v>59</v>
      </c>
      <c r="X463" s="939" t="s">
        <v>60</v>
      </c>
      <c r="Y463" s="941" t="s">
        <v>61</v>
      </c>
    </row>
    <row r="464" spans="1:27" outlineLevel="1" x14ac:dyDescent="0.3">
      <c r="A464" s="481"/>
      <c r="B464" s="944"/>
      <c r="C464" s="944"/>
      <c r="D464" s="944"/>
      <c r="E464" s="952"/>
      <c r="F464" s="944"/>
      <c r="G464" s="946"/>
      <c r="H464" s="946"/>
      <c r="I464" s="946"/>
      <c r="J464" s="946"/>
      <c r="K464" s="944"/>
      <c r="L464" s="944"/>
      <c r="M464" s="944"/>
      <c r="N464" s="946"/>
      <c r="O464" s="944"/>
      <c r="P464" s="946"/>
      <c r="Q464" s="946"/>
      <c r="R464" s="948"/>
      <c r="S464" s="950"/>
      <c r="T464" s="940"/>
      <c r="U464" s="940"/>
      <c r="V464" s="940"/>
      <c r="W464" s="940"/>
      <c r="X464" s="940"/>
      <c r="Y464" s="942"/>
    </row>
    <row r="465" spans="1:25" s="482" customFormat="1" outlineLevel="1" x14ac:dyDescent="0.3">
      <c r="B465" s="914">
        <v>1</v>
      </c>
      <c r="C465" s="914" t="s">
        <v>579</v>
      </c>
      <c r="D465" s="926">
        <v>0</v>
      </c>
      <c r="E465" s="923">
        <v>0.4</v>
      </c>
      <c r="F465" s="923">
        <v>0.38</v>
      </c>
      <c r="G465" s="923">
        <f>((F465*2)+(E465*2))*D465</f>
        <v>0</v>
      </c>
      <c r="H465" s="923">
        <f>F465*E465*D465</f>
        <v>0</v>
      </c>
      <c r="I465" s="923">
        <v>4.2</v>
      </c>
      <c r="J465" s="483">
        <f>E465*F465*I465*D465</f>
        <v>0</v>
      </c>
      <c r="K465" s="484">
        <v>20</v>
      </c>
      <c r="L465" s="484">
        <v>8</v>
      </c>
      <c r="M465" s="485">
        <f>(I465+(50*K465/1000))*L465*D465</f>
        <v>0</v>
      </c>
      <c r="N465" s="486" t="s">
        <v>580</v>
      </c>
      <c r="O465" s="487">
        <v>8</v>
      </c>
      <c r="P465" s="484" t="s">
        <v>581</v>
      </c>
      <c r="Q465" s="487">
        <f>ROUND(((((I465/3)*2)/0.1)+((I465/3)/0.15)),0)</f>
        <v>37</v>
      </c>
      <c r="R465" s="488">
        <f>((((E465-0.04)+(F465-0.04))*2)+(2*10*(O465/1000)))*Q465*D465</f>
        <v>0</v>
      </c>
      <c r="S465" s="489">
        <f>IF(K465=8,M465,0)+IF(O465=8,R465,"-")</f>
        <v>0</v>
      </c>
      <c r="T465" s="489">
        <f t="shared" ref="T465:T516" si="93">IF(K465=10,(M465),0)+IF(O465=10,(R465),0)</f>
        <v>0</v>
      </c>
      <c r="U465" s="489">
        <f t="shared" ref="U465:U516" si="94">IF(K465=12,(M465),0)+IF(O465=12,(R465),0)</f>
        <v>0</v>
      </c>
      <c r="V465" s="489">
        <f t="shared" ref="V465:V516" si="95">IF(K465=16,(M465),0)</f>
        <v>0</v>
      </c>
      <c r="W465" s="490">
        <f t="shared" ref="W465:W516" si="96">IF(K465=20,(M465),0)</f>
        <v>0</v>
      </c>
      <c r="X465" s="490">
        <f t="shared" ref="X465:X516" si="97">IF(K465=25,(M465),0)</f>
        <v>0</v>
      </c>
      <c r="Y465" s="489">
        <f t="shared" ref="Y465:Y516" si="98">IF(K465=32,(M465),0)</f>
        <v>0</v>
      </c>
    </row>
    <row r="466" spans="1:25" s="482" customFormat="1" ht="17.25" customHeight="1" outlineLevel="1" x14ac:dyDescent="0.3">
      <c r="B466" s="915"/>
      <c r="C466" s="915"/>
      <c r="D466" s="927"/>
      <c r="E466" s="924"/>
      <c r="F466" s="924"/>
      <c r="G466" s="924"/>
      <c r="H466" s="924"/>
      <c r="I466" s="924"/>
      <c r="J466" s="491"/>
      <c r="K466" s="486"/>
      <c r="L466" s="486"/>
      <c r="M466" s="485">
        <f>(I465+(50*K466/1000))*L466*D465</f>
        <v>0</v>
      </c>
      <c r="N466" s="486" t="s">
        <v>66</v>
      </c>
      <c r="O466" s="492"/>
      <c r="P466" s="486"/>
      <c r="Q466" s="492"/>
      <c r="R466" s="493"/>
      <c r="S466" s="489">
        <f t="shared" ref="S466:S516" si="99">IF(K466=8,M466,0)+IF(O466=8,R466,"0")</f>
        <v>0</v>
      </c>
      <c r="T466" s="489">
        <f t="shared" si="93"/>
        <v>0</v>
      </c>
      <c r="U466" s="489">
        <f t="shared" si="94"/>
        <v>0</v>
      </c>
      <c r="V466" s="489">
        <f t="shared" si="95"/>
        <v>0</v>
      </c>
      <c r="W466" s="490">
        <f t="shared" si="96"/>
        <v>0</v>
      </c>
      <c r="X466" s="490">
        <f t="shared" si="97"/>
        <v>0</v>
      </c>
      <c r="Y466" s="489">
        <f t="shared" si="98"/>
        <v>0</v>
      </c>
    </row>
    <row r="467" spans="1:25" s="482" customFormat="1" outlineLevel="1" x14ac:dyDescent="0.3">
      <c r="B467" s="915"/>
      <c r="C467" s="915"/>
      <c r="D467" s="927"/>
      <c r="E467" s="924"/>
      <c r="F467" s="924"/>
      <c r="G467" s="924"/>
      <c r="H467" s="924"/>
      <c r="I467" s="924"/>
      <c r="J467" s="491"/>
      <c r="K467" s="486"/>
      <c r="L467" s="486"/>
      <c r="M467" s="485">
        <f>(I465+(50*K467/1000))*L467*D465</f>
        <v>0</v>
      </c>
      <c r="N467" s="486" t="s">
        <v>580</v>
      </c>
      <c r="O467" s="492"/>
      <c r="P467" s="486"/>
      <c r="Q467" s="492"/>
      <c r="R467" s="493"/>
      <c r="S467" s="489">
        <f t="shared" si="99"/>
        <v>0</v>
      </c>
      <c r="T467" s="489">
        <f t="shared" si="93"/>
        <v>0</v>
      </c>
      <c r="U467" s="489">
        <f t="shared" si="94"/>
        <v>0</v>
      </c>
      <c r="V467" s="489">
        <f t="shared" si="95"/>
        <v>0</v>
      </c>
      <c r="W467" s="490">
        <f t="shared" si="96"/>
        <v>0</v>
      </c>
      <c r="X467" s="490">
        <f t="shared" si="97"/>
        <v>0</v>
      </c>
      <c r="Y467" s="489">
        <f t="shared" si="98"/>
        <v>0</v>
      </c>
    </row>
    <row r="468" spans="1:25" s="482" customFormat="1" outlineLevel="1" x14ac:dyDescent="0.3">
      <c r="B468" s="916"/>
      <c r="C468" s="916"/>
      <c r="D468" s="928"/>
      <c r="E468" s="925"/>
      <c r="F468" s="925"/>
      <c r="G468" s="925"/>
      <c r="H468" s="925"/>
      <c r="I468" s="925"/>
      <c r="J468" s="494"/>
      <c r="K468" s="495"/>
      <c r="L468" s="495"/>
      <c r="M468" s="485">
        <f>(I465+(50*K468/1000))*L468*D465</f>
        <v>0</v>
      </c>
      <c r="N468" s="495" t="s">
        <v>64</v>
      </c>
      <c r="O468" s="496"/>
      <c r="P468" s="497"/>
      <c r="Q468" s="496"/>
      <c r="R468" s="498"/>
      <c r="S468" s="489">
        <f t="shared" si="99"/>
        <v>0</v>
      </c>
      <c r="T468" s="489">
        <f t="shared" si="93"/>
        <v>0</v>
      </c>
      <c r="U468" s="489">
        <f t="shared" si="94"/>
        <v>0</v>
      </c>
      <c r="V468" s="489">
        <f t="shared" si="95"/>
        <v>0</v>
      </c>
      <c r="W468" s="490">
        <f t="shared" si="96"/>
        <v>0</v>
      </c>
      <c r="X468" s="490">
        <f t="shared" si="97"/>
        <v>0</v>
      </c>
      <c r="Y468" s="489">
        <f t="shared" si="98"/>
        <v>0</v>
      </c>
    </row>
    <row r="469" spans="1:25" s="126" customFormat="1" outlineLevel="1" x14ac:dyDescent="0.3">
      <c r="B469" s="914">
        <v>2</v>
      </c>
      <c r="C469" s="917" t="s">
        <v>582</v>
      </c>
      <c r="D469" s="926">
        <v>4</v>
      </c>
      <c r="E469" s="923">
        <v>0.5</v>
      </c>
      <c r="F469" s="923">
        <v>0.38</v>
      </c>
      <c r="G469" s="923">
        <f>((F469*2)+(E469*2))*D469</f>
        <v>7.04</v>
      </c>
      <c r="H469" s="923">
        <f t="shared" ref="H469" si="100">F469*E469*D469</f>
        <v>0.76</v>
      </c>
      <c r="I469" s="923">
        <v>4.2</v>
      </c>
      <c r="J469" s="483">
        <f>E469*F469*I469*D469</f>
        <v>3.1920000000000002</v>
      </c>
      <c r="K469" s="484">
        <v>20</v>
      </c>
      <c r="L469" s="484">
        <v>10</v>
      </c>
      <c r="M469" s="485">
        <f>(I469+(50*K469/1000))*L469*D469</f>
        <v>208</v>
      </c>
      <c r="N469" s="486" t="s">
        <v>580</v>
      </c>
      <c r="O469" s="487">
        <v>8</v>
      </c>
      <c r="P469" s="484" t="s">
        <v>581</v>
      </c>
      <c r="Q469" s="487">
        <f>ROUND(((((I469/3)*2)/0.1)+((I469/3)/0.15)),0)</f>
        <v>37</v>
      </c>
      <c r="R469" s="488">
        <f>((((E469-0.04)+(F469-0.04))*2)+(2*10*(O469/1000)))*Q469*D469</f>
        <v>260.48</v>
      </c>
      <c r="S469" s="489">
        <f t="shared" si="99"/>
        <v>260.48</v>
      </c>
      <c r="T469" s="489">
        <f t="shared" si="93"/>
        <v>0</v>
      </c>
      <c r="U469" s="489">
        <f t="shared" si="94"/>
        <v>0</v>
      </c>
      <c r="V469" s="489">
        <f t="shared" si="95"/>
        <v>0</v>
      </c>
      <c r="W469" s="490">
        <f t="shared" si="96"/>
        <v>208</v>
      </c>
      <c r="X469" s="490">
        <f t="shared" si="97"/>
        <v>0</v>
      </c>
      <c r="Y469" s="489">
        <f t="shared" si="98"/>
        <v>0</v>
      </c>
    </row>
    <row r="470" spans="1:25" s="126" customFormat="1" outlineLevel="1" x14ac:dyDescent="0.3">
      <c r="B470" s="915"/>
      <c r="C470" s="918"/>
      <c r="D470" s="927"/>
      <c r="E470" s="924"/>
      <c r="F470" s="924"/>
      <c r="G470" s="924"/>
      <c r="H470" s="924"/>
      <c r="I470" s="924"/>
      <c r="J470" s="491"/>
      <c r="K470" s="486"/>
      <c r="L470" s="486"/>
      <c r="M470" s="485">
        <f>(I469+(50*K470/1000))*L470*D469</f>
        <v>0</v>
      </c>
      <c r="N470" s="486" t="s">
        <v>66</v>
      </c>
      <c r="O470" s="492"/>
      <c r="P470" s="486"/>
      <c r="Q470" s="492"/>
      <c r="R470" s="493"/>
      <c r="S470" s="489">
        <f t="shared" si="99"/>
        <v>0</v>
      </c>
      <c r="T470" s="489">
        <f t="shared" si="93"/>
        <v>0</v>
      </c>
      <c r="U470" s="489">
        <f t="shared" si="94"/>
        <v>0</v>
      </c>
      <c r="V470" s="489">
        <f t="shared" si="95"/>
        <v>0</v>
      </c>
      <c r="W470" s="490">
        <f t="shared" si="96"/>
        <v>0</v>
      </c>
      <c r="X470" s="490">
        <f t="shared" si="97"/>
        <v>0</v>
      </c>
      <c r="Y470" s="489">
        <f t="shared" si="98"/>
        <v>0</v>
      </c>
    </row>
    <row r="471" spans="1:25" s="126" customFormat="1" outlineLevel="1" x14ac:dyDescent="0.3">
      <c r="B471" s="915"/>
      <c r="C471" s="918"/>
      <c r="D471" s="927"/>
      <c r="E471" s="924"/>
      <c r="F471" s="924"/>
      <c r="G471" s="924"/>
      <c r="H471" s="924"/>
      <c r="I471" s="924"/>
      <c r="J471" s="491"/>
      <c r="K471" s="486"/>
      <c r="L471" s="486"/>
      <c r="M471" s="485">
        <f>(I469+(50*K471/1000))*L471*D469</f>
        <v>0</v>
      </c>
      <c r="N471" s="486" t="s">
        <v>580</v>
      </c>
      <c r="O471" s="492"/>
      <c r="P471" s="486"/>
      <c r="Q471" s="492"/>
      <c r="R471" s="493"/>
      <c r="S471" s="489">
        <f t="shared" si="99"/>
        <v>0</v>
      </c>
      <c r="T471" s="489">
        <f t="shared" si="93"/>
        <v>0</v>
      </c>
      <c r="U471" s="489">
        <f t="shared" si="94"/>
        <v>0</v>
      </c>
      <c r="V471" s="489">
        <f t="shared" si="95"/>
        <v>0</v>
      </c>
      <c r="W471" s="490">
        <f t="shared" si="96"/>
        <v>0</v>
      </c>
      <c r="X471" s="490">
        <f t="shared" si="97"/>
        <v>0</v>
      </c>
      <c r="Y471" s="489">
        <f t="shared" si="98"/>
        <v>0</v>
      </c>
    </row>
    <row r="472" spans="1:25" s="126" customFormat="1" outlineLevel="1" x14ac:dyDescent="0.3">
      <c r="A472" s="499"/>
      <c r="B472" s="916"/>
      <c r="C472" s="919"/>
      <c r="D472" s="928"/>
      <c r="E472" s="925"/>
      <c r="F472" s="925"/>
      <c r="G472" s="925"/>
      <c r="H472" s="925"/>
      <c r="I472" s="925"/>
      <c r="J472" s="494"/>
      <c r="K472" s="495"/>
      <c r="L472" s="495"/>
      <c r="M472" s="485">
        <f>(I469+(50*K472/1000))*L472*D469</f>
        <v>0</v>
      </c>
      <c r="N472" s="495" t="s">
        <v>64</v>
      </c>
      <c r="O472" s="496"/>
      <c r="P472" s="497"/>
      <c r="Q472" s="496"/>
      <c r="R472" s="498"/>
      <c r="S472" s="489">
        <f t="shared" si="99"/>
        <v>0</v>
      </c>
      <c r="T472" s="489">
        <f t="shared" si="93"/>
        <v>0</v>
      </c>
      <c r="U472" s="489">
        <f t="shared" si="94"/>
        <v>0</v>
      </c>
      <c r="V472" s="489">
        <f t="shared" si="95"/>
        <v>0</v>
      </c>
      <c r="W472" s="490">
        <f t="shared" si="96"/>
        <v>0</v>
      </c>
      <c r="X472" s="490">
        <f t="shared" si="97"/>
        <v>0</v>
      </c>
      <c r="Y472" s="489">
        <f t="shared" si="98"/>
        <v>0</v>
      </c>
    </row>
    <row r="473" spans="1:25" s="126" customFormat="1" outlineLevel="1" x14ac:dyDescent="0.3">
      <c r="B473" s="914">
        <v>3</v>
      </c>
      <c r="C473" s="914" t="s">
        <v>583</v>
      </c>
      <c r="D473" s="926">
        <v>0</v>
      </c>
      <c r="E473" s="923">
        <v>0.5</v>
      </c>
      <c r="F473" s="923">
        <v>0.38</v>
      </c>
      <c r="G473" s="923">
        <f>((F473*2)+(E473*2))*D473</f>
        <v>0</v>
      </c>
      <c r="H473" s="923">
        <f t="shared" ref="H473" si="101">F473*E473*D473</f>
        <v>0</v>
      </c>
      <c r="I473" s="923">
        <v>4.2</v>
      </c>
      <c r="J473" s="483">
        <f>E473*F473*I473*D473</f>
        <v>0</v>
      </c>
      <c r="K473" s="484">
        <v>25</v>
      </c>
      <c r="L473" s="484">
        <v>4</v>
      </c>
      <c r="M473" s="485">
        <f>(I473+(50*K473/1000))*L473*D473</f>
        <v>0</v>
      </c>
      <c r="N473" s="486" t="s">
        <v>580</v>
      </c>
      <c r="O473" s="487">
        <v>8</v>
      </c>
      <c r="P473" s="484" t="s">
        <v>581</v>
      </c>
      <c r="Q473" s="487">
        <f>ROUND(((((I473/3)*2)/0.1)+((I473/3)/0.15)),0)</f>
        <v>37</v>
      </c>
      <c r="R473" s="488">
        <f>((((E473-0.04)+(F473-0.04))*2)+(2*10*(O473/1000)))*Q473*D473</f>
        <v>0</v>
      </c>
      <c r="S473" s="489">
        <f t="shared" si="99"/>
        <v>0</v>
      </c>
      <c r="T473" s="489">
        <f t="shared" si="93"/>
        <v>0</v>
      </c>
      <c r="U473" s="489">
        <f t="shared" si="94"/>
        <v>0</v>
      </c>
      <c r="V473" s="489">
        <f t="shared" si="95"/>
        <v>0</v>
      </c>
      <c r="W473" s="490">
        <f t="shared" si="96"/>
        <v>0</v>
      </c>
      <c r="X473" s="490">
        <f t="shared" si="97"/>
        <v>0</v>
      </c>
      <c r="Y473" s="489">
        <f t="shared" si="98"/>
        <v>0</v>
      </c>
    </row>
    <row r="474" spans="1:25" s="126" customFormat="1" outlineLevel="1" x14ac:dyDescent="0.3">
      <c r="B474" s="915"/>
      <c r="C474" s="915"/>
      <c r="D474" s="927"/>
      <c r="E474" s="924"/>
      <c r="F474" s="924"/>
      <c r="G474" s="924"/>
      <c r="H474" s="924"/>
      <c r="I474" s="924"/>
      <c r="J474" s="491"/>
      <c r="K474" s="486">
        <v>20</v>
      </c>
      <c r="L474" s="486">
        <v>6</v>
      </c>
      <c r="M474" s="485">
        <f>(I473+(50*K474/1000))*L474*D473</f>
        <v>0</v>
      </c>
      <c r="N474" s="486" t="s">
        <v>66</v>
      </c>
      <c r="O474" s="492"/>
      <c r="P474" s="486"/>
      <c r="Q474" s="492"/>
      <c r="R474" s="493"/>
      <c r="S474" s="489">
        <f t="shared" si="99"/>
        <v>0</v>
      </c>
      <c r="T474" s="489">
        <f t="shared" si="93"/>
        <v>0</v>
      </c>
      <c r="U474" s="489">
        <f t="shared" si="94"/>
        <v>0</v>
      </c>
      <c r="V474" s="489">
        <f t="shared" si="95"/>
        <v>0</v>
      </c>
      <c r="W474" s="490">
        <f t="shared" si="96"/>
        <v>0</v>
      </c>
      <c r="X474" s="490">
        <f t="shared" si="97"/>
        <v>0</v>
      </c>
      <c r="Y474" s="489">
        <f t="shared" si="98"/>
        <v>0</v>
      </c>
    </row>
    <row r="475" spans="1:25" s="126" customFormat="1" outlineLevel="1" x14ac:dyDescent="0.3">
      <c r="B475" s="915"/>
      <c r="C475" s="915"/>
      <c r="D475" s="927"/>
      <c r="E475" s="924"/>
      <c r="F475" s="924"/>
      <c r="G475" s="924"/>
      <c r="H475" s="924"/>
      <c r="I475" s="924"/>
      <c r="J475" s="491"/>
      <c r="K475" s="486"/>
      <c r="L475" s="486"/>
      <c r="M475" s="485">
        <f>(I473+(50*K475/1000))*L475*D473</f>
        <v>0</v>
      </c>
      <c r="N475" s="486" t="s">
        <v>580</v>
      </c>
      <c r="O475" s="492"/>
      <c r="P475" s="486"/>
      <c r="Q475" s="492"/>
      <c r="R475" s="493"/>
      <c r="S475" s="489">
        <f t="shared" si="99"/>
        <v>0</v>
      </c>
      <c r="T475" s="489">
        <f t="shared" si="93"/>
        <v>0</v>
      </c>
      <c r="U475" s="489">
        <f t="shared" si="94"/>
        <v>0</v>
      </c>
      <c r="V475" s="489">
        <f t="shared" si="95"/>
        <v>0</v>
      </c>
      <c r="W475" s="490">
        <f t="shared" si="96"/>
        <v>0</v>
      </c>
      <c r="X475" s="490">
        <f t="shared" si="97"/>
        <v>0</v>
      </c>
      <c r="Y475" s="489">
        <f t="shared" si="98"/>
        <v>0</v>
      </c>
    </row>
    <row r="476" spans="1:25" s="126" customFormat="1" outlineLevel="1" x14ac:dyDescent="0.3">
      <c r="A476" s="499"/>
      <c r="B476" s="916"/>
      <c r="C476" s="916"/>
      <c r="D476" s="928"/>
      <c r="E476" s="925"/>
      <c r="F476" s="925"/>
      <c r="G476" s="925"/>
      <c r="H476" s="925"/>
      <c r="I476" s="925"/>
      <c r="J476" s="494"/>
      <c r="K476" s="495"/>
      <c r="L476" s="495"/>
      <c r="M476" s="485">
        <f>(I473+(50*K476/1000))*L476*D473</f>
        <v>0</v>
      </c>
      <c r="N476" s="495" t="s">
        <v>64</v>
      </c>
      <c r="O476" s="496"/>
      <c r="P476" s="497"/>
      <c r="Q476" s="496"/>
      <c r="R476" s="498"/>
      <c r="S476" s="489">
        <f t="shared" si="99"/>
        <v>0</v>
      </c>
      <c r="T476" s="489">
        <f t="shared" si="93"/>
        <v>0</v>
      </c>
      <c r="U476" s="489">
        <f t="shared" si="94"/>
        <v>0</v>
      </c>
      <c r="V476" s="489">
        <f t="shared" si="95"/>
        <v>0</v>
      </c>
      <c r="W476" s="490">
        <f t="shared" si="96"/>
        <v>0</v>
      </c>
      <c r="X476" s="490">
        <f t="shared" si="97"/>
        <v>0</v>
      </c>
      <c r="Y476" s="489">
        <f t="shared" si="98"/>
        <v>0</v>
      </c>
    </row>
    <row r="477" spans="1:25" s="126" customFormat="1" outlineLevel="1" x14ac:dyDescent="0.3">
      <c r="B477" s="914">
        <v>4</v>
      </c>
      <c r="C477" s="914" t="s">
        <v>584</v>
      </c>
      <c r="D477" s="926">
        <v>0</v>
      </c>
      <c r="E477" s="923">
        <v>0.6</v>
      </c>
      <c r="F477" s="923">
        <v>0.38</v>
      </c>
      <c r="G477" s="923">
        <f>((F477*2)+(E477*2))*D477</f>
        <v>0</v>
      </c>
      <c r="H477" s="923">
        <f t="shared" ref="H477" si="102">F477*E477*D477</f>
        <v>0</v>
      </c>
      <c r="I477" s="923">
        <v>4.2</v>
      </c>
      <c r="J477" s="483">
        <f>E477*F477*I477*D477</f>
        <v>0</v>
      </c>
      <c r="K477" s="484">
        <v>25</v>
      </c>
      <c r="L477" s="484">
        <v>4</v>
      </c>
      <c r="M477" s="485">
        <f>(I477+(50*K477/1000))*L477*D477</f>
        <v>0</v>
      </c>
      <c r="N477" s="486" t="s">
        <v>580</v>
      </c>
      <c r="O477" s="487">
        <v>8</v>
      </c>
      <c r="P477" s="484" t="s">
        <v>581</v>
      </c>
      <c r="Q477" s="487">
        <f>ROUND(((((I477/3)*2)/0.1)+((I477/3)/0.15)),0)</f>
        <v>37</v>
      </c>
      <c r="R477" s="488">
        <f>((((E477-0.04)+(F477-0.04))*2)+(2*10*(O477/1000)))*Q477*D477</f>
        <v>0</v>
      </c>
      <c r="S477" s="489">
        <f t="shared" si="99"/>
        <v>0</v>
      </c>
      <c r="T477" s="489">
        <f t="shared" si="93"/>
        <v>0</v>
      </c>
      <c r="U477" s="489">
        <f t="shared" si="94"/>
        <v>0</v>
      </c>
      <c r="V477" s="489">
        <f t="shared" si="95"/>
        <v>0</v>
      </c>
      <c r="W477" s="490">
        <f t="shared" si="96"/>
        <v>0</v>
      </c>
      <c r="X477" s="490">
        <f t="shared" si="97"/>
        <v>0</v>
      </c>
      <c r="Y477" s="489">
        <f t="shared" si="98"/>
        <v>0</v>
      </c>
    </row>
    <row r="478" spans="1:25" s="126" customFormat="1" outlineLevel="1" x14ac:dyDescent="0.3">
      <c r="B478" s="915"/>
      <c r="C478" s="915"/>
      <c r="D478" s="927"/>
      <c r="E478" s="924"/>
      <c r="F478" s="924"/>
      <c r="G478" s="924"/>
      <c r="H478" s="924"/>
      <c r="I478" s="924"/>
      <c r="J478" s="491"/>
      <c r="K478" s="486">
        <v>20</v>
      </c>
      <c r="L478" s="486">
        <v>8</v>
      </c>
      <c r="M478" s="485">
        <f>(I477+(50*K478/1000))*L478*D477</f>
        <v>0</v>
      </c>
      <c r="N478" s="486" t="s">
        <v>66</v>
      </c>
      <c r="O478" s="492"/>
      <c r="P478" s="486"/>
      <c r="Q478" s="492"/>
      <c r="R478" s="493"/>
      <c r="S478" s="489">
        <f t="shared" si="99"/>
        <v>0</v>
      </c>
      <c r="T478" s="489">
        <f t="shared" si="93"/>
        <v>0</v>
      </c>
      <c r="U478" s="489">
        <f t="shared" si="94"/>
        <v>0</v>
      </c>
      <c r="V478" s="489">
        <f t="shared" si="95"/>
        <v>0</v>
      </c>
      <c r="W478" s="490">
        <f t="shared" si="96"/>
        <v>0</v>
      </c>
      <c r="X478" s="490">
        <f t="shared" si="97"/>
        <v>0</v>
      </c>
      <c r="Y478" s="489">
        <f t="shared" si="98"/>
        <v>0</v>
      </c>
    </row>
    <row r="479" spans="1:25" s="126" customFormat="1" outlineLevel="1" x14ac:dyDescent="0.3">
      <c r="B479" s="915"/>
      <c r="C479" s="915"/>
      <c r="D479" s="927"/>
      <c r="E479" s="924"/>
      <c r="F479" s="924"/>
      <c r="G479" s="924"/>
      <c r="H479" s="924"/>
      <c r="I479" s="924"/>
      <c r="J479" s="491"/>
      <c r="K479" s="486"/>
      <c r="L479" s="486"/>
      <c r="M479" s="485">
        <f>(I477+(50*K479/1000))*L479*D477</f>
        <v>0</v>
      </c>
      <c r="N479" s="486" t="s">
        <v>580</v>
      </c>
      <c r="O479" s="492"/>
      <c r="P479" s="486"/>
      <c r="Q479" s="492"/>
      <c r="R479" s="493"/>
      <c r="S479" s="489">
        <f t="shared" si="99"/>
        <v>0</v>
      </c>
      <c r="T479" s="489">
        <f t="shared" si="93"/>
        <v>0</v>
      </c>
      <c r="U479" s="489">
        <f t="shared" si="94"/>
        <v>0</v>
      </c>
      <c r="V479" s="489">
        <f t="shared" si="95"/>
        <v>0</v>
      </c>
      <c r="W479" s="490">
        <f t="shared" si="96"/>
        <v>0</v>
      </c>
      <c r="X479" s="490">
        <f t="shared" si="97"/>
        <v>0</v>
      </c>
      <c r="Y479" s="489">
        <f t="shared" si="98"/>
        <v>0</v>
      </c>
    </row>
    <row r="480" spans="1:25" s="126" customFormat="1" outlineLevel="1" x14ac:dyDescent="0.3">
      <c r="B480" s="916"/>
      <c r="C480" s="916"/>
      <c r="D480" s="928"/>
      <c r="E480" s="925"/>
      <c r="F480" s="925"/>
      <c r="G480" s="925"/>
      <c r="H480" s="925"/>
      <c r="I480" s="925"/>
      <c r="J480" s="494"/>
      <c r="K480" s="495"/>
      <c r="L480" s="495"/>
      <c r="M480" s="485">
        <f>(I477+(50*K480/1000))*L480*D477</f>
        <v>0</v>
      </c>
      <c r="N480" s="495" t="s">
        <v>64</v>
      </c>
      <c r="O480" s="496"/>
      <c r="P480" s="497"/>
      <c r="Q480" s="496"/>
      <c r="R480" s="498"/>
      <c r="S480" s="489">
        <f t="shared" si="99"/>
        <v>0</v>
      </c>
      <c r="T480" s="489">
        <f t="shared" si="93"/>
        <v>0</v>
      </c>
      <c r="U480" s="489">
        <f t="shared" si="94"/>
        <v>0</v>
      </c>
      <c r="V480" s="489">
        <f t="shared" si="95"/>
        <v>0</v>
      </c>
      <c r="W480" s="490">
        <f t="shared" si="96"/>
        <v>0</v>
      </c>
      <c r="X480" s="490">
        <f t="shared" si="97"/>
        <v>0</v>
      </c>
      <c r="Y480" s="489">
        <f t="shared" si="98"/>
        <v>0</v>
      </c>
    </row>
    <row r="481" spans="1:25" s="126" customFormat="1" outlineLevel="1" x14ac:dyDescent="0.3">
      <c r="B481" s="914">
        <v>5</v>
      </c>
      <c r="C481" s="914" t="s">
        <v>585</v>
      </c>
      <c r="D481" s="926">
        <v>0</v>
      </c>
      <c r="E481" s="923">
        <v>0.45</v>
      </c>
      <c r="F481" s="923">
        <v>0.38</v>
      </c>
      <c r="G481" s="923">
        <f>((F481*2)+(E481*2))*D481</f>
        <v>0</v>
      </c>
      <c r="H481" s="923">
        <f t="shared" ref="H481" si="103">F481*E481*D481</f>
        <v>0</v>
      </c>
      <c r="I481" s="923">
        <v>4.2</v>
      </c>
      <c r="J481" s="483">
        <f>E481*F481*I481*D481</f>
        <v>0</v>
      </c>
      <c r="K481" s="484">
        <v>20</v>
      </c>
      <c r="L481" s="484">
        <v>8</v>
      </c>
      <c r="M481" s="485">
        <f>(I481+(50*K481/1000))*L481*D481</f>
        <v>0</v>
      </c>
      <c r="N481" s="486" t="s">
        <v>580</v>
      </c>
      <c r="O481" s="487">
        <v>8</v>
      </c>
      <c r="P481" s="484" t="s">
        <v>581</v>
      </c>
      <c r="Q481" s="487">
        <f>ROUND(((((I481/3)*2)/0.1)+((I481/3)/0.15)),0)</f>
        <v>37</v>
      </c>
      <c r="R481" s="488">
        <f>((((E481-0.04)+(F481-0.04))*2)+(2*10*(O481/1000)))*Q481*D481</f>
        <v>0</v>
      </c>
      <c r="S481" s="489">
        <f t="shared" si="99"/>
        <v>0</v>
      </c>
      <c r="T481" s="489">
        <f t="shared" si="93"/>
        <v>0</v>
      </c>
      <c r="U481" s="489">
        <f t="shared" si="94"/>
        <v>0</v>
      </c>
      <c r="V481" s="489">
        <f t="shared" si="95"/>
        <v>0</v>
      </c>
      <c r="W481" s="490">
        <f t="shared" si="96"/>
        <v>0</v>
      </c>
      <c r="X481" s="490">
        <f t="shared" si="97"/>
        <v>0</v>
      </c>
      <c r="Y481" s="489">
        <f t="shared" si="98"/>
        <v>0</v>
      </c>
    </row>
    <row r="482" spans="1:25" s="126" customFormat="1" outlineLevel="1" x14ac:dyDescent="0.3">
      <c r="B482" s="915"/>
      <c r="C482" s="915"/>
      <c r="D482" s="927"/>
      <c r="E482" s="924"/>
      <c r="F482" s="924"/>
      <c r="G482" s="924"/>
      <c r="H482" s="924"/>
      <c r="I482" s="924"/>
      <c r="J482" s="491"/>
      <c r="K482" s="486">
        <v>16</v>
      </c>
      <c r="L482" s="486">
        <v>2</v>
      </c>
      <c r="M482" s="485">
        <f>(I481+(50*K482/1000))*L482*D481</f>
        <v>0</v>
      </c>
      <c r="N482" s="486" t="s">
        <v>66</v>
      </c>
      <c r="O482" s="492"/>
      <c r="P482" s="486"/>
      <c r="Q482" s="492"/>
      <c r="R482" s="493"/>
      <c r="S482" s="489">
        <f t="shared" si="99"/>
        <v>0</v>
      </c>
      <c r="T482" s="489">
        <f t="shared" si="93"/>
        <v>0</v>
      </c>
      <c r="U482" s="489">
        <f t="shared" si="94"/>
        <v>0</v>
      </c>
      <c r="V482" s="489">
        <f t="shared" si="95"/>
        <v>0</v>
      </c>
      <c r="W482" s="490">
        <f t="shared" si="96"/>
        <v>0</v>
      </c>
      <c r="X482" s="490">
        <f t="shared" si="97"/>
        <v>0</v>
      </c>
      <c r="Y482" s="489">
        <f t="shared" si="98"/>
        <v>0</v>
      </c>
    </row>
    <row r="483" spans="1:25" s="126" customFormat="1" outlineLevel="1" x14ac:dyDescent="0.3">
      <c r="B483" s="915"/>
      <c r="C483" s="915"/>
      <c r="D483" s="927"/>
      <c r="E483" s="924"/>
      <c r="F483" s="924"/>
      <c r="G483" s="924"/>
      <c r="H483" s="924"/>
      <c r="I483" s="924"/>
      <c r="J483" s="491"/>
      <c r="K483" s="486"/>
      <c r="L483" s="486"/>
      <c r="M483" s="485">
        <f>(I481+(50*K483/1000))*L483*D481</f>
        <v>0</v>
      </c>
      <c r="N483" s="486" t="s">
        <v>580</v>
      </c>
      <c r="O483" s="492"/>
      <c r="P483" s="486"/>
      <c r="Q483" s="492"/>
      <c r="R483" s="493"/>
      <c r="S483" s="489">
        <f t="shared" si="99"/>
        <v>0</v>
      </c>
      <c r="T483" s="489">
        <f t="shared" si="93"/>
        <v>0</v>
      </c>
      <c r="U483" s="489">
        <f t="shared" si="94"/>
        <v>0</v>
      </c>
      <c r="V483" s="489">
        <f t="shared" si="95"/>
        <v>0</v>
      </c>
      <c r="W483" s="490">
        <f t="shared" si="96"/>
        <v>0</v>
      </c>
      <c r="X483" s="490">
        <f t="shared" si="97"/>
        <v>0</v>
      </c>
      <c r="Y483" s="489">
        <f t="shared" si="98"/>
        <v>0</v>
      </c>
    </row>
    <row r="484" spans="1:25" s="126" customFormat="1" outlineLevel="1" x14ac:dyDescent="0.3">
      <c r="A484" s="499"/>
      <c r="B484" s="916"/>
      <c r="C484" s="916"/>
      <c r="D484" s="928"/>
      <c r="E484" s="925"/>
      <c r="F484" s="925"/>
      <c r="G484" s="925"/>
      <c r="H484" s="925"/>
      <c r="I484" s="925"/>
      <c r="J484" s="494"/>
      <c r="K484" s="495"/>
      <c r="L484" s="495"/>
      <c r="M484" s="485">
        <f>(I481+(50*K484/1000))*L484*D481</f>
        <v>0</v>
      </c>
      <c r="N484" s="495" t="s">
        <v>64</v>
      </c>
      <c r="O484" s="496"/>
      <c r="P484" s="497"/>
      <c r="Q484" s="496"/>
      <c r="R484" s="498"/>
      <c r="S484" s="489">
        <f t="shared" si="99"/>
        <v>0</v>
      </c>
      <c r="T484" s="489">
        <f t="shared" si="93"/>
        <v>0</v>
      </c>
      <c r="U484" s="489">
        <f t="shared" si="94"/>
        <v>0</v>
      </c>
      <c r="V484" s="489">
        <f t="shared" si="95"/>
        <v>0</v>
      </c>
      <c r="W484" s="490">
        <f t="shared" si="96"/>
        <v>0</v>
      </c>
      <c r="X484" s="490">
        <f t="shared" si="97"/>
        <v>0</v>
      </c>
      <c r="Y484" s="489">
        <f t="shared" si="98"/>
        <v>0</v>
      </c>
    </row>
    <row r="485" spans="1:25" s="126" customFormat="1" outlineLevel="1" x14ac:dyDescent="0.3">
      <c r="B485" s="914">
        <v>6</v>
      </c>
      <c r="C485" s="914" t="s">
        <v>586</v>
      </c>
      <c r="D485" s="926">
        <v>1</v>
      </c>
      <c r="E485" s="923">
        <v>0.45</v>
      </c>
      <c r="F485" s="923">
        <v>0.38</v>
      </c>
      <c r="G485" s="923">
        <f>((F485*2)+(E485*2))*D485</f>
        <v>1.6600000000000001</v>
      </c>
      <c r="H485" s="923">
        <f t="shared" ref="H485" si="104">F485*E485*D485</f>
        <v>0.17100000000000001</v>
      </c>
      <c r="I485" s="923">
        <v>4.2</v>
      </c>
      <c r="J485" s="483">
        <f>E485*F485*I485*D485</f>
        <v>0.71820000000000006</v>
      </c>
      <c r="K485" s="484">
        <v>20</v>
      </c>
      <c r="L485" s="484">
        <v>4</v>
      </c>
      <c r="M485" s="485">
        <f>(I485+(50*K485/1000))*L485*D485</f>
        <v>20.8</v>
      </c>
      <c r="N485" s="486" t="s">
        <v>580</v>
      </c>
      <c r="O485" s="487">
        <v>8</v>
      </c>
      <c r="P485" s="484" t="s">
        <v>581</v>
      </c>
      <c r="Q485" s="487">
        <f>ROUND(((((I485/3)*2)/0.1)+((I485/3)/0.15)),0)</f>
        <v>37</v>
      </c>
      <c r="R485" s="488">
        <f>((((E485-0.04)+(F485-0.04))*2)+(2*10*(O485/1000)))*Q485*D485</f>
        <v>61.419999999999995</v>
      </c>
      <c r="S485" s="489">
        <f t="shared" si="99"/>
        <v>61.419999999999995</v>
      </c>
      <c r="T485" s="489">
        <f t="shared" si="93"/>
        <v>0</v>
      </c>
      <c r="U485" s="489">
        <f t="shared" si="94"/>
        <v>0</v>
      </c>
      <c r="V485" s="489">
        <f t="shared" si="95"/>
        <v>0</v>
      </c>
      <c r="W485" s="490">
        <f t="shared" si="96"/>
        <v>20.8</v>
      </c>
      <c r="X485" s="490">
        <f t="shared" si="97"/>
        <v>0</v>
      </c>
      <c r="Y485" s="489">
        <f t="shared" si="98"/>
        <v>0</v>
      </c>
    </row>
    <row r="486" spans="1:25" s="126" customFormat="1" outlineLevel="1" x14ac:dyDescent="0.3">
      <c r="B486" s="915"/>
      <c r="C486" s="915"/>
      <c r="D486" s="927"/>
      <c r="E486" s="924"/>
      <c r="F486" s="924"/>
      <c r="G486" s="924"/>
      <c r="H486" s="924"/>
      <c r="I486" s="924"/>
      <c r="J486" s="491"/>
      <c r="K486" s="486">
        <v>16</v>
      </c>
      <c r="L486" s="486">
        <v>6</v>
      </c>
      <c r="M486" s="485">
        <f>(I485+(50*K486/1000))*L486*D485</f>
        <v>30</v>
      </c>
      <c r="N486" s="486" t="s">
        <v>66</v>
      </c>
      <c r="O486" s="492"/>
      <c r="P486" s="486"/>
      <c r="Q486" s="492"/>
      <c r="R486" s="493"/>
      <c r="S486" s="489">
        <f t="shared" si="99"/>
        <v>0</v>
      </c>
      <c r="T486" s="489">
        <f t="shared" si="93"/>
        <v>0</v>
      </c>
      <c r="U486" s="489">
        <f t="shared" si="94"/>
        <v>0</v>
      </c>
      <c r="V486" s="489">
        <f t="shared" si="95"/>
        <v>30</v>
      </c>
      <c r="W486" s="490">
        <f t="shared" si="96"/>
        <v>0</v>
      </c>
      <c r="X486" s="490">
        <f t="shared" si="97"/>
        <v>0</v>
      </c>
      <c r="Y486" s="489">
        <f t="shared" si="98"/>
        <v>0</v>
      </c>
    </row>
    <row r="487" spans="1:25" s="126" customFormat="1" outlineLevel="1" x14ac:dyDescent="0.3">
      <c r="B487" s="915"/>
      <c r="C487" s="915"/>
      <c r="D487" s="927"/>
      <c r="E487" s="924"/>
      <c r="F487" s="924"/>
      <c r="G487" s="924"/>
      <c r="H487" s="924"/>
      <c r="I487" s="924"/>
      <c r="J487" s="491"/>
      <c r="K487" s="486"/>
      <c r="L487" s="486"/>
      <c r="M487" s="485">
        <f>(I485+(50*K487/1000))*L487*D485</f>
        <v>0</v>
      </c>
      <c r="N487" s="486" t="s">
        <v>580</v>
      </c>
      <c r="O487" s="492"/>
      <c r="P487" s="486"/>
      <c r="Q487" s="492"/>
      <c r="R487" s="493"/>
      <c r="S487" s="489">
        <f t="shared" si="99"/>
        <v>0</v>
      </c>
      <c r="T487" s="489">
        <f t="shared" si="93"/>
        <v>0</v>
      </c>
      <c r="U487" s="489">
        <f t="shared" si="94"/>
        <v>0</v>
      </c>
      <c r="V487" s="489">
        <f t="shared" si="95"/>
        <v>0</v>
      </c>
      <c r="W487" s="490">
        <f t="shared" si="96"/>
        <v>0</v>
      </c>
      <c r="X487" s="490">
        <f t="shared" si="97"/>
        <v>0</v>
      </c>
      <c r="Y487" s="489">
        <f t="shared" si="98"/>
        <v>0</v>
      </c>
    </row>
    <row r="488" spans="1:25" s="126" customFormat="1" outlineLevel="1" x14ac:dyDescent="0.3">
      <c r="A488" s="499"/>
      <c r="B488" s="916"/>
      <c r="C488" s="916"/>
      <c r="D488" s="928"/>
      <c r="E488" s="925"/>
      <c r="F488" s="925"/>
      <c r="G488" s="925"/>
      <c r="H488" s="925"/>
      <c r="I488" s="925"/>
      <c r="J488" s="494"/>
      <c r="K488" s="495"/>
      <c r="L488" s="495"/>
      <c r="M488" s="485">
        <f>(I485+(50*K488/1000))*L488*D485</f>
        <v>0</v>
      </c>
      <c r="N488" s="495" t="s">
        <v>64</v>
      </c>
      <c r="O488" s="496"/>
      <c r="P488" s="497"/>
      <c r="Q488" s="496"/>
      <c r="R488" s="498"/>
      <c r="S488" s="489">
        <f t="shared" si="99"/>
        <v>0</v>
      </c>
      <c r="T488" s="489">
        <f t="shared" si="93"/>
        <v>0</v>
      </c>
      <c r="U488" s="489">
        <f t="shared" si="94"/>
        <v>0</v>
      </c>
      <c r="V488" s="489">
        <f t="shared" si="95"/>
        <v>0</v>
      </c>
      <c r="W488" s="490">
        <f t="shared" si="96"/>
        <v>0</v>
      </c>
      <c r="X488" s="490">
        <f t="shared" si="97"/>
        <v>0</v>
      </c>
      <c r="Y488" s="489">
        <f t="shared" si="98"/>
        <v>0</v>
      </c>
    </row>
    <row r="489" spans="1:25" s="126" customFormat="1" outlineLevel="1" x14ac:dyDescent="0.3">
      <c r="B489" s="914">
        <v>7</v>
      </c>
      <c r="C489" s="936" t="s">
        <v>587</v>
      </c>
      <c r="D489" s="920">
        <v>0</v>
      </c>
      <c r="E489" s="930">
        <v>0.22</v>
      </c>
      <c r="F489" s="931"/>
      <c r="G489" s="923">
        <f>((E489*2))*D489</f>
        <v>0</v>
      </c>
      <c r="H489" s="923">
        <f>E489*D489</f>
        <v>0</v>
      </c>
      <c r="I489" s="923">
        <v>4.2</v>
      </c>
      <c r="J489" s="483">
        <f>E489*I489*D489</f>
        <v>0</v>
      </c>
      <c r="K489" s="487">
        <v>20</v>
      </c>
      <c r="L489" s="487">
        <v>10</v>
      </c>
      <c r="M489" s="485">
        <f>(I489+(50*K489/1000))*L489*D489</f>
        <v>0</v>
      </c>
      <c r="N489" s="500" t="s">
        <v>580</v>
      </c>
      <c r="O489" s="487">
        <v>8</v>
      </c>
      <c r="P489" s="484" t="s">
        <v>581</v>
      </c>
      <c r="Q489" s="487">
        <f>ROUND(((((I489/3)*2)/0.1)+((I489/3)/0.15)),0)</f>
        <v>37</v>
      </c>
      <c r="R489" s="501">
        <f>(((2*3.14*((0.58-0.04)/2))+(2*10*(O489/1000)))*Q489*D489)</f>
        <v>0</v>
      </c>
      <c r="S489" s="489">
        <f t="shared" si="99"/>
        <v>0</v>
      </c>
      <c r="T489" s="489">
        <f t="shared" si="93"/>
        <v>0</v>
      </c>
      <c r="U489" s="489">
        <f t="shared" si="94"/>
        <v>0</v>
      </c>
      <c r="V489" s="489">
        <f t="shared" si="95"/>
        <v>0</v>
      </c>
      <c r="W489" s="490">
        <f t="shared" si="96"/>
        <v>0</v>
      </c>
      <c r="X489" s="490">
        <f t="shared" si="97"/>
        <v>0</v>
      </c>
      <c r="Y489" s="489">
        <f t="shared" si="98"/>
        <v>0</v>
      </c>
    </row>
    <row r="490" spans="1:25" s="126" customFormat="1" outlineLevel="1" x14ac:dyDescent="0.3">
      <c r="B490" s="915"/>
      <c r="C490" s="937"/>
      <c r="D490" s="921"/>
      <c r="E490" s="932"/>
      <c r="F490" s="933"/>
      <c r="G490" s="924"/>
      <c r="H490" s="924"/>
      <c r="I490" s="924"/>
      <c r="J490" s="491"/>
      <c r="K490" s="492"/>
      <c r="L490" s="492"/>
      <c r="M490" s="485">
        <f>(I489+(50*K490/1000))*L490*D489</f>
        <v>0</v>
      </c>
      <c r="N490" s="502" t="s">
        <v>67</v>
      </c>
      <c r="O490" s="492"/>
      <c r="P490" s="486"/>
      <c r="Q490" s="492"/>
      <c r="R490" s="493"/>
      <c r="S490" s="489">
        <f t="shared" si="99"/>
        <v>0</v>
      </c>
      <c r="T490" s="489">
        <f t="shared" si="93"/>
        <v>0</v>
      </c>
      <c r="U490" s="489">
        <f t="shared" si="94"/>
        <v>0</v>
      </c>
      <c r="V490" s="489">
        <f t="shared" si="95"/>
        <v>0</v>
      </c>
      <c r="W490" s="490">
        <f t="shared" si="96"/>
        <v>0</v>
      </c>
      <c r="X490" s="490">
        <f t="shared" si="97"/>
        <v>0</v>
      </c>
      <c r="Y490" s="489">
        <f t="shared" si="98"/>
        <v>0</v>
      </c>
    </row>
    <row r="491" spans="1:25" s="126" customFormat="1" outlineLevel="1" x14ac:dyDescent="0.3">
      <c r="B491" s="915"/>
      <c r="C491" s="937"/>
      <c r="D491" s="921"/>
      <c r="E491" s="932"/>
      <c r="F491" s="933"/>
      <c r="G491" s="924"/>
      <c r="H491" s="924"/>
      <c r="I491" s="924"/>
      <c r="J491" s="491"/>
      <c r="K491" s="492"/>
      <c r="L491" s="492"/>
      <c r="M491" s="485">
        <f>(I489+(50*K491/1000))*L491*D489</f>
        <v>0</v>
      </c>
      <c r="N491" s="502" t="s">
        <v>580</v>
      </c>
      <c r="O491" s="492"/>
      <c r="P491" s="486"/>
      <c r="Q491" s="492"/>
      <c r="R491" s="493"/>
      <c r="S491" s="489">
        <f t="shared" si="99"/>
        <v>0</v>
      </c>
      <c r="T491" s="489">
        <f t="shared" si="93"/>
        <v>0</v>
      </c>
      <c r="U491" s="489">
        <f t="shared" si="94"/>
        <v>0</v>
      </c>
      <c r="V491" s="489">
        <f t="shared" si="95"/>
        <v>0</v>
      </c>
      <c r="W491" s="490">
        <f t="shared" si="96"/>
        <v>0</v>
      </c>
      <c r="X491" s="490">
        <f t="shared" si="97"/>
        <v>0</v>
      </c>
      <c r="Y491" s="489">
        <f t="shared" si="98"/>
        <v>0</v>
      </c>
    </row>
    <row r="492" spans="1:25" s="126" customFormat="1" outlineLevel="1" x14ac:dyDescent="0.3">
      <c r="A492" s="499"/>
      <c r="B492" s="916"/>
      <c r="C492" s="938"/>
      <c r="D492" s="922"/>
      <c r="E492" s="934"/>
      <c r="F492" s="935"/>
      <c r="G492" s="925"/>
      <c r="H492" s="925"/>
      <c r="I492" s="925"/>
      <c r="J492" s="494"/>
      <c r="K492" s="496"/>
      <c r="L492" s="496"/>
      <c r="M492" s="485">
        <f>(I489+(50*K492/1000))*L492*D489</f>
        <v>0</v>
      </c>
      <c r="N492" s="503" t="s">
        <v>64</v>
      </c>
      <c r="O492" s="496"/>
      <c r="P492" s="497"/>
      <c r="Q492" s="496"/>
      <c r="R492" s="498"/>
      <c r="S492" s="489">
        <f t="shared" si="99"/>
        <v>0</v>
      </c>
      <c r="T492" s="489">
        <f t="shared" si="93"/>
        <v>0</v>
      </c>
      <c r="U492" s="489">
        <f t="shared" si="94"/>
        <v>0</v>
      </c>
      <c r="V492" s="489">
        <f t="shared" si="95"/>
        <v>0</v>
      </c>
      <c r="W492" s="490">
        <f t="shared" si="96"/>
        <v>0</v>
      </c>
      <c r="X492" s="490">
        <f t="shared" si="97"/>
        <v>0</v>
      </c>
      <c r="Y492" s="489">
        <f t="shared" si="98"/>
        <v>0</v>
      </c>
    </row>
    <row r="493" spans="1:25" s="126" customFormat="1" outlineLevel="1" x14ac:dyDescent="0.3">
      <c r="B493" s="914">
        <v>10</v>
      </c>
      <c r="C493" s="914" t="s">
        <v>588</v>
      </c>
      <c r="D493" s="926">
        <v>1</v>
      </c>
      <c r="E493" s="930">
        <v>0.22</v>
      </c>
      <c r="F493" s="931"/>
      <c r="G493" s="923">
        <f>((E493*2))*D493</f>
        <v>0.44</v>
      </c>
      <c r="H493" s="923">
        <f>E493*D493</f>
        <v>0.22</v>
      </c>
      <c r="I493" s="923">
        <v>4.2</v>
      </c>
      <c r="J493" s="483">
        <f>E493*I493*D493</f>
        <v>0.92400000000000004</v>
      </c>
      <c r="K493" s="484">
        <v>25</v>
      </c>
      <c r="L493" s="484">
        <v>10</v>
      </c>
      <c r="M493" s="485">
        <f>(I493+(50*K493/1000))*L493*D493</f>
        <v>54.5</v>
      </c>
      <c r="N493" s="486" t="s">
        <v>580</v>
      </c>
      <c r="O493" s="487">
        <v>8</v>
      </c>
      <c r="P493" s="484" t="s">
        <v>581</v>
      </c>
      <c r="Q493" s="487">
        <f>ROUND(((((I493/3)*2)/0.1)+((I493/3)/0.15)),0)</f>
        <v>37</v>
      </c>
      <c r="R493" s="501">
        <f>(((2*3.14*((0.58-0.04)/2))+(2*10*(O493/1000)))*Q493*D493)</f>
        <v>68.657199999999989</v>
      </c>
      <c r="S493" s="489">
        <f t="shared" si="99"/>
        <v>68.657199999999989</v>
      </c>
      <c r="T493" s="489">
        <f t="shared" si="93"/>
        <v>0</v>
      </c>
      <c r="U493" s="489">
        <f t="shared" si="94"/>
        <v>0</v>
      </c>
      <c r="V493" s="489">
        <f t="shared" si="95"/>
        <v>0</v>
      </c>
      <c r="W493" s="490">
        <f t="shared" si="96"/>
        <v>0</v>
      </c>
      <c r="X493" s="490">
        <f t="shared" si="97"/>
        <v>54.5</v>
      </c>
      <c r="Y493" s="489">
        <f t="shared" si="98"/>
        <v>0</v>
      </c>
    </row>
    <row r="494" spans="1:25" s="126" customFormat="1" outlineLevel="1" x14ac:dyDescent="0.3">
      <c r="B494" s="915"/>
      <c r="C494" s="915"/>
      <c r="D494" s="927"/>
      <c r="E494" s="932"/>
      <c r="F494" s="933"/>
      <c r="G494" s="924"/>
      <c r="H494" s="924"/>
      <c r="I494" s="924"/>
      <c r="J494" s="491"/>
      <c r="K494" s="486"/>
      <c r="L494" s="486"/>
      <c r="M494" s="485">
        <f>(I493+(50*K494/1000))*L494*D493</f>
        <v>0</v>
      </c>
      <c r="N494" s="486" t="s">
        <v>66</v>
      </c>
      <c r="O494" s="492"/>
      <c r="P494" s="486"/>
      <c r="Q494" s="492"/>
      <c r="R494" s="493"/>
      <c r="S494" s="489">
        <f t="shared" si="99"/>
        <v>0</v>
      </c>
      <c r="T494" s="489">
        <f t="shared" si="93"/>
        <v>0</v>
      </c>
      <c r="U494" s="489">
        <f t="shared" si="94"/>
        <v>0</v>
      </c>
      <c r="V494" s="489">
        <f t="shared" si="95"/>
        <v>0</v>
      </c>
      <c r="W494" s="490">
        <f t="shared" si="96"/>
        <v>0</v>
      </c>
      <c r="X494" s="490">
        <f t="shared" si="97"/>
        <v>0</v>
      </c>
      <c r="Y494" s="489">
        <f t="shared" si="98"/>
        <v>0</v>
      </c>
    </row>
    <row r="495" spans="1:25" s="126" customFormat="1" outlineLevel="1" x14ac:dyDescent="0.3">
      <c r="B495" s="915"/>
      <c r="C495" s="915"/>
      <c r="D495" s="927"/>
      <c r="E495" s="932"/>
      <c r="F495" s="933"/>
      <c r="G495" s="924"/>
      <c r="H495" s="924"/>
      <c r="I495" s="924"/>
      <c r="J495" s="491"/>
      <c r="K495" s="486"/>
      <c r="L495" s="486"/>
      <c r="M495" s="485">
        <f>(I493+(50*K495/1000))*L495*D493</f>
        <v>0</v>
      </c>
      <c r="N495" s="486" t="s">
        <v>580</v>
      </c>
      <c r="O495" s="492"/>
      <c r="P495" s="486"/>
      <c r="Q495" s="492"/>
      <c r="R495" s="493"/>
      <c r="S495" s="489">
        <f t="shared" si="99"/>
        <v>0</v>
      </c>
      <c r="T495" s="489">
        <f t="shared" si="93"/>
        <v>0</v>
      </c>
      <c r="U495" s="489">
        <f t="shared" si="94"/>
        <v>0</v>
      </c>
      <c r="V495" s="489">
        <f t="shared" si="95"/>
        <v>0</v>
      </c>
      <c r="W495" s="490">
        <f t="shared" si="96"/>
        <v>0</v>
      </c>
      <c r="X495" s="490">
        <f t="shared" si="97"/>
        <v>0</v>
      </c>
      <c r="Y495" s="489">
        <f t="shared" si="98"/>
        <v>0</v>
      </c>
    </row>
    <row r="496" spans="1:25" s="126" customFormat="1" outlineLevel="1" x14ac:dyDescent="0.3">
      <c r="A496" s="499"/>
      <c r="B496" s="916"/>
      <c r="C496" s="929"/>
      <c r="D496" s="928"/>
      <c r="E496" s="934"/>
      <c r="F496" s="935"/>
      <c r="G496" s="925"/>
      <c r="H496" s="925"/>
      <c r="I496" s="925"/>
      <c r="J496" s="494"/>
      <c r="K496" s="495"/>
      <c r="L496" s="495"/>
      <c r="M496" s="485">
        <f>(I493+(50*K496/1000))*L496*D493</f>
        <v>0</v>
      </c>
      <c r="N496" s="495" t="s">
        <v>64</v>
      </c>
      <c r="O496" s="496"/>
      <c r="P496" s="497"/>
      <c r="Q496" s="496"/>
      <c r="R496" s="498"/>
      <c r="S496" s="489">
        <f t="shared" si="99"/>
        <v>0</v>
      </c>
      <c r="T496" s="489">
        <f t="shared" si="93"/>
        <v>0</v>
      </c>
      <c r="U496" s="489">
        <f t="shared" si="94"/>
        <v>0</v>
      </c>
      <c r="V496" s="489">
        <f t="shared" si="95"/>
        <v>0</v>
      </c>
      <c r="W496" s="490">
        <f t="shared" si="96"/>
        <v>0</v>
      </c>
      <c r="X496" s="490">
        <f t="shared" si="97"/>
        <v>0</v>
      </c>
      <c r="Y496" s="489">
        <f t="shared" si="98"/>
        <v>0</v>
      </c>
    </row>
    <row r="497" spans="1:25" s="126" customFormat="1" outlineLevel="1" x14ac:dyDescent="0.3">
      <c r="B497" s="914">
        <v>12</v>
      </c>
      <c r="C497" s="917" t="s">
        <v>589</v>
      </c>
      <c r="D497" s="920">
        <v>0</v>
      </c>
      <c r="E497" s="923">
        <v>0.38</v>
      </c>
      <c r="F497" s="923">
        <v>0.38</v>
      </c>
      <c r="G497" s="923">
        <f>((F497*2)+(E497*2))*D497</f>
        <v>0</v>
      </c>
      <c r="H497" s="923">
        <f t="shared" ref="H497" si="105">F497*E497*D497</f>
        <v>0</v>
      </c>
      <c r="I497" s="923">
        <v>4.2</v>
      </c>
      <c r="J497" s="483">
        <f>E497*F497*I497*D497</f>
        <v>0</v>
      </c>
      <c r="K497" s="487">
        <v>20</v>
      </c>
      <c r="L497" s="487">
        <v>8</v>
      </c>
      <c r="M497" s="485">
        <f>(I497+(50*K497/1000))*L497*D497</f>
        <v>0</v>
      </c>
      <c r="N497" s="500" t="s">
        <v>66</v>
      </c>
      <c r="O497" s="487">
        <v>8</v>
      </c>
      <c r="P497" s="484" t="s">
        <v>581</v>
      </c>
      <c r="Q497" s="487">
        <f>ROUND(((((I497/3)*2)/0.1)+((I497/3)/0.15)),0)</f>
        <v>37</v>
      </c>
      <c r="R497" s="488">
        <f>((((E497-0.04)+(F497-0.04))*2)+(2*10*(O497/1000)))*Q497*D497</f>
        <v>0</v>
      </c>
      <c r="S497" s="489">
        <f t="shared" si="99"/>
        <v>0</v>
      </c>
      <c r="T497" s="489">
        <f t="shared" si="93"/>
        <v>0</v>
      </c>
      <c r="U497" s="489">
        <f t="shared" si="94"/>
        <v>0</v>
      </c>
      <c r="V497" s="489">
        <f t="shared" si="95"/>
        <v>0</v>
      </c>
      <c r="W497" s="490">
        <f t="shared" si="96"/>
        <v>0</v>
      </c>
      <c r="X497" s="490">
        <f t="shared" si="97"/>
        <v>0</v>
      </c>
      <c r="Y497" s="489">
        <f t="shared" si="98"/>
        <v>0</v>
      </c>
    </row>
    <row r="498" spans="1:25" s="126" customFormat="1" outlineLevel="1" x14ac:dyDescent="0.3">
      <c r="B498" s="915"/>
      <c r="C498" s="918"/>
      <c r="D498" s="921"/>
      <c r="E498" s="924"/>
      <c r="F498" s="924"/>
      <c r="G498" s="924"/>
      <c r="H498" s="924"/>
      <c r="I498" s="924"/>
      <c r="J498" s="491"/>
      <c r="K498" s="492"/>
      <c r="L498" s="492"/>
      <c r="M498" s="485">
        <f>(I497+(50*K498/1000))*L498*D497</f>
        <v>0</v>
      </c>
      <c r="N498" s="502" t="s">
        <v>67</v>
      </c>
      <c r="O498" s="492"/>
      <c r="P498" s="486"/>
      <c r="Q498" s="492"/>
      <c r="R498" s="493"/>
      <c r="S498" s="489">
        <f t="shared" si="99"/>
        <v>0</v>
      </c>
      <c r="T498" s="489">
        <f t="shared" si="93"/>
        <v>0</v>
      </c>
      <c r="U498" s="489">
        <f t="shared" si="94"/>
        <v>0</v>
      </c>
      <c r="V498" s="489">
        <f t="shared" si="95"/>
        <v>0</v>
      </c>
      <c r="W498" s="490">
        <f t="shared" si="96"/>
        <v>0</v>
      </c>
      <c r="X498" s="490">
        <f t="shared" si="97"/>
        <v>0</v>
      </c>
      <c r="Y498" s="489">
        <f t="shared" si="98"/>
        <v>0</v>
      </c>
    </row>
    <row r="499" spans="1:25" s="126" customFormat="1" outlineLevel="1" x14ac:dyDescent="0.3">
      <c r="B499" s="915"/>
      <c r="C499" s="918"/>
      <c r="D499" s="921"/>
      <c r="E499" s="924"/>
      <c r="F499" s="924"/>
      <c r="G499" s="924"/>
      <c r="H499" s="924"/>
      <c r="I499" s="924"/>
      <c r="J499" s="491"/>
      <c r="K499" s="492"/>
      <c r="L499" s="492"/>
      <c r="M499" s="485">
        <f>(I497+(50*K499/1000))*L499*D497</f>
        <v>0</v>
      </c>
      <c r="N499" s="502" t="s">
        <v>580</v>
      </c>
      <c r="O499" s="492"/>
      <c r="P499" s="486"/>
      <c r="Q499" s="492"/>
      <c r="R499" s="493"/>
      <c r="S499" s="489">
        <f t="shared" si="99"/>
        <v>0</v>
      </c>
      <c r="T499" s="489">
        <f t="shared" si="93"/>
        <v>0</v>
      </c>
      <c r="U499" s="489">
        <f t="shared" si="94"/>
        <v>0</v>
      </c>
      <c r="V499" s="489">
        <f t="shared" si="95"/>
        <v>0</v>
      </c>
      <c r="W499" s="490">
        <f t="shared" si="96"/>
        <v>0</v>
      </c>
      <c r="X499" s="490">
        <f t="shared" si="97"/>
        <v>0</v>
      </c>
      <c r="Y499" s="489">
        <f t="shared" si="98"/>
        <v>0</v>
      </c>
    </row>
    <row r="500" spans="1:25" s="126" customFormat="1" outlineLevel="1" x14ac:dyDescent="0.3">
      <c r="A500" s="499"/>
      <c r="B500" s="916"/>
      <c r="C500" s="919"/>
      <c r="D500" s="922"/>
      <c r="E500" s="925"/>
      <c r="F500" s="925"/>
      <c r="G500" s="925"/>
      <c r="H500" s="925"/>
      <c r="I500" s="925"/>
      <c r="J500" s="494"/>
      <c r="K500" s="496"/>
      <c r="L500" s="496"/>
      <c r="M500" s="485">
        <f>(I497+(50*K500/1000))*L500*D497</f>
        <v>0</v>
      </c>
      <c r="N500" s="503" t="s">
        <v>64</v>
      </c>
      <c r="O500" s="496"/>
      <c r="P500" s="497"/>
      <c r="Q500" s="496"/>
      <c r="R500" s="498"/>
      <c r="S500" s="489">
        <f t="shared" si="99"/>
        <v>0</v>
      </c>
      <c r="T500" s="489">
        <f t="shared" si="93"/>
        <v>0</v>
      </c>
      <c r="U500" s="489">
        <f t="shared" si="94"/>
        <v>0</v>
      </c>
      <c r="V500" s="489">
        <f t="shared" si="95"/>
        <v>0</v>
      </c>
      <c r="W500" s="490">
        <f t="shared" si="96"/>
        <v>0</v>
      </c>
      <c r="X500" s="490">
        <f t="shared" si="97"/>
        <v>0</v>
      </c>
      <c r="Y500" s="489">
        <f t="shared" si="98"/>
        <v>0</v>
      </c>
    </row>
    <row r="501" spans="1:25" s="126" customFormat="1" outlineLevel="1" x14ac:dyDescent="0.3">
      <c r="A501" s="482"/>
      <c r="B501" s="914">
        <v>13</v>
      </c>
      <c r="C501" s="917" t="s">
        <v>590</v>
      </c>
      <c r="D501" s="920">
        <v>0</v>
      </c>
      <c r="E501" s="923">
        <v>0.45</v>
      </c>
      <c r="F501" s="923">
        <v>0.3</v>
      </c>
      <c r="G501" s="923">
        <f>((F501*2)+(E501*2))*D501</f>
        <v>0</v>
      </c>
      <c r="H501" s="923">
        <f t="shared" ref="H501" si="106">F501*E501*D501</f>
        <v>0</v>
      </c>
      <c r="I501" s="923">
        <v>4.2</v>
      </c>
      <c r="J501" s="483">
        <f>E501*F501*I501*D501</f>
        <v>0</v>
      </c>
      <c r="K501" s="487">
        <v>20</v>
      </c>
      <c r="L501" s="487">
        <v>8</v>
      </c>
      <c r="M501" s="485">
        <f>(I501+(50*K501/1000))*L501*D501</f>
        <v>0</v>
      </c>
      <c r="N501" s="500" t="s">
        <v>66</v>
      </c>
      <c r="O501" s="487">
        <v>8</v>
      </c>
      <c r="P501" s="484" t="s">
        <v>581</v>
      </c>
      <c r="Q501" s="487">
        <f>ROUND(((((I501/3)*2)/0.1)+((I501/3)/0.15)),0)</f>
        <v>37</v>
      </c>
      <c r="R501" s="488">
        <f>((((E501-0.04)+(F501-0.04))*2)+(2*10*(O501/1000)))*Q501*D501</f>
        <v>0</v>
      </c>
      <c r="S501" s="489">
        <f t="shared" si="99"/>
        <v>0</v>
      </c>
      <c r="T501" s="489">
        <f t="shared" si="93"/>
        <v>0</v>
      </c>
      <c r="U501" s="489">
        <f t="shared" si="94"/>
        <v>0</v>
      </c>
      <c r="V501" s="489">
        <f t="shared" si="95"/>
        <v>0</v>
      </c>
      <c r="W501" s="490">
        <f t="shared" si="96"/>
        <v>0</v>
      </c>
      <c r="X501" s="490">
        <f t="shared" si="97"/>
        <v>0</v>
      </c>
      <c r="Y501" s="489">
        <f t="shared" si="98"/>
        <v>0</v>
      </c>
    </row>
    <row r="502" spans="1:25" s="126" customFormat="1" outlineLevel="1" x14ac:dyDescent="0.3">
      <c r="A502" s="482"/>
      <c r="B502" s="915"/>
      <c r="C502" s="918"/>
      <c r="D502" s="921"/>
      <c r="E502" s="924"/>
      <c r="F502" s="924"/>
      <c r="G502" s="924"/>
      <c r="H502" s="924"/>
      <c r="I502" s="924"/>
      <c r="J502" s="504"/>
      <c r="K502" s="492"/>
      <c r="L502" s="492"/>
      <c r="M502" s="485">
        <f>(I501+(50*K502/1000))*L502*D501</f>
        <v>0</v>
      </c>
      <c r="N502" s="502" t="s">
        <v>67</v>
      </c>
      <c r="O502" s="492"/>
      <c r="P502" s="486"/>
      <c r="Q502" s="492"/>
      <c r="R502" s="493"/>
      <c r="S502" s="489">
        <f t="shared" si="99"/>
        <v>0</v>
      </c>
      <c r="T502" s="489">
        <f t="shared" si="93"/>
        <v>0</v>
      </c>
      <c r="U502" s="489">
        <f t="shared" si="94"/>
        <v>0</v>
      </c>
      <c r="V502" s="489">
        <f t="shared" si="95"/>
        <v>0</v>
      </c>
      <c r="W502" s="490">
        <f t="shared" si="96"/>
        <v>0</v>
      </c>
      <c r="X502" s="490">
        <f t="shared" si="97"/>
        <v>0</v>
      </c>
      <c r="Y502" s="489">
        <f t="shared" si="98"/>
        <v>0</v>
      </c>
    </row>
    <row r="503" spans="1:25" s="126" customFormat="1" outlineLevel="1" x14ac:dyDescent="0.3">
      <c r="A503" s="482"/>
      <c r="B503" s="915"/>
      <c r="C503" s="918"/>
      <c r="D503" s="921"/>
      <c r="E503" s="924"/>
      <c r="F503" s="924"/>
      <c r="G503" s="924"/>
      <c r="H503" s="924"/>
      <c r="I503" s="924"/>
      <c r="J503" s="504"/>
      <c r="K503" s="492"/>
      <c r="L503" s="492"/>
      <c r="M503" s="485">
        <f>(I501+(50*K503/1000))*L503*D501</f>
        <v>0</v>
      </c>
      <c r="N503" s="502" t="s">
        <v>580</v>
      </c>
      <c r="O503" s="492"/>
      <c r="P503" s="486"/>
      <c r="Q503" s="492"/>
      <c r="R503" s="493"/>
      <c r="S503" s="489">
        <f t="shared" si="99"/>
        <v>0</v>
      </c>
      <c r="T503" s="489">
        <f t="shared" si="93"/>
        <v>0</v>
      </c>
      <c r="U503" s="489">
        <f t="shared" si="94"/>
        <v>0</v>
      </c>
      <c r="V503" s="489">
        <f t="shared" si="95"/>
        <v>0</v>
      </c>
      <c r="W503" s="490">
        <f t="shared" si="96"/>
        <v>0</v>
      </c>
      <c r="X503" s="490">
        <f t="shared" si="97"/>
        <v>0</v>
      </c>
      <c r="Y503" s="489">
        <f t="shared" si="98"/>
        <v>0</v>
      </c>
    </row>
    <row r="504" spans="1:25" s="126" customFormat="1" outlineLevel="1" x14ac:dyDescent="0.3">
      <c r="A504" s="505"/>
      <c r="B504" s="916"/>
      <c r="C504" s="919"/>
      <c r="D504" s="922"/>
      <c r="E504" s="925"/>
      <c r="F504" s="925"/>
      <c r="G504" s="925"/>
      <c r="H504" s="925"/>
      <c r="I504" s="925"/>
      <c r="J504" s="506"/>
      <c r="K504" s="496"/>
      <c r="L504" s="496"/>
      <c r="M504" s="485">
        <f>(I501+(50*K504/1000))*L504*D501</f>
        <v>0</v>
      </c>
      <c r="N504" s="503" t="s">
        <v>64</v>
      </c>
      <c r="O504" s="496"/>
      <c r="P504" s="497"/>
      <c r="Q504" s="496"/>
      <c r="R504" s="498"/>
      <c r="S504" s="489">
        <f t="shared" si="99"/>
        <v>0</v>
      </c>
      <c r="T504" s="489">
        <f t="shared" si="93"/>
        <v>0</v>
      </c>
      <c r="U504" s="489">
        <f t="shared" si="94"/>
        <v>0</v>
      </c>
      <c r="V504" s="489">
        <f t="shared" si="95"/>
        <v>0</v>
      </c>
      <c r="W504" s="490">
        <f t="shared" si="96"/>
        <v>0</v>
      </c>
      <c r="X504" s="490">
        <f t="shared" si="97"/>
        <v>0</v>
      </c>
      <c r="Y504" s="489">
        <f t="shared" si="98"/>
        <v>0</v>
      </c>
    </row>
    <row r="505" spans="1:25" s="126" customFormat="1" outlineLevel="1" x14ac:dyDescent="0.3">
      <c r="B505" s="914">
        <v>14</v>
      </c>
      <c r="C505" s="914" t="s">
        <v>591</v>
      </c>
      <c r="D505" s="926">
        <v>0</v>
      </c>
      <c r="E505" s="923">
        <v>0.5</v>
      </c>
      <c r="F505" s="923">
        <v>0.5</v>
      </c>
      <c r="G505" s="923">
        <f>((F505*2)+(E505*2))*D505</f>
        <v>0</v>
      </c>
      <c r="H505" s="923">
        <f t="shared" ref="H505" si="107">F505*E505*D505</f>
        <v>0</v>
      </c>
      <c r="I505" s="923">
        <v>4.2</v>
      </c>
      <c r="J505" s="483">
        <f>E505*F505*I505*D505</f>
        <v>0</v>
      </c>
      <c r="K505" s="484">
        <v>20</v>
      </c>
      <c r="L505" s="484">
        <v>12</v>
      </c>
      <c r="M505" s="485">
        <f>(I505+(50*K505/1000))*L505*D505</f>
        <v>0</v>
      </c>
      <c r="N505" s="486" t="s">
        <v>580</v>
      </c>
      <c r="O505" s="487">
        <v>8</v>
      </c>
      <c r="P505" s="484" t="s">
        <v>581</v>
      </c>
      <c r="Q505" s="487">
        <f>ROUND(((((I505/3)*2)/0.1)+((I505/3)/0.15)),0)</f>
        <v>37</v>
      </c>
      <c r="R505" s="488">
        <f>((((E505-0.04)+(F505-0.04))*2)+(2*10*(O505/1000)))*Q505*D505</f>
        <v>0</v>
      </c>
      <c r="S505" s="489">
        <f t="shared" si="99"/>
        <v>0</v>
      </c>
      <c r="T505" s="489">
        <f t="shared" si="93"/>
        <v>0</v>
      </c>
      <c r="U505" s="489">
        <f t="shared" si="94"/>
        <v>0</v>
      </c>
      <c r="V505" s="489">
        <f t="shared" si="95"/>
        <v>0</v>
      </c>
      <c r="W505" s="490">
        <f t="shared" si="96"/>
        <v>0</v>
      </c>
      <c r="X505" s="490">
        <f t="shared" si="97"/>
        <v>0</v>
      </c>
      <c r="Y505" s="489">
        <f t="shared" si="98"/>
        <v>0</v>
      </c>
    </row>
    <row r="506" spans="1:25" s="126" customFormat="1" outlineLevel="1" x14ac:dyDescent="0.3">
      <c r="B506" s="915"/>
      <c r="C506" s="915"/>
      <c r="D506" s="927"/>
      <c r="E506" s="924"/>
      <c r="F506" s="924"/>
      <c r="G506" s="924"/>
      <c r="H506" s="924"/>
      <c r="I506" s="924"/>
      <c r="J506" s="491"/>
      <c r="K506" s="486"/>
      <c r="L506" s="486"/>
      <c r="M506" s="485">
        <f>(I505+(50*K506/1000))*L506*D505</f>
        <v>0</v>
      </c>
      <c r="N506" s="486" t="s">
        <v>66</v>
      </c>
      <c r="O506" s="492"/>
      <c r="P506" s="486"/>
      <c r="Q506" s="492"/>
      <c r="R506" s="493"/>
      <c r="S506" s="489">
        <f t="shared" si="99"/>
        <v>0</v>
      </c>
      <c r="T506" s="489">
        <f t="shared" si="93"/>
        <v>0</v>
      </c>
      <c r="U506" s="489">
        <f t="shared" si="94"/>
        <v>0</v>
      </c>
      <c r="V506" s="489">
        <f t="shared" si="95"/>
        <v>0</v>
      </c>
      <c r="W506" s="490">
        <f t="shared" si="96"/>
        <v>0</v>
      </c>
      <c r="X506" s="490">
        <f t="shared" si="97"/>
        <v>0</v>
      </c>
      <c r="Y506" s="489">
        <f t="shared" si="98"/>
        <v>0</v>
      </c>
    </row>
    <row r="507" spans="1:25" s="126" customFormat="1" outlineLevel="1" x14ac:dyDescent="0.3">
      <c r="B507" s="915"/>
      <c r="C507" s="915"/>
      <c r="D507" s="927"/>
      <c r="E507" s="924"/>
      <c r="F507" s="924"/>
      <c r="G507" s="924"/>
      <c r="H507" s="924"/>
      <c r="I507" s="924"/>
      <c r="J507" s="491"/>
      <c r="K507" s="486"/>
      <c r="L507" s="486"/>
      <c r="M507" s="485">
        <f>(I505+(50*K507/1000))*L507*D505</f>
        <v>0</v>
      </c>
      <c r="N507" s="486" t="s">
        <v>580</v>
      </c>
      <c r="O507" s="492"/>
      <c r="P507" s="486"/>
      <c r="Q507" s="492"/>
      <c r="R507" s="493"/>
      <c r="S507" s="489">
        <f t="shared" si="99"/>
        <v>0</v>
      </c>
      <c r="T507" s="489">
        <f t="shared" si="93"/>
        <v>0</v>
      </c>
      <c r="U507" s="489">
        <f t="shared" si="94"/>
        <v>0</v>
      </c>
      <c r="V507" s="489">
        <f t="shared" si="95"/>
        <v>0</v>
      </c>
      <c r="W507" s="490">
        <f t="shared" si="96"/>
        <v>0</v>
      </c>
      <c r="X507" s="490">
        <f t="shared" si="97"/>
        <v>0</v>
      </c>
      <c r="Y507" s="489">
        <f t="shared" si="98"/>
        <v>0</v>
      </c>
    </row>
    <row r="508" spans="1:25" s="126" customFormat="1" outlineLevel="1" x14ac:dyDescent="0.3">
      <c r="A508" s="499"/>
      <c r="B508" s="916"/>
      <c r="C508" s="916"/>
      <c r="D508" s="928"/>
      <c r="E508" s="925"/>
      <c r="F508" s="925"/>
      <c r="G508" s="925"/>
      <c r="H508" s="925"/>
      <c r="I508" s="925"/>
      <c r="J508" s="494"/>
      <c r="K508" s="495"/>
      <c r="L508" s="495"/>
      <c r="M508" s="485">
        <f>(I505+(50*K508/1000))*L508*D505</f>
        <v>0</v>
      </c>
      <c r="N508" s="495" t="s">
        <v>64</v>
      </c>
      <c r="O508" s="496"/>
      <c r="P508" s="497"/>
      <c r="Q508" s="496"/>
      <c r="R508" s="498"/>
      <c r="S508" s="489">
        <f t="shared" si="99"/>
        <v>0</v>
      </c>
      <c r="T508" s="489">
        <f t="shared" si="93"/>
        <v>0</v>
      </c>
      <c r="U508" s="489">
        <f t="shared" si="94"/>
        <v>0</v>
      </c>
      <c r="V508" s="489">
        <f t="shared" si="95"/>
        <v>0</v>
      </c>
      <c r="W508" s="490">
        <f t="shared" si="96"/>
        <v>0</v>
      </c>
      <c r="X508" s="490">
        <f t="shared" si="97"/>
        <v>0</v>
      </c>
      <c r="Y508" s="489">
        <f t="shared" si="98"/>
        <v>0</v>
      </c>
    </row>
    <row r="509" spans="1:25" s="126" customFormat="1" outlineLevel="1" x14ac:dyDescent="0.3">
      <c r="B509" s="914">
        <v>15</v>
      </c>
      <c r="C509" s="917" t="s">
        <v>592</v>
      </c>
      <c r="D509" s="920">
        <v>0</v>
      </c>
      <c r="E509" s="923">
        <v>0.6</v>
      </c>
      <c r="F509" s="923">
        <v>0.38</v>
      </c>
      <c r="G509" s="923">
        <f>((F509*2)+(E509*2))*D509</f>
        <v>0</v>
      </c>
      <c r="H509" s="923">
        <f t="shared" ref="H509" si="108">F509*E509*D509</f>
        <v>0</v>
      </c>
      <c r="I509" s="923">
        <v>4.2</v>
      </c>
      <c r="J509" s="483">
        <f>E509*F509*I509*D509</f>
        <v>0</v>
      </c>
      <c r="K509" s="487">
        <v>20</v>
      </c>
      <c r="L509" s="487">
        <v>8</v>
      </c>
      <c r="M509" s="485">
        <f>(I509+(50*K509/1000))*L509*D509</f>
        <v>0</v>
      </c>
      <c r="N509" s="500" t="s">
        <v>580</v>
      </c>
      <c r="O509" s="487">
        <v>8</v>
      </c>
      <c r="P509" s="484" t="s">
        <v>581</v>
      </c>
      <c r="Q509" s="487">
        <f>ROUND(((((I509/3)*2)/0.1)+((I509/3)/0.15)),0)</f>
        <v>37</v>
      </c>
      <c r="R509" s="488">
        <f>((((E509-0.04)+(F509-0.04))*2)+(2*10*(O509/1000)))*Q509*D509</f>
        <v>0</v>
      </c>
      <c r="S509" s="489">
        <f t="shared" si="99"/>
        <v>0</v>
      </c>
      <c r="T509" s="489">
        <f t="shared" si="93"/>
        <v>0</v>
      </c>
      <c r="U509" s="489">
        <f t="shared" si="94"/>
        <v>0</v>
      </c>
      <c r="V509" s="489">
        <f t="shared" si="95"/>
        <v>0</v>
      </c>
      <c r="W509" s="490">
        <f t="shared" si="96"/>
        <v>0</v>
      </c>
      <c r="X509" s="490">
        <f t="shared" si="97"/>
        <v>0</v>
      </c>
      <c r="Y509" s="489">
        <f t="shared" si="98"/>
        <v>0</v>
      </c>
    </row>
    <row r="510" spans="1:25" s="126" customFormat="1" outlineLevel="1" x14ac:dyDescent="0.3">
      <c r="B510" s="915"/>
      <c r="C510" s="918"/>
      <c r="D510" s="921"/>
      <c r="E510" s="924"/>
      <c r="F510" s="924"/>
      <c r="G510" s="924"/>
      <c r="H510" s="924"/>
      <c r="I510" s="924"/>
      <c r="J510" s="491"/>
      <c r="K510" s="492">
        <v>16</v>
      </c>
      <c r="L510" s="492">
        <v>4</v>
      </c>
      <c r="M510" s="485">
        <f>(I509+(50*K510/1000))*L510*D509</f>
        <v>0</v>
      </c>
      <c r="N510" s="502" t="s">
        <v>67</v>
      </c>
      <c r="O510" s="492"/>
      <c r="P510" s="486"/>
      <c r="Q510" s="492"/>
      <c r="R510" s="493"/>
      <c r="S510" s="489">
        <f t="shared" si="99"/>
        <v>0</v>
      </c>
      <c r="T510" s="489">
        <f t="shared" si="93"/>
        <v>0</v>
      </c>
      <c r="U510" s="489">
        <f t="shared" si="94"/>
        <v>0</v>
      </c>
      <c r="V510" s="489">
        <f t="shared" si="95"/>
        <v>0</v>
      </c>
      <c r="W510" s="490">
        <f t="shared" si="96"/>
        <v>0</v>
      </c>
      <c r="X510" s="490">
        <f t="shared" si="97"/>
        <v>0</v>
      </c>
      <c r="Y510" s="489">
        <f t="shared" si="98"/>
        <v>0</v>
      </c>
    </row>
    <row r="511" spans="1:25" s="126" customFormat="1" outlineLevel="1" x14ac:dyDescent="0.3">
      <c r="B511" s="915"/>
      <c r="C511" s="918"/>
      <c r="D511" s="921"/>
      <c r="E511" s="924"/>
      <c r="F511" s="924"/>
      <c r="G511" s="924"/>
      <c r="H511" s="924"/>
      <c r="I511" s="924"/>
      <c r="J511" s="491"/>
      <c r="K511" s="492"/>
      <c r="L511" s="492"/>
      <c r="M511" s="485">
        <f>(I509+(50*K511/1000))*L511*D509</f>
        <v>0</v>
      </c>
      <c r="N511" s="502" t="s">
        <v>580</v>
      </c>
      <c r="O511" s="492"/>
      <c r="P511" s="486"/>
      <c r="Q511" s="492"/>
      <c r="R511" s="493"/>
      <c r="S511" s="489">
        <f t="shared" si="99"/>
        <v>0</v>
      </c>
      <c r="T511" s="489">
        <f t="shared" si="93"/>
        <v>0</v>
      </c>
      <c r="U511" s="489">
        <f t="shared" si="94"/>
        <v>0</v>
      </c>
      <c r="V511" s="489">
        <f t="shared" si="95"/>
        <v>0</v>
      </c>
      <c r="W511" s="490">
        <f t="shared" si="96"/>
        <v>0</v>
      </c>
      <c r="X511" s="490">
        <f t="shared" si="97"/>
        <v>0</v>
      </c>
      <c r="Y511" s="489">
        <f t="shared" si="98"/>
        <v>0</v>
      </c>
    </row>
    <row r="512" spans="1:25" s="126" customFormat="1" outlineLevel="1" x14ac:dyDescent="0.3">
      <c r="A512" s="499"/>
      <c r="B512" s="916"/>
      <c r="C512" s="919"/>
      <c r="D512" s="922"/>
      <c r="E512" s="925"/>
      <c r="F512" s="925"/>
      <c r="G512" s="925"/>
      <c r="H512" s="925"/>
      <c r="I512" s="925"/>
      <c r="J512" s="494"/>
      <c r="K512" s="496"/>
      <c r="L512" s="496"/>
      <c r="M512" s="485">
        <f>(I509+(50*K512/1000))*L512*D509</f>
        <v>0</v>
      </c>
      <c r="N512" s="503" t="s">
        <v>64</v>
      </c>
      <c r="O512" s="496"/>
      <c r="P512" s="497"/>
      <c r="Q512" s="496"/>
      <c r="R512" s="498"/>
      <c r="S512" s="489">
        <f t="shared" si="99"/>
        <v>0</v>
      </c>
      <c r="T512" s="489">
        <f t="shared" si="93"/>
        <v>0</v>
      </c>
      <c r="U512" s="489">
        <f t="shared" si="94"/>
        <v>0</v>
      </c>
      <c r="V512" s="489">
        <f t="shared" si="95"/>
        <v>0</v>
      </c>
      <c r="W512" s="490">
        <f t="shared" si="96"/>
        <v>0</v>
      </c>
      <c r="X512" s="490">
        <f t="shared" si="97"/>
        <v>0</v>
      </c>
      <c r="Y512" s="489">
        <f t="shared" si="98"/>
        <v>0</v>
      </c>
    </row>
    <row r="513" spans="1:28" s="126" customFormat="1" outlineLevel="1" x14ac:dyDescent="0.3">
      <c r="B513" s="914">
        <v>16</v>
      </c>
      <c r="C513" s="914" t="s">
        <v>593</v>
      </c>
      <c r="D513" s="920">
        <v>0</v>
      </c>
      <c r="E513" s="923">
        <v>0.5</v>
      </c>
      <c r="F513" s="923">
        <v>0.3</v>
      </c>
      <c r="G513" s="923">
        <f>((F513*2)+(E513*2))*D513</f>
        <v>0</v>
      </c>
      <c r="H513" s="923">
        <f t="shared" ref="H513" si="109">F513*E513*D513</f>
        <v>0</v>
      </c>
      <c r="I513" s="923">
        <v>4.2</v>
      </c>
      <c r="J513" s="483">
        <f>E513*F513*I513*D513</f>
        <v>0</v>
      </c>
      <c r="K513" s="487">
        <v>20</v>
      </c>
      <c r="L513" s="487">
        <v>8</v>
      </c>
      <c r="M513" s="485">
        <f>(I513+(50*K513/1000))*L513*D513</f>
        <v>0</v>
      </c>
      <c r="N513" s="500" t="s">
        <v>66</v>
      </c>
      <c r="O513" s="487">
        <v>8</v>
      </c>
      <c r="P513" s="484" t="s">
        <v>581</v>
      </c>
      <c r="Q513" s="487">
        <f>ROUND(((((I513/3)*2)/0.1)+((I513/3)/0.15)),0)</f>
        <v>37</v>
      </c>
      <c r="R513" s="488">
        <f>((((E513-0.04)+(F513-0.04))*2)+(2*10*(O513/1000)))*Q513*D513</f>
        <v>0</v>
      </c>
      <c r="S513" s="489">
        <f t="shared" si="99"/>
        <v>0</v>
      </c>
      <c r="T513" s="489">
        <f t="shared" si="93"/>
        <v>0</v>
      </c>
      <c r="U513" s="489">
        <f t="shared" si="94"/>
        <v>0</v>
      </c>
      <c r="V513" s="489">
        <f t="shared" si="95"/>
        <v>0</v>
      </c>
      <c r="W513" s="490">
        <f t="shared" si="96"/>
        <v>0</v>
      </c>
      <c r="X513" s="490">
        <f t="shared" si="97"/>
        <v>0</v>
      </c>
      <c r="Y513" s="489">
        <f t="shared" si="98"/>
        <v>0</v>
      </c>
    </row>
    <row r="514" spans="1:28" s="126" customFormat="1" outlineLevel="1" x14ac:dyDescent="0.3">
      <c r="B514" s="915"/>
      <c r="C514" s="915"/>
      <c r="D514" s="921"/>
      <c r="E514" s="924"/>
      <c r="F514" s="924"/>
      <c r="G514" s="924"/>
      <c r="H514" s="924"/>
      <c r="I514" s="924"/>
      <c r="J514" s="486"/>
      <c r="K514" s="492"/>
      <c r="L514" s="492"/>
      <c r="M514" s="485">
        <f>(I513+(50*K514/1000))*L514*D513</f>
        <v>0</v>
      </c>
      <c r="N514" s="502" t="s">
        <v>67</v>
      </c>
      <c r="O514" s="492"/>
      <c r="P514" s="486"/>
      <c r="Q514" s="492"/>
      <c r="R514" s="493"/>
      <c r="S514" s="489">
        <f t="shared" si="99"/>
        <v>0</v>
      </c>
      <c r="T514" s="489">
        <f t="shared" si="93"/>
        <v>0</v>
      </c>
      <c r="U514" s="489">
        <f t="shared" si="94"/>
        <v>0</v>
      </c>
      <c r="V514" s="489">
        <f t="shared" si="95"/>
        <v>0</v>
      </c>
      <c r="W514" s="490">
        <f t="shared" si="96"/>
        <v>0</v>
      </c>
      <c r="X514" s="490">
        <f t="shared" si="97"/>
        <v>0</v>
      </c>
      <c r="Y514" s="489">
        <f t="shared" si="98"/>
        <v>0</v>
      </c>
    </row>
    <row r="515" spans="1:28" s="126" customFormat="1" outlineLevel="1" x14ac:dyDescent="0.3">
      <c r="B515" s="915"/>
      <c r="C515" s="915"/>
      <c r="D515" s="921"/>
      <c r="E515" s="924"/>
      <c r="F515" s="924"/>
      <c r="G515" s="924"/>
      <c r="H515" s="924"/>
      <c r="I515" s="924"/>
      <c r="J515" s="486"/>
      <c r="K515" s="492"/>
      <c r="L515" s="492"/>
      <c r="M515" s="485">
        <f>(I513+(50*K515/1000))*L515*D513</f>
        <v>0</v>
      </c>
      <c r="N515" s="502" t="s">
        <v>580</v>
      </c>
      <c r="O515" s="492"/>
      <c r="P515" s="486"/>
      <c r="Q515" s="492"/>
      <c r="R515" s="493"/>
      <c r="S515" s="489">
        <f t="shared" si="99"/>
        <v>0</v>
      </c>
      <c r="T515" s="489">
        <f t="shared" si="93"/>
        <v>0</v>
      </c>
      <c r="U515" s="489">
        <f t="shared" si="94"/>
        <v>0</v>
      </c>
      <c r="V515" s="489">
        <f t="shared" si="95"/>
        <v>0</v>
      </c>
      <c r="W515" s="490">
        <f t="shared" si="96"/>
        <v>0</v>
      </c>
      <c r="X515" s="490">
        <f t="shared" si="97"/>
        <v>0</v>
      </c>
      <c r="Y515" s="489">
        <f t="shared" si="98"/>
        <v>0</v>
      </c>
    </row>
    <row r="516" spans="1:28" s="126" customFormat="1" ht="15" outlineLevel="1" thickBot="1" x14ac:dyDescent="0.35">
      <c r="A516" s="499"/>
      <c r="B516" s="916"/>
      <c r="C516" s="916"/>
      <c r="D516" s="922"/>
      <c r="E516" s="925"/>
      <c r="F516" s="925"/>
      <c r="G516" s="925"/>
      <c r="H516" s="925"/>
      <c r="I516" s="925"/>
      <c r="J516" s="495"/>
      <c r="K516" s="496"/>
      <c r="L516" s="496"/>
      <c r="M516" s="485">
        <f>(I513+(50*K516/1000))*L516*D513</f>
        <v>0</v>
      </c>
      <c r="N516" s="503" t="s">
        <v>64</v>
      </c>
      <c r="O516" s="496"/>
      <c r="P516" s="497"/>
      <c r="Q516" s="496"/>
      <c r="R516" s="498"/>
      <c r="S516" s="489">
        <f t="shared" si="99"/>
        <v>0</v>
      </c>
      <c r="T516" s="489">
        <f t="shared" si="93"/>
        <v>0</v>
      </c>
      <c r="U516" s="489">
        <f t="shared" si="94"/>
        <v>0</v>
      </c>
      <c r="V516" s="489">
        <f t="shared" si="95"/>
        <v>0</v>
      </c>
      <c r="W516" s="490">
        <f t="shared" si="96"/>
        <v>0</v>
      </c>
      <c r="X516" s="490">
        <f t="shared" si="97"/>
        <v>0</v>
      </c>
      <c r="Y516" s="489">
        <f t="shared" si="98"/>
        <v>0</v>
      </c>
    </row>
    <row r="517" spans="1:28" s="481" customFormat="1" ht="16.2" thickBot="1" x14ac:dyDescent="0.35">
      <c r="C517" s="507"/>
      <c r="D517" s="508">
        <f>SUM(D465:D516)</f>
        <v>6</v>
      </c>
      <c r="E517" s="507"/>
      <c r="F517" s="507"/>
      <c r="G517" s="509">
        <f>SUM(G465:G516)*I513</f>
        <v>38.387999999999998</v>
      </c>
      <c r="H517" s="509">
        <f>SUM(H465:H516)</f>
        <v>1.151</v>
      </c>
      <c r="I517" s="510" t="s">
        <v>95</v>
      </c>
      <c r="J517" s="511">
        <f>SUM(J465:J516)</f>
        <v>4.8342000000000001</v>
      </c>
      <c r="K517" s="507" t="s">
        <v>594</v>
      </c>
      <c r="L517" s="512"/>
      <c r="N517" s="512"/>
      <c r="O517" s="513"/>
      <c r="P517" s="909" t="s">
        <v>96</v>
      </c>
      <c r="Q517" s="909"/>
      <c r="R517" s="909"/>
      <c r="S517" s="514">
        <f t="shared" ref="S517:Y517" si="110">SUM(S465:S516)</f>
        <v>390.55720000000002</v>
      </c>
      <c r="T517" s="514">
        <f t="shared" si="110"/>
        <v>0</v>
      </c>
      <c r="U517" s="514">
        <f t="shared" si="110"/>
        <v>0</v>
      </c>
      <c r="V517" s="514">
        <f t="shared" si="110"/>
        <v>30</v>
      </c>
      <c r="W517" s="514">
        <f t="shared" si="110"/>
        <v>228.8</v>
      </c>
      <c r="X517" s="514">
        <f t="shared" si="110"/>
        <v>54.5</v>
      </c>
      <c r="Y517" s="514">
        <f t="shared" si="110"/>
        <v>0</v>
      </c>
      <c r="AA517" s="515"/>
    </row>
    <row r="518" spans="1:28" s="482" customFormat="1" x14ac:dyDescent="0.3">
      <c r="C518" s="481"/>
      <c r="G518" s="516" t="s">
        <v>595</v>
      </c>
      <c r="H518" s="516"/>
      <c r="J518" s="517"/>
      <c r="K518" s="518"/>
      <c r="L518" s="479"/>
      <c r="M518" s="478"/>
      <c r="O518" s="479"/>
      <c r="P518" s="910" t="s">
        <v>97</v>
      </c>
      <c r="Q518" s="910"/>
      <c r="R518" s="910"/>
      <c r="S518" s="56">
        <f>(8^2)/162</f>
        <v>0.39506172839506171</v>
      </c>
      <c r="T518" s="56">
        <f>(10^2)/162</f>
        <v>0.61728395061728392</v>
      </c>
      <c r="U518" s="56">
        <f>(12^2)/162</f>
        <v>0.88888888888888884</v>
      </c>
      <c r="V518" s="56">
        <f>(16^2)/162</f>
        <v>1.5802469135802468</v>
      </c>
      <c r="W518" s="56">
        <f>(20^2)/162</f>
        <v>2.4691358024691357</v>
      </c>
      <c r="X518" s="56">
        <f>(25^2)/162</f>
        <v>3.8580246913580245</v>
      </c>
      <c r="Y518" s="56">
        <f>(32^2)/162</f>
        <v>6.3209876543209873</v>
      </c>
    </row>
    <row r="519" spans="1:28" s="482" customFormat="1" ht="18.600000000000001" thickBot="1" x14ac:dyDescent="0.4">
      <c r="C519" s="481"/>
      <c r="D519" s="516" t="s">
        <v>598</v>
      </c>
      <c r="J519" s="517"/>
      <c r="K519" s="518"/>
      <c r="L519" s="479"/>
      <c r="M519" s="478"/>
      <c r="O519" s="479"/>
      <c r="P519" s="910" t="s">
        <v>98</v>
      </c>
      <c r="Q519" s="910"/>
      <c r="R519" s="910"/>
      <c r="S519" s="519">
        <f t="shared" ref="S519:Y519" si="111">S518*S517/1000</f>
        <v>0.1542942024691358</v>
      </c>
      <c r="T519" s="519">
        <f t="shared" si="111"/>
        <v>0</v>
      </c>
      <c r="U519" s="519">
        <f t="shared" si="111"/>
        <v>0</v>
      </c>
      <c r="V519" s="519">
        <f t="shared" si="111"/>
        <v>4.7407407407407405E-2</v>
      </c>
      <c r="W519" s="519">
        <f t="shared" si="111"/>
        <v>0.56493827160493826</v>
      </c>
      <c r="X519" s="519">
        <f t="shared" si="111"/>
        <v>0.21026234567901234</v>
      </c>
      <c r="Y519" s="519">
        <f t="shared" si="111"/>
        <v>0</v>
      </c>
    </row>
    <row r="520" spans="1:28" s="482" customFormat="1" ht="18.600000000000001" thickBot="1" x14ac:dyDescent="0.4">
      <c r="C520" s="481"/>
      <c r="K520" s="518"/>
      <c r="L520" s="479"/>
      <c r="M520" s="478"/>
      <c r="O520" s="479"/>
      <c r="Q520" s="479"/>
      <c r="R520" s="478"/>
      <c r="S520" s="911" t="s">
        <v>95</v>
      </c>
      <c r="T520" s="912"/>
      <c r="U520" s="912"/>
      <c r="V520" s="912"/>
      <c r="W520" s="912"/>
      <c r="X520" s="913"/>
      <c r="Y520" s="520">
        <f>SUM(S519:Y519)</f>
        <v>0.9769022271604938</v>
      </c>
      <c r="Z520" s="521" t="s">
        <v>596</v>
      </c>
      <c r="AA520" s="522"/>
      <c r="AB520" s="522"/>
    </row>
    <row r="521" spans="1:28" s="482" customFormat="1" x14ac:dyDescent="0.3">
      <c r="C521" s="481"/>
      <c r="K521" s="518"/>
      <c r="L521" s="479"/>
      <c r="M521" s="478"/>
      <c r="O521" s="479"/>
      <c r="Q521" s="479"/>
      <c r="R521" s="478"/>
      <c r="S521" s="480"/>
      <c r="T521" s="480"/>
      <c r="U521" s="480"/>
      <c r="V521" s="480"/>
      <c r="W521" s="480"/>
      <c r="X521" s="480"/>
      <c r="Y521" s="480"/>
      <c r="Z521" s="523"/>
      <c r="AA521" s="523"/>
      <c r="AB521" s="517"/>
    </row>
    <row r="523" spans="1:28" x14ac:dyDescent="0.3">
      <c r="A523" s="477"/>
      <c r="B523" s="953" t="s">
        <v>597</v>
      </c>
      <c r="C523" s="953"/>
      <c r="D523" s="953"/>
      <c r="E523" s="953"/>
      <c r="F523" s="953"/>
      <c r="G523" s="953"/>
      <c r="H523" s="953"/>
      <c r="I523" s="953"/>
      <c r="J523" s="953"/>
      <c r="K523" s="953"/>
      <c r="L523" s="953"/>
      <c r="M523" s="953"/>
      <c r="N523" s="478"/>
      <c r="P523" s="479"/>
      <c r="R523" s="479"/>
      <c r="S523" s="480"/>
      <c r="T523" s="480"/>
      <c r="U523" s="480"/>
      <c r="V523" s="480"/>
      <c r="W523" s="480"/>
      <c r="X523" s="480"/>
      <c r="Y523" s="480"/>
      <c r="Z523" s="478"/>
    </row>
    <row r="524" spans="1:28" ht="15" thickBot="1" x14ac:dyDescent="0.35">
      <c r="A524" s="954"/>
      <c r="B524" s="954"/>
      <c r="C524" s="954"/>
      <c r="D524" s="954"/>
      <c r="E524" s="954"/>
      <c r="F524" s="954"/>
      <c r="G524" s="954"/>
      <c r="H524" s="954"/>
      <c r="I524" s="954"/>
      <c r="J524" s="954"/>
      <c r="K524" s="954"/>
      <c r="L524" s="954"/>
      <c r="M524" s="954"/>
      <c r="N524" s="478"/>
      <c r="P524" s="479"/>
      <c r="R524" s="479"/>
      <c r="S524" s="480"/>
      <c r="T524" s="480"/>
      <c r="U524" s="480"/>
      <c r="V524" s="480"/>
      <c r="W524" s="480"/>
      <c r="X524" s="480"/>
      <c r="Y524" s="480"/>
      <c r="Z524" s="478"/>
    </row>
    <row r="525" spans="1:28" x14ac:dyDescent="0.3">
      <c r="B525" s="955" t="s">
        <v>574</v>
      </c>
      <c r="C525" s="956"/>
      <c r="D525" s="956"/>
      <c r="E525" s="956"/>
      <c r="F525" s="956"/>
      <c r="G525" s="956"/>
      <c r="H525" s="956"/>
      <c r="I525" s="956"/>
      <c r="J525" s="956"/>
      <c r="K525" s="956"/>
      <c r="L525" s="956"/>
      <c r="M525" s="956"/>
      <c r="N525" s="956"/>
      <c r="O525" s="956"/>
      <c r="P525" s="956"/>
      <c r="Q525" s="956"/>
      <c r="R525" s="956"/>
      <c r="S525" s="956"/>
      <c r="T525" s="956"/>
      <c r="U525" s="956"/>
      <c r="V525" s="956"/>
      <c r="W525" s="956"/>
      <c r="X525" s="956"/>
      <c r="Y525" s="956"/>
      <c r="Z525" s="956"/>
      <c r="AA525" s="957"/>
    </row>
    <row r="526" spans="1:28" ht="15" thickBot="1" x14ac:dyDescent="0.35">
      <c r="B526" s="958"/>
      <c r="C526" s="959"/>
      <c r="D526" s="959"/>
      <c r="E526" s="959"/>
      <c r="F526" s="959"/>
      <c r="G526" s="959"/>
      <c r="H526" s="959"/>
      <c r="I526" s="959"/>
      <c r="J526" s="959"/>
      <c r="K526" s="959"/>
      <c r="L526" s="959"/>
      <c r="M526" s="959"/>
      <c r="N526" s="959"/>
      <c r="O526" s="959"/>
      <c r="P526" s="959"/>
      <c r="Q526" s="959"/>
      <c r="R526" s="959"/>
      <c r="S526" s="959"/>
      <c r="T526" s="959"/>
      <c r="U526" s="959"/>
      <c r="V526" s="959"/>
      <c r="W526" s="959"/>
      <c r="X526" s="959"/>
      <c r="Y526" s="959"/>
      <c r="Z526" s="959"/>
      <c r="AA526" s="960"/>
    </row>
    <row r="527" spans="1:28" ht="15" outlineLevel="1" thickBot="1" x14ac:dyDescent="0.35">
      <c r="B527" s="961" t="s">
        <v>37</v>
      </c>
      <c r="C527" s="962"/>
      <c r="D527" s="962"/>
      <c r="E527" s="962"/>
      <c r="F527" s="962"/>
      <c r="G527" s="962"/>
      <c r="H527" s="962"/>
      <c r="I527" s="962"/>
      <c r="J527" s="963"/>
      <c r="K527" s="962" t="s">
        <v>38</v>
      </c>
      <c r="L527" s="962"/>
      <c r="M527" s="962"/>
      <c r="N527" s="961" t="s">
        <v>39</v>
      </c>
      <c r="O527" s="962"/>
      <c r="P527" s="962"/>
      <c r="Q527" s="962"/>
      <c r="R527" s="963"/>
      <c r="S527" s="964" t="s">
        <v>40</v>
      </c>
      <c r="T527" s="965"/>
      <c r="U527" s="965"/>
      <c r="V527" s="965"/>
      <c r="W527" s="965"/>
      <c r="X527" s="965"/>
      <c r="Y527" s="966"/>
    </row>
    <row r="528" spans="1:28" outlineLevel="1" x14ac:dyDescent="0.3">
      <c r="A528" s="481"/>
      <c r="B528" s="943" t="s">
        <v>575</v>
      </c>
      <c r="C528" s="943" t="s">
        <v>42</v>
      </c>
      <c r="D528" s="943" t="s">
        <v>43</v>
      </c>
      <c r="E528" s="951" t="s">
        <v>44</v>
      </c>
      <c r="F528" s="943" t="s">
        <v>45</v>
      </c>
      <c r="G528" s="945" t="s">
        <v>576</v>
      </c>
      <c r="H528" s="945"/>
      <c r="I528" s="945" t="s">
        <v>46</v>
      </c>
      <c r="J528" s="945" t="s">
        <v>47</v>
      </c>
      <c r="K528" s="943" t="s">
        <v>48</v>
      </c>
      <c r="L528" s="943" t="s">
        <v>49</v>
      </c>
      <c r="M528" s="943" t="s">
        <v>50</v>
      </c>
      <c r="N528" s="945" t="s">
        <v>51</v>
      </c>
      <c r="O528" s="943" t="s">
        <v>52</v>
      </c>
      <c r="P528" s="945" t="s">
        <v>578</v>
      </c>
      <c r="Q528" s="945" t="s">
        <v>54</v>
      </c>
      <c r="R528" s="947" t="s">
        <v>50</v>
      </c>
      <c r="S528" s="949" t="s">
        <v>55</v>
      </c>
      <c r="T528" s="939" t="s">
        <v>56</v>
      </c>
      <c r="U528" s="939" t="s">
        <v>57</v>
      </c>
      <c r="V528" s="939" t="s">
        <v>58</v>
      </c>
      <c r="W528" s="939" t="s">
        <v>59</v>
      </c>
      <c r="X528" s="939" t="s">
        <v>60</v>
      </c>
      <c r="Y528" s="941" t="s">
        <v>61</v>
      </c>
    </row>
    <row r="529" spans="1:25" outlineLevel="1" x14ac:dyDescent="0.3">
      <c r="A529" s="481"/>
      <c r="B529" s="944"/>
      <c r="C529" s="944"/>
      <c r="D529" s="944"/>
      <c r="E529" s="952"/>
      <c r="F529" s="944"/>
      <c r="G529" s="946"/>
      <c r="H529" s="946"/>
      <c r="I529" s="946"/>
      <c r="J529" s="946"/>
      <c r="K529" s="944"/>
      <c r="L529" s="944"/>
      <c r="M529" s="944"/>
      <c r="N529" s="946"/>
      <c r="O529" s="944"/>
      <c r="P529" s="946"/>
      <c r="Q529" s="946"/>
      <c r="R529" s="948"/>
      <c r="S529" s="950"/>
      <c r="T529" s="940"/>
      <c r="U529" s="940"/>
      <c r="V529" s="940"/>
      <c r="W529" s="940"/>
      <c r="X529" s="940"/>
      <c r="Y529" s="942"/>
    </row>
    <row r="530" spans="1:25" s="482" customFormat="1" outlineLevel="1" x14ac:dyDescent="0.3">
      <c r="B530" s="914">
        <v>1</v>
      </c>
      <c r="C530" s="914" t="s">
        <v>579</v>
      </c>
      <c r="D530" s="926">
        <v>0</v>
      </c>
      <c r="E530" s="923">
        <v>0.4</v>
      </c>
      <c r="F530" s="923">
        <v>0.38</v>
      </c>
      <c r="G530" s="923">
        <f>((F530*2)+(E530*2))*D530</f>
        <v>0</v>
      </c>
      <c r="H530" s="923">
        <f>F530*E530*D530</f>
        <v>0</v>
      </c>
      <c r="I530" s="923">
        <v>3.4</v>
      </c>
      <c r="J530" s="483">
        <f>E530*F530*I530*D530</f>
        <v>0</v>
      </c>
      <c r="K530" s="484">
        <v>20</v>
      </c>
      <c r="L530" s="484">
        <v>4</v>
      </c>
      <c r="M530" s="485">
        <f>(I530+(50*K530/1000))*L530*D530</f>
        <v>0</v>
      </c>
      <c r="N530" s="486" t="s">
        <v>580</v>
      </c>
      <c r="O530" s="487">
        <v>8</v>
      </c>
      <c r="P530" s="484" t="s">
        <v>581</v>
      </c>
      <c r="Q530" s="487">
        <f>ROUND(((((I530/3)*2)/0.1)+((I530/3)/0.15)),0)</f>
        <v>30</v>
      </c>
      <c r="R530" s="488">
        <f>((((E530-0.04)+(F530-0.04))*2)+(2*10*(O530/1000)))*Q530*D530</f>
        <v>0</v>
      </c>
      <c r="S530" s="489">
        <f>IF(K530=8,M530,0)+IF(O530=8,R530,"-")</f>
        <v>0</v>
      </c>
      <c r="T530" s="489">
        <f t="shared" ref="T530:T581" si="112">IF(K530=10,(M530),0)+IF(O530=10,(R530),0)</f>
        <v>0</v>
      </c>
      <c r="U530" s="489">
        <f t="shared" ref="U530:U581" si="113">IF(K530=12,(M530),0)+IF(O530=12,(R530),0)</f>
        <v>0</v>
      </c>
      <c r="V530" s="489">
        <f t="shared" ref="V530:V581" si="114">IF(K530=16,(M530),0)</f>
        <v>0</v>
      </c>
      <c r="W530" s="490">
        <f t="shared" ref="W530:W581" si="115">IF(K530=20,(M530),0)</f>
        <v>0</v>
      </c>
      <c r="X530" s="490">
        <f t="shared" ref="X530:X581" si="116">IF(K530=25,(M530),0)</f>
        <v>0</v>
      </c>
      <c r="Y530" s="489">
        <f t="shared" ref="Y530:Y581" si="117">IF(K530=32,(M530),0)</f>
        <v>0</v>
      </c>
    </row>
    <row r="531" spans="1:25" s="482" customFormat="1" ht="17.25" customHeight="1" outlineLevel="1" x14ac:dyDescent="0.3">
      <c r="B531" s="915"/>
      <c r="C531" s="915"/>
      <c r="D531" s="927"/>
      <c r="E531" s="924"/>
      <c r="F531" s="924"/>
      <c r="G531" s="924"/>
      <c r="H531" s="924"/>
      <c r="I531" s="924"/>
      <c r="J531" s="491"/>
      <c r="K531" s="486">
        <v>16</v>
      </c>
      <c r="L531" s="486">
        <v>4</v>
      </c>
      <c r="M531" s="485">
        <f>(I530+(50*K531/1000))*L531*D530</f>
        <v>0</v>
      </c>
      <c r="N531" s="486" t="s">
        <v>66</v>
      </c>
      <c r="O531" s="492"/>
      <c r="P531" s="486"/>
      <c r="Q531" s="492"/>
      <c r="R531" s="493"/>
      <c r="S531" s="489">
        <f t="shared" ref="S531:S581" si="118">IF(K531=8,M531,0)+IF(O531=8,R531,"0")</f>
        <v>0</v>
      </c>
      <c r="T531" s="489">
        <f t="shared" si="112"/>
        <v>0</v>
      </c>
      <c r="U531" s="489">
        <f t="shared" si="113"/>
        <v>0</v>
      </c>
      <c r="V531" s="489">
        <f t="shared" si="114"/>
        <v>0</v>
      </c>
      <c r="W531" s="490">
        <f t="shared" si="115"/>
        <v>0</v>
      </c>
      <c r="X531" s="490">
        <f t="shared" si="116"/>
        <v>0</v>
      </c>
      <c r="Y531" s="489">
        <f t="shared" si="117"/>
        <v>0</v>
      </c>
    </row>
    <row r="532" spans="1:25" s="482" customFormat="1" outlineLevel="1" x14ac:dyDescent="0.3">
      <c r="B532" s="915"/>
      <c r="C532" s="915"/>
      <c r="D532" s="927"/>
      <c r="E532" s="924"/>
      <c r="F532" s="924"/>
      <c r="G532" s="924"/>
      <c r="H532" s="924"/>
      <c r="I532" s="924"/>
      <c r="J532" s="491"/>
      <c r="K532" s="486"/>
      <c r="L532" s="486"/>
      <c r="M532" s="485">
        <f>(I530+(50*K532/1000))*L532*D530</f>
        <v>0</v>
      </c>
      <c r="N532" s="486" t="s">
        <v>580</v>
      </c>
      <c r="O532" s="492"/>
      <c r="P532" s="486"/>
      <c r="Q532" s="492"/>
      <c r="R532" s="493"/>
      <c r="S532" s="489">
        <f t="shared" si="118"/>
        <v>0</v>
      </c>
      <c r="T532" s="489">
        <f t="shared" si="112"/>
        <v>0</v>
      </c>
      <c r="U532" s="489">
        <f t="shared" si="113"/>
        <v>0</v>
      </c>
      <c r="V532" s="489">
        <f t="shared" si="114"/>
        <v>0</v>
      </c>
      <c r="W532" s="490">
        <f t="shared" si="115"/>
        <v>0</v>
      </c>
      <c r="X532" s="490">
        <f t="shared" si="116"/>
        <v>0</v>
      </c>
      <c r="Y532" s="489">
        <f t="shared" si="117"/>
        <v>0</v>
      </c>
    </row>
    <row r="533" spans="1:25" s="482" customFormat="1" outlineLevel="1" x14ac:dyDescent="0.3">
      <c r="B533" s="916"/>
      <c r="C533" s="916"/>
      <c r="D533" s="928"/>
      <c r="E533" s="925"/>
      <c r="F533" s="925"/>
      <c r="G533" s="925"/>
      <c r="H533" s="925"/>
      <c r="I533" s="925"/>
      <c r="J533" s="494"/>
      <c r="K533" s="495"/>
      <c r="L533" s="495"/>
      <c r="M533" s="485">
        <f>(I530+(50*K533/1000))*L533*D530</f>
        <v>0</v>
      </c>
      <c r="N533" s="495" t="s">
        <v>64</v>
      </c>
      <c r="O533" s="496"/>
      <c r="P533" s="497"/>
      <c r="Q533" s="496"/>
      <c r="R533" s="498"/>
      <c r="S533" s="489">
        <f t="shared" si="118"/>
        <v>0</v>
      </c>
      <c r="T533" s="489">
        <f t="shared" si="112"/>
        <v>0</v>
      </c>
      <c r="U533" s="489">
        <f t="shared" si="113"/>
        <v>0</v>
      </c>
      <c r="V533" s="489">
        <f t="shared" si="114"/>
        <v>0</v>
      </c>
      <c r="W533" s="490">
        <f t="shared" si="115"/>
        <v>0</v>
      </c>
      <c r="X533" s="490">
        <f t="shared" si="116"/>
        <v>0</v>
      </c>
      <c r="Y533" s="489">
        <f t="shared" si="117"/>
        <v>0</v>
      </c>
    </row>
    <row r="534" spans="1:25" s="126" customFormat="1" outlineLevel="1" x14ac:dyDescent="0.3">
      <c r="B534" s="914">
        <v>2</v>
      </c>
      <c r="C534" s="917" t="s">
        <v>582</v>
      </c>
      <c r="D534" s="926">
        <v>1</v>
      </c>
      <c r="E534" s="923">
        <v>0.5</v>
      </c>
      <c r="F534" s="923">
        <v>0.38</v>
      </c>
      <c r="G534" s="923">
        <f t="shared" ref="G534" si="119">((F534*2)+(E534*2))*D534</f>
        <v>1.76</v>
      </c>
      <c r="H534" s="923">
        <f t="shared" ref="H534" si="120">F534*E534*D534</f>
        <v>0.19</v>
      </c>
      <c r="I534" s="923">
        <v>3.4</v>
      </c>
      <c r="J534" s="483">
        <f>E534*F534*I534*D534</f>
        <v>0.64600000000000002</v>
      </c>
      <c r="K534" s="484">
        <v>20</v>
      </c>
      <c r="L534" s="484">
        <v>8</v>
      </c>
      <c r="M534" s="485">
        <f>(I534+(50*K534/1000))*L534*D534</f>
        <v>35.200000000000003</v>
      </c>
      <c r="N534" s="486" t="s">
        <v>580</v>
      </c>
      <c r="O534" s="487">
        <v>8</v>
      </c>
      <c r="P534" s="484" t="s">
        <v>581</v>
      </c>
      <c r="Q534" s="487">
        <f>ROUND(((((I534/3)*2)/0.1)+((I534/3)/0.15)),0)</f>
        <v>30</v>
      </c>
      <c r="R534" s="488">
        <f>((((E534-0.04)+(F534-0.04))*2)+(2*10*(O534/1000)))*Q534*D534</f>
        <v>52.8</v>
      </c>
      <c r="S534" s="489">
        <f t="shared" si="118"/>
        <v>52.8</v>
      </c>
      <c r="T534" s="489">
        <f t="shared" si="112"/>
        <v>0</v>
      </c>
      <c r="U534" s="489">
        <f t="shared" si="113"/>
        <v>0</v>
      </c>
      <c r="V534" s="489">
        <f t="shared" si="114"/>
        <v>0</v>
      </c>
      <c r="W534" s="490">
        <f t="shared" si="115"/>
        <v>35.200000000000003</v>
      </c>
      <c r="X534" s="490">
        <f t="shared" si="116"/>
        <v>0</v>
      </c>
      <c r="Y534" s="489">
        <f t="shared" si="117"/>
        <v>0</v>
      </c>
    </row>
    <row r="535" spans="1:25" s="126" customFormat="1" outlineLevel="1" x14ac:dyDescent="0.3">
      <c r="B535" s="915"/>
      <c r="C535" s="918"/>
      <c r="D535" s="927"/>
      <c r="E535" s="924"/>
      <c r="F535" s="924"/>
      <c r="G535" s="924"/>
      <c r="H535" s="924"/>
      <c r="I535" s="924"/>
      <c r="J535" s="491"/>
      <c r="K535" s="486">
        <v>16</v>
      </c>
      <c r="L535" s="486">
        <v>2</v>
      </c>
      <c r="M535" s="485">
        <f>(I534+(50*K535/1000))*L535*D534</f>
        <v>8.4</v>
      </c>
      <c r="N535" s="486" t="s">
        <v>66</v>
      </c>
      <c r="O535" s="492"/>
      <c r="P535" s="486"/>
      <c r="Q535" s="492"/>
      <c r="R535" s="493"/>
      <c r="S535" s="489">
        <f t="shared" si="118"/>
        <v>0</v>
      </c>
      <c r="T535" s="489">
        <f t="shared" si="112"/>
        <v>0</v>
      </c>
      <c r="U535" s="489">
        <f t="shared" si="113"/>
        <v>0</v>
      </c>
      <c r="V535" s="489">
        <f t="shared" si="114"/>
        <v>8.4</v>
      </c>
      <c r="W535" s="490">
        <f t="shared" si="115"/>
        <v>0</v>
      </c>
      <c r="X535" s="490">
        <f t="shared" si="116"/>
        <v>0</v>
      </c>
      <c r="Y535" s="489">
        <f t="shared" si="117"/>
        <v>0</v>
      </c>
    </row>
    <row r="536" spans="1:25" s="126" customFormat="1" outlineLevel="1" x14ac:dyDescent="0.3">
      <c r="B536" s="915"/>
      <c r="C536" s="918"/>
      <c r="D536" s="927"/>
      <c r="E536" s="924"/>
      <c r="F536" s="924"/>
      <c r="G536" s="924"/>
      <c r="H536" s="924"/>
      <c r="I536" s="924"/>
      <c r="J536" s="491"/>
      <c r="K536" s="486"/>
      <c r="L536" s="486"/>
      <c r="M536" s="485">
        <f>(I534+(50*K536/1000))*L536*D534</f>
        <v>0</v>
      </c>
      <c r="N536" s="486" t="s">
        <v>580</v>
      </c>
      <c r="O536" s="492"/>
      <c r="P536" s="486"/>
      <c r="Q536" s="492"/>
      <c r="R536" s="493"/>
      <c r="S536" s="489">
        <f t="shared" si="118"/>
        <v>0</v>
      </c>
      <c r="T536" s="489">
        <f t="shared" si="112"/>
        <v>0</v>
      </c>
      <c r="U536" s="489">
        <f t="shared" si="113"/>
        <v>0</v>
      </c>
      <c r="V536" s="489">
        <f t="shared" si="114"/>
        <v>0</v>
      </c>
      <c r="W536" s="490">
        <f t="shared" si="115"/>
        <v>0</v>
      </c>
      <c r="X536" s="490">
        <f t="shared" si="116"/>
        <v>0</v>
      </c>
      <c r="Y536" s="489">
        <f t="shared" si="117"/>
        <v>0</v>
      </c>
    </row>
    <row r="537" spans="1:25" s="126" customFormat="1" outlineLevel="1" x14ac:dyDescent="0.3">
      <c r="A537" s="499"/>
      <c r="B537" s="916"/>
      <c r="C537" s="919"/>
      <c r="D537" s="928"/>
      <c r="E537" s="925"/>
      <c r="F537" s="925"/>
      <c r="G537" s="925"/>
      <c r="H537" s="925"/>
      <c r="I537" s="925"/>
      <c r="J537" s="494"/>
      <c r="K537" s="495"/>
      <c r="L537" s="495"/>
      <c r="M537" s="485">
        <f>(I534+(50*K537/1000))*L537*D534</f>
        <v>0</v>
      </c>
      <c r="N537" s="495" t="s">
        <v>64</v>
      </c>
      <c r="O537" s="496"/>
      <c r="P537" s="497"/>
      <c r="Q537" s="496"/>
      <c r="R537" s="498"/>
      <c r="S537" s="489">
        <f t="shared" si="118"/>
        <v>0</v>
      </c>
      <c r="T537" s="489">
        <f t="shared" si="112"/>
        <v>0</v>
      </c>
      <c r="U537" s="489">
        <f t="shared" si="113"/>
        <v>0</v>
      </c>
      <c r="V537" s="489">
        <f t="shared" si="114"/>
        <v>0</v>
      </c>
      <c r="W537" s="490">
        <f t="shared" si="115"/>
        <v>0</v>
      </c>
      <c r="X537" s="490">
        <f t="shared" si="116"/>
        <v>0</v>
      </c>
      <c r="Y537" s="489">
        <f t="shared" si="117"/>
        <v>0</v>
      </c>
    </row>
    <row r="538" spans="1:25" s="126" customFormat="1" outlineLevel="1" x14ac:dyDescent="0.3">
      <c r="B538" s="914">
        <v>3</v>
      </c>
      <c r="C538" s="914" t="s">
        <v>583</v>
      </c>
      <c r="D538" s="926">
        <v>2</v>
      </c>
      <c r="E538" s="923">
        <v>0.5</v>
      </c>
      <c r="F538" s="923">
        <v>0.38</v>
      </c>
      <c r="G538" s="923">
        <f t="shared" ref="G538" si="121">((F538*2)+(E538*2))*D538</f>
        <v>3.52</v>
      </c>
      <c r="H538" s="923">
        <f t="shared" ref="H538" si="122">F538*E538*D538</f>
        <v>0.38</v>
      </c>
      <c r="I538" s="923">
        <v>3.4</v>
      </c>
      <c r="J538" s="483">
        <f>E538*F538*I538*D538</f>
        <v>1.292</v>
      </c>
      <c r="K538" s="484">
        <v>20</v>
      </c>
      <c r="L538" s="484">
        <v>10</v>
      </c>
      <c r="M538" s="485">
        <f>(I538+(50*K538/1000))*L538*D538</f>
        <v>88</v>
      </c>
      <c r="N538" s="486" t="s">
        <v>580</v>
      </c>
      <c r="O538" s="487">
        <v>8</v>
      </c>
      <c r="P538" s="484" t="s">
        <v>581</v>
      </c>
      <c r="Q538" s="487">
        <f>ROUND(((((I538/3)*2)/0.1)+((I538/3)/0.15)),0)</f>
        <v>30</v>
      </c>
      <c r="R538" s="488">
        <f>((((E538-0.04)+(F538-0.04))*2)+(2*10*(O538/1000)))*Q538*D538</f>
        <v>105.6</v>
      </c>
      <c r="S538" s="489">
        <f t="shared" si="118"/>
        <v>105.6</v>
      </c>
      <c r="T538" s="489">
        <f t="shared" si="112"/>
        <v>0</v>
      </c>
      <c r="U538" s="489">
        <f t="shared" si="113"/>
        <v>0</v>
      </c>
      <c r="V538" s="489">
        <f t="shared" si="114"/>
        <v>0</v>
      </c>
      <c r="W538" s="490">
        <f t="shared" si="115"/>
        <v>88</v>
      </c>
      <c r="X538" s="490">
        <f t="shared" si="116"/>
        <v>0</v>
      </c>
      <c r="Y538" s="489">
        <f t="shared" si="117"/>
        <v>0</v>
      </c>
    </row>
    <row r="539" spans="1:25" s="126" customFormat="1" outlineLevel="1" x14ac:dyDescent="0.3">
      <c r="B539" s="915"/>
      <c r="C539" s="915"/>
      <c r="D539" s="927"/>
      <c r="E539" s="924"/>
      <c r="F539" s="924"/>
      <c r="G539" s="924"/>
      <c r="H539" s="924"/>
      <c r="I539" s="924"/>
      <c r="J539" s="491"/>
      <c r="K539" s="486"/>
      <c r="L539" s="486"/>
      <c r="M539" s="485">
        <f>(I538+(50*K539/1000))*L539*D538</f>
        <v>0</v>
      </c>
      <c r="N539" s="486" t="s">
        <v>66</v>
      </c>
      <c r="O539" s="492"/>
      <c r="P539" s="486"/>
      <c r="Q539" s="492"/>
      <c r="R539" s="493"/>
      <c r="S539" s="489">
        <f t="shared" si="118"/>
        <v>0</v>
      </c>
      <c r="T539" s="489">
        <f t="shared" si="112"/>
        <v>0</v>
      </c>
      <c r="U539" s="489">
        <f t="shared" si="113"/>
        <v>0</v>
      </c>
      <c r="V539" s="489">
        <f t="shared" si="114"/>
        <v>0</v>
      </c>
      <c r="W539" s="490">
        <f t="shared" si="115"/>
        <v>0</v>
      </c>
      <c r="X539" s="490">
        <f t="shared" si="116"/>
        <v>0</v>
      </c>
      <c r="Y539" s="489">
        <f t="shared" si="117"/>
        <v>0</v>
      </c>
    </row>
    <row r="540" spans="1:25" s="126" customFormat="1" outlineLevel="1" x14ac:dyDescent="0.3">
      <c r="B540" s="915"/>
      <c r="C540" s="915"/>
      <c r="D540" s="927"/>
      <c r="E540" s="924"/>
      <c r="F540" s="924"/>
      <c r="G540" s="924"/>
      <c r="H540" s="924"/>
      <c r="I540" s="924"/>
      <c r="J540" s="491"/>
      <c r="K540" s="486"/>
      <c r="L540" s="486"/>
      <c r="M540" s="485">
        <f>(I538+(50*K540/1000))*L540*D538</f>
        <v>0</v>
      </c>
      <c r="N540" s="486" t="s">
        <v>580</v>
      </c>
      <c r="O540" s="492"/>
      <c r="P540" s="486"/>
      <c r="Q540" s="492"/>
      <c r="R540" s="493"/>
      <c r="S540" s="489">
        <f t="shared" si="118"/>
        <v>0</v>
      </c>
      <c r="T540" s="489">
        <f t="shared" si="112"/>
        <v>0</v>
      </c>
      <c r="U540" s="489">
        <f t="shared" si="113"/>
        <v>0</v>
      </c>
      <c r="V540" s="489">
        <f t="shared" si="114"/>
        <v>0</v>
      </c>
      <c r="W540" s="490">
        <f t="shared" si="115"/>
        <v>0</v>
      </c>
      <c r="X540" s="490">
        <f t="shared" si="116"/>
        <v>0</v>
      </c>
      <c r="Y540" s="489">
        <f t="shared" si="117"/>
        <v>0</v>
      </c>
    </row>
    <row r="541" spans="1:25" s="126" customFormat="1" outlineLevel="1" x14ac:dyDescent="0.3">
      <c r="A541" s="499"/>
      <c r="B541" s="916"/>
      <c r="C541" s="916"/>
      <c r="D541" s="928"/>
      <c r="E541" s="925"/>
      <c r="F541" s="925"/>
      <c r="G541" s="925"/>
      <c r="H541" s="925"/>
      <c r="I541" s="925"/>
      <c r="J541" s="494"/>
      <c r="K541" s="495"/>
      <c r="L541" s="495"/>
      <c r="M541" s="485">
        <f>(I538+(50*K541/1000))*L541*D538</f>
        <v>0</v>
      </c>
      <c r="N541" s="495" t="s">
        <v>64</v>
      </c>
      <c r="O541" s="496"/>
      <c r="P541" s="497"/>
      <c r="Q541" s="496"/>
      <c r="R541" s="498"/>
      <c r="S541" s="489">
        <f t="shared" si="118"/>
        <v>0</v>
      </c>
      <c r="T541" s="489">
        <f t="shared" si="112"/>
        <v>0</v>
      </c>
      <c r="U541" s="489">
        <f t="shared" si="113"/>
        <v>0</v>
      </c>
      <c r="V541" s="489">
        <f t="shared" si="114"/>
        <v>0</v>
      </c>
      <c r="W541" s="490">
        <f t="shared" si="115"/>
        <v>0</v>
      </c>
      <c r="X541" s="490">
        <f t="shared" si="116"/>
        <v>0</v>
      </c>
      <c r="Y541" s="489">
        <f t="shared" si="117"/>
        <v>0</v>
      </c>
    </row>
    <row r="542" spans="1:25" s="126" customFormat="1" outlineLevel="1" x14ac:dyDescent="0.3">
      <c r="B542" s="914">
        <v>4</v>
      </c>
      <c r="C542" s="914" t="s">
        <v>584</v>
      </c>
      <c r="D542" s="926">
        <v>1</v>
      </c>
      <c r="E542" s="923">
        <v>0.6</v>
      </c>
      <c r="F542" s="923">
        <v>0.38</v>
      </c>
      <c r="G542" s="923">
        <f t="shared" ref="G542" si="123">((F542*2)+(E542*2))*D542</f>
        <v>1.96</v>
      </c>
      <c r="H542" s="923">
        <f t="shared" ref="H542" si="124">F542*E542*D542</f>
        <v>0.22799999999999998</v>
      </c>
      <c r="I542" s="923">
        <v>3.4</v>
      </c>
      <c r="J542" s="483">
        <f>E542*F542*I542*D542</f>
        <v>0.77519999999999989</v>
      </c>
      <c r="K542" s="484">
        <v>20</v>
      </c>
      <c r="L542" s="484">
        <v>12</v>
      </c>
      <c r="M542" s="485">
        <f>(I542+(50*K542/1000))*L542*D542</f>
        <v>52.800000000000004</v>
      </c>
      <c r="N542" s="486" t="s">
        <v>580</v>
      </c>
      <c r="O542" s="487">
        <v>8</v>
      </c>
      <c r="P542" s="484" t="s">
        <v>581</v>
      </c>
      <c r="Q542" s="487">
        <f>ROUND(((((I542/3)*2)/0.1)+((I542/3)/0.15)),0)</f>
        <v>30</v>
      </c>
      <c r="R542" s="488">
        <f>((((E542-0.04)+(F542-0.04))*2)+(2*10*(O542/1000)))*Q542*D542</f>
        <v>58.79999999999999</v>
      </c>
      <c r="S542" s="489">
        <f t="shared" si="118"/>
        <v>58.79999999999999</v>
      </c>
      <c r="T542" s="489">
        <f t="shared" si="112"/>
        <v>0</v>
      </c>
      <c r="U542" s="489">
        <f t="shared" si="113"/>
        <v>0</v>
      </c>
      <c r="V542" s="489">
        <f t="shared" si="114"/>
        <v>0</v>
      </c>
      <c r="W542" s="490">
        <f t="shared" si="115"/>
        <v>52.800000000000004</v>
      </c>
      <c r="X542" s="490">
        <f t="shared" si="116"/>
        <v>0</v>
      </c>
      <c r="Y542" s="489">
        <f t="shared" si="117"/>
        <v>0</v>
      </c>
    </row>
    <row r="543" spans="1:25" s="126" customFormat="1" outlineLevel="1" x14ac:dyDescent="0.3">
      <c r="B543" s="915"/>
      <c r="C543" s="915"/>
      <c r="D543" s="927"/>
      <c r="E543" s="924"/>
      <c r="F543" s="924"/>
      <c r="G543" s="924"/>
      <c r="H543" s="924"/>
      <c r="I543" s="924"/>
      <c r="J543" s="491"/>
      <c r="K543" s="486"/>
      <c r="L543" s="486"/>
      <c r="M543" s="485">
        <f>(I542+(50*K543/1000))*L543*D542</f>
        <v>0</v>
      </c>
      <c r="N543" s="486" t="s">
        <v>66</v>
      </c>
      <c r="O543" s="492"/>
      <c r="P543" s="486"/>
      <c r="Q543" s="492"/>
      <c r="R543" s="493"/>
      <c r="S543" s="489">
        <f t="shared" si="118"/>
        <v>0</v>
      </c>
      <c r="T543" s="489">
        <f t="shared" si="112"/>
        <v>0</v>
      </c>
      <c r="U543" s="489">
        <f t="shared" si="113"/>
        <v>0</v>
      </c>
      <c r="V543" s="489">
        <f t="shared" si="114"/>
        <v>0</v>
      </c>
      <c r="W543" s="490">
        <f t="shared" si="115"/>
        <v>0</v>
      </c>
      <c r="X543" s="490">
        <f t="shared" si="116"/>
        <v>0</v>
      </c>
      <c r="Y543" s="489">
        <f t="shared" si="117"/>
        <v>0</v>
      </c>
    </row>
    <row r="544" spans="1:25" s="126" customFormat="1" outlineLevel="1" x14ac:dyDescent="0.3">
      <c r="B544" s="915"/>
      <c r="C544" s="915"/>
      <c r="D544" s="927"/>
      <c r="E544" s="924"/>
      <c r="F544" s="924"/>
      <c r="G544" s="924"/>
      <c r="H544" s="924"/>
      <c r="I544" s="924"/>
      <c r="J544" s="491"/>
      <c r="K544" s="486"/>
      <c r="L544" s="486"/>
      <c r="M544" s="485">
        <f>(I542+(50*K544/1000))*L544*D542</f>
        <v>0</v>
      </c>
      <c r="N544" s="486" t="s">
        <v>580</v>
      </c>
      <c r="O544" s="492"/>
      <c r="P544" s="486"/>
      <c r="Q544" s="492"/>
      <c r="R544" s="493"/>
      <c r="S544" s="489">
        <f t="shared" si="118"/>
        <v>0</v>
      </c>
      <c r="T544" s="489">
        <f t="shared" si="112"/>
        <v>0</v>
      </c>
      <c r="U544" s="489">
        <f t="shared" si="113"/>
        <v>0</v>
      </c>
      <c r="V544" s="489">
        <f t="shared" si="114"/>
        <v>0</v>
      </c>
      <c r="W544" s="490">
        <f t="shared" si="115"/>
        <v>0</v>
      </c>
      <c r="X544" s="490">
        <f t="shared" si="116"/>
        <v>0</v>
      </c>
      <c r="Y544" s="489">
        <f t="shared" si="117"/>
        <v>0</v>
      </c>
    </row>
    <row r="545" spans="1:25" s="126" customFormat="1" outlineLevel="1" x14ac:dyDescent="0.3">
      <c r="B545" s="916"/>
      <c r="C545" s="916"/>
      <c r="D545" s="928"/>
      <c r="E545" s="925"/>
      <c r="F545" s="925"/>
      <c r="G545" s="925"/>
      <c r="H545" s="925"/>
      <c r="I545" s="925"/>
      <c r="J545" s="494"/>
      <c r="K545" s="495"/>
      <c r="L545" s="495"/>
      <c r="M545" s="485">
        <f>(I542+(50*K545/1000))*L545*D542</f>
        <v>0</v>
      </c>
      <c r="N545" s="495" t="s">
        <v>64</v>
      </c>
      <c r="O545" s="496"/>
      <c r="P545" s="497"/>
      <c r="Q545" s="496"/>
      <c r="R545" s="498"/>
      <c r="S545" s="489">
        <f t="shared" si="118"/>
        <v>0</v>
      </c>
      <c r="T545" s="489">
        <f t="shared" si="112"/>
        <v>0</v>
      </c>
      <c r="U545" s="489">
        <f t="shared" si="113"/>
        <v>0</v>
      </c>
      <c r="V545" s="489">
        <f t="shared" si="114"/>
        <v>0</v>
      </c>
      <c r="W545" s="490">
        <f t="shared" si="115"/>
        <v>0</v>
      </c>
      <c r="X545" s="490">
        <f t="shared" si="116"/>
        <v>0</v>
      </c>
      <c r="Y545" s="489">
        <f t="shared" si="117"/>
        <v>0</v>
      </c>
    </row>
    <row r="546" spans="1:25" s="126" customFormat="1" outlineLevel="1" x14ac:dyDescent="0.3">
      <c r="B546" s="914">
        <v>5</v>
      </c>
      <c r="C546" s="914" t="s">
        <v>599</v>
      </c>
      <c r="D546" s="926">
        <v>7</v>
      </c>
      <c r="E546" s="923">
        <v>0.45</v>
      </c>
      <c r="F546" s="923">
        <v>0.38</v>
      </c>
      <c r="G546" s="923">
        <f t="shared" ref="G546" si="125">((F546*2)+(E546*2))*D546</f>
        <v>11.620000000000001</v>
      </c>
      <c r="H546" s="923">
        <f t="shared" ref="H546" si="126">F546*E546*D546</f>
        <v>1.1970000000000001</v>
      </c>
      <c r="I546" s="923">
        <v>3.4</v>
      </c>
      <c r="J546" s="483">
        <f>E546*F546*I546*D546</f>
        <v>4.0697999999999999</v>
      </c>
      <c r="K546" s="484">
        <v>20</v>
      </c>
      <c r="L546" s="484">
        <v>4</v>
      </c>
      <c r="M546" s="485">
        <f>(I546+(50*K546/1000))*L546*D546</f>
        <v>123.20000000000002</v>
      </c>
      <c r="N546" s="486" t="s">
        <v>580</v>
      </c>
      <c r="O546" s="487">
        <v>8</v>
      </c>
      <c r="P546" s="484" t="s">
        <v>581</v>
      </c>
      <c r="Q546" s="487">
        <f>ROUND(((((I546/3)*2)/0.1)+((I546/3)/0.15)),0)</f>
        <v>30</v>
      </c>
      <c r="R546" s="488">
        <f>((((E546-0.04)+(F546-0.04))*2)+(2*10*(O546/1000)))*Q546*D546</f>
        <v>348.59999999999997</v>
      </c>
      <c r="S546" s="489">
        <f t="shared" si="118"/>
        <v>348.59999999999997</v>
      </c>
      <c r="T546" s="489">
        <f t="shared" si="112"/>
        <v>0</v>
      </c>
      <c r="U546" s="489">
        <f t="shared" si="113"/>
        <v>0</v>
      </c>
      <c r="V546" s="489">
        <f t="shared" si="114"/>
        <v>0</v>
      </c>
      <c r="W546" s="490">
        <f t="shared" si="115"/>
        <v>123.20000000000002</v>
      </c>
      <c r="X546" s="490">
        <f t="shared" si="116"/>
        <v>0</v>
      </c>
      <c r="Y546" s="489">
        <f t="shared" si="117"/>
        <v>0</v>
      </c>
    </row>
    <row r="547" spans="1:25" s="126" customFormat="1" outlineLevel="1" x14ac:dyDescent="0.3">
      <c r="B547" s="915"/>
      <c r="C547" s="915"/>
      <c r="D547" s="927"/>
      <c r="E547" s="924"/>
      <c r="F547" s="924"/>
      <c r="G547" s="924"/>
      <c r="H547" s="924"/>
      <c r="I547" s="924"/>
      <c r="J547" s="491"/>
      <c r="K547" s="486">
        <v>16</v>
      </c>
      <c r="L547" s="486">
        <v>4</v>
      </c>
      <c r="M547" s="485">
        <f>(I546+(50*K547/1000))*L547*D546</f>
        <v>117.60000000000001</v>
      </c>
      <c r="N547" s="486" t="s">
        <v>66</v>
      </c>
      <c r="O547" s="492"/>
      <c r="P547" s="486"/>
      <c r="Q547" s="492"/>
      <c r="R547" s="493"/>
      <c r="S547" s="489">
        <f t="shared" si="118"/>
        <v>0</v>
      </c>
      <c r="T547" s="489">
        <f t="shared" si="112"/>
        <v>0</v>
      </c>
      <c r="U547" s="489">
        <f t="shared" si="113"/>
        <v>0</v>
      </c>
      <c r="V547" s="489">
        <f t="shared" si="114"/>
        <v>117.60000000000001</v>
      </c>
      <c r="W547" s="490">
        <f t="shared" si="115"/>
        <v>0</v>
      </c>
      <c r="X547" s="490">
        <f t="shared" si="116"/>
        <v>0</v>
      </c>
      <c r="Y547" s="489">
        <f t="shared" si="117"/>
        <v>0</v>
      </c>
    </row>
    <row r="548" spans="1:25" s="126" customFormat="1" outlineLevel="1" x14ac:dyDescent="0.3">
      <c r="B548" s="915"/>
      <c r="C548" s="915"/>
      <c r="D548" s="927"/>
      <c r="E548" s="924"/>
      <c r="F548" s="924"/>
      <c r="G548" s="924"/>
      <c r="H548" s="924"/>
      <c r="I548" s="924"/>
      <c r="J548" s="491"/>
      <c r="K548" s="486"/>
      <c r="L548" s="486"/>
      <c r="M548" s="485">
        <f>(I546+(50*K548/1000))*L548*D546</f>
        <v>0</v>
      </c>
      <c r="N548" s="486" t="s">
        <v>580</v>
      </c>
      <c r="O548" s="492"/>
      <c r="P548" s="486"/>
      <c r="Q548" s="492"/>
      <c r="R548" s="493"/>
      <c r="S548" s="489">
        <f t="shared" si="118"/>
        <v>0</v>
      </c>
      <c r="T548" s="489">
        <f t="shared" si="112"/>
        <v>0</v>
      </c>
      <c r="U548" s="489">
        <f t="shared" si="113"/>
        <v>0</v>
      </c>
      <c r="V548" s="489">
        <f t="shared" si="114"/>
        <v>0</v>
      </c>
      <c r="W548" s="490">
        <f t="shared" si="115"/>
        <v>0</v>
      </c>
      <c r="X548" s="490">
        <f t="shared" si="116"/>
        <v>0</v>
      </c>
      <c r="Y548" s="489">
        <f t="shared" si="117"/>
        <v>0</v>
      </c>
    </row>
    <row r="549" spans="1:25" s="126" customFormat="1" outlineLevel="1" x14ac:dyDescent="0.3">
      <c r="A549" s="499"/>
      <c r="B549" s="916"/>
      <c r="C549" s="916"/>
      <c r="D549" s="928"/>
      <c r="E549" s="925"/>
      <c r="F549" s="925"/>
      <c r="G549" s="925"/>
      <c r="H549" s="925"/>
      <c r="I549" s="925"/>
      <c r="J549" s="494"/>
      <c r="K549" s="495"/>
      <c r="L549" s="495"/>
      <c r="M549" s="485">
        <f>(I546+(50*K549/1000))*L549*D546</f>
        <v>0</v>
      </c>
      <c r="N549" s="495" t="s">
        <v>64</v>
      </c>
      <c r="O549" s="496"/>
      <c r="P549" s="497"/>
      <c r="Q549" s="496"/>
      <c r="R549" s="498"/>
      <c r="S549" s="489">
        <f t="shared" si="118"/>
        <v>0</v>
      </c>
      <c r="T549" s="489">
        <f t="shared" si="112"/>
        <v>0</v>
      </c>
      <c r="U549" s="489">
        <f t="shared" si="113"/>
        <v>0</v>
      </c>
      <c r="V549" s="489">
        <f t="shared" si="114"/>
        <v>0</v>
      </c>
      <c r="W549" s="490">
        <f t="shared" si="115"/>
        <v>0</v>
      </c>
      <c r="X549" s="490">
        <f t="shared" si="116"/>
        <v>0</v>
      </c>
      <c r="Y549" s="489">
        <f t="shared" si="117"/>
        <v>0</v>
      </c>
    </row>
    <row r="550" spans="1:25" s="126" customFormat="1" outlineLevel="1" x14ac:dyDescent="0.3">
      <c r="B550" s="914">
        <v>6</v>
      </c>
      <c r="C550" s="914" t="s">
        <v>586</v>
      </c>
      <c r="D550" s="926">
        <v>2</v>
      </c>
      <c r="E550" s="923">
        <v>0.45</v>
      </c>
      <c r="F550" s="923">
        <v>0.38</v>
      </c>
      <c r="G550" s="923">
        <f t="shared" ref="G550" si="127">((F550*2)+(E550*2))*D550</f>
        <v>3.3200000000000003</v>
      </c>
      <c r="H550" s="923">
        <f t="shared" ref="H550" si="128">F550*E550*D550</f>
        <v>0.34200000000000003</v>
      </c>
      <c r="I550" s="923">
        <v>3.4</v>
      </c>
      <c r="J550" s="483">
        <f>E550*F550*I550*D550</f>
        <v>1.1628000000000001</v>
      </c>
      <c r="K550" s="484">
        <v>16</v>
      </c>
      <c r="L550" s="484">
        <v>10</v>
      </c>
      <c r="M550" s="485">
        <f>(I550+(50*K550/1000))*L550*D550</f>
        <v>84</v>
      </c>
      <c r="N550" s="486" t="s">
        <v>580</v>
      </c>
      <c r="O550" s="487">
        <v>8</v>
      </c>
      <c r="P550" s="484" t="s">
        <v>581</v>
      </c>
      <c r="Q550" s="487">
        <f>ROUND(((((I550/3)*2)/0.1)+((I550/3)/0.15)),0)</f>
        <v>30</v>
      </c>
      <c r="R550" s="488">
        <f>((((E550-0.04)+(F550-0.04))*2)+(2*10*(O550/1000)))*Q550*D550</f>
        <v>99.6</v>
      </c>
      <c r="S550" s="489">
        <f t="shared" si="118"/>
        <v>99.6</v>
      </c>
      <c r="T550" s="489">
        <f t="shared" si="112"/>
        <v>0</v>
      </c>
      <c r="U550" s="489">
        <f t="shared" si="113"/>
        <v>0</v>
      </c>
      <c r="V550" s="489">
        <f t="shared" si="114"/>
        <v>84</v>
      </c>
      <c r="W550" s="490">
        <f t="shared" si="115"/>
        <v>0</v>
      </c>
      <c r="X550" s="490">
        <f t="shared" si="116"/>
        <v>0</v>
      </c>
      <c r="Y550" s="489">
        <f t="shared" si="117"/>
        <v>0</v>
      </c>
    </row>
    <row r="551" spans="1:25" s="126" customFormat="1" outlineLevel="1" x14ac:dyDescent="0.3">
      <c r="B551" s="915"/>
      <c r="C551" s="915"/>
      <c r="D551" s="927"/>
      <c r="E551" s="924"/>
      <c r="F551" s="924"/>
      <c r="G551" s="924"/>
      <c r="H551" s="924"/>
      <c r="I551" s="924"/>
      <c r="J551" s="491"/>
      <c r="K551" s="486"/>
      <c r="L551" s="486"/>
      <c r="M551" s="485">
        <f>(I550+(50*K551/1000))*L551*D550</f>
        <v>0</v>
      </c>
      <c r="N551" s="486" t="s">
        <v>66</v>
      </c>
      <c r="O551" s="492"/>
      <c r="P551" s="486"/>
      <c r="Q551" s="492"/>
      <c r="R551" s="493"/>
      <c r="S551" s="489">
        <f t="shared" si="118"/>
        <v>0</v>
      </c>
      <c r="T551" s="489">
        <f t="shared" si="112"/>
        <v>0</v>
      </c>
      <c r="U551" s="489">
        <f t="shared" si="113"/>
        <v>0</v>
      </c>
      <c r="V551" s="489">
        <f t="shared" si="114"/>
        <v>0</v>
      </c>
      <c r="W551" s="490">
        <f t="shared" si="115"/>
        <v>0</v>
      </c>
      <c r="X551" s="490">
        <f t="shared" si="116"/>
        <v>0</v>
      </c>
      <c r="Y551" s="489">
        <f t="shared" si="117"/>
        <v>0</v>
      </c>
    </row>
    <row r="552" spans="1:25" s="126" customFormat="1" outlineLevel="1" x14ac:dyDescent="0.3">
      <c r="B552" s="915"/>
      <c r="C552" s="915"/>
      <c r="D552" s="927"/>
      <c r="E552" s="924"/>
      <c r="F552" s="924"/>
      <c r="G552" s="924"/>
      <c r="H552" s="924"/>
      <c r="I552" s="924"/>
      <c r="J552" s="491"/>
      <c r="K552" s="486"/>
      <c r="L552" s="486"/>
      <c r="M552" s="485">
        <f>(I550+(50*K552/1000))*L552*D550</f>
        <v>0</v>
      </c>
      <c r="N552" s="486" t="s">
        <v>580</v>
      </c>
      <c r="O552" s="492"/>
      <c r="P552" s="486"/>
      <c r="Q552" s="492"/>
      <c r="R552" s="493"/>
      <c r="S552" s="489">
        <f t="shared" si="118"/>
        <v>0</v>
      </c>
      <c r="T552" s="489">
        <f t="shared" si="112"/>
        <v>0</v>
      </c>
      <c r="U552" s="489">
        <f t="shared" si="113"/>
        <v>0</v>
      </c>
      <c r="V552" s="489">
        <f t="shared" si="114"/>
        <v>0</v>
      </c>
      <c r="W552" s="490">
        <f t="shared" si="115"/>
        <v>0</v>
      </c>
      <c r="X552" s="490">
        <f t="shared" si="116"/>
        <v>0</v>
      </c>
      <c r="Y552" s="489">
        <f t="shared" si="117"/>
        <v>0</v>
      </c>
    </row>
    <row r="553" spans="1:25" s="126" customFormat="1" outlineLevel="1" x14ac:dyDescent="0.3">
      <c r="A553" s="499"/>
      <c r="B553" s="916"/>
      <c r="C553" s="916"/>
      <c r="D553" s="928"/>
      <c r="E553" s="925"/>
      <c r="F553" s="925"/>
      <c r="G553" s="925"/>
      <c r="H553" s="925"/>
      <c r="I553" s="925"/>
      <c r="J553" s="494"/>
      <c r="K553" s="495"/>
      <c r="L553" s="495"/>
      <c r="M553" s="485">
        <f>(I550+(50*K553/1000))*L553*D550</f>
        <v>0</v>
      </c>
      <c r="N553" s="495" t="s">
        <v>64</v>
      </c>
      <c r="O553" s="496"/>
      <c r="P553" s="497"/>
      <c r="Q553" s="496"/>
      <c r="R553" s="498"/>
      <c r="S553" s="489">
        <f t="shared" si="118"/>
        <v>0</v>
      </c>
      <c r="T553" s="489">
        <f t="shared" si="112"/>
        <v>0</v>
      </c>
      <c r="U553" s="489">
        <f t="shared" si="113"/>
        <v>0</v>
      </c>
      <c r="V553" s="489">
        <f t="shared" si="114"/>
        <v>0</v>
      </c>
      <c r="W553" s="490">
        <f t="shared" si="115"/>
        <v>0</v>
      </c>
      <c r="X553" s="490">
        <f t="shared" si="116"/>
        <v>0</v>
      </c>
      <c r="Y553" s="489">
        <f t="shared" si="117"/>
        <v>0</v>
      </c>
    </row>
    <row r="554" spans="1:25" s="126" customFormat="1" outlineLevel="1" x14ac:dyDescent="0.3">
      <c r="B554" s="914">
        <v>7</v>
      </c>
      <c r="C554" s="936" t="s">
        <v>587</v>
      </c>
      <c r="D554" s="920">
        <v>0</v>
      </c>
      <c r="E554" s="930">
        <v>0.22</v>
      </c>
      <c r="F554" s="931"/>
      <c r="G554" s="923">
        <f t="shared" ref="G554" si="129">((F554*2)+(E554*2))*D554</f>
        <v>0</v>
      </c>
      <c r="H554" s="923">
        <f t="shared" ref="H554" si="130">F554*E554*D554</f>
        <v>0</v>
      </c>
      <c r="I554" s="923">
        <v>3.4</v>
      </c>
      <c r="J554" s="483">
        <f>E554*I554*D554</f>
        <v>0</v>
      </c>
      <c r="K554" s="487">
        <v>20</v>
      </c>
      <c r="L554" s="487">
        <v>8</v>
      </c>
      <c r="M554" s="485">
        <f>(I554+(50*K554/1000))*L554*D554</f>
        <v>0</v>
      </c>
      <c r="N554" s="500" t="s">
        <v>580</v>
      </c>
      <c r="O554" s="487">
        <v>8</v>
      </c>
      <c r="P554" s="484" t="s">
        <v>581</v>
      </c>
      <c r="Q554" s="487">
        <f>ROUND(((((I554/3)*2)/0.1)+((I554/3)/0.15)),0)</f>
        <v>30</v>
      </c>
      <c r="R554" s="501">
        <f>(((2*3.14*((0.58-0.04)/2))+(2*10*(O554/1000)))*Q554*D554)</f>
        <v>0</v>
      </c>
      <c r="S554" s="489">
        <f t="shared" si="118"/>
        <v>0</v>
      </c>
      <c r="T554" s="489">
        <f t="shared" si="112"/>
        <v>0</v>
      </c>
      <c r="U554" s="489">
        <f t="shared" si="113"/>
        <v>0</v>
      </c>
      <c r="V554" s="489">
        <f t="shared" si="114"/>
        <v>0</v>
      </c>
      <c r="W554" s="490">
        <f t="shared" si="115"/>
        <v>0</v>
      </c>
      <c r="X554" s="490">
        <f t="shared" si="116"/>
        <v>0</v>
      </c>
      <c r="Y554" s="489">
        <f t="shared" si="117"/>
        <v>0</v>
      </c>
    </row>
    <row r="555" spans="1:25" s="126" customFormat="1" outlineLevel="1" x14ac:dyDescent="0.3">
      <c r="B555" s="915"/>
      <c r="C555" s="937"/>
      <c r="D555" s="921"/>
      <c r="E555" s="932"/>
      <c r="F555" s="933"/>
      <c r="G555" s="924"/>
      <c r="H555" s="924"/>
      <c r="I555" s="924"/>
      <c r="J555" s="491"/>
      <c r="K555" s="492">
        <v>16</v>
      </c>
      <c r="L555" s="492">
        <v>2</v>
      </c>
      <c r="M555" s="485">
        <f>(I554+(50*K555/1000))*L555*D554</f>
        <v>0</v>
      </c>
      <c r="N555" s="502" t="s">
        <v>67</v>
      </c>
      <c r="O555" s="492"/>
      <c r="P555" s="486"/>
      <c r="Q555" s="492"/>
      <c r="R555" s="493"/>
      <c r="S555" s="489">
        <f t="shared" si="118"/>
        <v>0</v>
      </c>
      <c r="T555" s="489">
        <f t="shared" si="112"/>
        <v>0</v>
      </c>
      <c r="U555" s="489">
        <f t="shared" si="113"/>
        <v>0</v>
      </c>
      <c r="V555" s="489">
        <f t="shared" si="114"/>
        <v>0</v>
      </c>
      <c r="W555" s="490">
        <f t="shared" si="115"/>
        <v>0</v>
      </c>
      <c r="X555" s="490">
        <f t="shared" si="116"/>
        <v>0</v>
      </c>
      <c r="Y555" s="489">
        <f t="shared" si="117"/>
        <v>0</v>
      </c>
    </row>
    <row r="556" spans="1:25" s="126" customFormat="1" outlineLevel="1" x14ac:dyDescent="0.3">
      <c r="B556" s="915"/>
      <c r="C556" s="937"/>
      <c r="D556" s="921"/>
      <c r="E556" s="932"/>
      <c r="F556" s="933"/>
      <c r="G556" s="924"/>
      <c r="H556" s="924"/>
      <c r="I556" s="924"/>
      <c r="J556" s="491"/>
      <c r="K556" s="492"/>
      <c r="L556" s="492"/>
      <c r="M556" s="485">
        <f>(I554+(50*K556/1000))*L556*D554</f>
        <v>0</v>
      </c>
      <c r="N556" s="502" t="s">
        <v>580</v>
      </c>
      <c r="O556" s="492"/>
      <c r="P556" s="486"/>
      <c r="Q556" s="492"/>
      <c r="R556" s="493"/>
      <c r="S556" s="489">
        <f t="shared" si="118"/>
        <v>0</v>
      </c>
      <c r="T556" s="489">
        <f t="shared" si="112"/>
        <v>0</v>
      </c>
      <c r="U556" s="489">
        <f t="shared" si="113"/>
        <v>0</v>
      </c>
      <c r="V556" s="489">
        <f t="shared" si="114"/>
        <v>0</v>
      </c>
      <c r="W556" s="490">
        <f t="shared" si="115"/>
        <v>0</v>
      </c>
      <c r="X556" s="490">
        <f t="shared" si="116"/>
        <v>0</v>
      </c>
      <c r="Y556" s="489">
        <f t="shared" si="117"/>
        <v>0</v>
      </c>
    </row>
    <row r="557" spans="1:25" s="126" customFormat="1" outlineLevel="1" x14ac:dyDescent="0.3">
      <c r="A557" s="499"/>
      <c r="B557" s="916"/>
      <c r="C557" s="938"/>
      <c r="D557" s="922"/>
      <c r="E557" s="934"/>
      <c r="F557" s="935"/>
      <c r="G557" s="925"/>
      <c r="H557" s="925"/>
      <c r="I557" s="925"/>
      <c r="J557" s="494"/>
      <c r="K557" s="496"/>
      <c r="L557" s="496"/>
      <c r="M557" s="485">
        <f>(I554+(50*K557/1000))*L557*D554</f>
        <v>0</v>
      </c>
      <c r="N557" s="503" t="s">
        <v>64</v>
      </c>
      <c r="O557" s="496"/>
      <c r="P557" s="497"/>
      <c r="Q557" s="496"/>
      <c r="R557" s="498"/>
      <c r="S557" s="489">
        <f t="shared" si="118"/>
        <v>0</v>
      </c>
      <c r="T557" s="489">
        <f t="shared" si="112"/>
        <v>0</v>
      </c>
      <c r="U557" s="489">
        <f t="shared" si="113"/>
        <v>0</v>
      </c>
      <c r="V557" s="489">
        <f t="shared" si="114"/>
        <v>0</v>
      </c>
      <c r="W557" s="490">
        <f t="shared" si="115"/>
        <v>0</v>
      </c>
      <c r="X557" s="490">
        <f t="shared" si="116"/>
        <v>0</v>
      </c>
      <c r="Y557" s="489">
        <f t="shared" si="117"/>
        <v>0</v>
      </c>
    </row>
    <row r="558" spans="1:25" s="126" customFormat="1" outlineLevel="1" x14ac:dyDescent="0.3">
      <c r="B558" s="914">
        <v>10</v>
      </c>
      <c r="C558" s="914" t="s">
        <v>588</v>
      </c>
      <c r="D558" s="926">
        <v>0</v>
      </c>
      <c r="E558" s="930">
        <v>0.22</v>
      </c>
      <c r="F558" s="931"/>
      <c r="G558" s="923">
        <f t="shared" ref="G558" si="131">((F558*2)+(E558*2))*D558</f>
        <v>0</v>
      </c>
      <c r="H558" s="923">
        <f t="shared" ref="H558" si="132">F558*E558*D558</f>
        <v>0</v>
      </c>
      <c r="I558" s="923">
        <v>3.4</v>
      </c>
      <c r="J558" s="483">
        <f>E558*I558*D558</f>
        <v>0</v>
      </c>
      <c r="K558" s="484">
        <v>25</v>
      </c>
      <c r="L558" s="484">
        <v>10</v>
      </c>
      <c r="M558" s="485">
        <f>(I558+(50*K558/1000))*L558*D558</f>
        <v>0</v>
      </c>
      <c r="N558" s="486" t="s">
        <v>580</v>
      </c>
      <c r="O558" s="487">
        <v>8</v>
      </c>
      <c r="P558" s="484" t="s">
        <v>581</v>
      </c>
      <c r="Q558" s="487">
        <f>ROUND(((((I558/3)*2)/0.1)+((I558/3)/0.15)),0)</f>
        <v>30</v>
      </c>
      <c r="R558" s="501">
        <f>(((2*3.14*((0.58-0.04)/2))+(2*10*(O558/1000)))*Q558*D558)</f>
        <v>0</v>
      </c>
      <c r="S558" s="489">
        <f t="shared" si="118"/>
        <v>0</v>
      </c>
      <c r="T558" s="489">
        <f t="shared" si="112"/>
        <v>0</v>
      </c>
      <c r="U558" s="489">
        <f t="shared" si="113"/>
        <v>0</v>
      </c>
      <c r="V558" s="489">
        <f t="shared" si="114"/>
        <v>0</v>
      </c>
      <c r="W558" s="490">
        <f t="shared" si="115"/>
        <v>0</v>
      </c>
      <c r="X558" s="490">
        <f t="shared" si="116"/>
        <v>0</v>
      </c>
      <c r="Y558" s="489">
        <f t="shared" si="117"/>
        <v>0</v>
      </c>
    </row>
    <row r="559" spans="1:25" s="126" customFormat="1" outlineLevel="1" x14ac:dyDescent="0.3">
      <c r="B559" s="915"/>
      <c r="C559" s="915"/>
      <c r="D559" s="927"/>
      <c r="E559" s="932"/>
      <c r="F559" s="933"/>
      <c r="G559" s="924"/>
      <c r="H559" s="924"/>
      <c r="I559" s="924"/>
      <c r="J559" s="491"/>
      <c r="K559" s="486"/>
      <c r="L559" s="486"/>
      <c r="M559" s="485">
        <f>(I558+(50*K559/1000))*L559*D558</f>
        <v>0</v>
      </c>
      <c r="N559" s="486" t="s">
        <v>66</v>
      </c>
      <c r="O559" s="492"/>
      <c r="P559" s="486"/>
      <c r="Q559" s="492"/>
      <c r="R559" s="493"/>
      <c r="S559" s="489">
        <f t="shared" si="118"/>
        <v>0</v>
      </c>
      <c r="T559" s="489">
        <f t="shared" si="112"/>
        <v>0</v>
      </c>
      <c r="U559" s="489">
        <f t="shared" si="113"/>
        <v>0</v>
      </c>
      <c r="V559" s="489">
        <f t="shared" si="114"/>
        <v>0</v>
      </c>
      <c r="W559" s="490">
        <f t="shared" si="115"/>
        <v>0</v>
      </c>
      <c r="X559" s="490">
        <f t="shared" si="116"/>
        <v>0</v>
      </c>
      <c r="Y559" s="489">
        <f t="shared" si="117"/>
        <v>0</v>
      </c>
    </row>
    <row r="560" spans="1:25" s="126" customFormat="1" outlineLevel="1" x14ac:dyDescent="0.3">
      <c r="B560" s="915"/>
      <c r="C560" s="915"/>
      <c r="D560" s="927"/>
      <c r="E560" s="932"/>
      <c r="F560" s="933"/>
      <c r="G560" s="924"/>
      <c r="H560" s="924"/>
      <c r="I560" s="924"/>
      <c r="J560" s="491"/>
      <c r="K560" s="486"/>
      <c r="L560" s="486"/>
      <c r="M560" s="485">
        <f>(I558+(50*K560/1000))*L560*D558</f>
        <v>0</v>
      </c>
      <c r="N560" s="486" t="s">
        <v>580</v>
      </c>
      <c r="O560" s="492"/>
      <c r="P560" s="486"/>
      <c r="Q560" s="492"/>
      <c r="R560" s="493"/>
      <c r="S560" s="489">
        <f t="shared" si="118"/>
        <v>0</v>
      </c>
      <c r="T560" s="489">
        <f t="shared" si="112"/>
        <v>0</v>
      </c>
      <c r="U560" s="489">
        <f t="shared" si="113"/>
        <v>0</v>
      </c>
      <c r="V560" s="489">
        <f t="shared" si="114"/>
        <v>0</v>
      </c>
      <c r="W560" s="490">
        <f t="shared" si="115"/>
        <v>0</v>
      </c>
      <c r="X560" s="490">
        <f t="shared" si="116"/>
        <v>0</v>
      </c>
      <c r="Y560" s="489">
        <f t="shared" si="117"/>
        <v>0</v>
      </c>
    </row>
    <row r="561" spans="1:25" s="126" customFormat="1" outlineLevel="1" x14ac:dyDescent="0.3">
      <c r="A561" s="499"/>
      <c r="B561" s="916"/>
      <c r="C561" s="929"/>
      <c r="D561" s="928"/>
      <c r="E561" s="934"/>
      <c r="F561" s="935"/>
      <c r="G561" s="925"/>
      <c r="H561" s="925"/>
      <c r="I561" s="925"/>
      <c r="J561" s="494"/>
      <c r="K561" s="495"/>
      <c r="L561" s="495"/>
      <c r="M561" s="485">
        <f>(I558+(50*K561/1000))*L561*D558</f>
        <v>0</v>
      </c>
      <c r="N561" s="495" t="s">
        <v>64</v>
      </c>
      <c r="O561" s="496"/>
      <c r="P561" s="497"/>
      <c r="Q561" s="496"/>
      <c r="R561" s="498"/>
      <c r="S561" s="489">
        <f t="shared" si="118"/>
        <v>0</v>
      </c>
      <c r="T561" s="489">
        <f t="shared" si="112"/>
        <v>0</v>
      </c>
      <c r="U561" s="489">
        <f t="shared" si="113"/>
        <v>0</v>
      </c>
      <c r="V561" s="489">
        <f t="shared" si="114"/>
        <v>0</v>
      </c>
      <c r="W561" s="490">
        <f t="shared" si="115"/>
        <v>0</v>
      </c>
      <c r="X561" s="490">
        <f t="shared" si="116"/>
        <v>0</v>
      </c>
      <c r="Y561" s="489">
        <f t="shared" si="117"/>
        <v>0</v>
      </c>
    </row>
    <row r="562" spans="1:25" s="126" customFormat="1" outlineLevel="1" x14ac:dyDescent="0.3">
      <c r="B562" s="914">
        <v>12</v>
      </c>
      <c r="C562" s="917" t="s">
        <v>589</v>
      </c>
      <c r="D562" s="920">
        <v>2</v>
      </c>
      <c r="E562" s="923">
        <v>0.38</v>
      </c>
      <c r="F562" s="923">
        <v>0.38</v>
      </c>
      <c r="G562" s="923">
        <f t="shared" ref="G562" si="133">((F562*2)+(E562*2))*D562</f>
        <v>3.04</v>
      </c>
      <c r="H562" s="923">
        <f t="shared" ref="H562" si="134">F562*E562*D562</f>
        <v>0.2888</v>
      </c>
      <c r="I562" s="923">
        <v>3.4</v>
      </c>
      <c r="J562" s="483">
        <f>E562*F562*I562*D562</f>
        <v>0.98192000000000002</v>
      </c>
      <c r="K562" s="487">
        <v>20</v>
      </c>
      <c r="L562" s="487">
        <v>4</v>
      </c>
      <c r="M562" s="485">
        <f>(I562+(50*K562/1000))*L562*D562</f>
        <v>35.200000000000003</v>
      </c>
      <c r="N562" s="500" t="s">
        <v>66</v>
      </c>
      <c r="O562" s="487">
        <v>8</v>
      </c>
      <c r="P562" s="484" t="s">
        <v>581</v>
      </c>
      <c r="Q562" s="487">
        <f>ROUND(((((I562/3)*2)/0.1)+((I562/3)/0.15)),0)</f>
        <v>30</v>
      </c>
      <c r="R562" s="488">
        <f>((((E562-0.04)+(F562-0.04))*2)+(2*10*(O562/1000)))*Q562*D562</f>
        <v>91.2</v>
      </c>
      <c r="S562" s="489">
        <f t="shared" si="118"/>
        <v>91.2</v>
      </c>
      <c r="T562" s="489">
        <f t="shared" si="112"/>
        <v>0</v>
      </c>
      <c r="U562" s="489">
        <f t="shared" si="113"/>
        <v>0</v>
      </c>
      <c r="V562" s="489">
        <f t="shared" si="114"/>
        <v>0</v>
      </c>
      <c r="W562" s="490">
        <f t="shared" si="115"/>
        <v>35.200000000000003</v>
      </c>
      <c r="X562" s="490">
        <f t="shared" si="116"/>
        <v>0</v>
      </c>
      <c r="Y562" s="489">
        <f t="shared" si="117"/>
        <v>0</v>
      </c>
    </row>
    <row r="563" spans="1:25" s="126" customFormat="1" outlineLevel="1" x14ac:dyDescent="0.3">
      <c r="B563" s="915"/>
      <c r="C563" s="918"/>
      <c r="D563" s="921"/>
      <c r="E563" s="924"/>
      <c r="F563" s="924"/>
      <c r="G563" s="924"/>
      <c r="H563" s="924"/>
      <c r="I563" s="924"/>
      <c r="J563" s="491"/>
      <c r="K563" s="492">
        <v>16</v>
      </c>
      <c r="L563" s="492">
        <v>4</v>
      </c>
      <c r="M563" s="485">
        <f>(I562+(50*K563/1000))*L563*D562</f>
        <v>33.6</v>
      </c>
      <c r="N563" s="502" t="s">
        <v>67</v>
      </c>
      <c r="O563" s="492"/>
      <c r="P563" s="486"/>
      <c r="Q563" s="492"/>
      <c r="R563" s="493"/>
      <c r="S563" s="489">
        <f t="shared" si="118"/>
        <v>0</v>
      </c>
      <c r="T563" s="489">
        <f t="shared" si="112"/>
        <v>0</v>
      </c>
      <c r="U563" s="489">
        <f t="shared" si="113"/>
        <v>0</v>
      </c>
      <c r="V563" s="489">
        <f t="shared" si="114"/>
        <v>33.6</v>
      </c>
      <c r="W563" s="490">
        <f t="shared" si="115"/>
        <v>0</v>
      </c>
      <c r="X563" s="490">
        <f t="shared" si="116"/>
        <v>0</v>
      </c>
      <c r="Y563" s="489">
        <f t="shared" si="117"/>
        <v>0</v>
      </c>
    </row>
    <row r="564" spans="1:25" s="126" customFormat="1" outlineLevel="1" x14ac:dyDescent="0.3">
      <c r="B564" s="915"/>
      <c r="C564" s="918"/>
      <c r="D564" s="921"/>
      <c r="E564" s="924"/>
      <c r="F564" s="924"/>
      <c r="G564" s="924"/>
      <c r="H564" s="924"/>
      <c r="I564" s="924"/>
      <c r="J564" s="491"/>
      <c r="K564" s="492"/>
      <c r="L564" s="492"/>
      <c r="M564" s="485">
        <f>(I562+(50*K564/1000))*L564*D562</f>
        <v>0</v>
      </c>
      <c r="N564" s="502" t="s">
        <v>580</v>
      </c>
      <c r="O564" s="492"/>
      <c r="P564" s="486"/>
      <c r="Q564" s="492"/>
      <c r="R564" s="493"/>
      <c r="S564" s="489">
        <f t="shared" si="118"/>
        <v>0</v>
      </c>
      <c r="T564" s="489">
        <f t="shared" si="112"/>
        <v>0</v>
      </c>
      <c r="U564" s="489">
        <f t="shared" si="113"/>
        <v>0</v>
      </c>
      <c r="V564" s="489">
        <f t="shared" si="114"/>
        <v>0</v>
      </c>
      <c r="W564" s="490">
        <f t="shared" si="115"/>
        <v>0</v>
      </c>
      <c r="X564" s="490">
        <f t="shared" si="116"/>
        <v>0</v>
      </c>
      <c r="Y564" s="489">
        <f t="shared" si="117"/>
        <v>0</v>
      </c>
    </row>
    <row r="565" spans="1:25" s="126" customFormat="1" outlineLevel="1" x14ac:dyDescent="0.3">
      <c r="A565" s="499"/>
      <c r="B565" s="916"/>
      <c r="C565" s="919"/>
      <c r="D565" s="922"/>
      <c r="E565" s="925"/>
      <c r="F565" s="925"/>
      <c r="G565" s="925"/>
      <c r="H565" s="925"/>
      <c r="I565" s="925"/>
      <c r="J565" s="494"/>
      <c r="K565" s="496"/>
      <c r="L565" s="496"/>
      <c r="M565" s="485">
        <f>(I562+(50*K565/1000))*L565*D562</f>
        <v>0</v>
      </c>
      <c r="N565" s="503" t="s">
        <v>64</v>
      </c>
      <c r="O565" s="496"/>
      <c r="P565" s="497"/>
      <c r="Q565" s="496"/>
      <c r="R565" s="498"/>
      <c r="S565" s="489">
        <f t="shared" si="118"/>
        <v>0</v>
      </c>
      <c r="T565" s="489">
        <f t="shared" si="112"/>
        <v>0</v>
      </c>
      <c r="U565" s="489">
        <f t="shared" si="113"/>
        <v>0</v>
      </c>
      <c r="V565" s="489">
        <f t="shared" si="114"/>
        <v>0</v>
      </c>
      <c r="W565" s="490">
        <f t="shared" si="115"/>
        <v>0</v>
      </c>
      <c r="X565" s="490">
        <f t="shared" si="116"/>
        <v>0</v>
      </c>
      <c r="Y565" s="489">
        <f t="shared" si="117"/>
        <v>0</v>
      </c>
    </row>
    <row r="566" spans="1:25" s="126" customFormat="1" outlineLevel="1" x14ac:dyDescent="0.3">
      <c r="A566" s="482"/>
      <c r="B566" s="914">
        <v>13</v>
      </c>
      <c r="C566" s="917" t="s">
        <v>590</v>
      </c>
      <c r="D566" s="920">
        <v>0</v>
      </c>
      <c r="E566" s="923">
        <v>0.45</v>
      </c>
      <c r="F566" s="923">
        <v>0.3</v>
      </c>
      <c r="G566" s="923">
        <f t="shared" ref="G566" si="135">((F566*2)+(E566*2))*D566</f>
        <v>0</v>
      </c>
      <c r="H566" s="923">
        <f>F566*E566*D566</f>
        <v>0</v>
      </c>
      <c r="I566" s="923">
        <v>3.4</v>
      </c>
      <c r="J566" s="483">
        <f>E566*F566*I566*D566</f>
        <v>0</v>
      </c>
      <c r="K566" s="487">
        <v>20</v>
      </c>
      <c r="L566" s="487">
        <v>8</v>
      </c>
      <c r="M566" s="485">
        <f>(I566+(50*K566/1000))*L566*D566</f>
        <v>0</v>
      </c>
      <c r="N566" s="500" t="s">
        <v>66</v>
      </c>
      <c r="O566" s="487">
        <v>8</v>
      </c>
      <c r="P566" s="484" t="s">
        <v>581</v>
      </c>
      <c r="Q566" s="487">
        <f>ROUND(((((I566/3)*2)/0.1)+((I566/3)/0.15)),0)</f>
        <v>30</v>
      </c>
      <c r="R566" s="488">
        <f>((((E566-0.04)+(F566-0.04))*2)+(2*10*(O566/1000)))*Q566*D566</f>
        <v>0</v>
      </c>
      <c r="S566" s="489">
        <f t="shared" si="118"/>
        <v>0</v>
      </c>
      <c r="T566" s="489">
        <f t="shared" si="112"/>
        <v>0</v>
      </c>
      <c r="U566" s="489">
        <f t="shared" si="113"/>
        <v>0</v>
      </c>
      <c r="V566" s="489">
        <f t="shared" si="114"/>
        <v>0</v>
      </c>
      <c r="W566" s="490">
        <f t="shared" si="115"/>
        <v>0</v>
      </c>
      <c r="X566" s="490">
        <f t="shared" si="116"/>
        <v>0</v>
      </c>
      <c r="Y566" s="489">
        <f t="shared" si="117"/>
        <v>0</v>
      </c>
    </row>
    <row r="567" spans="1:25" s="126" customFormat="1" outlineLevel="1" x14ac:dyDescent="0.3">
      <c r="A567" s="482"/>
      <c r="B567" s="915"/>
      <c r="C567" s="918"/>
      <c r="D567" s="921"/>
      <c r="E567" s="924"/>
      <c r="F567" s="924"/>
      <c r="G567" s="924"/>
      <c r="H567" s="924"/>
      <c r="I567" s="924"/>
      <c r="J567" s="504"/>
      <c r="K567" s="492"/>
      <c r="L567" s="492"/>
      <c r="M567" s="485">
        <f>(I566+(50*K567/1000))*L567*D566</f>
        <v>0</v>
      </c>
      <c r="N567" s="502" t="s">
        <v>67</v>
      </c>
      <c r="O567" s="492"/>
      <c r="P567" s="486"/>
      <c r="Q567" s="492"/>
      <c r="R567" s="493"/>
      <c r="S567" s="489">
        <f t="shared" si="118"/>
        <v>0</v>
      </c>
      <c r="T567" s="489">
        <f t="shared" si="112"/>
        <v>0</v>
      </c>
      <c r="U567" s="489">
        <f t="shared" si="113"/>
        <v>0</v>
      </c>
      <c r="V567" s="489">
        <f t="shared" si="114"/>
        <v>0</v>
      </c>
      <c r="W567" s="490">
        <f t="shared" si="115"/>
        <v>0</v>
      </c>
      <c r="X567" s="490">
        <f t="shared" si="116"/>
        <v>0</v>
      </c>
      <c r="Y567" s="489">
        <f t="shared" si="117"/>
        <v>0</v>
      </c>
    </row>
    <row r="568" spans="1:25" s="126" customFormat="1" outlineLevel="1" x14ac:dyDescent="0.3">
      <c r="A568" s="482"/>
      <c r="B568" s="915"/>
      <c r="C568" s="918"/>
      <c r="D568" s="921"/>
      <c r="E568" s="924"/>
      <c r="F568" s="924"/>
      <c r="G568" s="924"/>
      <c r="H568" s="924"/>
      <c r="I568" s="924"/>
      <c r="J568" s="504"/>
      <c r="K568" s="492"/>
      <c r="L568" s="492"/>
      <c r="M568" s="485">
        <f>(I566+(50*K568/1000))*L568*D566</f>
        <v>0</v>
      </c>
      <c r="N568" s="502" t="s">
        <v>580</v>
      </c>
      <c r="O568" s="492"/>
      <c r="P568" s="486"/>
      <c r="Q568" s="492"/>
      <c r="R568" s="493"/>
      <c r="S568" s="489">
        <f t="shared" si="118"/>
        <v>0</v>
      </c>
      <c r="T568" s="489">
        <f t="shared" si="112"/>
        <v>0</v>
      </c>
      <c r="U568" s="489">
        <f t="shared" si="113"/>
        <v>0</v>
      </c>
      <c r="V568" s="489">
        <f t="shared" si="114"/>
        <v>0</v>
      </c>
      <c r="W568" s="490">
        <f t="shared" si="115"/>
        <v>0</v>
      </c>
      <c r="X568" s="490">
        <f t="shared" si="116"/>
        <v>0</v>
      </c>
      <c r="Y568" s="489">
        <f t="shared" si="117"/>
        <v>0</v>
      </c>
    </row>
    <row r="569" spans="1:25" s="126" customFormat="1" outlineLevel="1" x14ac:dyDescent="0.3">
      <c r="A569" s="505"/>
      <c r="B569" s="916"/>
      <c r="C569" s="919"/>
      <c r="D569" s="922"/>
      <c r="E569" s="925"/>
      <c r="F569" s="925"/>
      <c r="G569" s="925"/>
      <c r="H569" s="925"/>
      <c r="I569" s="925"/>
      <c r="J569" s="506"/>
      <c r="K569" s="496"/>
      <c r="L569" s="496"/>
      <c r="M569" s="485">
        <f>(I566+(50*K569/1000))*L569*D566</f>
        <v>0</v>
      </c>
      <c r="N569" s="503" t="s">
        <v>64</v>
      </c>
      <c r="O569" s="496"/>
      <c r="P569" s="497"/>
      <c r="Q569" s="496"/>
      <c r="R569" s="498"/>
      <c r="S569" s="489">
        <f t="shared" si="118"/>
        <v>0</v>
      </c>
      <c r="T569" s="489">
        <f t="shared" si="112"/>
        <v>0</v>
      </c>
      <c r="U569" s="489">
        <f t="shared" si="113"/>
        <v>0</v>
      </c>
      <c r="V569" s="489">
        <f t="shared" si="114"/>
        <v>0</v>
      </c>
      <c r="W569" s="490">
        <f t="shared" si="115"/>
        <v>0</v>
      </c>
      <c r="X569" s="490">
        <f t="shared" si="116"/>
        <v>0</v>
      </c>
      <c r="Y569" s="489">
        <f t="shared" si="117"/>
        <v>0</v>
      </c>
    </row>
    <row r="570" spans="1:25" s="126" customFormat="1" outlineLevel="1" x14ac:dyDescent="0.3">
      <c r="B570" s="914">
        <v>14</v>
      </c>
      <c r="C570" s="914" t="s">
        <v>591</v>
      </c>
      <c r="D570" s="926">
        <v>0</v>
      </c>
      <c r="E570" s="923">
        <v>0.5</v>
      </c>
      <c r="F570" s="923">
        <v>0.5</v>
      </c>
      <c r="G570" s="923">
        <f t="shared" ref="G570" si="136">((F570*2)+(E570*2))*D570</f>
        <v>0</v>
      </c>
      <c r="H570" s="923">
        <f t="shared" ref="H570" si="137">F570*E570*D570</f>
        <v>0</v>
      </c>
      <c r="I570" s="923">
        <v>3.4</v>
      </c>
      <c r="J570" s="483">
        <f>E570*F570*I570*D570</f>
        <v>0</v>
      </c>
      <c r="K570" s="484">
        <v>20</v>
      </c>
      <c r="L570" s="484">
        <v>8</v>
      </c>
      <c r="M570" s="485">
        <f>(I570+(50*K570/1000))*L570*D570</f>
        <v>0</v>
      </c>
      <c r="N570" s="486" t="s">
        <v>580</v>
      </c>
      <c r="O570" s="487">
        <v>8</v>
      </c>
      <c r="P570" s="484" t="s">
        <v>581</v>
      </c>
      <c r="Q570" s="487">
        <f>ROUND(((((I570/3)*2)/0.1)+((I570/3)/0.15)),0)</f>
        <v>30</v>
      </c>
      <c r="R570" s="488">
        <f>((((E570-0.04)+(F570-0.04))*2)+(2*10*(O570/1000)))*Q570*D570</f>
        <v>0</v>
      </c>
      <c r="S570" s="489">
        <f t="shared" si="118"/>
        <v>0</v>
      </c>
      <c r="T570" s="489">
        <f t="shared" si="112"/>
        <v>0</v>
      </c>
      <c r="U570" s="489">
        <f t="shared" si="113"/>
        <v>0</v>
      </c>
      <c r="V570" s="489">
        <f t="shared" si="114"/>
        <v>0</v>
      </c>
      <c r="W570" s="490">
        <f t="shared" si="115"/>
        <v>0</v>
      </c>
      <c r="X570" s="490">
        <f t="shared" si="116"/>
        <v>0</v>
      </c>
      <c r="Y570" s="489">
        <f t="shared" si="117"/>
        <v>0</v>
      </c>
    </row>
    <row r="571" spans="1:25" s="126" customFormat="1" outlineLevel="1" x14ac:dyDescent="0.3">
      <c r="B571" s="915"/>
      <c r="C571" s="915"/>
      <c r="D571" s="927"/>
      <c r="E571" s="924"/>
      <c r="F571" s="924"/>
      <c r="G571" s="924"/>
      <c r="H571" s="924"/>
      <c r="I571" s="924"/>
      <c r="J571" s="491"/>
      <c r="K571" s="486">
        <v>16</v>
      </c>
      <c r="L571" s="486">
        <v>4</v>
      </c>
      <c r="M571" s="485">
        <f>(I570+(50*K571/1000))*L571*D570</f>
        <v>0</v>
      </c>
      <c r="N571" s="486" t="s">
        <v>66</v>
      </c>
      <c r="O571" s="492"/>
      <c r="P571" s="486"/>
      <c r="Q571" s="492"/>
      <c r="R571" s="493"/>
      <c r="S571" s="489">
        <f t="shared" si="118"/>
        <v>0</v>
      </c>
      <c r="T571" s="489">
        <f t="shared" si="112"/>
        <v>0</v>
      </c>
      <c r="U571" s="489">
        <f t="shared" si="113"/>
        <v>0</v>
      </c>
      <c r="V571" s="489">
        <f t="shared" si="114"/>
        <v>0</v>
      </c>
      <c r="W571" s="490">
        <f t="shared" si="115"/>
        <v>0</v>
      </c>
      <c r="X571" s="490">
        <f t="shared" si="116"/>
        <v>0</v>
      </c>
      <c r="Y571" s="489">
        <f t="shared" si="117"/>
        <v>0</v>
      </c>
    </row>
    <row r="572" spans="1:25" s="126" customFormat="1" outlineLevel="1" x14ac:dyDescent="0.3">
      <c r="B572" s="915"/>
      <c r="C572" s="915"/>
      <c r="D572" s="927"/>
      <c r="E572" s="924"/>
      <c r="F572" s="924"/>
      <c r="G572" s="924"/>
      <c r="H572" s="924"/>
      <c r="I572" s="924"/>
      <c r="J572" s="491"/>
      <c r="K572" s="486"/>
      <c r="L572" s="486"/>
      <c r="M572" s="485">
        <f>(I570+(50*K572/1000))*L572*D570</f>
        <v>0</v>
      </c>
      <c r="N572" s="486" t="s">
        <v>580</v>
      </c>
      <c r="O572" s="492"/>
      <c r="P572" s="486"/>
      <c r="Q572" s="492"/>
      <c r="R572" s="493"/>
      <c r="S572" s="489">
        <f t="shared" si="118"/>
        <v>0</v>
      </c>
      <c r="T572" s="489">
        <f t="shared" si="112"/>
        <v>0</v>
      </c>
      <c r="U572" s="489">
        <f t="shared" si="113"/>
        <v>0</v>
      </c>
      <c r="V572" s="489">
        <f t="shared" si="114"/>
        <v>0</v>
      </c>
      <c r="W572" s="490">
        <f t="shared" si="115"/>
        <v>0</v>
      </c>
      <c r="X572" s="490">
        <f t="shared" si="116"/>
        <v>0</v>
      </c>
      <c r="Y572" s="489">
        <f t="shared" si="117"/>
        <v>0</v>
      </c>
    </row>
    <row r="573" spans="1:25" s="126" customFormat="1" outlineLevel="1" x14ac:dyDescent="0.3">
      <c r="A573" s="499"/>
      <c r="B573" s="916"/>
      <c r="C573" s="916"/>
      <c r="D573" s="928"/>
      <c r="E573" s="925"/>
      <c r="F573" s="925"/>
      <c r="G573" s="925"/>
      <c r="H573" s="925"/>
      <c r="I573" s="925"/>
      <c r="J573" s="494"/>
      <c r="K573" s="495"/>
      <c r="L573" s="495"/>
      <c r="M573" s="485">
        <f>(I570+(50*K573/1000))*L573*D570</f>
        <v>0</v>
      </c>
      <c r="N573" s="495" t="s">
        <v>64</v>
      </c>
      <c r="O573" s="496"/>
      <c r="P573" s="497"/>
      <c r="Q573" s="496"/>
      <c r="R573" s="498"/>
      <c r="S573" s="489">
        <f t="shared" si="118"/>
        <v>0</v>
      </c>
      <c r="T573" s="489">
        <f t="shared" si="112"/>
        <v>0</v>
      </c>
      <c r="U573" s="489">
        <f t="shared" si="113"/>
        <v>0</v>
      </c>
      <c r="V573" s="489">
        <f t="shared" si="114"/>
        <v>0</v>
      </c>
      <c r="W573" s="490">
        <f t="shared" si="115"/>
        <v>0</v>
      </c>
      <c r="X573" s="490">
        <f t="shared" si="116"/>
        <v>0</v>
      </c>
      <c r="Y573" s="489">
        <f t="shared" si="117"/>
        <v>0</v>
      </c>
    </row>
    <row r="574" spans="1:25" s="126" customFormat="1" outlineLevel="1" x14ac:dyDescent="0.3">
      <c r="B574" s="914">
        <v>15</v>
      </c>
      <c r="C574" s="917" t="s">
        <v>592</v>
      </c>
      <c r="D574" s="920">
        <v>0</v>
      </c>
      <c r="E574" s="923">
        <v>0.6</v>
      </c>
      <c r="F574" s="923">
        <v>0.38</v>
      </c>
      <c r="G574" s="923">
        <f t="shared" ref="G574" si="138">((F574*2)+(E574*2))*D574</f>
        <v>0</v>
      </c>
      <c r="H574" s="923">
        <f t="shared" ref="H574" si="139">F574*E574*D574</f>
        <v>0</v>
      </c>
      <c r="I574" s="923">
        <v>3.4</v>
      </c>
      <c r="J574" s="483">
        <f>E574*F574*I574*D574</f>
        <v>0</v>
      </c>
      <c r="K574" s="487">
        <v>20</v>
      </c>
      <c r="L574" s="487">
        <v>8</v>
      </c>
      <c r="M574" s="485">
        <f>(I574+(50*K574/1000))*L574*D574</f>
        <v>0</v>
      </c>
      <c r="N574" s="500" t="s">
        <v>580</v>
      </c>
      <c r="O574" s="487">
        <v>8</v>
      </c>
      <c r="P574" s="484" t="s">
        <v>581</v>
      </c>
      <c r="Q574" s="487">
        <f>ROUND(((((I574/3)*2)/0.1)+((I574/3)/0.15)),0)</f>
        <v>30</v>
      </c>
      <c r="R574" s="488">
        <f>((((E574-0.04)+(F574-0.04))*2)+(2*10*(O574/1000)))*Q574*D574</f>
        <v>0</v>
      </c>
      <c r="S574" s="489">
        <f t="shared" si="118"/>
        <v>0</v>
      </c>
      <c r="T574" s="489">
        <f t="shared" si="112"/>
        <v>0</v>
      </c>
      <c r="U574" s="489">
        <f t="shared" si="113"/>
        <v>0</v>
      </c>
      <c r="V574" s="489">
        <f t="shared" si="114"/>
        <v>0</v>
      </c>
      <c r="W574" s="490">
        <f t="shared" si="115"/>
        <v>0</v>
      </c>
      <c r="X574" s="490">
        <f t="shared" si="116"/>
        <v>0</v>
      </c>
      <c r="Y574" s="489">
        <f t="shared" si="117"/>
        <v>0</v>
      </c>
    </row>
    <row r="575" spans="1:25" s="126" customFormat="1" outlineLevel="1" x14ac:dyDescent="0.3">
      <c r="B575" s="915"/>
      <c r="C575" s="918"/>
      <c r="D575" s="921"/>
      <c r="E575" s="924"/>
      <c r="F575" s="924"/>
      <c r="G575" s="924"/>
      <c r="H575" s="924"/>
      <c r="I575" s="924"/>
      <c r="J575" s="491"/>
      <c r="K575" s="492">
        <v>16</v>
      </c>
      <c r="L575" s="492">
        <v>4</v>
      </c>
      <c r="M575" s="485">
        <f>(I574+(50*K575/1000))*L575*D574</f>
        <v>0</v>
      </c>
      <c r="N575" s="502" t="s">
        <v>67</v>
      </c>
      <c r="O575" s="492"/>
      <c r="P575" s="486"/>
      <c r="Q575" s="492"/>
      <c r="R575" s="493"/>
      <c r="S575" s="489">
        <f t="shared" si="118"/>
        <v>0</v>
      </c>
      <c r="T575" s="489">
        <f t="shared" si="112"/>
        <v>0</v>
      </c>
      <c r="U575" s="489">
        <f t="shared" si="113"/>
        <v>0</v>
      </c>
      <c r="V575" s="489">
        <f t="shared" si="114"/>
        <v>0</v>
      </c>
      <c r="W575" s="490">
        <f t="shared" si="115"/>
        <v>0</v>
      </c>
      <c r="X575" s="490">
        <f t="shared" si="116"/>
        <v>0</v>
      </c>
      <c r="Y575" s="489">
        <f t="shared" si="117"/>
        <v>0</v>
      </c>
    </row>
    <row r="576" spans="1:25" s="126" customFormat="1" outlineLevel="1" x14ac:dyDescent="0.3">
      <c r="B576" s="915"/>
      <c r="C576" s="918"/>
      <c r="D576" s="921"/>
      <c r="E576" s="924"/>
      <c r="F576" s="924"/>
      <c r="G576" s="924"/>
      <c r="H576" s="924"/>
      <c r="I576" s="924"/>
      <c r="J576" s="491"/>
      <c r="K576" s="492"/>
      <c r="L576" s="492"/>
      <c r="M576" s="485">
        <f>(I574+(50*K576/1000))*L576*D574</f>
        <v>0</v>
      </c>
      <c r="N576" s="502" t="s">
        <v>580</v>
      </c>
      <c r="O576" s="492"/>
      <c r="P576" s="486"/>
      <c r="Q576" s="492"/>
      <c r="R576" s="493"/>
      <c r="S576" s="489">
        <f t="shared" si="118"/>
        <v>0</v>
      </c>
      <c r="T576" s="489">
        <f t="shared" si="112"/>
        <v>0</v>
      </c>
      <c r="U576" s="489">
        <f t="shared" si="113"/>
        <v>0</v>
      </c>
      <c r="V576" s="489">
        <f t="shared" si="114"/>
        <v>0</v>
      </c>
      <c r="W576" s="490">
        <f t="shared" si="115"/>
        <v>0</v>
      </c>
      <c r="X576" s="490">
        <f t="shared" si="116"/>
        <v>0</v>
      </c>
      <c r="Y576" s="489">
        <f t="shared" si="117"/>
        <v>0</v>
      </c>
    </row>
    <row r="577" spans="1:28" s="126" customFormat="1" outlineLevel="1" x14ac:dyDescent="0.3">
      <c r="A577" s="499"/>
      <c r="B577" s="916"/>
      <c r="C577" s="919"/>
      <c r="D577" s="922"/>
      <c r="E577" s="925"/>
      <c r="F577" s="925"/>
      <c r="G577" s="925"/>
      <c r="H577" s="925"/>
      <c r="I577" s="925"/>
      <c r="J577" s="494"/>
      <c r="K577" s="496"/>
      <c r="L577" s="496"/>
      <c r="M577" s="485">
        <f>(I574+(50*K577/1000))*L577*D574</f>
        <v>0</v>
      </c>
      <c r="N577" s="503" t="s">
        <v>64</v>
      </c>
      <c r="O577" s="496"/>
      <c r="P577" s="497"/>
      <c r="Q577" s="496"/>
      <c r="R577" s="498"/>
      <c r="S577" s="489">
        <f t="shared" si="118"/>
        <v>0</v>
      </c>
      <c r="T577" s="489">
        <f t="shared" si="112"/>
        <v>0</v>
      </c>
      <c r="U577" s="489">
        <f t="shared" si="113"/>
        <v>0</v>
      </c>
      <c r="V577" s="489">
        <f t="shared" si="114"/>
        <v>0</v>
      </c>
      <c r="W577" s="490">
        <f t="shared" si="115"/>
        <v>0</v>
      </c>
      <c r="X577" s="490">
        <f t="shared" si="116"/>
        <v>0</v>
      </c>
      <c r="Y577" s="489">
        <f t="shared" si="117"/>
        <v>0</v>
      </c>
    </row>
    <row r="578" spans="1:28" s="126" customFormat="1" outlineLevel="1" x14ac:dyDescent="0.3">
      <c r="B578" s="914">
        <v>16</v>
      </c>
      <c r="C578" s="914" t="s">
        <v>593</v>
      </c>
      <c r="D578" s="920">
        <v>0</v>
      </c>
      <c r="E578" s="923">
        <v>0.5</v>
      </c>
      <c r="F578" s="923">
        <v>0.3</v>
      </c>
      <c r="G578" s="923">
        <f t="shared" ref="G578" si="140">((F578*2)+(E578*2))*D578</f>
        <v>0</v>
      </c>
      <c r="H578" s="923">
        <f t="shared" ref="H578" si="141">F578*E578*D578</f>
        <v>0</v>
      </c>
      <c r="I578" s="923">
        <v>3.4</v>
      </c>
      <c r="J578" s="483">
        <f>E578*F578*I578*D578</f>
        <v>0</v>
      </c>
      <c r="K578" s="487">
        <v>20</v>
      </c>
      <c r="L578" s="487">
        <v>4</v>
      </c>
      <c r="M578" s="485">
        <f>(I578+(50*K578/1000))*L578*D578</f>
        <v>0</v>
      </c>
      <c r="N578" s="500" t="s">
        <v>66</v>
      </c>
      <c r="O578" s="487">
        <v>8</v>
      </c>
      <c r="P578" s="484" t="s">
        <v>581</v>
      </c>
      <c r="Q578" s="487">
        <f>ROUND(((((I578/3)*2)/0.1)+((I578/3)/0.15)),0)</f>
        <v>30</v>
      </c>
      <c r="R578" s="488">
        <f>((((E578-0.04)+(F578-0.04))*2)+(2*10*(O578/1000)))*Q578*D578</f>
        <v>0</v>
      </c>
      <c r="S578" s="489">
        <f t="shared" si="118"/>
        <v>0</v>
      </c>
      <c r="T578" s="489">
        <f t="shared" si="112"/>
        <v>0</v>
      </c>
      <c r="U578" s="489">
        <f t="shared" si="113"/>
        <v>0</v>
      </c>
      <c r="V578" s="489">
        <f t="shared" si="114"/>
        <v>0</v>
      </c>
      <c r="W578" s="490">
        <f t="shared" si="115"/>
        <v>0</v>
      </c>
      <c r="X578" s="490">
        <f t="shared" si="116"/>
        <v>0</v>
      </c>
      <c r="Y578" s="489">
        <f t="shared" si="117"/>
        <v>0</v>
      </c>
    </row>
    <row r="579" spans="1:28" s="126" customFormat="1" outlineLevel="1" x14ac:dyDescent="0.3">
      <c r="B579" s="915"/>
      <c r="C579" s="915"/>
      <c r="D579" s="921"/>
      <c r="E579" s="924"/>
      <c r="F579" s="924"/>
      <c r="G579" s="924"/>
      <c r="H579" s="924"/>
      <c r="I579" s="924"/>
      <c r="J579" s="486"/>
      <c r="K579" s="492">
        <v>16</v>
      </c>
      <c r="L579" s="492">
        <v>4</v>
      </c>
      <c r="M579" s="485">
        <f>(I578+(50*K579/1000))*L579*D578</f>
        <v>0</v>
      </c>
      <c r="N579" s="502" t="s">
        <v>67</v>
      </c>
      <c r="O579" s="492"/>
      <c r="P579" s="486"/>
      <c r="Q579" s="492"/>
      <c r="R579" s="493"/>
      <c r="S579" s="489">
        <f t="shared" si="118"/>
        <v>0</v>
      </c>
      <c r="T579" s="489">
        <f t="shared" si="112"/>
        <v>0</v>
      </c>
      <c r="U579" s="489">
        <f t="shared" si="113"/>
        <v>0</v>
      </c>
      <c r="V579" s="489">
        <f t="shared" si="114"/>
        <v>0</v>
      </c>
      <c r="W579" s="490">
        <f t="shared" si="115"/>
        <v>0</v>
      </c>
      <c r="X579" s="490">
        <f t="shared" si="116"/>
        <v>0</v>
      </c>
      <c r="Y579" s="489">
        <f t="shared" si="117"/>
        <v>0</v>
      </c>
    </row>
    <row r="580" spans="1:28" s="126" customFormat="1" outlineLevel="1" x14ac:dyDescent="0.3">
      <c r="B580" s="915"/>
      <c r="C580" s="915"/>
      <c r="D580" s="921"/>
      <c r="E580" s="924"/>
      <c r="F580" s="924"/>
      <c r="G580" s="924"/>
      <c r="H580" s="924"/>
      <c r="I580" s="924"/>
      <c r="J580" s="486"/>
      <c r="K580" s="492"/>
      <c r="L580" s="492"/>
      <c r="M580" s="485">
        <f>(I578+(50*K580/1000))*L580*D578</f>
        <v>0</v>
      </c>
      <c r="N580" s="502" t="s">
        <v>580</v>
      </c>
      <c r="O580" s="492"/>
      <c r="P580" s="486"/>
      <c r="Q580" s="492"/>
      <c r="R580" s="493"/>
      <c r="S580" s="489">
        <f t="shared" si="118"/>
        <v>0</v>
      </c>
      <c r="T580" s="489">
        <f t="shared" si="112"/>
        <v>0</v>
      </c>
      <c r="U580" s="489">
        <f t="shared" si="113"/>
        <v>0</v>
      </c>
      <c r="V580" s="489">
        <f t="shared" si="114"/>
        <v>0</v>
      </c>
      <c r="W580" s="490">
        <f t="shared" si="115"/>
        <v>0</v>
      </c>
      <c r="X580" s="490">
        <f t="shared" si="116"/>
        <v>0</v>
      </c>
      <c r="Y580" s="489">
        <f t="shared" si="117"/>
        <v>0</v>
      </c>
    </row>
    <row r="581" spans="1:28" s="126" customFormat="1" ht="15" outlineLevel="1" thickBot="1" x14ac:dyDescent="0.35">
      <c r="A581" s="499"/>
      <c r="B581" s="916"/>
      <c r="C581" s="916"/>
      <c r="D581" s="922"/>
      <c r="E581" s="925"/>
      <c r="F581" s="925"/>
      <c r="G581" s="925"/>
      <c r="H581" s="925"/>
      <c r="I581" s="925"/>
      <c r="J581" s="495"/>
      <c r="K581" s="496"/>
      <c r="L581" s="496"/>
      <c r="M581" s="485">
        <f>(I578+(50*K581/1000))*L581*D578</f>
        <v>0</v>
      </c>
      <c r="N581" s="503" t="s">
        <v>64</v>
      </c>
      <c r="O581" s="496"/>
      <c r="P581" s="497"/>
      <c r="Q581" s="496"/>
      <c r="R581" s="498"/>
      <c r="S581" s="489">
        <f t="shared" si="118"/>
        <v>0</v>
      </c>
      <c r="T581" s="489">
        <f t="shared" si="112"/>
        <v>0</v>
      </c>
      <c r="U581" s="489">
        <f t="shared" si="113"/>
        <v>0</v>
      </c>
      <c r="V581" s="489">
        <f t="shared" si="114"/>
        <v>0</v>
      </c>
      <c r="W581" s="490">
        <f t="shared" si="115"/>
        <v>0</v>
      </c>
      <c r="X581" s="490">
        <f t="shared" si="116"/>
        <v>0</v>
      </c>
      <c r="Y581" s="489">
        <f t="shared" si="117"/>
        <v>0</v>
      </c>
    </row>
    <row r="582" spans="1:28" s="481" customFormat="1" ht="16.2" thickBot="1" x14ac:dyDescent="0.35">
      <c r="C582" s="507"/>
      <c r="D582" s="508">
        <f>SUM(D530:D581)</f>
        <v>15</v>
      </c>
      <c r="E582" s="507"/>
      <c r="F582" s="507"/>
      <c r="G582" s="509">
        <f>SUM(G530:G581)*I578</f>
        <v>85.74799999999999</v>
      </c>
      <c r="H582" s="509">
        <f>SUM(H530:H581)</f>
        <v>2.6258000000000004</v>
      </c>
      <c r="I582" s="510" t="s">
        <v>95</v>
      </c>
      <c r="J582" s="511">
        <f>SUM(J530:J581)</f>
        <v>8.927719999999999</v>
      </c>
      <c r="K582" s="507" t="s">
        <v>594</v>
      </c>
      <c r="L582" s="512"/>
      <c r="N582" s="512"/>
      <c r="O582" s="513"/>
      <c r="P582" s="909" t="s">
        <v>96</v>
      </c>
      <c r="Q582" s="909"/>
      <c r="R582" s="909"/>
      <c r="S582" s="514">
        <f t="shared" ref="S582:Y582" si="142">SUM(S530:S581)</f>
        <v>756.6</v>
      </c>
      <c r="T582" s="514">
        <f t="shared" si="142"/>
        <v>0</v>
      </c>
      <c r="U582" s="514">
        <f t="shared" si="142"/>
        <v>0</v>
      </c>
      <c r="V582" s="514">
        <f t="shared" si="142"/>
        <v>243.6</v>
      </c>
      <c r="W582" s="514">
        <f t="shared" si="142"/>
        <v>334.40000000000003</v>
      </c>
      <c r="X582" s="514">
        <f t="shared" si="142"/>
        <v>0</v>
      </c>
      <c r="Y582" s="514">
        <f t="shared" si="142"/>
        <v>0</v>
      </c>
      <c r="AA582" s="515"/>
    </row>
    <row r="583" spans="1:28" s="482" customFormat="1" x14ac:dyDescent="0.3">
      <c r="C583" s="481"/>
      <c r="G583" s="516" t="s">
        <v>595</v>
      </c>
      <c r="H583" s="516"/>
      <c r="J583" s="517"/>
      <c r="K583" s="518"/>
      <c r="L583" s="479"/>
      <c r="M583" s="478"/>
      <c r="O583" s="479"/>
      <c r="P583" s="910" t="s">
        <v>97</v>
      </c>
      <c r="Q583" s="910"/>
      <c r="R583" s="910"/>
      <c r="S583" s="56">
        <f>(8^2)/162</f>
        <v>0.39506172839506171</v>
      </c>
      <c r="T583" s="56">
        <f>(10^2)/162</f>
        <v>0.61728395061728392</v>
      </c>
      <c r="U583" s="56">
        <f>(12^2)/162</f>
        <v>0.88888888888888884</v>
      </c>
      <c r="V583" s="56">
        <f>(16^2)/162</f>
        <v>1.5802469135802468</v>
      </c>
      <c r="W583" s="56">
        <f>(20^2)/162</f>
        <v>2.4691358024691357</v>
      </c>
      <c r="X583" s="56">
        <f>(25^2)/162</f>
        <v>3.8580246913580245</v>
      </c>
      <c r="Y583" s="56">
        <f>(32^2)/162</f>
        <v>6.3209876543209873</v>
      </c>
    </row>
    <row r="584" spans="1:28" s="482" customFormat="1" ht="18.600000000000001" thickBot="1" x14ac:dyDescent="0.4">
      <c r="C584" s="481"/>
      <c r="J584" s="517"/>
      <c r="K584" s="518"/>
      <c r="L584" s="479"/>
      <c r="M584" s="478"/>
      <c r="O584" s="479"/>
      <c r="P584" s="910" t="s">
        <v>98</v>
      </c>
      <c r="Q584" s="910"/>
      <c r="R584" s="910"/>
      <c r="S584" s="519">
        <f t="shared" ref="S584:Y584" si="143">S583*S582/1000</f>
        <v>0.29890370370370367</v>
      </c>
      <c r="T584" s="519">
        <f t="shared" si="143"/>
        <v>0</v>
      </c>
      <c r="U584" s="519">
        <f t="shared" si="143"/>
        <v>0</v>
      </c>
      <c r="V584" s="519">
        <f t="shared" si="143"/>
        <v>0.38494814814814809</v>
      </c>
      <c r="W584" s="519">
        <f t="shared" si="143"/>
        <v>0.82567901234567909</v>
      </c>
      <c r="X584" s="519">
        <f t="shared" si="143"/>
        <v>0</v>
      </c>
      <c r="Y584" s="519">
        <f t="shared" si="143"/>
        <v>0</v>
      </c>
    </row>
    <row r="585" spans="1:28" s="482" customFormat="1" ht="18.600000000000001" thickBot="1" x14ac:dyDescent="0.4">
      <c r="C585" s="481"/>
      <c r="K585" s="518"/>
      <c r="L585" s="479"/>
      <c r="M585" s="478"/>
      <c r="O585" s="479"/>
      <c r="Q585" s="479"/>
      <c r="R585" s="478"/>
      <c r="S585" s="911" t="s">
        <v>95</v>
      </c>
      <c r="T585" s="912"/>
      <c r="U585" s="912"/>
      <c r="V585" s="912"/>
      <c r="W585" s="912"/>
      <c r="X585" s="913"/>
      <c r="Y585" s="520">
        <f>SUM(S584:Y584)</f>
        <v>1.5095308641975307</v>
      </c>
      <c r="Z585" s="521" t="s">
        <v>596</v>
      </c>
      <c r="AA585" s="522"/>
      <c r="AB585" s="522"/>
    </row>
    <row r="586" spans="1:28" s="482" customFormat="1" x14ac:dyDescent="0.3">
      <c r="C586" s="481"/>
      <c r="K586" s="518"/>
      <c r="L586" s="479"/>
      <c r="M586" s="478"/>
      <c r="O586" s="479"/>
      <c r="Q586" s="479"/>
      <c r="R586" s="478"/>
      <c r="S586" s="480"/>
      <c r="T586" s="480"/>
      <c r="U586" s="480"/>
      <c r="V586" s="480"/>
      <c r="W586" s="480"/>
      <c r="X586" s="480"/>
      <c r="Y586" s="480"/>
      <c r="Z586" s="523"/>
      <c r="AA586" s="523"/>
      <c r="AB586" s="517"/>
    </row>
    <row r="588" spans="1:28" x14ac:dyDescent="0.3">
      <c r="A588" s="967" t="s">
        <v>685</v>
      </c>
      <c r="B588" s="968"/>
      <c r="C588" s="968"/>
      <c r="D588" s="968"/>
      <c r="E588" s="968"/>
      <c r="F588" s="968"/>
      <c r="G588" s="968"/>
      <c r="H588" s="968"/>
      <c r="I588" s="968"/>
      <c r="J588" s="968"/>
      <c r="K588" s="968"/>
      <c r="L588" s="968"/>
      <c r="M588" s="968"/>
      <c r="N588" s="968"/>
      <c r="O588" s="968"/>
      <c r="P588" s="968"/>
      <c r="Q588" s="968"/>
      <c r="R588" s="968"/>
      <c r="S588" s="968"/>
      <c r="T588" s="968"/>
      <c r="U588" s="968"/>
      <c r="V588" s="968"/>
    </row>
    <row r="589" spans="1:28" x14ac:dyDescent="0.3">
      <c r="A589" s="968"/>
      <c r="B589" s="968"/>
      <c r="C589" s="968"/>
      <c r="D589" s="968"/>
      <c r="E589" s="968"/>
      <c r="F589" s="968"/>
      <c r="G589" s="968"/>
      <c r="H589" s="968"/>
      <c r="I589" s="968"/>
      <c r="J589" s="968"/>
      <c r="K589" s="968"/>
      <c r="L589" s="968"/>
      <c r="M589" s="968"/>
      <c r="N589" s="968"/>
      <c r="O589" s="968"/>
      <c r="P589" s="968"/>
      <c r="Q589" s="968"/>
      <c r="R589" s="968"/>
      <c r="S589" s="968"/>
      <c r="T589" s="968"/>
      <c r="U589" s="968"/>
      <c r="V589" s="968"/>
    </row>
    <row r="590" spans="1:28" outlineLevel="1" x14ac:dyDescent="0.3">
      <c r="A590" s="969" t="s">
        <v>37</v>
      </c>
      <c r="B590" s="969"/>
      <c r="C590" s="969"/>
      <c r="D590" s="969"/>
      <c r="E590" s="969"/>
      <c r="F590" s="969"/>
      <c r="G590" s="969"/>
      <c r="H590" s="969" t="s">
        <v>38</v>
      </c>
      <c r="I590" s="969"/>
      <c r="J590" s="969"/>
      <c r="K590" s="969" t="s">
        <v>39</v>
      </c>
      <c r="L590" s="969"/>
      <c r="M590" s="969"/>
      <c r="N590" s="969"/>
      <c r="O590" s="969"/>
      <c r="P590" s="970" t="s">
        <v>40</v>
      </c>
      <c r="Q590" s="970"/>
      <c r="R590" s="970"/>
      <c r="S590" s="970"/>
      <c r="T590" s="970"/>
      <c r="U590" s="970"/>
      <c r="V590" s="970"/>
    </row>
    <row r="591" spans="1:28" outlineLevel="1" x14ac:dyDescent="0.3">
      <c r="A591" s="971" t="s">
        <v>41</v>
      </c>
      <c r="B591" s="971" t="s">
        <v>42</v>
      </c>
      <c r="C591" s="971" t="s">
        <v>43</v>
      </c>
      <c r="D591" s="972" t="s">
        <v>44</v>
      </c>
      <c r="E591" s="973" t="s">
        <v>45</v>
      </c>
      <c r="F591" s="974" t="s">
        <v>46</v>
      </c>
      <c r="G591" s="974" t="s">
        <v>47</v>
      </c>
      <c r="H591" s="971" t="s">
        <v>48</v>
      </c>
      <c r="I591" s="971" t="s">
        <v>49</v>
      </c>
      <c r="J591" s="974" t="s">
        <v>50</v>
      </c>
      <c r="K591" s="971" t="s">
        <v>51</v>
      </c>
      <c r="L591" s="971" t="s">
        <v>52</v>
      </c>
      <c r="M591" s="973" t="s">
        <v>53</v>
      </c>
      <c r="N591" s="971" t="s">
        <v>54</v>
      </c>
      <c r="O591" s="975" t="s">
        <v>50</v>
      </c>
      <c r="P591" s="976" t="s">
        <v>55</v>
      </c>
      <c r="Q591" s="976" t="s">
        <v>56</v>
      </c>
      <c r="R591" s="976" t="s">
        <v>57</v>
      </c>
      <c r="S591" s="976" t="s">
        <v>58</v>
      </c>
      <c r="T591" s="976" t="s">
        <v>59</v>
      </c>
      <c r="U591" s="976" t="s">
        <v>60</v>
      </c>
      <c r="V591" s="976" t="s">
        <v>61</v>
      </c>
    </row>
    <row r="592" spans="1:28" outlineLevel="1" x14ac:dyDescent="0.3">
      <c r="A592" s="971"/>
      <c r="B592" s="971"/>
      <c r="C592" s="971"/>
      <c r="D592" s="972"/>
      <c r="E592" s="973"/>
      <c r="F592" s="974"/>
      <c r="G592" s="974"/>
      <c r="H592" s="971"/>
      <c r="I592" s="971"/>
      <c r="J592" s="974"/>
      <c r="K592" s="971"/>
      <c r="L592" s="971"/>
      <c r="M592" s="973"/>
      <c r="N592" s="971"/>
      <c r="O592" s="975"/>
      <c r="P592" s="976"/>
      <c r="Q592" s="976"/>
      <c r="R592" s="976"/>
      <c r="S592" s="976"/>
      <c r="T592" s="976"/>
      <c r="U592" s="976"/>
      <c r="V592" s="976"/>
    </row>
    <row r="593" spans="1:22" outlineLevel="1" x14ac:dyDescent="0.3">
      <c r="A593" s="936">
        <v>1</v>
      </c>
      <c r="B593" s="917" t="s">
        <v>62</v>
      </c>
      <c r="C593" s="981">
        <v>2</v>
      </c>
      <c r="D593" s="48">
        <v>1.3</v>
      </c>
      <c r="E593" s="49">
        <v>0.23</v>
      </c>
      <c r="F593" s="48">
        <v>2.9</v>
      </c>
      <c r="G593" s="48">
        <f>F593*E593*D593*C593</f>
        <v>1.7342000000000002</v>
      </c>
      <c r="H593" s="555">
        <v>16</v>
      </c>
      <c r="I593" s="555">
        <v>20</v>
      </c>
      <c r="J593" s="48">
        <f>(F593+(50*H593/1000))*I593*C593</f>
        <v>148</v>
      </c>
      <c r="K593" s="51" t="s">
        <v>63</v>
      </c>
      <c r="L593" s="555">
        <v>8</v>
      </c>
      <c r="M593" s="52">
        <v>0.1</v>
      </c>
      <c r="N593" s="555">
        <f>ROUND(((F593/2)/M593),0)+1</f>
        <v>16</v>
      </c>
      <c r="O593" s="53">
        <f>((((((((D593-0.08)+(E593-0.08))*2)+0.2)+((((E593-0.08)+0.2)*(((I593+I594+I595)/2)-2)))))))</f>
        <v>5.74</v>
      </c>
      <c r="P593" s="54">
        <f>O593*N593*C593</f>
        <v>183.68</v>
      </c>
      <c r="Q593" s="55">
        <f t="shared" ref="Q593:Q656" si="144">IF(H593=10,(J593),0)+IF(L593=10,(O593*N593),0)</f>
        <v>0</v>
      </c>
      <c r="R593" s="55">
        <f t="shared" ref="R593:R656" si="145">IF(H593=12,(J593),0)+IF(L593=12,(O593*N593),0)</f>
        <v>0</v>
      </c>
      <c r="S593" s="55">
        <f t="shared" ref="S593:S656" si="146">IF(H593=16,(J593),0)+IF(L593=16,(O593*N593),0)</f>
        <v>148</v>
      </c>
      <c r="T593" s="56">
        <f t="shared" ref="T593:T656" si="147">IF(H593=20,(J593),0)+IF(L593=20,(O593*N593),0)</f>
        <v>0</v>
      </c>
      <c r="U593" s="56">
        <f t="shared" ref="U593:U656" si="148">IF(H593=25,(J593),0)+IF(L593=25,(O593*N593),0)</f>
        <v>0</v>
      </c>
      <c r="V593" s="55">
        <f t="shared" ref="V593:V656" si="149">IF(H593=32,(J593),0)+IF(L593=32,(O593*N593),0)</f>
        <v>0</v>
      </c>
    </row>
    <row r="594" spans="1:22" outlineLevel="1" x14ac:dyDescent="0.3">
      <c r="A594" s="937"/>
      <c r="B594" s="918"/>
      <c r="C594" s="982"/>
      <c r="D594" s="57"/>
      <c r="E594" s="58"/>
      <c r="F594" s="57"/>
      <c r="G594" s="57"/>
      <c r="H594" s="556"/>
      <c r="I594" s="556"/>
      <c r="J594" s="57">
        <f>(F593+(50*H594/1000))*I594*C593</f>
        <v>0</v>
      </c>
      <c r="K594" s="60" t="s">
        <v>63</v>
      </c>
      <c r="L594" s="556">
        <v>8</v>
      </c>
      <c r="M594" s="61">
        <v>0.15</v>
      </c>
      <c r="N594" s="556">
        <f>ROUND((F593/2)/M594,0)+1</f>
        <v>11</v>
      </c>
      <c r="O594" s="53">
        <f>((((((((D593-0.08)+(E593-0.08))*2)+0.2)+((((E593-0.08)+0.2)*(((I594+I593+I595)/2)-2)))))))</f>
        <v>5.74</v>
      </c>
      <c r="P594" s="54">
        <f>O594*N594*C593</f>
        <v>126.28</v>
      </c>
      <c r="Q594" s="55">
        <f t="shared" si="144"/>
        <v>0</v>
      </c>
      <c r="R594" s="55">
        <f t="shared" si="145"/>
        <v>0</v>
      </c>
      <c r="S594" s="55">
        <f t="shared" si="146"/>
        <v>0</v>
      </c>
      <c r="T594" s="56">
        <f t="shared" si="147"/>
        <v>0</v>
      </c>
      <c r="U594" s="56">
        <f t="shared" si="148"/>
        <v>0</v>
      </c>
      <c r="V594" s="55">
        <f t="shared" si="149"/>
        <v>0</v>
      </c>
    </row>
    <row r="595" spans="1:22" outlineLevel="1" x14ac:dyDescent="0.3">
      <c r="A595" s="937"/>
      <c r="B595" s="918"/>
      <c r="C595" s="982"/>
      <c r="D595" s="57"/>
      <c r="E595" s="58"/>
      <c r="F595" s="57"/>
      <c r="G595" s="57"/>
      <c r="H595" s="556"/>
      <c r="I595" s="556"/>
      <c r="J595" s="57">
        <f>(F593+(50*H595/1000))*I595*C593</f>
        <v>0</v>
      </c>
      <c r="K595" s="60" t="s">
        <v>63</v>
      </c>
      <c r="L595" s="556"/>
      <c r="M595" s="61"/>
      <c r="N595" s="556"/>
      <c r="O595" s="62"/>
      <c r="P595" s="54">
        <f>O595</f>
        <v>0</v>
      </c>
      <c r="Q595" s="55">
        <f t="shared" si="144"/>
        <v>0</v>
      </c>
      <c r="R595" s="55">
        <f t="shared" si="145"/>
        <v>0</v>
      </c>
      <c r="S595" s="55">
        <f t="shared" si="146"/>
        <v>0</v>
      </c>
      <c r="T595" s="56">
        <f t="shared" si="147"/>
        <v>0</v>
      </c>
      <c r="U595" s="56">
        <f t="shared" si="148"/>
        <v>0</v>
      </c>
      <c r="V595" s="55">
        <f t="shared" si="149"/>
        <v>0</v>
      </c>
    </row>
    <row r="596" spans="1:22" outlineLevel="1" x14ac:dyDescent="0.3">
      <c r="A596" s="937"/>
      <c r="B596" s="918"/>
      <c r="C596" s="982"/>
      <c r="D596" s="57"/>
      <c r="E596" s="58"/>
      <c r="F596" s="57"/>
      <c r="G596" s="57"/>
      <c r="H596" s="556"/>
      <c r="I596" s="556"/>
      <c r="J596" s="57"/>
      <c r="K596" s="60" t="s">
        <v>63</v>
      </c>
      <c r="L596" s="556"/>
      <c r="M596" s="61"/>
      <c r="N596" s="556"/>
      <c r="O596" s="62"/>
      <c r="P596" s="54">
        <f>O596</f>
        <v>0</v>
      </c>
      <c r="Q596" s="55">
        <f t="shared" si="144"/>
        <v>0</v>
      </c>
      <c r="R596" s="55">
        <f t="shared" si="145"/>
        <v>0</v>
      </c>
      <c r="S596" s="55">
        <f t="shared" si="146"/>
        <v>0</v>
      </c>
      <c r="T596" s="56">
        <f t="shared" si="147"/>
        <v>0</v>
      </c>
      <c r="U596" s="56">
        <f t="shared" si="148"/>
        <v>0</v>
      </c>
      <c r="V596" s="55">
        <f t="shared" si="149"/>
        <v>0</v>
      </c>
    </row>
    <row r="597" spans="1:22" outlineLevel="1" x14ac:dyDescent="0.3">
      <c r="A597" s="938"/>
      <c r="B597" s="919"/>
      <c r="C597" s="983"/>
      <c r="D597" s="63"/>
      <c r="E597" s="64"/>
      <c r="F597" s="63"/>
      <c r="G597" s="63"/>
      <c r="H597" s="558"/>
      <c r="I597" s="558"/>
      <c r="J597" s="63"/>
      <c r="K597" s="66" t="s">
        <v>64</v>
      </c>
      <c r="L597" s="558"/>
      <c r="M597" s="67"/>
      <c r="N597" s="558"/>
      <c r="O597" s="53">
        <f>((((((((D597-0.08)+(E597-0.08))*2)+0.2)+((((E597-0.08)+0.2)*(((I597+I598)/2)-2))))*N597*C597)))</f>
        <v>0</v>
      </c>
      <c r="P597" s="54">
        <f>O597</f>
        <v>0</v>
      </c>
      <c r="Q597" s="55">
        <f t="shared" si="144"/>
        <v>0</v>
      </c>
      <c r="R597" s="55">
        <f t="shared" si="145"/>
        <v>0</v>
      </c>
      <c r="S597" s="55">
        <f t="shared" si="146"/>
        <v>0</v>
      </c>
      <c r="T597" s="56">
        <f t="shared" si="147"/>
        <v>0</v>
      </c>
      <c r="U597" s="56">
        <f t="shared" si="148"/>
        <v>0</v>
      </c>
      <c r="V597" s="55">
        <f t="shared" si="149"/>
        <v>0</v>
      </c>
    </row>
    <row r="598" spans="1:22" outlineLevel="1" x14ac:dyDescent="0.3">
      <c r="A598" s="936">
        <v>2</v>
      </c>
      <c r="B598" s="914" t="s">
        <v>65</v>
      </c>
      <c r="C598" s="936">
        <v>2</v>
      </c>
      <c r="D598" s="48">
        <v>1.35</v>
      </c>
      <c r="E598" s="49">
        <v>0.23</v>
      </c>
      <c r="F598" s="48">
        <v>2.9</v>
      </c>
      <c r="G598" s="48">
        <f>F598*E598*D598*C598</f>
        <v>1.8009000000000002</v>
      </c>
      <c r="H598" s="555">
        <v>20</v>
      </c>
      <c r="I598" s="555">
        <v>4</v>
      </c>
      <c r="J598" s="48">
        <f>(F598+(50*H598/1000))*I598*C598</f>
        <v>31.2</v>
      </c>
      <c r="K598" s="51" t="s">
        <v>66</v>
      </c>
      <c r="L598" s="555">
        <v>8</v>
      </c>
      <c r="M598" s="52">
        <v>0.1</v>
      </c>
      <c r="N598" s="555">
        <f>ROUND(((F598/2)/M598),0)+1</f>
        <v>16</v>
      </c>
      <c r="O598" s="53">
        <f>((((((((D598-0.08)+(E598-0.08))*2)+0.2)+((((E598-0.08)+0.2)*(((I598+I599+I600)/2)-2)))))))</f>
        <v>5.84</v>
      </c>
      <c r="P598" s="54">
        <f>O598*N598*C598</f>
        <v>186.88</v>
      </c>
      <c r="Q598" s="55">
        <f t="shared" si="144"/>
        <v>0</v>
      </c>
      <c r="R598" s="55">
        <f t="shared" si="145"/>
        <v>0</v>
      </c>
      <c r="S598" s="55">
        <f t="shared" si="146"/>
        <v>0</v>
      </c>
      <c r="T598" s="56">
        <f t="shared" si="147"/>
        <v>31.2</v>
      </c>
      <c r="U598" s="56">
        <f t="shared" si="148"/>
        <v>0</v>
      </c>
      <c r="V598" s="55">
        <f t="shared" si="149"/>
        <v>0</v>
      </c>
    </row>
    <row r="599" spans="1:22" outlineLevel="1" x14ac:dyDescent="0.3">
      <c r="A599" s="937"/>
      <c r="B599" s="915"/>
      <c r="C599" s="937"/>
      <c r="D599" s="57"/>
      <c r="E599" s="58"/>
      <c r="F599" s="57"/>
      <c r="G599" s="57"/>
      <c r="H599" s="556">
        <v>16</v>
      </c>
      <c r="I599" s="556">
        <v>16</v>
      </c>
      <c r="J599" s="57">
        <f>(F598+(50*H599/1000))*I599*C598</f>
        <v>118.4</v>
      </c>
      <c r="K599" s="60" t="s">
        <v>67</v>
      </c>
      <c r="L599" s="556">
        <v>8</v>
      </c>
      <c r="M599" s="61">
        <v>0.15</v>
      </c>
      <c r="N599" s="556">
        <f>ROUND((F598/2)/M599,0)+1</f>
        <v>11</v>
      </c>
      <c r="O599" s="53">
        <f>((((((((D598-0.08)+(E598-0.08))*2)+0.2)+((((E598-0.08)+0.2)*(((I599+I598+I600)/2)-2)))))))</f>
        <v>5.84</v>
      </c>
      <c r="P599" s="54">
        <f>O599*N599*C598</f>
        <v>128.47999999999999</v>
      </c>
      <c r="Q599" s="55">
        <f t="shared" si="144"/>
        <v>0</v>
      </c>
      <c r="R599" s="55">
        <f t="shared" si="145"/>
        <v>0</v>
      </c>
      <c r="S599" s="55">
        <f t="shared" si="146"/>
        <v>118.4</v>
      </c>
      <c r="T599" s="56">
        <f t="shared" si="147"/>
        <v>0</v>
      </c>
      <c r="U599" s="56">
        <f t="shared" si="148"/>
        <v>0</v>
      </c>
      <c r="V599" s="55">
        <f t="shared" si="149"/>
        <v>0</v>
      </c>
    </row>
    <row r="600" spans="1:22" outlineLevel="1" x14ac:dyDescent="0.3">
      <c r="A600" s="937"/>
      <c r="B600" s="915"/>
      <c r="C600" s="937"/>
      <c r="D600" s="57"/>
      <c r="E600" s="58"/>
      <c r="F600" s="57"/>
      <c r="G600" s="57"/>
      <c r="H600" s="556"/>
      <c r="I600" s="556"/>
      <c r="J600" s="57">
        <f>(F598+(50*H600/1000))*I600*C598</f>
        <v>0</v>
      </c>
      <c r="K600" s="60" t="s">
        <v>63</v>
      </c>
      <c r="L600" s="556"/>
      <c r="M600" s="61"/>
      <c r="N600" s="556"/>
      <c r="O600" s="62"/>
      <c r="P600" s="54"/>
      <c r="Q600" s="55">
        <f t="shared" si="144"/>
        <v>0</v>
      </c>
      <c r="R600" s="55">
        <f t="shared" si="145"/>
        <v>0</v>
      </c>
      <c r="S600" s="55">
        <f t="shared" si="146"/>
        <v>0</v>
      </c>
      <c r="T600" s="56">
        <f t="shared" si="147"/>
        <v>0</v>
      </c>
      <c r="U600" s="56">
        <f t="shared" si="148"/>
        <v>0</v>
      </c>
      <c r="V600" s="55">
        <f t="shared" si="149"/>
        <v>0</v>
      </c>
    </row>
    <row r="601" spans="1:22" outlineLevel="1" x14ac:dyDescent="0.3">
      <c r="A601" s="937"/>
      <c r="B601" s="915"/>
      <c r="C601" s="937"/>
      <c r="D601" s="57"/>
      <c r="E601" s="58"/>
      <c r="F601" s="57"/>
      <c r="G601" s="57"/>
      <c r="H601" s="556"/>
      <c r="I601" s="556"/>
      <c r="J601" s="57"/>
      <c r="K601" s="60" t="s">
        <v>63</v>
      </c>
      <c r="L601" s="556"/>
      <c r="M601" s="61"/>
      <c r="N601" s="556"/>
      <c r="O601" s="62"/>
      <c r="P601" s="54"/>
      <c r="Q601" s="55">
        <f t="shared" si="144"/>
        <v>0</v>
      </c>
      <c r="R601" s="55">
        <f t="shared" si="145"/>
        <v>0</v>
      </c>
      <c r="S601" s="55">
        <f t="shared" si="146"/>
        <v>0</v>
      </c>
      <c r="T601" s="56">
        <f t="shared" si="147"/>
        <v>0</v>
      </c>
      <c r="U601" s="56">
        <f t="shared" si="148"/>
        <v>0</v>
      </c>
      <c r="V601" s="55">
        <f t="shared" si="149"/>
        <v>0</v>
      </c>
    </row>
    <row r="602" spans="1:22" outlineLevel="1" x14ac:dyDescent="0.3">
      <c r="A602" s="937"/>
      <c r="B602" s="915"/>
      <c r="C602" s="937"/>
      <c r="D602" s="57"/>
      <c r="E602" s="58"/>
      <c r="F602" s="57"/>
      <c r="G602" s="57"/>
      <c r="H602" s="556"/>
      <c r="I602" s="556"/>
      <c r="J602" s="57"/>
      <c r="K602" s="60" t="s">
        <v>64</v>
      </c>
      <c r="L602" s="556"/>
      <c r="M602" s="61"/>
      <c r="N602" s="556"/>
      <c r="O602" s="62"/>
      <c r="P602" s="54"/>
      <c r="Q602" s="55">
        <f t="shared" si="144"/>
        <v>0</v>
      </c>
      <c r="R602" s="55">
        <f t="shared" si="145"/>
        <v>0</v>
      </c>
      <c r="S602" s="55">
        <f t="shared" si="146"/>
        <v>0</v>
      </c>
      <c r="T602" s="56">
        <f t="shared" si="147"/>
        <v>0</v>
      </c>
      <c r="U602" s="56">
        <f t="shared" si="148"/>
        <v>0</v>
      </c>
      <c r="V602" s="55">
        <f t="shared" si="149"/>
        <v>0</v>
      </c>
    </row>
    <row r="603" spans="1:22" outlineLevel="1" x14ac:dyDescent="0.3">
      <c r="A603" s="936">
        <v>3</v>
      </c>
      <c r="B603" s="914" t="s">
        <v>68</v>
      </c>
      <c r="C603" s="936">
        <v>1</v>
      </c>
      <c r="D603" s="48">
        <v>1.65</v>
      </c>
      <c r="E603" s="49">
        <v>0.23</v>
      </c>
      <c r="F603" s="48">
        <v>2.9</v>
      </c>
      <c r="G603" s="48">
        <f>F603*E603*D603*C603</f>
        <v>1.1005499999999999</v>
      </c>
      <c r="H603" s="555">
        <v>16</v>
      </c>
      <c r="I603" s="555">
        <v>20</v>
      </c>
      <c r="J603" s="48">
        <f>(F603+(50*H603/1000))*I603*C603</f>
        <v>74</v>
      </c>
      <c r="K603" s="51" t="s">
        <v>63</v>
      </c>
      <c r="L603" s="555">
        <v>8</v>
      </c>
      <c r="M603" s="52">
        <v>0.1</v>
      </c>
      <c r="N603" s="555">
        <f>ROUND(((F603/2)/M603),0)+1</f>
        <v>16</v>
      </c>
      <c r="O603" s="53">
        <f>((((((((D603-0.08)+(E603-0.08))*2)+0.2)+((((E603-0.08)+0.2)*(((I603+I604+I605)/2)-2)))))))</f>
        <v>7.49</v>
      </c>
      <c r="P603" s="54">
        <f>O603*N603*C603</f>
        <v>119.84</v>
      </c>
      <c r="Q603" s="55">
        <f t="shared" si="144"/>
        <v>0</v>
      </c>
      <c r="R603" s="55">
        <f t="shared" si="145"/>
        <v>0</v>
      </c>
      <c r="S603" s="55">
        <f t="shared" si="146"/>
        <v>74</v>
      </c>
      <c r="T603" s="56">
        <f t="shared" si="147"/>
        <v>0</v>
      </c>
      <c r="U603" s="56">
        <f t="shared" si="148"/>
        <v>0</v>
      </c>
      <c r="V603" s="55">
        <f t="shared" si="149"/>
        <v>0</v>
      </c>
    </row>
    <row r="604" spans="1:22" outlineLevel="1" x14ac:dyDescent="0.3">
      <c r="A604" s="937"/>
      <c r="B604" s="915"/>
      <c r="C604" s="937"/>
      <c r="D604" s="57"/>
      <c r="E604" s="58"/>
      <c r="F604" s="57"/>
      <c r="G604" s="57"/>
      <c r="H604" s="556">
        <v>12</v>
      </c>
      <c r="I604" s="556">
        <v>6</v>
      </c>
      <c r="J604" s="57">
        <f>(F603+(50*H604/1000))*I604*C603</f>
        <v>21</v>
      </c>
      <c r="K604" s="60" t="s">
        <v>63</v>
      </c>
      <c r="L604" s="556">
        <v>8</v>
      </c>
      <c r="M604" s="61">
        <v>0.15</v>
      </c>
      <c r="N604" s="556">
        <f>ROUND((F603/2)/M604,0)+1</f>
        <v>11</v>
      </c>
      <c r="O604" s="53">
        <f>((((((((D603-0.08)+(E603-0.08))*2)+0.2)+((((E603-0.08)+0.2)*(((I604+I603+I605)/2)-2)))))))</f>
        <v>7.49</v>
      </c>
      <c r="P604" s="54">
        <f>O604*N604*C603</f>
        <v>82.39</v>
      </c>
      <c r="Q604" s="55">
        <f t="shared" si="144"/>
        <v>0</v>
      </c>
      <c r="R604" s="55">
        <f t="shared" si="145"/>
        <v>21</v>
      </c>
      <c r="S604" s="55">
        <f t="shared" si="146"/>
        <v>0</v>
      </c>
      <c r="T604" s="56">
        <f t="shared" si="147"/>
        <v>0</v>
      </c>
      <c r="U604" s="56">
        <f t="shared" si="148"/>
        <v>0</v>
      </c>
      <c r="V604" s="55">
        <f t="shared" si="149"/>
        <v>0</v>
      </c>
    </row>
    <row r="605" spans="1:22" outlineLevel="1" x14ac:dyDescent="0.3">
      <c r="A605" s="937"/>
      <c r="B605" s="915"/>
      <c r="C605" s="937"/>
      <c r="D605" s="57"/>
      <c r="E605" s="58"/>
      <c r="F605" s="57"/>
      <c r="G605" s="57"/>
      <c r="H605" s="556"/>
      <c r="I605" s="556"/>
      <c r="J605" s="57">
        <f>(F603+(50*H605/1000))*I605*C603</f>
        <v>0</v>
      </c>
      <c r="K605" s="60" t="s">
        <v>63</v>
      </c>
      <c r="L605" s="556"/>
      <c r="M605" s="61"/>
      <c r="N605" s="556"/>
      <c r="O605" s="62"/>
      <c r="P605" s="54">
        <f>O605</f>
        <v>0</v>
      </c>
      <c r="Q605" s="55">
        <f t="shared" si="144"/>
        <v>0</v>
      </c>
      <c r="R605" s="55">
        <f t="shared" si="145"/>
        <v>0</v>
      </c>
      <c r="S605" s="55">
        <f t="shared" si="146"/>
        <v>0</v>
      </c>
      <c r="T605" s="56">
        <f t="shared" si="147"/>
        <v>0</v>
      </c>
      <c r="U605" s="56">
        <f t="shared" si="148"/>
        <v>0</v>
      </c>
      <c r="V605" s="55">
        <f t="shared" si="149"/>
        <v>0</v>
      </c>
    </row>
    <row r="606" spans="1:22" outlineLevel="1" x14ac:dyDescent="0.3">
      <c r="A606" s="937"/>
      <c r="B606" s="915"/>
      <c r="C606" s="937"/>
      <c r="D606" s="57"/>
      <c r="E606" s="58"/>
      <c r="F606" s="57"/>
      <c r="G606" s="57"/>
      <c r="H606" s="556"/>
      <c r="I606" s="556"/>
      <c r="J606" s="57"/>
      <c r="K606" s="60" t="s">
        <v>63</v>
      </c>
      <c r="L606" s="556"/>
      <c r="M606" s="61"/>
      <c r="N606" s="556"/>
      <c r="O606" s="62"/>
      <c r="P606" s="54">
        <f>O606</f>
        <v>0</v>
      </c>
      <c r="Q606" s="55">
        <f t="shared" si="144"/>
        <v>0</v>
      </c>
      <c r="R606" s="55">
        <f t="shared" si="145"/>
        <v>0</v>
      </c>
      <c r="S606" s="55">
        <f t="shared" si="146"/>
        <v>0</v>
      </c>
      <c r="T606" s="56">
        <f t="shared" si="147"/>
        <v>0</v>
      </c>
      <c r="U606" s="56">
        <f t="shared" si="148"/>
        <v>0</v>
      </c>
      <c r="V606" s="55">
        <f t="shared" si="149"/>
        <v>0</v>
      </c>
    </row>
    <row r="607" spans="1:22" outlineLevel="1" x14ac:dyDescent="0.3">
      <c r="A607" s="937"/>
      <c r="B607" s="915"/>
      <c r="C607" s="937"/>
      <c r="D607" s="57"/>
      <c r="E607" s="58"/>
      <c r="F607" s="57"/>
      <c r="G607" s="57"/>
      <c r="H607" s="556"/>
      <c r="I607" s="556"/>
      <c r="J607" s="57"/>
      <c r="K607" s="60" t="s">
        <v>64</v>
      </c>
      <c r="L607" s="556"/>
      <c r="M607" s="61"/>
      <c r="N607" s="556"/>
      <c r="O607" s="62"/>
      <c r="P607" s="54">
        <f>O607</f>
        <v>0</v>
      </c>
      <c r="Q607" s="55">
        <f t="shared" si="144"/>
        <v>0</v>
      </c>
      <c r="R607" s="55">
        <f t="shared" si="145"/>
        <v>0</v>
      </c>
      <c r="S607" s="55">
        <f t="shared" si="146"/>
        <v>0</v>
      </c>
      <c r="T607" s="56">
        <f t="shared" si="147"/>
        <v>0</v>
      </c>
      <c r="U607" s="56">
        <f t="shared" si="148"/>
        <v>0</v>
      </c>
      <c r="V607" s="55">
        <f t="shared" si="149"/>
        <v>0</v>
      </c>
    </row>
    <row r="608" spans="1:22" outlineLevel="1" x14ac:dyDescent="0.3">
      <c r="A608" s="936">
        <v>4</v>
      </c>
      <c r="B608" s="914" t="s">
        <v>69</v>
      </c>
      <c r="C608" s="936">
        <v>3</v>
      </c>
      <c r="D608" s="48">
        <v>1</v>
      </c>
      <c r="E608" s="49">
        <v>0.23</v>
      </c>
      <c r="F608" s="48">
        <v>2.9</v>
      </c>
      <c r="G608" s="48">
        <f>F608*E608*D608*C608</f>
        <v>2.0010000000000003</v>
      </c>
      <c r="H608" s="555">
        <v>16</v>
      </c>
      <c r="I608" s="555">
        <v>16</v>
      </c>
      <c r="J608" s="48">
        <f>(F608+(50*H608/1000))*I608*C608</f>
        <v>177.60000000000002</v>
      </c>
      <c r="K608" s="60" t="s">
        <v>63</v>
      </c>
      <c r="L608" s="555">
        <v>8</v>
      </c>
      <c r="M608" s="52">
        <v>0.1</v>
      </c>
      <c r="N608" s="555">
        <f>ROUND(((F608/2)/M608),0)+1</f>
        <v>16</v>
      </c>
      <c r="O608" s="53">
        <f>((((((((D608-0.08)+(E608-0.08))*2)+0.2)+((((E608-0.08)+0.2)*(((I608+I609+I610)/2)-2)))))))</f>
        <v>4.4400000000000004</v>
      </c>
      <c r="P608" s="54">
        <f>O608*N608*C608</f>
        <v>213.12</v>
      </c>
      <c r="Q608" s="55">
        <f t="shared" si="144"/>
        <v>0</v>
      </c>
      <c r="R608" s="55">
        <f t="shared" si="145"/>
        <v>0</v>
      </c>
      <c r="S608" s="55">
        <f t="shared" si="146"/>
        <v>177.60000000000002</v>
      </c>
      <c r="T608" s="56">
        <f t="shared" si="147"/>
        <v>0</v>
      </c>
      <c r="U608" s="56">
        <f t="shared" si="148"/>
        <v>0</v>
      </c>
      <c r="V608" s="55">
        <f t="shared" si="149"/>
        <v>0</v>
      </c>
    </row>
    <row r="609" spans="1:22" outlineLevel="1" x14ac:dyDescent="0.3">
      <c r="A609" s="937"/>
      <c r="B609" s="915"/>
      <c r="C609" s="937"/>
      <c r="D609" s="57"/>
      <c r="E609" s="58"/>
      <c r="F609" s="57"/>
      <c r="G609" s="57"/>
      <c r="H609" s="556"/>
      <c r="I609" s="556"/>
      <c r="J609" s="57">
        <f>(F608+(50*H609/1000))*I609*C608</f>
        <v>0</v>
      </c>
      <c r="K609" s="60" t="s">
        <v>63</v>
      </c>
      <c r="L609" s="556">
        <v>8</v>
      </c>
      <c r="M609" s="61">
        <v>0.15</v>
      </c>
      <c r="N609" s="556">
        <f>ROUND((F608/2)/M609,0)+1</f>
        <v>11</v>
      </c>
      <c r="O609" s="53">
        <f>((((((((D608-0.08)+(E608-0.08))*2)+0.2)+((((E608-0.08)+0.2)*(((I609+I608+I610)/2)-2)))))))</f>
        <v>4.4400000000000004</v>
      </c>
      <c r="P609" s="54">
        <f>O609*N609*C608</f>
        <v>146.52000000000001</v>
      </c>
      <c r="Q609" s="55">
        <f t="shared" si="144"/>
        <v>0</v>
      </c>
      <c r="R609" s="55">
        <f t="shared" si="145"/>
        <v>0</v>
      </c>
      <c r="S609" s="55">
        <f t="shared" si="146"/>
        <v>0</v>
      </c>
      <c r="T609" s="56">
        <f t="shared" si="147"/>
        <v>0</v>
      </c>
      <c r="U609" s="56">
        <f t="shared" si="148"/>
        <v>0</v>
      </c>
      <c r="V609" s="55">
        <f t="shared" si="149"/>
        <v>0</v>
      </c>
    </row>
    <row r="610" spans="1:22" outlineLevel="1" x14ac:dyDescent="0.3">
      <c r="A610" s="937"/>
      <c r="B610" s="915"/>
      <c r="C610" s="937"/>
      <c r="D610" s="57"/>
      <c r="E610" s="58"/>
      <c r="F610" s="57"/>
      <c r="G610" s="57"/>
      <c r="H610" s="556"/>
      <c r="I610" s="556"/>
      <c r="J610" s="57">
        <f>(F608+(50*H610/1000))*I610*C608</f>
        <v>0</v>
      </c>
      <c r="K610" s="60" t="s">
        <v>63</v>
      </c>
      <c r="L610" s="556"/>
      <c r="M610" s="61"/>
      <c r="N610" s="556"/>
      <c r="O610" s="62"/>
      <c r="P610" s="54">
        <f>O610</f>
        <v>0</v>
      </c>
      <c r="Q610" s="55">
        <f t="shared" si="144"/>
        <v>0</v>
      </c>
      <c r="R610" s="55">
        <f t="shared" si="145"/>
        <v>0</v>
      </c>
      <c r="S610" s="55">
        <f t="shared" si="146"/>
        <v>0</v>
      </c>
      <c r="T610" s="56">
        <f t="shared" si="147"/>
        <v>0</v>
      </c>
      <c r="U610" s="56">
        <f t="shared" si="148"/>
        <v>0</v>
      </c>
      <c r="V610" s="55">
        <f t="shared" si="149"/>
        <v>0</v>
      </c>
    </row>
    <row r="611" spans="1:22" outlineLevel="1" x14ac:dyDescent="0.3">
      <c r="A611" s="937"/>
      <c r="B611" s="915"/>
      <c r="C611" s="937"/>
      <c r="D611" s="57"/>
      <c r="E611" s="58"/>
      <c r="F611" s="57"/>
      <c r="G611" s="57"/>
      <c r="H611" s="556"/>
      <c r="I611" s="556"/>
      <c r="J611" s="57"/>
      <c r="K611" s="60" t="s">
        <v>63</v>
      </c>
      <c r="L611" s="556"/>
      <c r="M611" s="61"/>
      <c r="N611" s="556"/>
      <c r="O611" s="62"/>
      <c r="P611" s="54">
        <f>O611</f>
        <v>0</v>
      </c>
      <c r="Q611" s="55">
        <f t="shared" si="144"/>
        <v>0</v>
      </c>
      <c r="R611" s="55">
        <f t="shared" si="145"/>
        <v>0</v>
      </c>
      <c r="S611" s="55">
        <f t="shared" si="146"/>
        <v>0</v>
      </c>
      <c r="T611" s="56">
        <f t="shared" si="147"/>
        <v>0</v>
      </c>
      <c r="U611" s="56">
        <f t="shared" si="148"/>
        <v>0</v>
      </c>
      <c r="V611" s="55">
        <f t="shared" si="149"/>
        <v>0</v>
      </c>
    </row>
    <row r="612" spans="1:22" outlineLevel="1" x14ac:dyDescent="0.3">
      <c r="A612" s="937"/>
      <c r="B612" s="915"/>
      <c r="C612" s="937"/>
      <c r="D612" s="57"/>
      <c r="E612" s="58"/>
      <c r="F612" s="63"/>
      <c r="G612" s="57"/>
      <c r="H612" s="556"/>
      <c r="I612" s="556"/>
      <c r="J612" s="57"/>
      <c r="K612" s="60" t="s">
        <v>64</v>
      </c>
      <c r="L612" s="556"/>
      <c r="M612" s="61"/>
      <c r="N612" s="556"/>
      <c r="O612" s="62"/>
      <c r="P612" s="54">
        <f>O612</f>
        <v>0</v>
      </c>
      <c r="Q612" s="55">
        <f t="shared" si="144"/>
        <v>0</v>
      </c>
      <c r="R612" s="55">
        <f t="shared" si="145"/>
        <v>0</v>
      </c>
      <c r="S612" s="55">
        <f t="shared" si="146"/>
        <v>0</v>
      </c>
      <c r="T612" s="56">
        <f t="shared" si="147"/>
        <v>0</v>
      </c>
      <c r="U612" s="56">
        <f t="shared" si="148"/>
        <v>0</v>
      </c>
      <c r="V612" s="55">
        <f t="shared" si="149"/>
        <v>0</v>
      </c>
    </row>
    <row r="613" spans="1:22" outlineLevel="1" x14ac:dyDescent="0.3">
      <c r="A613" s="936">
        <v>5</v>
      </c>
      <c r="B613" s="914" t="s">
        <v>70</v>
      </c>
      <c r="C613" s="936">
        <v>2</v>
      </c>
      <c r="D613" s="48">
        <v>2.0499999999999998</v>
      </c>
      <c r="E613" s="49">
        <v>0.23</v>
      </c>
      <c r="F613" s="48">
        <v>2.9</v>
      </c>
      <c r="G613" s="48">
        <f>F613*E613*D613*C613</f>
        <v>2.7347000000000001</v>
      </c>
      <c r="H613" s="555">
        <v>20</v>
      </c>
      <c r="I613" s="555">
        <v>8</v>
      </c>
      <c r="J613" s="48">
        <f>(F613+(50*H613/1000))*I613*C613</f>
        <v>62.4</v>
      </c>
      <c r="K613" s="68" t="s">
        <v>63</v>
      </c>
      <c r="L613" s="555">
        <v>8</v>
      </c>
      <c r="M613" s="52">
        <v>0.1</v>
      </c>
      <c r="N613" s="555">
        <f>ROUND(((F613/2)/M613),0)+1</f>
        <v>16</v>
      </c>
      <c r="O613" s="53">
        <f>((((((((D613-0.08)+(E613-0.08))*2)+0.2)+((((E613-0.08)+0.2)*(((I613+I614+I615)/2)-2)))))))</f>
        <v>9.34</v>
      </c>
      <c r="P613" s="54">
        <f>O613*N613*C613</f>
        <v>298.88</v>
      </c>
      <c r="Q613" s="55">
        <f t="shared" si="144"/>
        <v>0</v>
      </c>
      <c r="R613" s="55">
        <f t="shared" si="145"/>
        <v>0</v>
      </c>
      <c r="S613" s="55">
        <f t="shared" si="146"/>
        <v>0</v>
      </c>
      <c r="T613" s="56">
        <f t="shared" si="147"/>
        <v>62.4</v>
      </c>
      <c r="U613" s="56">
        <f t="shared" si="148"/>
        <v>0</v>
      </c>
      <c r="V613" s="55">
        <f t="shared" si="149"/>
        <v>0</v>
      </c>
    </row>
    <row r="614" spans="1:22" outlineLevel="1" x14ac:dyDescent="0.3">
      <c r="A614" s="937"/>
      <c r="B614" s="915"/>
      <c r="C614" s="937"/>
      <c r="D614" s="57"/>
      <c r="E614" s="58"/>
      <c r="F614" s="57"/>
      <c r="G614" s="57"/>
      <c r="H614" s="556">
        <v>16</v>
      </c>
      <c r="I614" s="556">
        <v>24</v>
      </c>
      <c r="J614" s="57">
        <f>(F613+(50*H614/1000))*I614*C613</f>
        <v>177.60000000000002</v>
      </c>
      <c r="K614" s="60" t="s">
        <v>63</v>
      </c>
      <c r="L614" s="556">
        <v>8</v>
      </c>
      <c r="M614" s="61">
        <v>0.15</v>
      </c>
      <c r="N614" s="556">
        <f>ROUND((F613/2)/M614,0)+1</f>
        <v>11</v>
      </c>
      <c r="O614" s="53">
        <f>((((((((D613-0.08)+(E613-0.08))*2)+0.2)+((((E613-0.08)+0.2)*(((I614+I613+I615)/2)-2)))))))</f>
        <v>9.34</v>
      </c>
      <c r="P614" s="54">
        <f>O614*N614*C613</f>
        <v>205.48</v>
      </c>
      <c r="Q614" s="55">
        <f t="shared" si="144"/>
        <v>0</v>
      </c>
      <c r="R614" s="55">
        <f t="shared" si="145"/>
        <v>0</v>
      </c>
      <c r="S614" s="55">
        <f t="shared" si="146"/>
        <v>177.60000000000002</v>
      </c>
      <c r="T614" s="56">
        <f t="shared" si="147"/>
        <v>0</v>
      </c>
      <c r="U614" s="56">
        <f t="shared" si="148"/>
        <v>0</v>
      </c>
      <c r="V614" s="55">
        <f t="shared" si="149"/>
        <v>0</v>
      </c>
    </row>
    <row r="615" spans="1:22" outlineLevel="1" x14ac:dyDescent="0.3">
      <c r="A615" s="937"/>
      <c r="B615" s="915"/>
      <c r="C615" s="937"/>
      <c r="D615" s="57"/>
      <c r="E615" s="58"/>
      <c r="F615" s="57"/>
      <c r="G615" s="57"/>
      <c r="H615" s="556"/>
      <c r="I615" s="556"/>
      <c r="J615" s="57">
        <f>(F613+(50*H615/1000))*I615*C613</f>
        <v>0</v>
      </c>
      <c r="K615" s="60" t="s">
        <v>63</v>
      </c>
      <c r="L615" s="556"/>
      <c r="M615" s="61"/>
      <c r="N615" s="556"/>
      <c r="O615" s="62"/>
      <c r="P615" s="54">
        <f>O615</f>
        <v>0</v>
      </c>
      <c r="Q615" s="55">
        <f t="shared" si="144"/>
        <v>0</v>
      </c>
      <c r="R615" s="55">
        <f t="shared" si="145"/>
        <v>0</v>
      </c>
      <c r="S615" s="55">
        <f t="shared" si="146"/>
        <v>0</v>
      </c>
      <c r="T615" s="56">
        <f t="shared" si="147"/>
        <v>0</v>
      </c>
      <c r="U615" s="56">
        <f t="shared" si="148"/>
        <v>0</v>
      </c>
      <c r="V615" s="55">
        <f t="shared" si="149"/>
        <v>0</v>
      </c>
    </row>
    <row r="616" spans="1:22" outlineLevel="1" x14ac:dyDescent="0.3">
      <c r="A616" s="937"/>
      <c r="B616" s="915"/>
      <c r="C616" s="937"/>
      <c r="D616" s="57"/>
      <c r="E616" s="58"/>
      <c r="F616" s="57"/>
      <c r="G616" s="57"/>
      <c r="H616" s="556"/>
      <c r="I616" s="556"/>
      <c r="J616" s="57"/>
      <c r="K616" s="60" t="s">
        <v>63</v>
      </c>
      <c r="L616" s="556"/>
      <c r="M616" s="61"/>
      <c r="N616" s="556"/>
      <c r="O616" s="62"/>
      <c r="P616" s="54">
        <f>O616</f>
        <v>0</v>
      </c>
      <c r="Q616" s="55">
        <f t="shared" si="144"/>
        <v>0</v>
      </c>
      <c r="R616" s="55">
        <f t="shared" si="145"/>
        <v>0</v>
      </c>
      <c r="S616" s="55">
        <f t="shared" si="146"/>
        <v>0</v>
      </c>
      <c r="T616" s="56">
        <f t="shared" si="147"/>
        <v>0</v>
      </c>
      <c r="U616" s="56">
        <f t="shared" si="148"/>
        <v>0</v>
      </c>
      <c r="V616" s="55">
        <f t="shared" si="149"/>
        <v>0</v>
      </c>
    </row>
    <row r="617" spans="1:22" outlineLevel="1" x14ac:dyDescent="0.3">
      <c r="A617" s="937"/>
      <c r="B617" s="915"/>
      <c r="C617" s="937"/>
      <c r="D617" s="57"/>
      <c r="E617" s="58"/>
      <c r="F617" s="57"/>
      <c r="G617" s="57"/>
      <c r="H617" s="556"/>
      <c r="I617" s="556"/>
      <c r="J617" s="57"/>
      <c r="K617" s="60" t="s">
        <v>64</v>
      </c>
      <c r="L617" s="556"/>
      <c r="M617" s="61"/>
      <c r="N617" s="556"/>
      <c r="O617" s="62"/>
      <c r="P617" s="54">
        <f>O617</f>
        <v>0</v>
      </c>
      <c r="Q617" s="55">
        <f t="shared" si="144"/>
        <v>0</v>
      </c>
      <c r="R617" s="55">
        <f t="shared" si="145"/>
        <v>0</v>
      </c>
      <c r="S617" s="55">
        <f t="shared" si="146"/>
        <v>0</v>
      </c>
      <c r="T617" s="56">
        <f t="shared" si="147"/>
        <v>0</v>
      </c>
      <c r="U617" s="56">
        <f t="shared" si="148"/>
        <v>0</v>
      </c>
      <c r="V617" s="55">
        <f t="shared" si="149"/>
        <v>0</v>
      </c>
    </row>
    <row r="618" spans="1:22" outlineLevel="1" x14ac:dyDescent="0.3">
      <c r="A618" s="936">
        <v>5</v>
      </c>
      <c r="B618" s="914" t="s">
        <v>71</v>
      </c>
      <c r="C618" s="936">
        <v>2</v>
      </c>
      <c r="D618" s="48">
        <v>2.0499999999999998</v>
      </c>
      <c r="E618" s="49">
        <v>0.23</v>
      </c>
      <c r="F618" s="48">
        <v>2.9</v>
      </c>
      <c r="G618" s="48">
        <f>F618*E618*D618*C618</f>
        <v>2.7347000000000001</v>
      </c>
      <c r="H618" s="555">
        <v>20</v>
      </c>
      <c r="I618" s="555">
        <v>8</v>
      </c>
      <c r="J618" s="48">
        <f>(F618+(50*H618/1000))*I618*C618</f>
        <v>62.4</v>
      </c>
      <c r="K618" s="68" t="s">
        <v>63</v>
      </c>
      <c r="L618" s="555">
        <v>8</v>
      </c>
      <c r="M618" s="52">
        <v>0.1</v>
      </c>
      <c r="N618" s="555">
        <f>ROUND(((F618/2)/M618),0)+1</f>
        <v>16</v>
      </c>
      <c r="O618" s="53">
        <f>((((((((D618-0.08)+(E618-0.08))*2)+0.2)+((((E618-0.08)+0.2)*(((I618+I619+I620)/2)-2)))))))</f>
        <v>9.34</v>
      </c>
      <c r="P618" s="54">
        <f>O618*N618*C618</f>
        <v>298.88</v>
      </c>
      <c r="Q618" s="55">
        <f t="shared" si="144"/>
        <v>0</v>
      </c>
      <c r="R618" s="55">
        <f t="shared" si="145"/>
        <v>0</v>
      </c>
      <c r="S618" s="55">
        <f t="shared" si="146"/>
        <v>0</v>
      </c>
      <c r="T618" s="56">
        <f t="shared" si="147"/>
        <v>62.4</v>
      </c>
      <c r="U618" s="56">
        <f t="shared" si="148"/>
        <v>0</v>
      </c>
      <c r="V618" s="55">
        <f t="shared" si="149"/>
        <v>0</v>
      </c>
    </row>
    <row r="619" spans="1:22" outlineLevel="1" x14ac:dyDescent="0.3">
      <c r="A619" s="937"/>
      <c r="B619" s="915"/>
      <c r="C619" s="937"/>
      <c r="D619" s="57"/>
      <c r="E619" s="58"/>
      <c r="F619" s="57"/>
      <c r="G619" s="57"/>
      <c r="H619" s="556">
        <v>16</v>
      </c>
      <c r="I619" s="556">
        <v>24</v>
      </c>
      <c r="J619" s="57">
        <f>(F618+(50*H619/1000))*I619*C618</f>
        <v>177.60000000000002</v>
      </c>
      <c r="K619" s="60" t="s">
        <v>63</v>
      </c>
      <c r="L619" s="556">
        <v>8</v>
      </c>
      <c r="M619" s="61">
        <v>0.15</v>
      </c>
      <c r="N619" s="556">
        <f>ROUND((F618/2)/M619,0)+1</f>
        <v>11</v>
      </c>
      <c r="O619" s="53">
        <f>((((((((D618-0.08)+(E618-0.08))*2)+0.2)+((((E618-0.08)+0.2)*(((I619+I618+I620)/2)-2)))))))</f>
        <v>9.34</v>
      </c>
      <c r="P619" s="54">
        <f>O619*N619*C618</f>
        <v>205.48</v>
      </c>
      <c r="Q619" s="55">
        <f t="shared" si="144"/>
        <v>0</v>
      </c>
      <c r="R619" s="55">
        <f t="shared" si="145"/>
        <v>0</v>
      </c>
      <c r="S619" s="55">
        <f t="shared" si="146"/>
        <v>177.60000000000002</v>
      </c>
      <c r="T619" s="56">
        <f t="shared" si="147"/>
        <v>0</v>
      </c>
      <c r="U619" s="56">
        <f t="shared" si="148"/>
        <v>0</v>
      </c>
      <c r="V619" s="55">
        <f t="shared" si="149"/>
        <v>0</v>
      </c>
    </row>
    <row r="620" spans="1:22" outlineLevel="1" x14ac:dyDescent="0.3">
      <c r="A620" s="937"/>
      <c r="B620" s="915"/>
      <c r="C620" s="937"/>
      <c r="D620" s="57"/>
      <c r="E620" s="58"/>
      <c r="F620" s="57"/>
      <c r="G620" s="57"/>
      <c r="H620" s="556"/>
      <c r="I620" s="556"/>
      <c r="J620" s="57">
        <f>(F618+(50*H620/1000))*I620*C618</f>
        <v>0</v>
      </c>
      <c r="K620" s="60" t="s">
        <v>63</v>
      </c>
      <c r="L620" s="556"/>
      <c r="M620" s="61"/>
      <c r="N620" s="556"/>
      <c r="O620" s="62"/>
      <c r="P620" s="54">
        <f>O620</f>
        <v>0</v>
      </c>
      <c r="Q620" s="55">
        <f t="shared" si="144"/>
        <v>0</v>
      </c>
      <c r="R620" s="55">
        <f t="shared" si="145"/>
        <v>0</v>
      </c>
      <c r="S620" s="55">
        <f t="shared" si="146"/>
        <v>0</v>
      </c>
      <c r="T620" s="56">
        <f t="shared" si="147"/>
        <v>0</v>
      </c>
      <c r="U620" s="56">
        <f t="shared" si="148"/>
        <v>0</v>
      </c>
      <c r="V620" s="55">
        <f t="shared" si="149"/>
        <v>0</v>
      </c>
    </row>
    <row r="621" spans="1:22" outlineLevel="1" x14ac:dyDescent="0.3">
      <c r="A621" s="937"/>
      <c r="B621" s="915"/>
      <c r="C621" s="937"/>
      <c r="D621" s="57"/>
      <c r="E621" s="58"/>
      <c r="F621" s="57"/>
      <c r="G621" s="57"/>
      <c r="H621" s="556"/>
      <c r="I621" s="556"/>
      <c r="J621" s="57"/>
      <c r="K621" s="60" t="s">
        <v>63</v>
      </c>
      <c r="L621" s="556"/>
      <c r="M621" s="61"/>
      <c r="N621" s="556"/>
      <c r="O621" s="62"/>
      <c r="P621" s="54">
        <f>O621</f>
        <v>0</v>
      </c>
      <c r="Q621" s="55">
        <f t="shared" si="144"/>
        <v>0</v>
      </c>
      <c r="R621" s="55">
        <f t="shared" si="145"/>
        <v>0</v>
      </c>
      <c r="S621" s="55">
        <f t="shared" si="146"/>
        <v>0</v>
      </c>
      <c r="T621" s="56">
        <f t="shared" si="147"/>
        <v>0</v>
      </c>
      <c r="U621" s="56">
        <f t="shared" si="148"/>
        <v>0</v>
      </c>
      <c r="V621" s="55">
        <f t="shared" si="149"/>
        <v>0</v>
      </c>
    </row>
    <row r="622" spans="1:22" outlineLevel="1" x14ac:dyDescent="0.3">
      <c r="A622" s="937"/>
      <c r="B622" s="915"/>
      <c r="C622" s="937"/>
      <c r="D622" s="57"/>
      <c r="E622" s="58"/>
      <c r="F622" s="57"/>
      <c r="G622" s="57"/>
      <c r="H622" s="556"/>
      <c r="I622" s="556"/>
      <c r="J622" s="57"/>
      <c r="K622" s="60" t="s">
        <v>64</v>
      </c>
      <c r="L622" s="556"/>
      <c r="M622" s="61"/>
      <c r="N622" s="556"/>
      <c r="O622" s="62"/>
      <c r="P622" s="54">
        <f>O622</f>
        <v>0</v>
      </c>
      <c r="Q622" s="55">
        <f t="shared" si="144"/>
        <v>0</v>
      </c>
      <c r="R622" s="55">
        <f t="shared" si="145"/>
        <v>0</v>
      </c>
      <c r="S622" s="55">
        <f t="shared" si="146"/>
        <v>0</v>
      </c>
      <c r="T622" s="56">
        <f t="shared" si="147"/>
        <v>0</v>
      </c>
      <c r="U622" s="56">
        <f t="shared" si="148"/>
        <v>0</v>
      </c>
      <c r="V622" s="55">
        <f t="shared" si="149"/>
        <v>0</v>
      </c>
    </row>
    <row r="623" spans="1:22" outlineLevel="1" x14ac:dyDescent="0.3">
      <c r="A623" s="936">
        <v>6</v>
      </c>
      <c r="B623" s="914" t="s">
        <v>72</v>
      </c>
      <c r="C623" s="936">
        <v>2</v>
      </c>
      <c r="D623" s="48">
        <v>1.6</v>
      </c>
      <c r="E623" s="49">
        <v>0.23</v>
      </c>
      <c r="F623" s="48">
        <v>2.9</v>
      </c>
      <c r="G623" s="48">
        <f>F623*E623*D623*C623</f>
        <v>2.1344000000000003</v>
      </c>
      <c r="H623" s="555">
        <v>20</v>
      </c>
      <c r="I623" s="555">
        <v>16</v>
      </c>
      <c r="J623" s="48">
        <f>(F623+(50*H623/1000))*I623*C623</f>
        <v>124.8</v>
      </c>
      <c r="K623" s="68" t="s">
        <v>63</v>
      </c>
      <c r="L623" s="555">
        <v>8</v>
      </c>
      <c r="M623" s="52">
        <v>0.1</v>
      </c>
      <c r="N623" s="555">
        <f>ROUND(((F623/2)/M623),0)+1</f>
        <v>16</v>
      </c>
      <c r="O623" s="53">
        <f>((((((((D623-0.08)+(E623-0.08))*2)+0.2)+((((E623-0.08)+0.2)*(((I623+I624+I625)/2)-2)))))))</f>
        <v>6.69</v>
      </c>
      <c r="P623" s="54">
        <f>O623*N623*C623</f>
        <v>214.08</v>
      </c>
      <c r="Q623" s="55">
        <f t="shared" si="144"/>
        <v>0</v>
      </c>
      <c r="R623" s="55">
        <f t="shared" si="145"/>
        <v>0</v>
      </c>
      <c r="S623" s="55">
        <f t="shared" si="146"/>
        <v>0</v>
      </c>
      <c r="T623" s="56">
        <f t="shared" si="147"/>
        <v>124.8</v>
      </c>
      <c r="U623" s="56">
        <f t="shared" si="148"/>
        <v>0</v>
      </c>
      <c r="V623" s="55">
        <f t="shared" si="149"/>
        <v>0</v>
      </c>
    </row>
    <row r="624" spans="1:22" outlineLevel="1" x14ac:dyDescent="0.3">
      <c r="A624" s="937"/>
      <c r="B624" s="915"/>
      <c r="C624" s="937"/>
      <c r="D624" s="57"/>
      <c r="E624" s="58"/>
      <c r="F624" s="57"/>
      <c r="G624" s="57"/>
      <c r="H624" s="556">
        <v>16</v>
      </c>
      <c r="I624" s="556">
        <v>6</v>
      </c>
      <c r="J624" s="57">
        <f>(F623+(50*H624/1000))*I624*C623</f>
        <v>44.400000000000006</v>
      </c>
      <c r="K624" s="60" t="s">
        <v>63</v>
      </c>
      <c r="L624" s="556">
        <v>8</v>
      </c>
      <c r="M624" s="61">
        <v>0.15</v>
      </c>
      <c r="N624" s="556">
        <f>ROUND((F623/2)/M624,0)+1</f>
        <v>11</v>
      </c>
      <c r="O624" s="53">
        <f>((((((((D623-0.08)+(E623-0.08))*2)+0.2)+((((E623-0.08)+0.2)*(((I624+I623+I625)/2)-2)))))))</f>
        <v>6.69</v>
      </c>
      <c r="P624" s="54">
        <f>O624*N624*C623</f>
        <v>147.18</v>
      </c>
      <c r="Q624" s="55">
        <f t="shared" si="144"/>
        <v>0</v>
      </c>
      <c r="R624" s="55">
        <f t="shared" si="145"/>
        <v>0</v>
      </c>
      <c r="S624" s="55">
        <f t="shared" si="146"/>
        <v>44.400000000000006</v>
      </c>
      <c r="T624" s="56">
        <f t="shared" si="147"/>
        <v>0</v>
      </c>
      <c r="U624" s="56">
        <f t="shared" si="148"/>
        <v>0</v>
      </c>
      <c r="V624" s="55">
        <f t="shared" si="149"/>
        <v>0</v>
      </c>
    </row>
    <row r="625" spans="1:22" outlineLevel="1" x14ac:dyDescent="0.3">
      <c r="A625" s="937"/>
      <c r="B625" s="915"/>
      <c r="C625" s="937"/>
      <c r="D625" s="57"/>
      <c r="E625" s="58"/>
      <c r="F625" s="57"/>
      <c r="G625" s="57"/>
      <c r="H625" s="556"/>
      <c r="I625" s="556"/>
      <c r="J625" s="57">
        <f>(F623+(50*H625/1000))*I625*C623</f>
        <v>0</v>
      </c>
      <c r="K625" s="60" t="s">
        <v>63</v>
      </c>
      <c r="L625" s="556"/>
      <c r="M625" s="61"/>
      <c r="N625" s="556"/>
      <c r="O625" s="62"/>
      <c r="P625" s="54">
        <f>O625</f>
        <v>0</v>
      </c>
      <c r="Q625" s="55">
        <f t="shared" si="144"/>
        <v>0</v>
      </c>
      <c r="R625" s="55">
        <f t="shared" si="145"/>
        <v>0</v>
      </c>
      <c r="S625" s="55">
        <f t="shared" si="146"/>
        <v>0</v>
      </c>
      <c r="T625" s="56">
        <f t="shared" si="147"/>
        <v>0</v>
      </c>
      <c r="U625" s="56">
        <f t="shared" si="148"/>
        <v>0</v>
      </c>
      <c r="V625" s="55">
        <f t="shared" si="149"/>
        <v>0</v>
      </c>
    </row>
    <row r="626" spans="1:22" outlineLevel="1" x14ac:dyDescent="0.3">
      <c r="A626" s="937"/>
      <c r="B626" s="915"/>
      <c r="C626" s="937"/>
      <c r="D626" s="57"/>
      <c r="E626" s="58"/>
      <c r="F626" s="57"/>
      <c r="G626" s="57"/>
      <c r="H626" s="556"/>
      <c r="I626" s="556"/>
      <c r="J626" s="57"/>
      <c r="K626" s="60" t="s">
        <v>63</v>
      </c>
      <c r="L626" s="556"/>
      <c r="M626" s="61"/>
      <c r="N626" s="556"/>
      <c r="O626" s="62"/>
      <c r="P626" s="54">
        <f>O626</f>
        <v>0</v>
      </c>
      <c r="Q626" s="55">
        <f t="shared" si="144"/>
        <v>0</v>
      </c>
      <c r="R626" s="55">
        <f t="shared" si="145"/>
        <v>0</v>
      </c>
      <c r="S626" s="55">
        <f t="shared" si="146"/>
        <v>0</v>
      </c>
      <c r="T626" s="56">
        <f t="shared" si="147"/>
        <v>0</v>
      </c>
      <c r="U626" s="56">
        <f t="shared" si="148"/>
        <v>0</v>
      </c>
      <c r="V626" s="55">
        <f t="shared" si="149"/>
        <v>0</v>
      </c>
    </row>
    <row r="627" spans="1:22" outlineLevel="1" x14ac:dyDescent="0.3">
      <c r="A627" s="937"/>
      <c r="B627" s="915"/>
      <c r="C627" s="937"/>
      <c r="D627" s="57"/>
      <c r="E627" s="58"/>
      <c r="F627" s="57"/>
      <c r="G627" s="57"/>
      <c r="H627" s="556"/>
      <c r="I627" s="556"/>
      <c r="J627" s="57"/>
      <c r="K627" s="60" t="s">
        <v>64</v>
      </c>
      <c r="L627" s="556"/>
      <c r="M627" s="61"/>
      <c r="N627" s="556"/>
      <c r="O627" s="62"/>
      <c r="P627" s="54">
        <f>O627</f>
        <v>0</v>
      </c>
      <c r="Q627" s="55">
        <f t="shared" si="144"/>
        <v>0</v>
      </c>
      <c r="R627" s="55">
        <f t="shared" si="145"/>
        <v>0</v>
      </c>
      <c r="S627" s="55">
        <f t="shared" si="146"/>
        <v>0</v>
      </c>
      <c r="T627" s="56">
        <f t="shared" si="147"/>
        <v>0</v>
      </c>
      <c r="U627" s="56">
        <f t="shared" si="148"/>
        <v>0</v>
      </c>
      <c r="V627" s="55">
        <f t="shared" si="149"/>
        <v>0</v>
      </c>
    </row>
    <row r="628" spans="1:22" outlineLevel="1" x14ac:dyDescent="0.3">
      <c r="A628" s="936">
        <v>7</v>
      </c>
      <c r="B628" s="917" t="s">
        <v>73</v>
      </c>
      <c r="C628" s="981">
        <v>1</v>
      </c>
      <c r="D628" s="48">
        <v>1.7</v>
      </c>
      <c r="E628" s="49">
        <v>0.23</v>
      </c>
      <c r="F628" s="48">
        <v>2.9</v>
      </c>
      <c r="G628" s="48">
        <f>F628*E628*D628*C628</f>
        <v>1.1339000000000001</v>
      </c>
      <c r="H628" s="555">
        <v>20</v>
      </c>
      <c r="I628" s="555">
        <v>16</v>
      </c>
      <c r="J628" s="48">
        <f>(F628+(50*H628/1000))*I628*C628</f>
        <v>62.4</v>
      </c>
      <c r="K628" s="51" t="s">
        <v>66</v>
      </c>
      <c r="L628" s="555">
        <v>8</v>
      </c>
      <c r="M628" s="52">
        <v>0.1</v>
      </c>
      <c r="N628" s="555">
        <f>ROUND(((F628/2)/M628),0)+1</f>
        <v>16</v>
      </c>
      <c r="O628" s="53">
        <f>((((((((D628-0.08)+(E628-0.08))*2)+0.2)+((((E628-0.08)+0.2)*(((I628+I629+I630)/2)-2)))))))</f>
        <v>7.24</v>
      </c>
      <c r="P628" s="54">
        <f>O628*N628*C628</f>
        <v>115.84</v>
      </c>
      <c r="Q628" s="55">
        <f t="shared" si="144"/>
        <v>0</v>
      </c>
      <c r="R628" s="55">
        <f t="shared" si="145"/>
        <v>0</v>
      </c>
      <c r="S628" s="55">
        <f t="shared" si="146"/>
        <v>0</v>
      </c>
      <c r="T628" s="56">
        <f t="shared" si="147"/>
        <v>62.4</v>
      </c>
      <c r="U628" s="56">
        <f t="shared" si="148"/>
        <v>0</v>
      </c>
      <c r="V628" s="55">
        <f t="shared" si="149"/>
        <v>0</v>
      </c>
    </row>
    <row r="629" spans="1:22" outlineLevel="1" x14ac:dyDescent="0.3">
      <c r="A629" s="937"/>
      <c r="B629" s="918"/>
      <c r="C629" s="982"/>
      <c r="D629" s="57"/>
      <c r="E629" s="58"/>
      <c r="F629" s="57"/>
      <c r="G629" s="57"/>
      <c r="H629" s="556">
        <v>16</v>
      </c>
      <c r="I629" s="556">
        <v>8</v>
      </c>
      <c r="J629" s="57">
        <f>(F628+(50*H629/1000))*I629*C628</f>
        <v>29.6</v>
      </c>
      <c r="K629" s="60" t="s">
        <v>67</v>
      </c>
      <c r="L629" s="556">
        <v>8</v>
      </c>
      <c r="M629" s="61">
        <v>0.15</v>
      </c>
      <c r="N629" s="556">
        <f>ROUND((F628/2)/M629,0)+1</f>
        <v>11</v>
      </c>
      <c r="O629" s="53">
        <f>((((((((D628-0.08)+(E628-0.08))*2)+0.2)+((((E628-0.08)+0.2)*(((I629+I628+I630)/2)-2)))))))</f>
        <v>7.24</v>
      </c>
      <c r="P629" s="54">
        <f>O629*N629*C628</f>
        <v>79.64</v>
      </c>
      <c r="Q629" s="55">
        <f t="shared" si="144"/>
        <v>0</v>
      </c>
      <c r="R629" s="55">
        <f t="shared" si="145"/>
        <v>0</v>
      </c>
      <c r="S629" s="55">
        <f t="shared" si="146"/>
        <v>29.6</v>
      </c>
      <c r="T629" s="56">
        <f t="shared" si="147"/>
        <v>0</v>
      </c>
      <c r="U629" s="56">
        <f t="shared" si="148"/>
        <v>0</v>
      </c>
      <c r="V629" s="55">
        <f t="shared" si="149"/>
        <v>0</v>
      </c>
    </row>
    <row r="630" spans="1:22" outlineLevel="1" x14ac:dyDescent="0.3">
      <c r="A630" s="937"/>
      <c r="B630" s="918"/>
      <c r="C630" s="982"/>
      <c r="D630" s="57"/>
      <c r="E630" s="58"/>
      <c r="F630" s="57"/>
      <c r="G630" s="57"/>
      <c r="H630" s="556"/>
      <c r="I630" s="556"/>
      <c r="J630" s="57">
        <f>(F628+(50*H630/1000))*I630*C628</f>
        <v>0</v>
      </c>
      <c r="K630" s="60" t="s">
        <v>63</v>
      </c>
      <c r="L630" s="556"/>
      <c r="M630" s="61"/>
      <c r="N630" s="556"/>
      <c r="O630" s="62"/>
      <c r="P630" s="54"/>
      <c r="Q630" s="55">
        <f t="shared" si="144"/>
        <v>0</v>
      </c>
      <c r="R630" s="55">
        <f t="shared" si="145"/>
        <v>0</v>
      </c>
      <c r="S630" s="55">
        <f t="shared" si="146"/>
        <v>0</v>
      </c>
      <c r="T630" s="56">
        <f t="shared" si="147"/>
        <v>0</v>
      </c>
      <c r="U630" s="56">
        <f t="shared" si="148"/>
        <v>0</v>
      </c>
      <c r="V630" s="55">
        <f t="shared" si="149"/>
        <v>0</v>
      </c>
    </row>
    <row r="631" spans="1:22" outlineLevel="1" x14ac:dyDescent="0.3">
      <c r="A631" s="937"/>
      <c r="B631" s="919"/>
      <c r="C631" s="983"/>
      <c r="D631" s="57"/>
      <c r="E631" s="58"/>
      <c r="F631" s="57"/>
      <c r="G631" s="57"/>
      <c r="H631" s="556"/>
      <c r="I631" s="556"/>
      <c r="J631" s="57"/>
      <c r="K631" s="60" t="s">
        <v>64</v>
      </c>
      <c r="L631" s="556"/>
      <c r="M631" s="61"/>
      <c r="N631" s="556"/>
      <c r="O631" s="62"/>
      <c r="P631" s="54"/>
      <c r="Q631" s="55">
        <f t="shared" si="144"/>
        <v>0</v>
      </c>
      <c r="R631" s="55">
        <f t="shared" si="145"/>
        <v>0</v>
      </c>
      <c r="S631" s="55">
        <f t="shared" si="146"/>
        <v>0</v>
      </c>
      <c r="T631" s="56">
        <f t="shared" si="147"/>
        <v>0</v>
      </c>
      <c r="U631" s="56">
        <f t="shared" si="148"/>
        <v>0</v>
      </c>
      <c r="V631" s="55">
        <f t="shared" si="149"/>
        <v>0</v>
      </c>
    </row>
    <row r="632" spans="1:22" outlineLevel="1" x14ac:dyDescent="0.3">
      <c r="A632" s="936">
        <v>8</v>
      </c>
      <c r="B632" s="914" t="s">
        <v>74</v>
      </c>
      <c r="C632" s="936">
        <v>5</v>
      </c>
      <c r="D632" s="48">
        <v>1.1000000000000001</v>
      </c>
      <c r="E632" s="49">
        <v>0.23</v>
      </c>
      <c r="F632" s="48">
        <v>2.9</v>
      </c>
      <c r="G632" s="48">
        <f>F632*E632*D632*C632</f>
        <v>3.6685000000000008</v>
      </c>
      <c r="H632" s="555">
        <v>20</v>
      </c>
      <c r="I632" s="555">
        <v>8</v>
      </c>
      <c r="J632" s="48">
        <f>(F632+(50*H632/1000))*I632*C632</f>
        <v>156</v>
      </c>
      <c r="K632" s="51" t="s">
        <v>66</v>
      </c>
      <c r="L632" s="555">
        <v>8</v>
      </c>
      <c r="M632" s="52">
        <v>0.1</v>
      </c>
      <c r="N632" s="555">
        <f>ROUND(((F632/2)/M632),0)+1</f>
        <v>16</v>
      </c>
      <c r="O632" s="53">
        <f>((((((((D632-0.08)+(E632-0.08))*2)+0.2)+((((E632-0.08)+0.2)*(((I632+I633+I634)/2)-2)))))))</f>
        <v>4.6400000000000006</v>
      </c>
      <c r="P632" s="54">
        <f>O632*N632*C632</f>
        <v>371.20000000000005</v>
      </c>
      <c r="Q632" s="55">
        <f t="shared" si="144"/>
        <v>0</v>
      </c>
      <c r="R632" s="55">
        <f t="shared" si="145"/>
        <v>0</v>
      </c>
      <c r="S632" s="55">
        <f t="shared" si="146"/>
        <v>0</v>
      </c>
      <c r="T632" s="56">
        <f t="shared" si="147"/>
        <v>156</v>
      </c>
      <c r="U632" s="56">
        <f t="shared" si="148"/>
        <v>0</v>
      </c>
      <c r="V632" s="55">
        <f t="shared" si="149"/>
        <v>0</v>
      </c>
    </row>
    <row r="633" spans="1:22" outlineLevel="1" x14ac:dyDescent="0.3">
      <c r="A633" s="937"/>
      <c r="B633" s="915"/>
      <c r="C633" s="937"/>
      <c r="D633" s="57"/>
      <c r="E633" s="58"/>
      <c r="F633" s="57"/>
      <c r="G633" s="57"/>
      <c r="H633" s="556">
        <v>16</v>
      </c>
      <c r="I633" s="556">
        <v>8</v>
      </c>
      <c r="J633" s="57">
        <f>(F632+(50*H633/1000))*I633*C632</f>
        <v>148</v>
      </c>
      <c r="K633" s="60" t="s">
        <v>63</v>
      </c>
      <c r="L633" s="556">
        <v>8</v>
      </c>
      <c r="M633" s="61">
        <v>0.15</v>
      </c>
      <c r="N633" s="556">
        <f>ROUND((F632/2)/M633,0)+1</f>
        <v>11</v>
      </c>
      <c r="O633" s="53">
        <f>((((((((D632-0.08)+(E632-0.08))*2)+0.2)+((((E632-0.08)+0.2)*(((I633+I632+I634)/2)-2)))))))</f>
        <v>4.6400000000000006</v>
      </c>
      <c r="P633" s="54">
        <f>O633*N633*C632</f>
        <v>255.20000000000005</v>
      </c>
      <c r="Q633" s="55">
        <f t="shared" si="144"/>
        <v>0</v>
      </c>
      <c r="R633" s="55">
        <f t="shared" si="145"/>
        <v>0</v>
      </c>
      <c r="S633" s="55">
        <f t="shared" si="146"/>
        <v>148</v>
      </c>
      <c r="T633" s="56">
        <f t="shared" si="147"/>
        <v>0</v>
      </c>
      <c r="U633" s="56">
        <f t="shared" si="148"/>
        <v>0</v>
      </c>
      <c r="V633" s="55">
        <f t="shared" si="149"/>
        <v>0</v>
      </c>
    </row>
    <row r="634" spans="1:22" outlineLevel="1" x14ac:dyDescent="0.3">
      <c r="A634" s="937"/>
      <c r="B634" s="915"/>
      <c r="C634" s="937"/>
      <c r="D634" s="57"/>
      <c r="E634" s="58"/>
      <c r="F634" s="57"/>
      <c r="G634" s="57"/>
      <c r="H634" s="556"/>
      <c r="I634" s="556"/>
      <c r="J634" s="57">
        <f>(F632+(50*H634/1000))*I634*C632</f>
        <v>0</v>
      </c>
      <c r="K634" s="60" t="s">
        <v>63</v>
      </c>
      <c r="L634" s="556"/>
      <c r="M634" s="61"/>
      <c r="N634" s="556"/>
      <c r="O634" s="62"/>
      <c r="P634" s="54">
        <f t="shared" ref="P634:P639" si="150">O634</f>
        <v>0</v>
      </c>
      <c r="Q634" s="55">
        <f t="shared" si="144"/>
        <v>0</v>
      </c>
      <c r="R634" s="55">
        <f t="shared" si="145"/>
        <v>0</v>
      </c>
      <c r="S634" s="55">
        <f t="shared" si="146"/>
        <v>0</v>
      </c>
      <c r="T634" s="56">
        <f t="shared" si="147"/>
        <v>0</v>
      </c>
      <c r="U634" s="56">
        <f t="shared" si="148"/>
        <v>0</v>
      </c>
      <c r="V634" s="55">
        <f t="shared" si="149"/>
        <v>0</v>
      </c>
    </row>
    <row r="635" spans="1:22" outlineLevel="1" x14ac:dyDescent="0.3">
      <c r="A635" s="938"/>
      <c r="B635" s="916"/>
      <c r="C635" s="938"/>
      <c r="D635" s="63"/>
      <c r="E635" s="64"/>
      <c r="F635" s="63"/>
      <c r="G635" s="63"/>
      <c r="H635" s="558"/>
      <c r="I635" s="558"/>
      <c r="J635" s="63"/>
      <c r="K635" s="66" t="s">
        <v>64</v>
      </c>
      <c r="L635" s="558"/>
      <c r="M635" s="67"/>
      <c r="N635" s="558"/>
      <c r="O635" s="69"/>
      <c r="P635" s="54">
        <f t="shared" si="150"/>
        <v>0</v>
      </c>
      <c r="Q635" s="55">
        <f t="shared" si="144"/>
        <v>0</v>
      </c>
      <c r="R635" s="55">
        <f t="shared" si="145"/>
        <v>0</v>
      </c>
      <c r="S635" s="55">
        <f t="shared" si="146"/>
        <v>0</v>
      </c>
      <c r="T635" s="56">
        <f t="shared" si="147"/>
        <v>0</v>
      </c>
      <c r="U635" s="56">
        <f t="shared" si="148"/>
        <v>0</v>
      </c>
      <c r="V635" s="55">
        <f t="shared" si="149"/>
        <v>0</v>
      </c>
    </row>
    <row r="636" spans="1:22" outlineLevel="1" x14ac:dyDescent="0.3">
      <c r="A636" s="936">
        <v>9</v>
      </c>
      <c r="B636" s="914" t="s">
        <v>75</v>
      </c>
      <c r="C636" s="936">
        <v>0</v>
      </c>
      <c r="D636" s="48">
        <v>1.5</v>
      </c>
      <c r="E636" s="49">
        <v>0.23</v>
      </c>
      <c r="F636" s="48">
        <v>2.9</v>
      </c>
      <c r="G636" s="48">
        <f>F636*E636*D636*C636</f>
        <v>0</v>
      </c>
      <c r="H636" s="555">
        <v>20</v>
      </c>
      <c r="I636" s="555">
        <v>12</v>
      </c>
      <c r="J636" s="48">
        <f>(F636+(50*H636/1000))*I636*C636</f>
        <v>0</v>
      </c>
      <c r="K636" s="51" t="s">
        <v>66</v>
      </c>
      <c r="L636" s="555">
        <v>8</v>
      </c>
      <c r="M636" s="52">
        <v>0.1</v>
      </c>
      <c r="N636" s="555">
        <f>ROUND(((F636/2)/M636),0)+1</f>
        <v>16</v>
      </c>
      <c r="O636" s="53">
        <f>((((((((D636-0.08)+(E636-0.08))*2)+0.2)+((((E636-0.08)+0.2)*(((I636+I637+I638)/2)-2)))))))</f>
        <v>6.84</v>
      </c>
      <c r="P636" s="54">
        <f>O636*N636*C636</f>
        <v>0</v>
      </c>
      <c r="Q636" s="55">
        <f t="shared" si="144"/>
        <v>0</v>
      </c>
      <c r="R636" s="55">
        <f t="shared" si="145"/>
        <v>0</v>
      </c>
      <c r="S636" s="55">
        <f t="shared" si="146"/>
        <v>0</v>
      </c>
      <c r="T636" s="56">
        <f t="shared" si="147"/>
        <v>0</v>
      </c>
      <c r="U636" s="56">
        <f t="shared" si="148"/>
        <v>0</v>
      </c>
      <c r="V636" s="55">
        <f t="shared" si="149"/>
        <v>0</v>
      </c>
    </row>
    <row r="637" spans="1:22" outlineLevel="1" x14ac:dyDescent="0.3">
      <c r="A637" s="937"/>
      <c r="B637" s="915"/>
      <c r="C637" s="937"/>
      <c r="D637" s="57"/>
      <c r="E637" s="58"/>
      <c r="F637" s="57"/>
      <c r="G637" s="57"/>
      <c r="H637" s="556">
        <v>16</v>
      </c>
      <c r="I637" s="556">
        <v>12</v>
      </c>
      <c r="J637" s="57">
        <f>(F636+(50*H637/1000))*I637*C636</f>
        <v>0</v>
      </c>
      <c r="K637" s="60" t="s">
        <v>63</v>
      </c>
      <c r="L637" s="556">
        <v>8</v>
      </c>
      <c r="M637" s="61">
        <v>0.15</v>
      </c>
      <c r="N637" s="556">
        <f>ROUND((F636/2)/M637,0)+1</f>
        <v>11</v>
      </c>
      <c r="O637" s="53">
        <f>((((((((D636-0.08)+(E636-0.08))*2)+0.2)+((((E636-0.08)+0.2)*(((I637+I636+I638)/2)-2)))))))</f>
        <v>6.84</v>
      </c>
      <c r="P637" s="54">
        <f>O637*N637*C636</f>
        <v>0</v>
      </c>
      <c r="Q637" s="55">
        <f t="shared" si="144"/>
        <v>0</v>
      </c>
      <c r="R637" s="55">
        <f t="shared" si="145"/>
        <v>0</v>
      </c>
      <c r="S637" s="55">
        <f t="shared" si="146"/>
        <v>0</v>
      </c>
      <c r="T637" s="56">
        <f t="shared" si="147"/>
        <v>0</v>
      </c>
      <c r="U637" s="56">
        <f t="shared" si="148"/>
        <v>0</v>
      </c>
      <c r="V637" s="55">
        <f t="shared" si="149"/>
        <v>0</v>
      </c>
    </row>
    <row r="638" spans="1:22" outlineLevel="1" x14ac:dyDescent="0.3">
      <c r="A638" s="937"/>
      <c r="B638" s="915"/>
      <c r="C638" s="937"/>
      <c r="D638" s="57"/>
      <c r="E638" s="58"/>
      <c r="F638" s="57"/>
      <c r="G638" s="57"/>
      <c r="H638" s="556"/>
      <c r="I638" s="556"/>
      <c r="J638" s="57">
        <f>(F636+(50*H638/1000))*I638*C636</f>
        <v>0</v>
      </c>
      <c r="K638" s="60" t="s">
        <v>63</v>
      </c>
      <c r="L638" s="556"/>
      <c r="M638" s="61"/>
      <c r="N638" s="556"/>
      <c r="O638" s="62"/>
      <c r="P638" s="54">
        <f t="shared" si="150"/>
        <v>0</v>
      </c>
      <c r="Q638" s="55">
        <f t="shared" si="144"/>
        <v>0</v>
      </c>
      <c r="R638" s="55">
        <f t="shared" si="145"/>
        <v>0</v>
      </c>
      <c r="S638" s="55">
        <f t="shared" si="146"/>
        <v>0</v>
      </c>
      <c r="T638" s="56">
        <f t="shared" si="147"/>
        <v>0</v>
      </c>
      <c r="U638" s="56">
        <f t="shared" si="148"/>
        <v>0</v>
      </c>
      <c r="V638" s="55">
        <f t="shared" si="149"/>
        <v>0</v>
      </c>
    </row>
    <row r="639" spans="1:22" outlineLevel="1" x14ac:dyDescent="0.3">
      <c r="A639" s="938"/>
      <c r="B639" s="916"/>
      <c r="C639" s="938"/>
      <c r="D639" s="63"/>
      <c r="E639" s="64"/>
      <c r="F639" s="63"/>
      <c r="G639" s="63"/>
      <c r="H639" s="558"/>
      <c r="I639" s="558"/>
      <c r="J639" s="63"/>
      <c r="K639" s="66" t="s">
        <v>64</v>
      </c>
      <c r="L639" s="558"/>
      <c r="M639" s="67"/>
      <c r="N639" s="558"/>
      <c r="O639" s="69"/>
      <c r="P639" s="54">
        <f t="shared" si="150"/>
        <v>0</v>
      </c>
      <c r="Q639" s="55">
        <f t="shared" si="144"/>
        <v>0</v>
      </c>
      <c r="R639" s="55">
        <f t="shared" si="145"/>
        <v>0</v>
      </c>
      <c r="S639" s="55">
        <f t="shared" si="146"/>
        <v>0</v>
      </c>
      <c r="T639" s="56">
        <f t="shared" si="147"/>
        <v>0</v>
      </c>
      <c r="U639" s="56">
        <f t="shared" si="148"/>
        <v>0</v>
      </c>
      <c r="V639" s="55">
        <f t="shared" si="149"/>
        <v>0</v>
      </c>
    </row>
    <row r="640" spans="1:22" outlineLevel="1" x14ac:dyDescent="0.3">
      <c r="A640" s="936">
        <v>10</v>
      </c>
      <c r="B640" s="914" t="s">
        <v>76</v>
      </c>
      <c r="C640" s="936">
        <v>2</v>
      </c>
      <c r="D640" s="48">
        <v>2.76</v>
      </c>
      <c r="E640" s="49">
        <v>0.23</v>
      </c>
      <c r="F640" s="48">
        <v>2.9</v>
      </c>
      <c r="G640" s="48">
        <f>F640*E640*D640*C640</f>
        <v>3.6818399999999998</v>
      </c>
      <c r="H640" s="555">
        <v>20</v>
      </c>
      <c r="I640" s="555">
        <v>20</v>
      </c>
      <c r="J640" s="48">
        <f>(F640+(50*H640/1000))*I640*C640</f>
        <v>156</v>
      </c>
      <c r="K640" s="51" t="s">
        <v>66</v>
      </c>
      <c r="L640" s="555">
        <v>8</v>
      </c>
      <c r="M640" s="52">
        <v>0.1</v>
      </c>
      <c r="N640" s="555">
        <f>ROUND(((F640/2)/M640),0)+1</f>
        <v>16</v>
      </c>
      <c r="O640" s="53">
        <f>((((((((D640-0.08)+(E640-0.08))*2)+0.2)+((((E640-0.08)+0.2)*(((I640+I641+I642)/2)-2)))))))</f>
        <v>10.76</v>
      </c>
      <c r="P640" s="54">
        <f>O640*N640*C640</f>
        <v>344.32</v>
      </c>
      <c r="Q640" s="55">
        <f t="shared" si="144"/>
        <v>0</v>
      </c>
      <c r="R640" s="55">
        <f t="shared" si="145"/>
        <v>0</v>
      </c>
      <c r="S640" s="55">
        <f t="shared" si="146"/>
        <v>0</v>
      </c>
      <c r="T640" s="56">
        <f t="shared" si="147"/>
        <v>156</v>
      </c>
      <c r="U640" s="56">
        <f t="shared" si="148"/>
        <v>0</v>
      </c>
      <c r="V640" s="55">
        <f t="shared" si="149"/>
        <v>0</v>
      </c>
    </row>
    <row r="641" spans="1:22" outlineLevel="1" x14ac:dyDescent="0.3">
      <c r="A641" s="937"/>
      <c r="B641" s="915"/>
      <c r="C641" s="937"/>
      <c r="D641" s="57"/>
      <c r="E641" s="58"/>
      <c r="F641" s="57"/>
      <c r="G641" s="57"/>
      <c r="H641" s="556">
        <v>16</v>
      </c>
      <c r="I641" s="556">
        <v>12</v>
      </c>
      <c r="J641" s="57">
        <f>(F640+(50*H641/1000))*I641*C640</f>
        <v>88.800000000000011</v>
      </c>
      <c r="K641" s="60" t="s">
        <v>63</v>
      </c>
      <c r="L641" s="556">
        <v>8</v>
      </c>
      <c r="M641" s="61">
        <v>0.15</v>
      </c>
      <c r="N641" s="556">
        <f>ROUND((F640/2)/M641,0)+1</f>
        <v>11</v>
      </c>
      <c r="O641" s="53">
        <f>((((((((D640-0.08)+(E640-0.08))*2)+0.2)+((((E640-0.08)+0.2)*(((I641+I640+I642)/2)-2)))))))</f>
        <v>10.76</v>
      </c>
      <c r="P641" s="54">
        <f>O641*N641*C640</f>
        <v>236.72</v>
      </c>
      <c r="Q641" s="55">
        <f t="shared" si="144"/>
        <v>0</v>
      </c>
      <c r="R641" s="55">
        <f t="shared" si="145"/>
        <v>0</v>
      </c>
      <c r="S641" s="55">
        <f t="shared" si="146"/>
        <v>88.800000000000011</v>
      </c>
      <c r="T641" s="56">
        <f t="shared" si="147"/>
        <v>0</v>
      </c>
      <c r="U641" s="56">
        <f t="shared" si="148"/>
        <v>0</v>
      </c>
      <c r="V641" s="55">
        <f t="shared" si="149"/>
        <v>0</v>
      </c>
    </row>
    <row r="642" spans="1:22" outlineLevel="1" x14ac:dyDescent="0.3">
      <c r="A642" s="937"/>
      <c r="B642" s="915"/>
      <c r="C642" s="937"/>
      <c r="D642" s="57"/>
      <c r="E642" s="58"/>
      <c r="F642" s="57"/>
      <c r="G642" s="57"/>
      <c r="H642" s="556"/>
      <c r="I642" s="556"/>
      <c r="J642" s="57">
        <f>(F640+(50*H642/1000))*I642*C640</f>
        <v>0</v>
      </c>
      <c r="K642" s="60" t="s">
        <v>63</v>
      </c>
      <c r="L642" s="556"/>
      <c r="M642" s="61"/>
      <c r="N642" s="556"/>
      <c r="O642" s="62"/>
      <c r="P642" s="54">
        <f t="shared" ref="P642:P647" si="151">O642</f>
        <v>0</v>
      </c>
      <c r="Q642" s="55">
        <f t="shared" si="144"/>
        <v>0</v>
      </c>
      <c r="R642" s="55">
        <f t="shared" si="145"/>
        <v>0</v>
      </c>
      <c r="S642" s="55">
        <f t="shared" si="146"/>
        <v>0</v>
      </c>
      <c r="T642" s="56">
        <f t="shared" si="147"/>
        <v>0</v>
      </c>
      <c r="U642" s="56">
        <f t="shared" si="148"/>
        <v>0</v>
      </c>
      <c r="V642" s="55">
        <f t="shared" si="149"/>
        <v>0</v>
      </c>
    </row>
    <row r="643" spans="1:22" outlineLevel="1" x14ac:dyDescent="0.3">
      <c r="A643" s="938"/>
      <c r="B643" s="916"/>
      <c r="C643" s="938"/>
      <c r="D643" s="63"/>
      <c r="E643" s="64"/>
      <c r="F643" s="63"/>
      <c r="G643" s="63"/>
      <c r="H643" s="558"/>
      <c r="I643" s="558"/>
      <c r="J643" s="63"/>
      <c r="K643" s="66" t="s">
        <v>64</v>
      </c>
      <c r="L643" s="558"/>
      <c r="M643" s="67"/>
      <c r="N643" s="558"/>
      <c r="O643" s="69"/>
      <c r="P643" s="54">
        <f t="shared" si="151"/>
        <v>0</v>
      </c>
      <c r="Q643" s="55">
        <f t="shared" si="144"/>
        <v>0</v>
      </c>
      <c r="R643" s="55">
        <f t="shared" si="145"/>
        <v>0</v>
      </c>
      <c r="S643" s="55">
        <f t="shared" si="146"/>
        <v>0</v>
      </c>
      <c r="T643" s="56">
        <f t="shared" si="147"/>
        <v>0</v>
      </c>
      <c r="U643" s="56">
        <f t="shared" si="148"/>
        <v>0</v>
      </c>
      <c r="V643" s="55">
        <f t="shared" si="149"/>
        <v>0</v>
      </c>
    </row>
    <row r="644" spans="1:22" outlineLevel="1" x14ac:dyDescent="0.3">
      <c r="A644" s="936">
        <v>11</v>
      </c>
      <c r="B644" s="914" t="s">
        <v>77</v>
      </c>
      <c r="C644" s="936">
        <v>0</v>
      </c>
      <c r="D644" s="48">
        <v>3.65</v>
      </c>
      <c r="E644" s="49">
        <v>0.23</v>
      </c>
      <c r="F644" s="48">
        <v>2.9</v>
      </c>
      <c r="G644" s="48">
        <f>F644*E644*D644*C644</f>
        <v>0</v>
      </c>
      <c r="H644" s="556">
        <v>20</v>
      </c>
      <c r="I644" s="556">
        <v>8</v>
      </c>
      <c r="J644" s="48">
        <f>(F644+(50*H644/1000))*I644*C644</f>
        <v>0</v>
      </c>
      <c r="K644" s="51" t="s">
        <v>66</v>
      </c>
      <c r="L644" s="555">
        <v>8</v>
      </c>
      <c r="M644" s="52">
        <v>0.1</v>
      </c>
      <c r="N644" s="555">
        <f>ROUND(((F644/2)/M644),0)+1</f>
        <v>16</v>
      </c>
      <c r="O644" s="53">
        <f>((((((((D644-0.08)+(E644-0.08))*2)+0.2)+((((E644-0.08)+0.2)*(((I644+I645+I646)/2)-2)))))))</f>
        <v>16.04</v>
      </c>
      <c r="P644" s="54">
        <f>O644*N644*C644</f>
        <v>0</v>
      </c>
      <c r="Q644" s="55">
        <f t="shared" si="144"/>
        <v>0</v>
      </c>
      <c r="R644" s="55">
        <f t="shared" si="145"/>
        <v>0</v>
      </c>
      <c r="S644" s="55">
        <f t="shared" si="146"/>
        <v>0</v>
      </c>
      <c r="T644" s="56">
        <f t="shared" si="147"/>
        <v>0</v>
      </c>
      <c r="U644" s="56">
        <f t="shared" si="148"/>
        <v>0</v>
      </c>
      <c r="V644" s="55">
        <f t="shared" si="149"/>
        <v>0</v>
      </c>
    </row>
    <row r="645" spans="1:22" outlineLevel="1" x14ac:dyDescent="0.3">
      <c r="A645" s="937"/>
      <c r="B645" s="915"/>
      <c r="C645" s="937"/>
      <c r="D645" s="57"/>
      <c r="E645" s="58"/>
      <c r="F645" s="57"/>
      <c r="G645" s="57"/>
      <c r="H645" s="556">
        <v>16</v>
      </c>
      <c r="I645" s="556">
        <v>32</v>
      </c>
      <c r="J645" s="57">
        <f>(F644+(50*H645/1000))*I645*C644</f>
        <v>0</v>
      </c>
      <c r="K645" s="60" t="s">
        <v>63</v>
      </c>
      <c r="L645" s="556">
        <v>8</v>
      </c>
      <c r="M645" s="61">
        <v>0.15</v>
      </c>
      <c r="N645" s="556">
        <f>ROUND((F644/2)/M645,0)+1</f>
        <v>11</v>
      </c>
      <c r="O645" s="53">
        <f>((((((((D644-0.08)+(E644-0.08))*2)+0.2)+((((E644-0.08)+0.2)*(((I645+I644+I646)/2)-2)))))))</f>
        <v>16.04</v>
      </c>
      <c r="P645" s="54">
        <f>O645*N645*C644</f>
        <v>0</v>
      </c>
      <c r="Q645" s="55">
        <f t="shared" si="144"/>
        <v>0</v>
      </c>
      <c r="R645" s="55">
        <f t="shared" si="145"/>
        <v>0</v>
      </c>
      <c r="S645" s="55">
        <f t="shared" si="146"/>
        <v>0</v>
      </c>
      <c r="T645" s="56">
        <f t="shared" si="147"/>
        <v>0</v>
      </c>
      <c r="U645" s="56">
        <f t="shared" si="148"/>
        <v>0</v>
      </c>
      <c r="V645" s="55">
        <f t="shared" si="149"/>
        <v>0</v>
      </c>
    </row>
    <row r="646" spans="1:22" outlineLevel="1" x14ac:dyDescent="0.3">
      <c r="A646" s="937"/>
      <c r="B646" s="915"/>
      <c r="C646" s="937"/>
      <c r="D646" s="57"/>
      <c r="E646" s="58"/>
      <c r="F646" s="57"/>
      <c r="G646" s="57"/>
      <c r="H646" s="556">
        <v>12</v>
      </c>
      <c r="I646" s="556">
        <v>12</v>
      </c>
      <c r="J646" s="57">
        <f>(F644+(50*H646/1000))*I646*C644</f>
        <v>0</v>
      </c>
      <c r="K646" s="60" t="s">
        <v>63</v>
      </c>
      <c r="L646" s="556"/>
      <c r="M646" s="61"/>
      <c r="N646" s="556"/>
      <c r="O646" s="62"/>
      <c r="P646" s="54">
        <f t="shared" si="151"/>
        <v>0</v>
      </c>
      <c r="Q646" s="55">
        <f t="shared" si="144"/>
        <v>0</v>
      </c>
      <c r="R646" s="55">
        <f t="shared" si="145"/>
        <v>0</v>
      </c>
      <c r="S646" s="55">
        <f t="shared" si="146"/>
        <v>0</v>
      </c>
      <c r="T646" s="56">
        <f t="shared" si="147"/>
        <v>0</v>
      </c>
      <c r="U646" s="56">
        <f t="shared" si="148"/>
        <v>0</v>
      </c>
      <c r="V646" s="55">
        <f t="shared" si="149"/>
        <v>0</v>
      </c>
    </row>
    <row r="647" spans="1:22" outlineLevel="1" x14ac:dyDescent="0.3">
      <c r="A647" s="979"/>
      <c r="B647" s="980"/>
      <c r="C647" s="979"/>
      <c r="D647" s="70"/>
      <c r="E647" s="71"/>
      <c r="F647" s="70"/>
      <c r="G647" s="70"/>
      <c r="H647" s="557"/>
      <c r="I647" s="557"/>
      <c r="J647" s="70"/>
      <c r="K647" s="73" t="s">
        <v>64</v>
      </c>
      <c r="L647" s="557"/>
      <c r="M647" s="67"/>
      <c r="N647" s="558"/>
      <c r="O647" s="69"/>
      <c r="P647" s="54">
        <f t="shared" si="151"/>
        <v>0</v>
      </c>
      <c r="Q647" s="55">
        <f t="shared" si="144"/>
        <v>0</v>
      </c>
      <c r="R647" s="55">
        <f t="shared" si="145"/>
        <v>0</v>
      </c>
      <c r="S647" s="55">
        <f t="shared" si="146"/>
        <v>0</v>
      </c>
      <c r="T647" s="56">
        <f t="shared" si="147"/>
        <v>0</v>
      </c>
      <c r="U647" s="56">
        <f t="shared" si="148"/>
        <v>0</v>
      </c>
      <c r="V647" s="55">
        <f t="shared" si="149"/>
        <v>0</v>
      </c>
    </row>
    <row r="648" spans="1:22" outlineLevel="1" x14ac:dyDescent="0.3">
      <c r="A648" s="936">
        <v>12</v>
      </c>
      <c r="B648" s="914" t="s">
        <v>78</v>
      </c>
      <c r="C648" s="936">
        <v>0</v>
      </c>
      <c r="D648" s="48">
        <v>1.5</v>
      </c>
      <c r="E648" s="49">
        <v>0.23</v>
      </c>
      <c r="F648" s="48">
        <v>2.9</v>
      </c>
      <c r="G648" s="48">
        <f>F648*E648*D648*C648</f>
        <v>0</v>
      </c>
      <c r="H648" s="555">
        <v>16</v>
      </c>
      <c r="I648" s="555">
        <v>22</v>
      </c>
      <c r="J648" s="48">
        <f>(F648+(50*H648/1000))*I648*C648</f>
        <v>0</v>
      </c>
      <c r="K648" s="51" t="s">
        <v>66</v>
      </c>
      <c r="L648" s="555">
        <v>8</v>
      </c>
      <c r="M648" s="52">
        <v>0.1</v>
      </c>
      <c r="N648" s="555">
        <f>ROUND(((F648/2)/M648),0)+1</f>
        <v>16</v>
      </c>
      <c r="O648" s="53">
        <f>((((((((D648-0.08)+(E648-0.08))*2)+0.2)+((((E648-0.08)+0.2)*(((I648+I649+I650)/2)-2)))))))</f>
        <v>6.49</v>
      </c>
      <c r="P648" s="54">
        <f>O648*N648*C648</f>
        <v>0</v>
      </c>
      <c r="Q648" s="55">
        <f t="shared" si="144"/>
        <v>0</v>
      </c>
      <c r="R648" s="55">
        <f t="shared" si="145"/>
        <v>0</v>
      </c>
      <c r="S648" s="55">
        <f t="shared" si="146"/>
        <v>0</v>
      </c>
      <c r="T648" s="56">
        <f t="shared" si="147"/>
        <v>0</v>
      </c>
      <c r="U648" s="56">
        <f t="shared" si="148"/>
        <v>0</v>
      </c>
      <c r="V648" s="55">
        <f t="shared" si="149"/>
        <v>0</v>
      </c>
    </row>
    <row r="649" spans="1:22" outlineLevel="1" x14ac:dyDescent="0.3">
      <c r="A649" s="937"/>
      <c r="B649" s="915"/>
      <c r="C649" s="937"/>
      <c r="D649" s="57"/>
      <c r="E649" s="58"/>
      <c r="F649" s="57"/>
      <c r="G649" s="57"/>
      <c r="H649" s="556"/>
      <c r="I649" s="556"/>
      <c r="J649" s="57">
        <f>(F648+(50*H649/1000))*I649*C648</f>
        <v>0</v>
      </c>
      <c r="K649" s="60" t="s">
        <v>63</v>
      </c>
      <c r="L649" s="556">
        <v>8</v>
      </c>
      <c r="M649" s="61">
        <v>0.15</v>
      </c>
      <c r="N649" s="556">
        <f>ROUND((F648/2)/M649,0)+1</f>
        <v>11</v>
      </c>
      <c r="O649" s="53">
        <f>((((((((D648-0.08)+(E648-0.08))*2)+0.2)+((((E648-0.08)+0.2)*(((I649+I648+I650)/2)-2)))))))</f>
        <v>6.49</v>
      </c>
      <c r="P649" s="54">
        <f>O649*N649*C648</f>
        <v>0</v>
      </c>
      <c r="Q649" s="55">
        <f t="shared" si="144"/>
        <v>0</v>
      </c>
      <c r="R649" s="55">
        <f t="shared" si="145"/>
        <v>0</v>
      </c>
      <c r="S649" s="55">
        <f t="shared" si="146"/>
        <v>0</v>
      </c>
      <c r="T649" s="56">
        <f t="shared" si="147"/>
        <v>0</v>
      </c>
      <c r="U649" s="56">
        <f t="shared" si="148"/>
        <v>0</v>
      </c>
      <c r="V649" s="55">
        <f t="shared" si="149"/>
        <v>0</v>
      </c>
    </row>
    <row r="650" spans="1:22" outlineLevel="1" x14ac:dyDescent="0.3">
      <c r="A650" s="937"/>
      <c r="B650" s="915"/>
      <c r="C650" s="937"/>
      <c r="D650" s="57"/>
      <c r="E650" s="58"/>
      <c r="F650" s="57"/>
      <c r="G650" s="57"/>
      <c r="H650" s="556"/>
      <c r="I650" s="556"/>
      <c r="J650" s="57">
        <f>(F648+(50*H650/1000))*I650*C648</f>
        <v>0</v>
      </c>
      <c r="K650" s="60" t="s">
        <v>63</v>
      </c>
      <c r="L650" s="556"/>
      <c r="M650" s="61"/>
      <c r="N650" s="556"/>
      <c r="O650" s="62"/>
      <c r="P650" s="54">
        <f t="shared" ref="P650:P655" si="152">O650</f>
        <v>0</v>
      </c>
      <c r="Q650" s="55">
        <f t="shared" si="144"/>
        <v>0</v>
      </c>
      <c r="R650" s="55">
        <f t="shared" si="145"/>
        <v>0</v>
      </c>
      <c r="S650" s="55">
        <f t="shared" si="146"/>
        <v>0</v>
      </c>
      <c r="T650" s="56">
        <f t="shared" si="147"/>
        <v>0</v>
      </c>
      <c r="U650" s="56">
        <f t="shared" si="148"/>
        <v>0</v>
      </c>
      <c r="V650" s="55">
        <f t="shared" si="149"/>
        <v>0</v>
      </c>
    </row>
    <row r="651" spans="1:22" outlineLevel="1" x14ac:dyDescent="0.3">
      <c r="A651" s="979"/>
      <c r="B651" s="980"/>
      <c r="C651" s="979"/>
      <c r="D651" s="70"/>
      <c r="E651" s="71"/>
      <c r="F651" s="70"/>
      <c r="G651" s="70"/>
      <c r="H651" s="557"/>
      <c r="I651" s="557"/>
      <c r="J651" s="70"/>
      <c r="K651" s="73" t="s">
        <v>64</v>
      </c>
      <c r="L651" s="557"/>
      <c r="M651" s="67"/>
      <c r="N651" s="558"/>
      <c r="O651" s="69"/>
      <c r="P651" s="54">
        <f t="shared" si="152"/>
        <v>0</v>
      </c>
      <c r="Q651" s="55">
        <f t="shared" si="144"/>
        <v>0</v>
      </c>
      <c r="R651" s="55">
        <f t="shared" si="145"/>
        <v>0</v>
      </c>
      <c r="S651" s="55">
        <f t="shared" si="146"/>
        <v>0</v>
      </c>
      <c r="T651" s="56">
        <f t="shared" si="147"/>
        <v>0</v>
      </c>
      <c r="U651" s="56">
        <f t="shared" si="148"/>
        <v>0</v>
      </c>
      <c r="V651" s="55">
        <f t="shared" si="149"/>
        <v>0</v>
      </c>
    </row>
    <row r="652" spans="1:22" outlineLevel="1" x14ac:dyDescent="0.3">
      <c r="A652" s="936">
        <v>13</v>
      </c>
      <c r="B652" s="914" t="s">
        <v>79</v>
      </c>
      <c r="C652" s="936">
        <v>0</v>
      </c>
      <c r="D652" s="48">
        <v>2.15</v>
      </c>
      <c r="E652" s="49">
        <v>0.23</v>
      </c>
      <c r="F652" s="48">
        <v>2.9</v>
      </c>
      <c r="G652" s="48">
        <f>F652*E652*D652*C652</f>
        <v>0</v>
      </c>
      <c r="H652" s="555">
        <v>20</v>
      </c>
      <c r="I652" s="555">
        <v>8</v>
      </c>
      <c r="J652" s="48">
        <f>(F652+(50*H652/1000))*I652*C652</f>
        <v>0</v>
      </c>
      <c r="K652" s="51" t="s">
        <v>66</v>
      </c>
      <c r="L652" s="555">
        <v>8</v>
      </c>
      <c r="M652" s="52">
        <v>0.1</v>
      </c>
      <c r="N652" s="555">
        <f>ROUND(((F652/2)/M652),0)+1</f>
        <v>16</v>
      </c>
      <c r="O652" s="53">
        <f>((((((((D652-0.08)+(E652-0.08))*2)+0.2)+((((E652-0.08)+0.2)*(((I652+I653+I654)/2)-2)))))))</f>
        <v>9.5399999999999991</v>
      </c>
      <c r="P652" s="54">
        <f>O652*N652*C652</f>
        <v>0</v>
      </c>
      <c r="Q652" s="55">
        <f t="shared" si="144"/>
        <v>0</v>
      </c>
      <c r="R652" s="55">
        <f t="shared" si="145"/>
        <v>0</v>
      </c>
      <c r="S652" s="55">
        <f t="shared" si="146"/>
        <v>0</v>
      </c>
      <c r="T652" s="56">
        <f t="shared" si="147"/>
        <v>0</v>
      </c>
      <c r="U652" s="56">
        <f t="shared" si="148"/>
        <v>0</v>
      </c>
      <c r="V652" s="55">
        <f t="shared" si="149"/>
        <v>0</v>
      </c>
    </row>
    <row r="653" spans="1:22" outlineLevel="1" x14ac:dyDescent="0.3">
      <c r="A653" s="937"/>
      <c r="B653" s="915"/>
      <c r="C653" s="937"/>
      <c r="D653" s="57"/>
      <c r="E653" s="58"/>
      <c r="F653" s="57"/>
      <c r="G653" s="57"/>
      <c r="H653" s="556">
        <v>16</v>
      </c>
      <c r="I653" s="556">
        <v>24</v>
      </c>
      <c r="J653" s="57">
        <f>(F652+(50*H653/1000))*I653*C652</f>
        <v>0</v>
      </c>
      <c r="K653" s="60" t="s">
        <v>63</v>
      </c>
      <c r="L653" s="556">
        <v>8</v>
      </c>
      <c r="M653" s="61">
        <v>0.15</v>
      </c>
      <c r="N653" s="556">
        <f>ROUND((F652/2)/M653,0)+1</f>
        <v>11</v>
      </c>
      <c r="O653" s="53">
        <f>((((((((D652-0.08)+(E652-0.08))*2)+0.2)+((((E652-0.08)+0.2)*(((I653+I652+I654)/2)-2)))))))</f>
        <v>9.5399999999999991</v>
      </c>
      <c r="P653" s="54">
        <f>O653*N653*C652</f>
        <v>0</v>
      </c>
      <c r="Q653" s="55">
        <f t="shared" si="144"/>
        <v>0</v>
      </c>
      <c r="R653" s="55">
        <f t="shared" si="145"/>
        <v>0</v>
      </c>
      <c r="S653" s="55">
        <f t="shared" si="146"/>
        <v>0</v>
      </c>
      <c r="T653" s="56">
        <f t="shared" si="147"/>
        <v>0</v>
      </c>
      <c r="U653" s="56">
        <f t="shared" si="148"/>
        <v>0</v>
      </c>
      <c r="V653" s="55">
        <f t="shared" si="149"/>
        <v>0</v>
      </c>
    </row>
    <row r="654" spans="1:22" outlineLevel="1" x14ac:dyDescent="0.3">
      <c r="A654" s="937"/>
      <c r="B654" s="915"/>
      <c r="C654" s="937"/>
      <c r="D654" s="57"/>
      <c r="E654" s="58"/>
      <c r="F654" s="57"/>
      <c r="G654" s="57"/>
      <c r="H654" s="556"/>
      <c r="I654" s="556"/>
      <c r="J654" s="57">
        <f>(F652+(50*H654/1000))*I654*C652</f>
        <v>0</v>
      </c>
      <c r="K654" s="60" t="s">
        <v>63</v>
      </c>
      <c r="L654" s="556"/>
      <c r="M654" s="61"/>
      <c r="N654" s="556"/>
      <c r="O654" s="62"/>
      <c r="P654" s="54">
        <f t="shared" si="152"/>
        <v>0</v>
      </c>
      <c r="Q654" s="55">
        <f t="shared" si="144"/>
        <v>0</v>
      </c>
      <c r="R654" s="55">
        <f t="shared" si="145"/>
        <v>0</v>
      </c>
      <c r="S654" s="55">
        <f t="shared" si="146"/>
        <v>0</v>
      </c>
      <c r="T654" s="56">
        <f t="shared" si="147"/>
        <v>0</v>
      </c>
      <c r="U654" s="56">
        <f t="shared" si="148"/>
        <v>0</v>
      </c>
      <c r="V654" s="55">
        <f t="shared" si="149"/>
        <v>0</v>
      </c>
    </row>
    <row r="655" spans="1:22" outlineLevel="1" x14ac:dyDescent="0.3">
      <c r="A655" s="979"/>
      <c r="B655" s="980"/>
      <c r="C655" s="979"/>
      <c r="D655" s="70"/>
      <c r="E655" s="71"/>
      <c r="F655" s="70"/>
      <c r="G655" s="70"/>
      <c r="H655" s="557"/>
      <c r="I655" s="557"/>
      <c r="J655" s="70"/>
      <c r="K655" s="73" t="s">
        <v>64</v>
      </c>
      <c r="L655" s="557"/>
      <c r="M655" s="67"/>
      <c r="N655" s="558"/>
      <c r="O655" s="69"/>
      <c r="P655" s="54">
        <f t="shared" si="152"/>
        <v>0</v>
      </c>
      <c r="Q655" s="55">
        <f t="shared" si="144"/>
        <v>0</v>
      </c>
      <c r="R655" s="55">
        <f t="shared" si="145"/>
        <v>0</v>
      </c>
      <c r="S655" s="55">
        <f t="shared" si="146"/>
        <v>0</v>
      </c>
      <c r="T655" s="56">
        <f t="shared" si="147"/>
        <v>0</v>
      </c>
      <c r="U655" s="56">
        <f t="shared" si="148"/>
        <v>0</v>
      </c>
      <c r="V655" s="55">
        <f t="shared" si="149"/>
        <v>0</v>
      </c>
    </row>
    <row r="656" spans="1:22" outlineLevel="1" x14ac:dyDescent="0.3">
      <c r="A656" s="936">
        <v>13</v>
      </c>
      <c r="B656" s="914" t="s">
        <v>80</v>
      </c>
      <c r="C656" s="936">
        <v>0</v>
      </c>
      <c r="D656" s="48">
        <v>2.15</v>
      </c>
      <c r="E656" s="49">
        <v>0.23</v>
      </c>
      <c r="F656" s="48">
        <v>2.9</v>
      </c>
      <c r="G656" s="48">
        <f>F656*E656*D656*C656</f>
        <v>0</v>
      </c>
      <c r="H656" s="555">
        <v>20</v>
      </c>
      <c r="I656" s="555">
        <v>8</v>
      </c>
      <c r="J656" s="48">
        <f>(F656+(50*H656/1000))*I656*C656</f>
        <v>0</v>
      </c>
      <c r="K656" s="51" t="s">
        <v>66</v>
      </c>
      <c r="L656" s="555">
        <v>8</v>
      </c>
      <c r="M656" s="52">
        <v>0.1</v>
      </c>
      <c r="N656" s="555">
        <f>ROUND(((F656/2)/M656),0)+1</f>
        <v>16</v>
      </c>
      <c r="O656" s="53">
        <f>((((((((D656-0.08)+(E656-0.08))*2)+0.2)+((((E656-0.08)+0.2)*(((I656+I657+I658)/2)-2)))))))</f>
        <v>9.5399999999999991</v>
      </c>
      <c r="P656" s="54">
        <f>O656*N656*C656</f>
        <v>0</v>
      </c>
      <c r="Q656" s="55">
        <f t="shared" si="144"/>
        <v>0</v>
      </c>
      <c r="R656" s="55">
        <f t="shared" si="145"/>
        <v>0</v>
      </c>
      <c r="S656" s="55">
        <f t="shared" si="146"/>
        <v>0</v>
      </c>
      <c r="T656" s="56">
        <f t="shared" si="147"/>
        <v>0</v>
      </c>
      <c r="U656" s="56">
        <f t="shared" si="148"/>
        <v>0</v>
      </c>
      <c r="V656" s="55">
        <f t="shared" si="149"/>
        <v>0</v>
      </c>
    </row>
    <row r="657" spans="1:22" outlineLevel="1" x14ac:dyDescent="0.3">
      <c r="A657" s="937"/>
      <c r="B657" s="915"/>
      <c r="C657" s="937"/>
      <c r="D657" s="57"/>
      <c r="E657" s="58"/>
      <c r="F657" s="57"/>
      <c r="G657" s="57"/>
      <c r="H657" s="556">
        <v>16</v>
      </c>
      <c r="I657" s="556">
        <v>24</v>
      </c>
      <c r="J657" s="57">
        <f>(F656+(50*H657/1000))*I657*C656</f>
        <v>0</v>
      </c>
      <c r="K657" s="60" t="s">
        <v>63</v>
      </c>
      <c r="L657" s="556">
        <v>8</v>
      </c>
      <c r="M657" s="61">
        <v>0.15</v>
      </c>
      <c r="N657" s="556">
        <f>ROUND((F656/2)/M657,0)+1</f>
        <v>11</v>
      </c>
      <c r="O657" s="53">
        <f>((((((((D656-0.08)+(E656-0.08))*2)+0.2)+((((E656-0.08)+0.2)*(((I657+I656+I658)/2)-2)))))))</f>
        <v>9.5399999999999991</v>
      </c>
      <c r="P657" s="54">
        <f>O657*N657*C656</f>
        <v>0</v>
      </c>
      <c r="Q657" s="55">
        <f t="shared" ref="Q657:Q720" si="153">IF(H657=10,(J657),0)+IF(L657=10,(O657*N657),0)</f>
        <v>0</v>
      </c>
      <c r="R657" s="55">
        <f t="shared" ref="R657:R720" si="154">IF(H657=12,(J657),0)+IF(L657=12,(O657*N657),0)</f>
        <v>0</v>
      </c>
      <c r="S657" s="55">
        <f t="shared" ref="S657:S720" si="155">IF(H657=16,(J657),0)+IF(L657=16,(O657*N657),0)</f>
        <v>0</v>
      </c>
      <c r="T657" s="56">
        <f t="shared" ref="T657:T720" si="156">IF(H657=20,(J657),0)+IF(L657=20,(O657*N657),0)</f>
        <v>0</v>
      </c>
      <c r="U657" s="56">
        <f t="shared" ref="U657:U720" si="157">IF(H657=25,(J657),0)+IF(L657=25,(O657*N657),0)</f>
        <v>0</v>
      </c>
      <c r="V657" s="55">
        <f t="shared" ref="V657:V720" si="158">IF(H657=32,(J657),0)+IF(L657=32,(O657*N657),0)</f>
        <v>0</v>
      </c>
    </row>
    <row r="658" spans="1:22" outlineLevel="1" x14ac:dyDescent="0.3">
      <c r="A658" s="937"/>
      <c r="B658" s="915"/>
      <c r="C658" s="937"/>
      <c r="D658" s="57"/>
      <c r="E658" s="58"/>
      <c r="F658" s="57"/>
      <c r="G658" s="57"/>
      <c r="H658" s="556"/>
      <c r="I658" s="556"/>
      <c r="J658" s="57">
        <f>(F656+(50*H658/1000))*I658*C656</f>
        <v>0</v>
      </c>
      <c r="K658" s="60" t="s">
        <v>63</v>
      </c>
      <c r="L658" s="556"/>
      <c r="M658" s="61"/>
      <c r="N658" s="556"/>
      <c r="O658" s="62"/>
      <c r="P658" s="54">
        <f t="shared" ref="P658:P663" si="159">O658</f>
        <v>0</v>
      </c>
      <c r="Q658" s="55">
        <f t="shared" si="153"/>
        <v>0</v>
      </c>
      <c r="R658" s="55">
        <f t="shared" si="154"/>
        <v>0</v>
      </c>
      <c r="S658" s="55">
        <f t="shared" si="155"/>
        <v>0</v>
      </c>
      <c r="T658" s="56">
        <f t="shared" si="156"/>
        <v>0</v>
      </c>
      <c r="U658" s="56">
        <f t="shared" si="157"/>
        <v>0</v>
      </c>
      <c r="V658" s="55">
        <f t="shared" si="158"/>
        <v>0</v>
      </c>
    </row>
    <row r="659" spans="1:22" outlineLevel="1" x14ac:dyDescent="0.3">
      <c r="A659" s="979"/>
      <c r="B659" s="980"/>
      <c r="C659" s="979"/>
      <c r="D659" s="70"/>
      <c r="E659" s="71"/>
      <c r="F659" s="70"/>
      <c r="G659" s="70"/>
      <c r="H659" s="557"/>
      <c r="I659" s="557"/>
      <c r="J659" s="70"/>
      <c r="K659" s="73" t="s">
        <v>64</v>
      </c>
      <c r="L659" s="557"/>
      <c r="M659" s="67"/>
      <c r="N659" s="558"/>
      <c r="O659" s="69"/>
      <c r="P659" s="54">
        <f t="shared" si="159"/>
        <v>0</v>
      </c>
      <c r="Q659" s="55">
        <f t="shared" si="153"/>
        <v>0</v>
      </c>
      <c r="R659" s="55">
        <f t="shared" si="154"/>
        <v>0</v>
      </c>
      <c r="S659" s="55">
        <f t="shared" si="155"/>
        <v>0</v>
      </c>
      <c r="T659" s="56">
        <f t="shared" si="156"/>
        <v>0</v>
      </c>
      <c r="U659" s="56">
        <f t="shared" si="157"/>
        <v>0</v>
      </c>
      <c r="V659" s="55">
        <f t="shared" si="158"/>
        <v>0</v>
      </c>
    </row>
    <row r="660" spans="1:22" outlineLevel="1" x14ac:dyDescent="0.3">
      <c r="A660" s="936">
        <v>14</v>
      </c>
      <c r="B660" s="914" t="s">
        <v>81</v>
      </c>
      <c r="C660" s="936">
        <v>0</v>
      </c>
      <c r="D660" s="48">
        <v>2.5</v>
      </c>
      <c r="E660" s="49">
        <v>0.23</v>
      </c>
      <c r="F660" s="48">
        <v>2.9</v>
      </c>
      <c r="G660" s="48">
        <f>F660*E660*D660*C660</f>
        <v>0</v>
      </c>
      <c r="H660" s="556">
        <v>20</v>
      </c>
      <c r="I660" s="556">
        <v>8</v>
      </c>
      <c r="J660" s="48">
        <f>(F660+(50*H660/1000))*I660*C660</f>
        <v>0</v>
      </c>
      <c r="K660" s="51" t="s">
        <v>66</v>
      </c>
      <c r="L660" s="555">
        <v>8</v>
      </c>
      <c r="M660" s="52">
        <v>0.1</v>
      </c>
      <c r="N660" s="555">
        <f>ROUND(((F660/2)/M660),0)+1</f>
        <v>16</v>
      </c>
      <c r="O660" s="53">
        <f>((((((((D660-0.08)+(E660-0.08))*2)+0.2)+((((E660-0.08)+0.2)*(((I660+I661+I662)/2)-2)))))))</f>
        <v>11.29</v>
      </c>
      <c r="P660" s="54">
        <f>O660*N660*C660</f>
        <v>0</v>
      </c>
      <c r="Q660" s="55">
        <f t="shared" si="153"/>
        <v>0</v>
      </c>
      <c r="R660" s="55">
        <f t="shared" si="154"/>
        <v>0</v>
      </c>
      <c r="S660" s="55">
        <f t="shared" si="155"/>
        <v>0</v>
      </c>
      <c r="T660" s="56">
        <f t="shared" si="156"/>
        <v>0</v>
      </c>
      <c r="U660" s="56">
        <f t="shared" si="157"/>
        <v>0</v>
      </c>
      <c r="V660" s="55">
        <f t="shared" si="158"/>
        <v>0</v>
      </c>
    </row>
    <row r="661" spans="1:22" outlineLevel="1" x14ac:dyDescent="0.3">
      <c r="A661" s="937"/>
      <c r="B661" s="915"/>
      <c r="C661" s="937"/>
      <c r="D661" s="57"/>
      <c r="E661" s="58"/>
      <c r="F661" s="57"/>
      <c r="G661" s="57"/>
      <c r="H661" s="556">
        <v>16</v>
      </c>
      <c r="I661" s="556">
        <v>30</v>
      </c>
      <c r="J661" s="57">
        <f>(F660+(50*H661/1000))*I661*C660</f>
        <v>0</v>
      </c>
      <c r="K661" s="60" t="s">
        <v>63</v>
      </c>
      <c r="L661" s="556">
        <v>8</v>
      </c>
      <c r="M661" s="61">
        <v>0.15</v>
      </c>
      <c r="N661" s="556">
        <f>ROUND((F660/2)/M661,0)+1</f>
        <v>11</v>
      </c>
      <c r="O661" s="53">
        <f>((((((((D660-0.08)+(E660-0.08))*2)+0.2)+((((E660-0.08)+0.2)*(((I661+I660+I662)/2)-2)))))))</f>
        <v>11.29</v>
      </c>
      <c r="P661" s="54">
        <f>O661*N661*C660</f>
        <v>0</v>
      </c>
      <c r="Q661" s="55">
        <f t="shared" si="153"/>
        <v>0</v>
      </c>
      <c r="R661" s="55">
        <f t="shared" si="154"/>
        <v>0</v>
      </c>
      <c r="S661" s="55">
        <f t="shared" si="155"/>
        <v>0</v>
      </c>
      <c r="T661" s="56">
        <f t="shared" si="156"/>
        <v>0</v>
      </c>
      <c r="U661" s="56">
        <f t="shared" si="157"/>
        <v>0</v>
      </c>
      <c r="V661" s="55">
        <f t="shared" si="158"/>
        <v>0</v>
      </c>
    </row>
    <row r="662" spans="1:22" outlineLevel="1" x14ac:dyDescent="0.3">
      <c r="A662" s="937"/>
      <c r="B662" s="915"/>
      <c r="C662" s="937"/>
      <c r="D662" s="57"/>
      <c r="E662" s="58"/>
      <c r="F662" s="57"/>
      <c r="G662" s="57"/>
      <c r="H662" s="556"/>
      <c r="I662" s="556"/>
      <c r="J662" s="57"/>
      <c r="K662" s="60" t="s">
        <v>63</v>
      </c>
      <c r="L662" s="556"/>
      <c r="M662" s="61"/>
      <c r="N662" s="556"/>
      <c r="O662" s="62"/>
      <c r="P662" s="54">
        <f t="shared" si="159"/>
        <v>0</v>
      </c>
      <c r="Q662" s="55">
        <f t="shared" si="153"/>
        <v>0</v>
      </c>
      <c r="R662" s="55">
        <f t="shared" si="154"/>
        <v>0</v>
      </c>
      <c r="S662" s="55">
        <f t="shared" si="155"/>
        <v>0</v>
      </c>
      <c r="T662" s="56">
        <f t="shared" si="156"/>
        <v>0</v>
      </c>
      <c r="U662" s="56">
        <f t="shared" si="157"/>
        <v>0</v>
      </c>
      <c r="V662" s="55">
        <f t="shared" si="158"/>
        <v>0</v>
      </c>
    </row>
    <row r="663" spans="1:22" outlineLevel="1" x14ac:dyDescent="0.3">
      <c r="A663" s="979"/>
      <c r="B663" s="980"/>
      <c r="C663" s="979"/>
      <c r="D663" s="70"/>
      <c r="E663" s="71"/>
      <c r="F663" s="70"/>
      <c r="G663" s="70"/>
      <c r="H663" s="557"/>
      <c r="I663" s="557"/>
      <c r="J663" s="70"/>
      <c r="K663" s="73" t="s">
        <v>64</v>
      </c>
      <c r="L663" s="557"/>
      <c r="M663" s="67"/>
      <c r="N663" s="558"/>
      <c r="O663" s="69"/>
      <c r="P663" s="54">
        <f t="shared" si="159"/>
        <v>0</v>
      </c>
      <c r="Q663" s="55">
        <f t="shared" si="153"/>
        <v>0</v>
      </c>
      <c r="R663" s="55">
        <f t="shared" si="154"/>
        <v>0</v>
      </c>
      <c r="S663" s="55">
        <f t="shared" si="155"/>
        <v>0</v>
      </c>
      <c r="T663" s="56">
        <f t="shared" si="156"/>
        <v>0</v>
      </c>
      <c r="U663" s="56">
        <f t="shared" si="157"/>
        <v>0</v>
      </c>
      <c r="V663" s="55">
        <f t="shared" si="158"/>
        <v>0</v>
      </c>
    </row>
    <row r="664" spans="1:22" outlineLevel="1" x14ac:dyDescent="0.3">
      <c r="A664" s="936">
        <v>15</v>
      </c>
      <c r="B664" s="914" t="s">
        <v>82</v>
      </c>
      <c r="C664" s="936">
        <v>2</v>
      </c>
      <c r="D664" s="48">
        <v>1.85</v>
      </c>
      <c r="E664" s="49">
        <v>0.23</v>
      </c>
      <c r="F664" s="48">
        <v>2.9</v>
      </c>
      <c r="G664" s="48">
        <f>F664*E664*D664*C664</f>
        <v>2.4679000000000002</v>
      </c>
      <c r="H664" s="555">
        <v>16</v>
      </c>
      <c r="I664" s="555">
        <v>20</v>
      </c>
      <c r="J664" s="48">
        <f>(F664+(50*H664/1000))*I664*C664</f>
        <v>148</v>
      </c>
      <c r="K664" s="51" t="s">
        <v>66</v>
      </c>
      <c r="L664" s="555">
        <v>8</v>
      </c>
      <c r="M664" s="52">
        <v>0.1</v>
      </c>
      <c r="N664" s="555">
        <f>ROUND(((F664/2)/M664),0)+1</f>
        <v>16</v>
      </c>
      <c r="O664" s="53">
        <f>((((((((D664-0.08)+(E664-0.08))*2)+0.2)+((((E664-0.08)+0.2)*(((I664+I665+I666)/2)-2)))))))</f>
        <v>8.24</v>
      </c>
      <c r="P664" s="54">
        <f>O664*N664*C664</f>
        <v>263.68</v>
      </c>
      <c r="Q664" s="55">
        <f t="shared" si="153"/>
        <v>0</v>
      </c>
      <c r="R664" s="55">
        <f t="shared" si="154"/>
        <v>0</v>
      </c>
      <c r="S664" s="55">
        <f t="shared" si="155"/>
        <v>148</v>
      </c>
      <c r="T664" s="56">
        <f t="shared" si="156"/>
        <v>0</v>
      </c>
      <c r="U664" s="56">
        <f t="shared" si="157"/>
        <v>0</v>
      </c>
      <c r="V664" s="55">
        <f t="shared" si="158"/>
        <v>0</v>
      </c>
    </row>
    <row r="665" spans="1:22" outlineLevel="1" x14ac:dyDescent="0.3">
      <c r="A665" s="937"/>
      <c r="B665" s="915"/>
      <c r="C665" s="937"/>
      <c r="D665" s="57"/>
      <c r="E665" s="58"/>
      <c r="F665" s="57"/>
      <c r="G665" s="57"/>
      <c r="H665" s="556">
        <v>12</v>
      </c>
      <c r="I665" s="556">
        <v>8</v>
      </c>
      <c r="J665" s="57">
        <f>(F664+(50*H665/1000))*I665*C664</f>
        <v>56</v>
      </c>
      <c r="K665" s="60" t="s">
        <v>63</v>
      </c>
      <c r="L665" s="556">
        <v>8</v>
      </c>
      <c r="M665" s="61">
        <v>0.15</v>
      </c>
      <c r="N665" s="556">
        <f>ROUND((F664/2)/M665,0)+1</f>
        <v>11</v>
      </c>
      <c r="O665" s="53">
        <f>((((((((D664-0.08)+(E664-0.08))*2)+0.2)+((((E664-0.08)+0.2)*(((I665+I664+I666)/2)-2)))))))</f>
        <v>8.24</v>
      </c>
      <c r="P665" s="54">
        <f>O665*N665*C664</f>
        <v>181.28</v>
      </c>
      <c r="Q665" s="55">
        <f t="shared" si="153"/>
        <v>0</v>
      </c>
      <c r="R665" s="55">
        <f t="shared" si="154"/>
        <v>56</v>
      </c>
      <c r="S665" s="55">
        <f t="shared" si="155"/>
        <v>0</v>
      </c>
      <c r="T665" s="56">
        <f t="shared" si="156"/>
        <v>0</v>
      </c>
      <c r="U665" s="56">
        <f t="shared" si="157"/>
        <v>0</v>
      </c>
      <c r="V665" s="55">
        <f t="shared" si="158"/>
        <v>0</v>
      </c>
    </row>
    <row r="666" spans="1:22" outlineLevel="1" x14ac:dyDescent="0.3">
      <c r="A666" s="937"/>
      <c r="B666" s="915"/>
      <c r="C666" s="937"/>
      <c r="D666" s="57"/>
      <c r="E666" s="58"/>
      <c r="F666" s="57"/>
      <c r="G666" s="57"/>
      <c r="H666" s="556"/>
      <c r="I666" s="556"/>
      <c r="J666" s="57">
        <f>(F664+(50*H666/1000))*I666*C664</f>
        <v>0</v>
      </c>
      <c r="K666" s="60" t="s">
        <v>63</v>
      </c>
      <c r="L666" s="556"/>
      <c r="M666" s="61"/>
      <c r="N666" s="556"/>
      <c r="O666" s="62"/>
      <c r="P666" s="54">
        <f t="shared" ref="P666:P672" si="160">O666</f>
        <v>0</v>
      </c>
      <c r="Q666" s="55">
        <f t="shared" si="153"/>
        <v>0</v>
      </c>
      <c r="R666" s="55">
        <f t="shared" si="154"/>
        <v>0</v>
      </c>
      <c r="S666" s="55">
        <f t="shared" si="155"/>
        <v>0</v>
      </c>
      <c r="T666" s="56">
        <f t="shared" si="156"/>
        <v>0</v>
      </c>
      <c r="U666" s="56">
        <f t="shared" si="157"/>
        <v>0</v>
      </c>
      <c r="V666" s="55">
        <f t="shared" si="158"/>
        <v>0</v>
      </c>
    </row>
    <row r="667" spans="1:22" outlineLevel="1" x14ac:dyDescent="0.3">
      <c r="A667" s="979"/>
      <c r="B667" s="980"/>
      <c r="C667" s="979"/>
      <c r="D667" s="70"/>
      <c r="E667" s="71"/>
      <c r="F667" s="70"/>
      <c r="G667" s="70"/>
      <c r="H667" s="557"/>
      <c r="I667" s="557"/>
      <c r="J667" s="70"/>
      <c r="K667" s="73" t="s">
        <v>64</v>
      </c>
      <c r="L667" s="557"/>
      <c r="M667" s="67"/>
      <c r="N667" s="558"/>
      <c r="O667" s="69"/>
      <c r="P667" s="54">
        <f t="shared" si="160"/>
        <v>0</v>
      </c>
      <c r="Q667" s="55">
        <f t="shared" si="153"/>
        <v>0</v>
      </c>
      <c r="R667" s="55">
        <f t="shared" si="154"/>
        <v>0</v>
      </c>
      <c r="S667" s="55">
        <f t="shared" si="155"/>
        <v>0</v>
      </c>
      <c r="T667" s="56">
        <f t="shared" si="156"/>
        <v>0</v>
      </c>
      <c r="U667" s="56">
        <f t="shared" si="157"/>
        <v>0</v>
      </c>
      <c r="V667" s="55">
        <f t="shared" si="158"/>
        <v>0</v>
      </c>
    </row>
    <row r="668" spans="1:22" outlineLevel="1" x14ac:dyDescent="0.3">
      <c r="A668" s="936">
        <v>16</v>
      </c>
      <c r="B668" s="917" t="s">
        <v>83</v>
      </c>
      <c r="C668" s="981">
        <v>2</v>
      </c>
      <c r="D668" s="48">
        <v>1.7</v>
      </c>
      <c r="E668" s="49">
        <v>0.23</v>
      </c>
      <c r="F668" s="48">
        <v>2.9</v>
      </c>
      <c r="G668" s="48">
        <f>F668*E668*D668*C668</f>
        <v>2.2678000000000003</v>
      </c>
      <c r="H668" s="555">
        <v>20</v>
      </c>
      <c r="I668" s="555">
        <v>12</v>
      </c>
      <c r="J668" s="48">
        <f>(F668+(50*H668/1000))*I668*C668</f>
        <v>93.6</v>
      </c>
      <c r="K668" s="51" t="s">
        <v>84</v>
      </c>
      <c r="L668" s="555">
        <v>8</v>
      </c>
      <c r="M668" s="52">
        <v>0.1</v>
      </c>
      <c r="N668" s="555">
        <f>ROUND(((F668/2)/M668),0)+1</f>
        <v>16</v>
      </c>
      <c r="O668" s="53">
        <f>((((((((D668-0.08)+(E668-0.08))*2)+0.2)+((((E668-0.08)+0.2)*(((I668+I669+I670)/2)-2)))))))</f>
        <v>6.8900000000000006</v>
      </c>
      <c r="P668" s="54">
        <f>O668*N668*C668</f>
        <v>220.48000000000002</v>
      </c>
      <c r="Q668" s="55">
        <f t="shared" si="153"/>
        <v>0</v>
      </c>
      <c r="R668" s="55">
        <f t="shared" si="154"/>
        <v>0</v>
      </c>
      <c r="S668" s="55">
        <f t="shared" si="155"/>
        <v>0</v>
      </c>
      <c r="T668" s="56">
        <f t="shared" si="156"/>
        <v>93.6</v>
      </c>
      <c r="U668" s="56">
        <f t="shared" si="157"/>
        <v>0</v>
      </c>
      <c r="V668" s="55">
        <f t="shared" si="158"/>
        <v>0</v>
      </c>
    </row>
    <row r="669" spans="1:22" outlineLevel="1" x14ac:dyDescent="0.3">
      <c r="A669" s="937"/>
      <c r="B669" s="918"/>
      <c r="C669" s="982"/>
      <c r="D669" s="57"/>
      <c r="E669" s="58"/>
      <c r="F669" s="57"/>
      <c r="G669" s="57"/>
      <c r="H669" s="556">
        <v>16</v>
      </c>
      <c r="I669" s="556">
        <v>10</v>
      </c>
      <c r="J669" s="57">
        <f>(F668+(50*H669/1000))*I669*C668</f>
        <v>74</v>
      </c>
      <c r="K669" s="51" t="s">
        <v>84</v>
      </c>
      <c r="L669" s="556">
        <v>8</v>
      </c>
      <c r="M669" s="61">
        <v>0.15</v>
      </c>
      <c r="N669" s="556">
        <f>ROUND((F668/2)/M669,0)+1</f>
        <v>11</v>
      </c>
      <c r="O669" s="53">
        <f>((((((((D668-0.08)+(E668-0.08))*2)+0.2)+((((E668-0.08)+0.2)*(((I669+I668+I670)/2)-2)))))))</f>
        <v>6.8900000000000006</v>
      </c>
      <c r="P669" s="54">
        <f>O669*N669*C668</f>
        <v>151.58000000000001</v>
      </c>
      <c r="Q669" s="55">
        <f t="shared" si="153"/>
        <v>0</v>
      </c>
      <c r="R669" s="55">
        <f t="shared" si="154"/>
        <v>0</v>
      </c>
      <c r="S669" s="55">
        <f t="shared" si="155"/>
        <v>74</v>
      </c>
      <c r="T669" s="56">
        <f t="shared" si="156"/>
        <v>0</v>
      </c>
      <c r="U669" s="56">
        <f t="shared" si="157"/>
        <v>0</v>
      </c>
      <c r="V669" s="55">
        <f t="shared" si="158"/>
        <v>0</v>
      </c>
    </row>
    <row r="670" spans="1:22" outlineLevel="1" x14ac:dyDescent="0.3">
      <c r="A670" s="937"/>
      <c r="B670" s="918"/>
      <c r="C670" s="982"/>
      <c r="D670" s="57"/>
      <c r="E670" s="58"/>
      <c r="F670" s="57"/>
      <c r="G670" s="57"/>
      <c r="H670" s="556"/>
      <c r="I670" s="556"/>
      <c r="J670" s="57">
        <f>(F668+(50*H670/1000))*I670*C668</f>
        <v>0</v>
      </c>
      <c r="K670" s="60"/>
      <c r="L670" s="556"/>
      <c r="M670" s="61"/>
      <c r="N670" s="556"/>
      <c r="O670" s="62"/>
      <c r="P670" s="54">
        <f t="shared" si="160"/>
        <v>0</v>
      </c>
      <c r="Q670" s="55">
        <f t="shared" si="153"/>
        <v>0</v>
      </c>
      <c r="R670" s="55">
        <f t="shared" si="154"/>
        <v>0</v>
      </c>
      <c r="S670" s="55">
        <f t="shared" si="155"/>
        <v>0</v>
      </c>
      <c r="T670" s="56">
        <f t="shared" si="156"/>
        <v>0</v>
      </c>
      <c r="U670" s="56">
        <f t="shared" si="157"/>
        <v>0</v>
      </c>
      <c r="V670" s="55">
        <f t="shared" si="158"/>
        <v>0</v>
      </c>
    </row>
    <row r="671" spans="1:22" outlineLevel="1" x14ac:dyDescent="0.3">
      <c r="A671" s="937"/>
      <c r="B671" s="918"/>
      <c r="C671" s="982"/>
      <c r="D671" s="57"/>
      <c r="E671" s="58"/>
      <c r="F671" s="57"/>
      <c r="G671" s="57"/>
      <c r="H671" s="556"/>
      <c r="I671" s="556"/>
      <c r="J671" s="57"/>
      <c r="K671" s="60"/>
      <c r="L671" s="556"/>
      <c r="M671" s="61"/>
      <c r="N671" s="556"/>
      <c r="O671" s="62"/>
      <c r="P671" s="54">
        <f t="shared" si="160"/>
        <v>0</v>
      </c>
      <c r="Q671" s="55">
        <f t="shared" si="153"/>
        <v>0</v>
      </c>
      <c r="R671" s="55">
        <f t="shared" si="154"/>
        <v>0</v>
      </c>
      <c r="S671" s="55">
        <f t="shared" si="155"/>
        <v>0</v>
      </c>
      <c r="T671" s="56">
        <f t="shared" si="156"/>
        <v>0</v>
      </c>
      <c r="U671" s="56">
        <f t="shared" si="157"/>
        <v>0</v>
      </c>
      <c r="V671" s="55">
        <f t="shared" si="158"/>
        <v>0</v>
      </c>
    </row>
    <row r="672" spans="1:22" outlineLevel="1" x14ac:dyDescent="0.3">
      <c r="A672" s="938"/>
      <c r="B672" s="919"/>
      <c r="C672" s="983"/>
      <c r="D672" s="63"/>
      <c r="E672" s="64"/>
      <c r="F672" s="63"/>
      <c r="G672" s="63"/>
      <c r="H672" s="558"/>
      <c r="I672" s="558"/>
      <c r="J672" s="63"/>
      <c r="K672" s="66"/>
      <c r="L672" s="558"/>
      <c r="M672" s="67"/>
      <c r="N672" s="558"/>
      <c r="O672" s="69"/>
      <c r="P672" s="54">
        <f t="shared" si="160"/>
        <v>0</v>
      </c>
      <c r="Q672" s="55">
        <f t="shared" si="153"/>
        <v>0</v>
      </c>
      <c r="R672" s="55">
        <f t="shared" si="154"/>
        <v>0</v>
      </c>
      <c r="S672" s="55">
        <f t="shared" si="155"/>
        <v>0</v>
      </c>
      <c r="T672" s="56">
        <f t="shared" si="156"/>
        <v>0</v>
      </c>
      <c r="U672" s="56">
        <f t="shared" si="157"/>
        <v>0</v>
      </c>
      <c r="V672" s="55">
        <f t="shared" si="158"/>
        <v>0</v>
      </c>
    </row>
    <row r="673" spans="1:22" outlineLevel="1" x14ac:dyDescent="0.3">
      <c r="A673" s="936">
        <v>17</v>
      </c>
      <c r="B673" s="914" t="s">
        <v>85</v>
      </c>
      <c r="C673" s="936">
        <v>1</v>
      </c>
      <c r="D673" s="48">
        <v>1.8</v>
      </c>
      <c r="E673" s="49">
        <v>0.23</v>
      </c>
      <c r="F673" s="48">
        <v>2.9</v>
      </c>
      <c r="G673" s="48">
        <f>F673*E673*D673*C673</f>
        <v>1.2006000000000001</v>
      </c>
      <c r="H673" s="555">
        <v>20</v>
      </c>
      <c r="I673" s="555">
        <v>8</v>
      </c>
      <c r="J673" s="48">
        <f>(F673+(50*H673/1000))*I673*C673</f>
        <v>31.2</v>
      </c>
      <c r="K673" s="60" t="s">
        <v>63</v>
      </c>
      <c r="L673" s="555">
        <v>8</v>
      </c>
      <c r="M673" s="52">
        <v>0.1</v>
      </c>
      <c r="N673" s="555">
        <f>ROUND(((F673/2)/M673),0)+1</f>
        <v>16</v>
      </c>
      <c r="O673" s="53">
        <f>((((((((D673-0.08)+(E673-0.08))*2)+0.2)+((((E673-0.08)+0.2)*(((I673+I674+I675)/2)-2)))))))</f>
        <v>8.490000000000002</v>
      </c>
      <c r="P673" s="54">
        <f>O673*N673*C673</f>
        <v>135.84000000000003</v>
      </c>
      <c r="Q673" s="55">
        <f t="shared" si="153"/>
        <v>0</v>
      </c>
      <c r="R673" s="55">
        <f t="shared" si="154"/>
        <v>0</v>
      </c>
      <c r="S673" s="55">
        <f t="shared" si="155"/>
        <v>0</v>
      </c>
      <c r="T673" s="56">
        <f t="shared" si="156"/>
        <v>31.2</v>
      </c>
      <c r="U673" s="56">
        <f t="shared" si="157"/>
        <v>0</v>
      </c>
      <c r="V673" s="55">
        <f t="shared" si="158"/>
        <v>0</v>
      </c>
    </row>
    <row r="674" spans="1:22" outlineLevel="1" x14ac:dyDescent="0.3">
      <c r="A674" s="937"/>
      <c r="B674" s="915"/>
      <c r="C674" s="937"/>
      <c r="D674" s="57"/>
      <c r="E674" s="58"/>
      <c r="F674" s="57"/>
      <c r="G674" s="57"/>
      <c r="H674" s="556">
        <v>16</v>
      </c>
      <c r="I674" s="556">
        <v>22</v>
      </c>
      <c r="J674" s="57">
        <f>(F673+(50*H674/1000))*I674*C673</f>
        <v>81.400000000000006</v>
      </c>
      <c r="K674" s="60" t="s">
        <v>63</v>
      </c>
      <c r="L674" s="556">
        <v>8</v>
      </c>
      <c r="M674" s="61">
        <v>0.15</v>
      </c>
      <c r="N674" s="556">
        <f>ROUND((F673/2)/M674,0)+1</f>
        <v>11</v>
      </c>
      <c r="O674" s="53">
        <f>((((((((D673-0.08)+(E673-0.08))*2)+0.2)+((((E673-0.08)+0.2)*(((I674+I673+I675)/2)-2)))))))</f>
        <v>8.490000000000002</v>
      </c>
      <c r="P674" s="54">
        <f>O674*N674*C673</f>
        <v>93.390000000000015</v>
      </c>
      <c r="Q674" s="55">
        <f t="shared" si="153"/>
        <v>0</v>
      </c>
      <c r="R674" s="55">
        <f t="shared" si="154"/>
        <v>0</v>
      </c>
      <c r="S674" s="55">
        <f t="shared" si="155"/>
        <v>81.400000000000006</v>
      </c>
      <c r="T674" s="56">
        <f t="shared" si="156"/>
        <v>0</v>
      </c>
      <c r="U674" s="56">
        <f t="shared" si="157"/>
        <v>0</v>
      </c>
      <c r="V674" s="55">
        <f t="shared" si="158"/>
        <v>0</v>
      </c>
    </row>
    <row r="675" spans="1:22" outlineLevel="1" x14ac:dyDescent="0.3">
      <c r="A675" s="937"/>
      <c r="B675" s="915"/>
      <c r="C675" s="937"/>
      <c r="D675" s="57"/>
      <c r="E675" s="58"/>
      <c r="F675" s="57"/>
      <c r="G675" s="57"/>
      <c r="H675" s="556"/>
      <c r="I675" s="556"/>
      <c r="J675" s="57">
        <f>(F673+(50*H675/1000))*I675*C673</f>
        <v>0</v>
      </c>
      <c r="K675" s="60"/>
      <c r="L675" s="556"/>
      <c r="M675" s="61"/>
      <c r="N675" s="556"/>
      <c r="O675" s="62"/>
      <c r="P675" s="54">
        <f>O675</f>
        <v>0</v>
      </c>
      <c r="Q675" s="55">
        <f t="shared" si="153"/>
        <v>0</v>
      </c>
      <c r="R675" s="55">
        <f t="shared" si="154"/>
        <v>0</v>
      </c>
      <c r="S675" s="55">
        <f t="shared" si="155"/>
        <v>0</v>
      </c>
      <c r="T675" s="56">
        <f t="shared" si="156"/>
        <v>0</v>
      </c>
      <c r="U675" s="56">
        <f t="shared" si="157"/>
        <v>0</v>
      </c>
      <c r="V675" s="55">
        <f t="shared" si="158"/>
        <v>0</v>
      </c>
    </row>
    <row r="676" spans="1:22" outlineLevel="1" x14ac:dyDescent="0.3">
      <c r="A676" s="937"/>
      <c r="B676" s="915"/>
      <c r="C676" s="937"/>
      <c r="D676" s="57"/>
      <c r="E676" s="58"/>
      <c r="F676" s="57"/>
      <c r="G676" s="57"/>
      <c r="H676" s="556"/>
      <c r="I676" s="556"/>
      <c r="J676" s="57"/>
      <c r="K676" s="60"/>
      <c r="L676" s="556"/>
      <c r="M676" s="61"/>
      <c r="N676" s="556"/>
      <c r="O676" s="62"/>
      <c r="P676" s="54">
        <f>O676</f>
        <v>0</v>
      </c>
      <c r="Q676" s="55">
        <f t="shared" si="153"/>
        <v>0</v>
      </c>
      <c r="R676" s="55">
        <f t="shared" si="154"/>
        <v>0</v>
      </c>
      <c r="S676" s="55">
        <f t="shared" si="155"/>
        <v>0</v>
      </c>
      <c r="T676" s="56">
        <f t="shared" si="156"/>
        <v>0</v>
      </c>
      <c r="U676" s="56">
        <f t="shared" si="157"/>
        <v>0</v>
      </c>
      <c r="V676" s="55">
        <f t="shared" si="158"/>
        <v>0</v>
      </c>
    </row>
    <row r="677" spans="1:22" outlineLevel="1" x14ac:dyDescent="0.3">
      <c r="A677" s="937"/>
      <c r="B677" s="915"/>
      <c r="C677" s="937"/>
      <c r="D677" s="57"/>
      <c r="E677" s="58"/>
      <c r="F677" s="57"/>
      <c r="G677" s="57"/>
      <c r="H677" s="556"/>
      <c r="I677" s="556"/>
      <c r="J677" s="57"/>
      <c r="K677" s="60"/>
      <c r="L677" s="556"/>
      <c r="M677" s="61"/>
      <c r="N677" s="556"/>
      <c r="O677" s="69"/>
      <c r="P677" s="54">
        <f>O677</f>
        <v>0</v>
      </c>
      <c r="Q677" s="55">
        <f t="shared" si="153"/>
        <v>0</v>
      </c>
      <c r="R677" s="55">
        <f t="shared" si="154"/>
        <v>0</v>
      </c>
      <c r="S677" s="55">
        <f t="shared" si="155"/>
        <v>0</v>
      </c>
      <c r="T677" s="56">
        <f t="shared" si="156"/>
        <v>0</v>
      </c>
      <c r="U677" s="56">
        <f t="shared" si="157"/>
        <v>0</v>
      </c>
      <c r="V677" s="55">
        <f t="shared" si="158"/>
        <v>0</v>
      </c>
    </row>
    <row r="678" spans="1:22" outlineLevel="1" x14ac:dyDescent="0.3">
      <c r="A678" s="936">
        <v>18</v>
      </c>
      <c r="B678" s="914" t="s">
        <v>86</v>
      </c>
      <c r="C678" s="936">
        <v>1</v>
      </c>
      <c r="D678" s="48">
        <v>6.55</v>
      </c>
      <c r="E678" s="49">
        <v>0.23</v>
      </c>
      <c r="F678" s="48">
        <v>2.9</v>
      </c>
      <c r="G678" s="48">
        <f>F678*E678*D678*C678</f>
        <v>4.3688500000000001</v>
      </c>
      <c r="H678" s="555">
        <v>16</v>
      </c>
      <c r="I678" s="555">
        <v>92</v>
      </c>
      <c r="J678" s="48">
        <f>(F678+(50*H678/1000))*I678*C678</f>
        <v>340.40000000000003</v>
      </c>
      <c r="K678" s="51" t="s">
        <v>63</v>
      </c>
      <c r="L678" s="555">
        <v>8</v>
      </c>
      <c r="M678" s="52">
        <v>0.1</v>
      </c>
      <c r="N678" s="555">
        <f>ROUND(((F678/2)/M678),0)+1</f>
        <v>16</v>
      </c>
      <c r="O678" s="53">
        <f>((((((((D678-0.08)+(E678-0.08))*2)+0.2)+((((E678-0.08)+0.2)*(((I678+I679+I680)/2)-2)))))))</f>
        <v>28.840000000000003</v>
      </c>
      <c r="P678" s="54">
        <f>O678*N678*C678</f>
        <v>461.44000000000005</v>
      </c>
      <c r="Q678" s="55">
        <f t="shared" si="153"/>
        <v>0</v>
      </c>
      <c r="R678" s="55">
        <f t="shared" si="154"/>
        <v>0</v>
      </c>
      <c r="S678" s="55">
        <f t="shared" si="155"/>
        <v>340.40000000000003</v>
      </c>
      <c r="T678" s="56">
        <f t="shared" si="156"/>
        <v>0</v>
      </c>
      <c r="U678" s="56">
        <f t="shared" si="157"/>
        <v>0</v>
      </c>
      <c r="V678" s="55">
        <f t="shared" si="158"/>
        <v>0</v>
      </c>
    </row>
    <row r="679" spans="1:22" outlineLevel="1" x14ac:dyDescent="0.3">
      <c r="A679" s="937"/>
      <c r="B679" s="915"/>
      <c r="C679" s="937"/>
      <c r="D679" s="57"/>
      <c r="E679" s="58"/>
      <c r="F679" s="57"/>
      <c r="G679" s="57"/>
      <c r="H679" s="556"/>
      <c r="I679" s="556"/>
      <c r="J679" s="57">
        <f>(F678+(50*H679/1000))*I679*C678</f>
        <v>0</v>
      </c>
      <c r="K679" s="60" t="s">
        <v>63</v>
      </c>
      <c r="L679" s="556">
        <v>8</v>
      </c>
      <c r="M679" s="61">
        <v>0.15</v>
      </c>
      <c r="N679" s="556">
        <f>ROUND((F678/2)/M679,0)+1</f>
        <v>11</v>
      </c>
      <c r="O679" s="53">
        <f>((((((((D678-0.08)+(E678-0.08))*2)+0.2)+((((E678-0.08)+0.2)*(((I679+I678+I680)/2)-2)))))))</f>
        <v>28.840000000000003</v>
      </c>
      <c r="P679" s="54">
        <f>O679*N679*C678</f>
        <v>317.24</v>
      </c>
      <c r="Q679" s="55">
        <f t="shared" si="153"/>
        <v>0</v>
      </c>
      <c r="R679" s="55">
        <f t="shared" si="154"/>
        <v>0</v>
      </c>
      <c r="S679" s="55">
        <f t="shared" si="155"/>
        <v>0</v>
      </c>
      <c r="T679" s="56">
        <f t="shared" si="156"/>
        <v>0</v>
      </c>
      <c r="U679" s="56">
        <f t="shared" si="157"/>
        <v>0</v>
      </c>
      <c r="V679" s="55">
        <f t="shared" si="158"/>
        <v>0</v>
      </c>
    </row>
    <row r="680" spans="1:22" outlineLevel="1" x14ac:dyDescent="0.3">
      <c r="A680" s="937"/>
      <c r="B680" s="915"/>
      <c r="C680" s="937"/>
      <c r="D680" s="57"/>
      <c r="E680" s="58"/>
      <c r="F680" s="57"/>
      <c r="G680" s="57"/>
      <c r="H680" s="556"/>
      <c r="I680" s="556"/>
      <c r="J680" s="57">
        <f>(F678+(50*H680/1000))*I680*C678</f>
        <v>0</v>
      </c>
      <c r="K680" s="60"/>
      <c r="L680" s="556"/>
      <c r="M680" s="61"/>
      <c r="N680" s="556"/>
      <c r="O680" s="62"/>
      <c r="P680" s="54">
        <f>O680</f>
        <v>0</v>
      </c>
      <c r="Q680" s="55">
        <f t="shared" si="153"/>
        <v>0</v>
      </c>
      <c r="R680" s="55">
        <f t="shared" si="154"/>
        <v>0</v>
      </c>
      <c r="S680" s="55">
        <f t="shared" si="155"/>
        <v>0</v>
      </c>
      <c r="T680" s="56">
        <f t="shared" si="156"/>
        <v>0</v>
      </c>
      <c r="U680" s="56">
        <f t="shared" si="157"/>
        <v>0</v>
      </c>
      <c r="V680" s="55">
        <f t="shared" si="158"/>
        <v>0</v>
      </c>
    </row>
    <row r="681" spans="1:22" outlineLevel="1" x14ac:dyDescent="0.3">
      <c r="A681" s="937"/>
      <c r="B681" s="915"/>
      <c r="C681" s="937"/>
      <c r="D681" s="57"/>
      <c r="E681" s="58"/>
      <c r="F681" s="57"/>
      <c r="G681" s="57"/>
      <c r="H681" s="556"/>
      <c r="I681" s="556"/>
      <c r="J681" s="57"/>
      <c r="K681" s="60"/>
      <c r="L681" s="556"/>
      <c r="M681" s="61"/>
      <c r="N681" s="556"/>
      <c r="O681" s="62"/>
      <c r="P681" s="54">
        <f>O681</f>
        <v>0</v>
      </c>
      <c r="Q681" s="55">
        <f t="shared" si="153"/>
        <v>0</v>
      </c>
      <c r="R681" s="55">
        <f t="shared" si="154"/>
        <v>0</v>
      </c>
      <c r="S681" s="55">
        <f t="shared" si="155"/>
        <v>0</v>
      </c>
      <c r="T681" s="56">
        <f t="shared" si="156"/>
        <v>0</v>
      </c>
      <c r="U681" s="56">
        <f t="shared" si="157"/>
        <v>0</v>
      </c>
      <c r="V681" s="55">
        <f t="shared" si="158"/>
        <v>0</v>
      </c>
    </row>
    <row r="682" spans="1:22" outlineLevel="1" x14ac:dyDescent="0.3">
      <c r="A682" s="937"/>
      <c r="B682" s="915"/>
      <c r="C682" s="937"/>
      <c r="D682" s="57"/>
      <c r="E682" s="58"/>
      <c r="F682" s="57"/>
      <c r="G682" s="57"/>
      <c r="H682" s="556"/>
      <c r="I682" s="556"/>
      <c r="J682" s="57"/>
      <c r="K682" s="60"/>
      <c r="L682" s="556"/>
      <c r="M682" s="61"/>
      <c r="N682" s="556"/>
      <c r="O682" s="69"/>
      <c r="P682" s="54">
        <f>O682</f>
        <v>0</v>
      </c>
      <c r="Q682" s="55">
        <f t="shared" si="153"/>
        <v>0</v>
      </c>
      <c r="R682" s="55">
        <f t="shared" si="154"/>
        <v>0</v>
      </c>
      <c r="S682" s="55">
        <f t="shared" si="155"/>
        <v>0</v>
      </c>
      <c r="T682" s="56">
        <f t="shared" si="156"/>
        <v>0</v>
      </c>
      <c r="U682" s="56">
        <f t="shared" si="157"/>
        <v>0</v>
      </c>
      <c r="V682" s="55">
        <f t="shared" si="158"/>
        <v>0</v>
      </c>
    </row>
    <row r="683" spans="1:22" outlineLevel="1" x14ac:dyDescent="0.3">
      <c r="A683" s="936">
        <v>19</v>
      </c>
      <c r="B683" s="914" t="s">
        <v>87</v>
      </c>
      <c r="C683" s="936">
        <v>0</v>
      </c>
      <c r="D683" s="48">
        <v>2.8</v>
      </c>
      <c r="E683" s="49">
        <v>0.32</v>
      </c>
      <c r="F683" s="48">
        <v>2.9</v>
      </c>
      <c r="G683" s="48">
        <f>F683*E683*D683*C683</f>
        <v>0</v>
      </c>
      <c r="H683" s="555">
        <v>20</v>
      </c>
      <c r="I683" s="555">
        <v>16</v>
      </c>
      <c r="J683" s="48">
        <f>(F683+(50*H683/1000))*I683*C683</f>
        <v>0</v>
      </c>
      <c r="K683" s="60" t="s">
        <v>63</v>
      </c>
      <c r="L683" s="555">
        <v>8</v>
      </c>
      <c r="M683" s="52">
        <v>0.1</v>
      </c>
      <c r="N683" s="555">
        <f>ROUND(((F683/2)/M683),0)+1</f>
        <v>16</v>
      </c>
      <c r="O683" s="53">
        <f>((((((((D683-0.08)+(E683-0.08))*2)+0.2)+((((E683-0.08)+0.2)*(((I683+I684+I685)/2)-2)))))))</f>
        <v>14.04</v>
      </c>
      <c r="P683" s="54">
        <f>O683*N683*C683</f>
        <v>0</v>
      </c>
      <c r="Q683" s="55">
        <f t="shared" si="153"/>
        <v>0</v>
      </c>
      <c r="R683" s="55">
        <f t="shared" si="154"/>
        <v>0</v>
      </c>
      <c r="S683" s="55">
        <f t="shared" si="155"/>
        <v>0</v>
      </c>
      <c r="T683" s="56">
        <f t="shared" si="156"/>
        <v>0</v>
      </c>
      <c r="U683" s="56">
        <f t="shared" si="157"/>
        <v>0</v>
      </c>
      <c r="V683" s="55">
        <f t="shared" si="158"/>
        <v>0</v>
      </c>
    </row>
    <row r="684" spans="1:22" outlineLevel="1" x14ac:dyDescent="0.3">
      <c r="A684" s="937"/>
      <c r="B684" s="915"/>
      <c r="C684" s="937"/>
      <c r="D684" s="57"/>
      <c r="E684" s="58"/>
      <c r="F684" s="57"/>
      <c r="G684" s="57"/>
      <c r="H684" s="556">
        <v>16</v>
      </c>
      <c r="I684" s="556">
        <v>16</v>
      </c>
      <c r="J684" s="57">
        <f>(F683+(50*H684/1000))*I684*C683</f>
        <v>0</v>
      </c>
      <c r="K684" s="60" t="s">
        <v>63</v>
      </c>
      <c r="L684" s="556">
        <v>8</v>
      </c>
      <c r="M684" s="61">
        <v>0.15</v>
      </c>
      <c r="N684" s="556">
        <f>ROUND((F683/2)/M684,0)+1</f>
        <v>11</v>
      </c>
      <c r="O684" s="53">
        <f>((((((((D683-0.08)+(E683-0.08))*2)+0.2)+((((E683-0.08)+0.2)*(((I684+I683+I685)/2)-2)))))))</f>
        <v>14.04</v>
      </c>
      <c r="P684" s="54">
        <f>O684*N684*C683</f>
        <v>0</v>
      </c>
      <c r="Q684" s="55">
        <f t="shared" si="153"/>
        <v>0</v>
      </c>
      <c r="R684" s="55">
        <f t="shared" si="154"/>
        <v>0</v>
      </c>
      <c r="S684" s="55">
        <f t="shared" si="155"/>
        <v>0</v>
      </c>
      <c r="T684" s="56">
        <f t="shared" si="156"/>
        <v>0</v>
      </c>
      <c r="U684" s="56">
        <f t="shared" si="157"/>
        <v>0</v>
      </c>
      <c r="V684" s="55">
        <f t="shared" si="158"/>
        <v>0</v>
      </c>
    </row>
    <row r="685" spans="1:22" outlineLevel="1" x14ac:dyDescent="0.3">
      <c r="A685" s="937"/>
      <c r="B685" s="915"/>
      <c r="C685" s="937"/>
      <c r="D685" s="57"/>
      <c r="E685" s="58"/>
      <c r="F685" s="57"/>
      <c r="G685" s="57"/>
      <c r="H685" s="556">
        <v>12</v>
      </c>
      <c r="I685" s="556">
        <v>8</v>
      </c>
      <c r="J685" s="57">
        <f>(F683+(50*H685/1000))*I685*C683</f>
        <v>0</v>
      </c>
      <c r="K685" s="60"/>
      <c r="L685" s="556"/>
      <c r="M685" s="61"/>
      <c r="N685" s="556"/>
      <c r="O685" s="62"/>
      <c r="P685" s="54">
        <f>O685</f>
        <v>0</v>
      </c>
      <c r="Q685" s="55">
        <f t="shared" si="153"/>
        <v>0</v>
      </c>
      <c r="R685" s="55">
        <f t="shared" si="154"/>
        <v>0</v>
      </c>
      <c r="S685" s="55">
        <f t="shared" si="155"/>
        <v>0</v>
      </c>
      <c r="T685" s="56">
        <f t="shared" si="156"/>
        <v>0</v>
      </c>
      <c r="U685" s="56">
        <f t="shared" si="157"/>
        <v>0</v>
      </c>
      <c r="V685" s="55">
        <f t="shared" si="158"/>
        <v>0</v>
      </c>
    </row>
    <row r="686" spans="1:22" outlineLevel="1" x14ac:dyDescent="0.3">
      <c r="A686" s="937"/>
      <c r="B686" s="915"/>
      <c r="C686" s="937"/>
      <c r="D686" s="57"/>
      <c r="E686" s="58"/>
      <c r="F686" s="57"/>
      <c r="G686" s="57"/>
      <c r="H686" s="556"/>
      <c r="I686" s="556"/>
      <c r="J686" s="57"/>
      <c r="K686" s="60"/>
      <c r="L686" s="556"/>
      <c r="M686" s="61"/>
      <c r="N686" s="556"/>
      <c r="O686" s="62"/>
      <c r="P686" s="54">
        <f>O686</f>
        <v>0</v>
      </c>
      <c r="Q686" s="55">
        <f t="shared" si="153"/>
        <v>0</v>
      </c>
      <c r="R686" s="55">
        <f t="shared" si="154"/>
        <v>0</v>
      </c>
      <c r="S686" s="55">
        <f t="shared" si="155"/>
        <v>0</v>
      </c>
      <c r="T686" s="56">
        <f t="shared" si="156"/>
        <v>0</v>
      </c>
      <c r="U686" s="56">
        <f t="shared" si="157"/>
        <v>0</v>
      </c>
      <c r="V686" s="55">
        <f t="shared" si="158"/>
        <v>0</v>
      </c>
    </row>
    <row r="687" spans="1:22" outlineLevel="1" x14ac:dyDescent="0.3">
      <c r="A687" s="937"/>
      <c r="B687" s="915"/>
      <c r="C687" s="937"/>
      <c r="D687" s="57"/>
      <c r="E687" s="58"/>
      <c r="F687" s="63"/>
      <c r="G687" s="57"/>
      <c r="H687" s="556"/>
      <c r="I687" s="556"/>
      <c r="J687" s="57"/>
      <c r="K687" s="60"/>
      <c r="L687" s="556"/>
      <c r="M687" s="61"/>
      <c r="N687" s="556"/>
      <c r="O687" s="69">
        <f>((E683-0.08)+(2*10*(L687/1000)))*N687*C683</f>
        <v>0</v>
      </c>
      <c r="P687" s="54">
        <f>O687</f>
        <v>0</v>
      </c>
      <c r="Q687" s="55">
        <f t="shared" si="153"/>
        <v>0</v>
      </c>
      <c r="R687" s="55">
        <f t="shared" si="154"/>
        <v>0</v>
      </c>
      <c r="S687" s="55">
        <f t="shared" si="155"/>
        <v>0</v>
      </c>
      <c r="T687" s="56">
        <f t="shared" si="156"/>
        <v>0</v>
      </c>
      <c r="U687" s="56">
        <f t="shared" si="157"/>
        <v>0</v>
      </c>
      <c r="V687" s="55">
        <f t="shared" si="158"/>
        <v>0</v>
      </c>
    </row>
    <row r="688" spans="1:22" outlineLevel="1" x14ac:dyDescent="0.3">
      <c r="A688" s="936">
        <v>20</v>
      </c>
      <c r="B688" s="914" t="s">
        <v>568</v>
      </c>
      <c r="C688" s="936">
        <v>0</v>
      </c>
      <c r="D688" s="48">
        <v>1.8</v>
      </c>
      <c r="E688" s="49">
        <v>0.3</v>
      </c>
      <c r="F688" s="48">
        <v>2.9</v>
      </c>
      <c r="G688" s="48">
        <f>F688*E688*D688*C688</f>
        <v>0</v>
      </c>
      <c r="H688" s="555">
        <v>20</v>
      </c>
      <c r="I688" s="555">
        <v>16</v>
      </c>
      <c r="J688" s="48">
        <f>(F688+(50*H688/1000))*I688*C688</f>
        <v>0</v>
      </c>
      <c r="K688" s="68" t="s">
        <v>63</v>
      </c>
      <c r="L688" s="555">
        <v>8</v>
      </c>
      <c r="M688" s="52">
        <v>0.1</v>
      </c>
      <c r="N688" s="555">
        <f>ROUND(((F688/2)/M688),0)+1</f>
        <v>16</v>
      </c>
      <c r="O688" s="53">
        <f>((((((((D688-0.08)+(E688-0.08))*2)+0.2)+((((E688-0.08)+0.2)*(((I688+I689+I690)/2)-2)))))))</f>
        <v>9.120000000000001</v>
      </c>
      <c r="P688" s="54">
        <f>O688*N688*C688</f>
        <v>0</v>
      </c>
      <c r="Q688" s="55">
        <f t="shared" si="153"/>
        <v>0</v>
      </c>
      <c r="R688" s="55">
        <f t="shared" si="154"/>
        <v>0</v>
      </c>
      <c r="S688" s="55">
        <f t="shared" si="155"/>
        <v>0</v>
      </c>
      <c r="T688" s="56">
        <f t="shared" si="156"/>
        <v>0</v>
      </c>
      <c r="U688" s="56">
        <f t="shared" si="157"/>
        <v>0</v>
      </c>
      <c r="V688" s="55">
        <f t="shared" si="158"/>
        <v>0</v>
      </c>
    </row>
    <row r="689" spans="1:22" outlineLevel="1" x14ac:dyDescent="0.3">
      <c r="A689" s="937"/>
      <c r="B689" s="915"/>
      <c r="C689" s="937"/>
      <c r="D689" s="57"/>
      <c r="E689" s="58"/>
      <c r="F689" s="57"/>
      <c r="G689" s="57"/>
      <c r="H689" s="556">
        <v>16</v>
      </c>
      <c r="I689" s="556">
        <v>12</v>
      </c>
      <c r="J689" s="57">
        <f>(F688+(50*H689/1000))*I689*C688</f>
        <v>0</v>
      </c>
      <c r="K689" s="60" t="s">
        <v>63</v>
      </c>
      <c r="L689" s="556">
        <v>8</v>
      </c>
      <c r="M689" s="61">
        <v>0.15</v>
      </c>
      <c r="N689" s="556">
        <f>ROUND((F688/2)/M689,0)+1</f>
        <v>11</v>
      </c>
      <c r="O689" s="53">
        <f>((((((((D688-0.08)+(E688-0.08))*2)+0.2)+((((E688-0.08)+0.2)*(((I689+I688+I690)/2)-2)))))))</f>
        <v>9.120000000000001</v>
      </c>
      <c r="P689" s="54">
        <f>O689*N689*C688</f>
        <v>0</v>
      </c>
      <c r="Q689" s="55">
        <f t="shared" si="153"/>
        <v>0</v>
      </c>
      <c r="R689" s="55">
        <f t="shared" si="154"/>
        <v>0</v>
      </c>
      <c r="S689" s="55">
        <f t="shared" si="155"/>
        <v>0</v>
      </c>
      <c r="T689" s="56">
        <f t="shared" si="156"/>
        <v>0</v>
      </c>
      <c r="U689" s="56">
        <f t="shared" si="157"/>
        <v>0</v>
      </c>
      <c r="V689" s="55">
        <f t="shared" si="158"/>
        <v>0</v>
      </c>
    </row>
    <row r="690" spans="1:22" outlineLevel="1" x14ac:dyDescent="0.3">
      <c r="A690" s="937"/>
      <c r="B690" s="915"/>
      <c r="C690" s="937"/>
      <c r="D690" s="57"/>
      <c r="E690" s="58"/>
      <c r="F690" s="57"/>
      <c r="G690" s="57"/>
      <c r="H690" s="556"/>
      <c r="I690" s="556"/>
      <c r="J690" s="57">
        <f>(F688+(50*H690/1000))*I690*C688</f>
        <v>0</v>
      </c>
      <c r="K690" s="60"/>
      <c r="L690" s="556"/>
      <c r="M690" s="61"/>
      <c r="N690" s="556"/>
      <c r="O690" s="62"/>
      <c r="P690" s="54">
        <f>O690</f>
        <v>0</v>
      </c>
      <c r="Q690" s="55">
        <f t="shared" si="153"/>
        <v>0</v>
      </c>
      <c r="R690" s="55">
        <f t="shared" si="154"/>
        <v>0</v>
      </c>
      <c r="S690" s="55">
        <f t="shared" si="155"/>
        <v>0</v>
      </c>
      <c r="T690" s="56">
        <f t="shared" si="156"/>
        <v>0</v>
      </c>
      <c r="U690" s="56">
        <f t="shared" si="157"/>
        <v>0</v>
      </c>
      <c r="V690" s="55">
        <f t="shared" si="158"/>
        <v>0</v>
      </c>
    </row>
    <row r="691" spans="1:22" outlineLevel="1" x14ac:dyDescent="0.3">
      <c r="A691" s="937"/>
      <c r="B691" s="915"/>
      <c r="C691" s="937"/>
      <c r="D691" s="57"/>
      <c r="E691" s="58"/>
      <c r="F691" s="57"/>
      <c r="G691" s="57"/>
      <c r="H691" s="556"/>
      <c r="I691" s="556"/>
      <c r="J691" s="57"/>
      <c r="K691" s="60"/>
      <c r="L691" s="556"/>
      <c r="M691" s="61"/>
      <c r="N691" s="556"/>
      <c r="O691" s="62"/>
      <c r="P691" s="54">
        <f>O691</f>
        <v>0</v>
      </c>
      <c r="Q691" s="55">
        <f t="shared" si="153"/>
        <v>0</v>
      </c>
      <c r="R691" s="55">
        <f t="shared" si="154"/>
        <v>0</v>
      </c>
      <c r="S691" s="55">
        <f t="shared" si="155"/>
        <v>0</v>
      </c>
      <c r="T691" s="56">
        <f t="shared" si="156"/>
        <v>0</v>
      </c>
      <c r="U691" s="56">
        <f t="shared" si="157"/>
        <v>0</v>
      </c>
      <c r="V691" s="55">
        <f t="shared" si="158"/>
        <v>0</v>
      </c>
    </row>
    <row r="692" spans="1:22" outlineLevel="1" x14ac:dyDescent="0.3">
      <c r="A692" s="979"/>
      <c r="B692" s="916"/>
      <c r="C692" s="938"/>
      <c r="D692" s="63"/>
      <c r="E692" s="64"/>
      <c r="F692" s="63"/>
      <c r="G692" s="63"/>
      <c r="H692" s="558"/>
      <c r="I692" s="558"/>
      <c r="J692" s="63"/>
      <c r="K692" s="66"/>
      <c r="L692" s="558"/>
      <c r="M692" s="67"/>
      <c r="N692" s="558"/>
      <c r="O692" s="69">
        <f>((E688-0.08)+(2*10*(L692/1000)))*N692*C688</f>
        <v>0</v>
      </c>
      <c r="P692" s="55">
        <f>O692</f>
        <v>0</v>
      </c>
      <c r="Q692" s="55">
        <f t="shared" si="153"/>
        <v>0</v>
      </c>
      <c r="R692" s="55">
        <f t="shared" si="154"/>
        <v>0</v>
      </c>
      <c r="S692" s="55">
        <f t="shared" si="155"/>
        <v>0</v>
      </c>
      <c r="T692" s="56">
        <f t="shared" si="156"/>
        <v>0</v>
      </c>
      <c r="U692" s="56">
        <f t="shared" si="157"/>
        <v>0</v>
      </c>
      <c r="V692" s="55">
        <f t="shared" si="158"/>
        <v>0</v>
      </c>
    </row>
    <row r="693" spans="1:22" outlineLevel="1" x14ac:dyDescent="0.3">
      <c r="A693" s="981">
        <v>20</v>
      </c>
      <c r="B693" s="985" t="s">
        <v>569</v>
      </c>
      <c r="C693" s="982">
        <v>0</v>
      </c>
      <c r="D693" s="460">
        <v>1.7</v>
      </c>
      <c r="E693" s="461">
        <v>0.3</v>
      </c>
      <c r="F693" s="460">
        <v>2.9</v>
      </c>
      <c r="G693" s="460">
        <f>F693*E693*D693*C693</f>
        <v>0</v>
      </c>
      <c r="H693" s="559">
        <v>20</v>
      </c>
      <c r="I693" s="559">
        <v>16</v>
      </c>
      <c r="J693" s="460">
        <f>(F693+(50*H693/1000))*I693*C693</f>
        <v>0</v>
      </c>
      <c r="K693" s="68" t="s">
        <v>63</v>
      </c>
      <c r="L693" s="559">
        <v>8</v>
      </c>
      <c r="M693" s="465">
        <v>0.1</v>
      </c>
      <c r="N693" s="559">
        <f>ROUND(((F693/2)/M693),0)+1</f>
        <v>16</v>
      </c>
      <c r="O693" s="466">
        <f>((((((((D693-0.08)+(E693-0.08))*2)+0.2)+((((E693-0.08)+0.2)*(((I693+I694+I695)/2)-2)))))))</f>
        <v>8.92</v>
      </c>
      <c r="P693" s="467">
        <f>O693*N693*C693</f>
        <v>0</v>
      </c>
      <c r="Q693" s="55">
        <f t="shared" si="153"/>
        <v>0</v>
      </c>
      <c r="R693" s="55">
        <f t="shared" si="154"/>
        <v>0</v>
      </c>
      <c r="S693" s="55">
        <f t="shared" si="155"/>
        <v>0</v>
      </c>
      <c r="T693" s="56">
        <f t="shared" si="156"/>
        <v>0</v>
      </c>
      <c r="U693" s="56">
        <f t="shared" si="157"/>
        <v>0</v>
      </c>
      <c r="V693" s="55">
        <f t="shared" si="158"/>
        <v>0</v>
      </c>
    </row>
    <row r="694" spans="1:22" outlineLevel="1" x14ac:dyDescent="0.3">
      <c r="A694" s="982"/>
      <c r="B694" s="915"/>
      <c r="C694" s="982"/>
      <c r="D694" s="57"/>
      <c r="E694" s="58"/>
      <c r="F694" s="57"/>
      <c r="G694" s="57"/>
      <c r="H694" s="556">
        <v>16</v>
      </c>
      <c r="I694" s="556">
        <v>12</v>
      </c>
      <c r="J694" s="57">
        <f>(F693+(50*H694/1000))*I694*C693</f>
        <v>0</v>
      </c>
      <c r="K694" s="60" t="s">
        <v>63</v>
      </c>
      <c r="L694" s="556">
        <v>8</v>
      </c>
      <c r="M694" s="61">
        <v>0.15</v>
      </c>
      <c r="N694" s="556">
        <f>ROUND((F693/2)/M694,0)+1</f>
        <v>11</v>
      </c>
      <c r="O694" s="53">
        <f>((((((((D693-0.08)+(E693-0.08))*2)+0.2)+((((E693-0.08)+0.2)*(((I694+I693+I695)/2)-2)))))))</f>
        <v>8.92</v>
      </c>
      <c r="P694" s="54">
        <f>O694*N694*C693</f>
        <v>0</v>
      </c>
      <c r="Q694" s="55">
        <f t="shared" si="153"/>
        <v>0</v>
      </c>
      <c r="R694" s="55">
        <f t="shared" si="154"/>
        <v>0</v>
      </c>
      <c r="S694" s="55">
        <f t="shared" si="155"/>
        <v>0</v>
      </c>
      <c r="T694" s="56">
        <f t="shared" si="156"/>
        <v>0</v>
      </c>
      <c r="U694" s="56">
        <f t="shared" si="157"/>
        <v>0</v>
      </c>
      <c r="V694" s="55">
        <f t="shared" si="158"/>
        <v>0</v>
      </c>
    </row>
    <row r="695" spans="1:22" outlineLevel="1" x14ac:dyDescent="0.3">
      <c r="A695" s="982"/>
      <c r="B695" s="915"/>
      <c r="C695" s="982"/>
      <c r="D695" s="57"/>
      <c r="E695" s="58"/>
      <c r="F695" s="57"/>
      <c r="G695" s="57"/>
      <c r="H695" s="556"/>
      <c r="I695" s="556"/>
      <c r="J695" s="57">
        <f>(F693+(50*H695/1000))*I695*C693</f>
        <v>0</v>
      </c>
      <c r="K695" s="60"/>
      <c r="L695" s="556"/>
      <c r="M695" s="61"/>
      <c r="N695" s="556"/>
      <c r="O695" s="62"/>
      <c r="P695" s="54">
        <f>O695</f>
        <v>0</v>
      </c>
      <c r="Q695" s="55">
        <f t="shared" si="153"/>
        <v>0</v>
      </c>
      <c r="R695" s="55">
        <f t="shared" si="154"/>
        <v>0</v>
      </c>
      <c r="S695" s="55">
        <f t="shared" si="155"/>
        <v>0</v>
      </c>
      <c r="T695" s="56">
        <f t="shared" si="156"/>
        <v>0</v>
      </c>
      <c r="U695" s="56">
        <f t="shared" si="157"/>
        <v>0</v>
      </c>
      <c r="V695" s="55">
        <f t="shared" si="158"/>
        <v>0</v>
      </c>
    </row>
    <row r="696" spans="1:22" outlineLevel="1" x14ac:dyDescent="0.3">
      <c r="A696" s="982"/>
      <c r="B696" s="915"/>
      <c r="C696" s="982"/>
      <c r="D696" s="57"/>
      <c r="E696" s="58"/>
      <c r="F696" s="57"/>
      <c r="G696" s="57"/>
      <c r="H696" s="556"/>
      <c r="I696" s="556"/>
      <c r="J696" s="57"/>
      <c r="K696" s="60"/>
      <c r="L696" s="556"/>
      <c r="M696" s="61"/>
      <c r="N696" s="556"/>
      <c r="O696" s="62"/>
      <c r="P696" s="54">
        <f>O696</f>
        <v>0</v>
      </c>
      <c r="Q696" s="55">
        <f t="shared" si="153"/>
        <v>0</v>
      </c>
      <c r="R696" s="55">
        <f t="shared" si="154"/>
        <v>0</v>
      </c>
      <c r="S696" s="55">
        <f t="shared" si="155"/>
        <v>0</v>
      </c>
      <c r="T696" s="56">
        <f t="shared" si="156"/>
        <v>0</v>
      </c>
      <c r="U696" s="56">
        <f t="shared" si="157"/>
        <v>0</v>
      </c>
      <c r="V696" s="55">
        <f t="shared" si="158"/>
        <v>0</v>
      </c>
    </row>
    <row r="697" spans="1:22" outlineLevel="1" x14ac:dyDescent="0.3">
      <c r="A697" s="983"/>
      <c r="B697" s="916"/>
      <c r="C697" s="983"/>
      <c r="D697" s="70"/>
      <c r="E697" s="71"/>
      <c r="F697" s="70"/>
      <c r="G697" s="70"/>
      <c r="H697" s="557"/>
      <c r="I697" s="557"/>
      <c r="J697" s="70"/>
      <c r="K697" s="73"/>
      <c r="L697" s="557"/>
      <c r="M697" s="457"/>
      <c r="N697" s="557"/>
      <c r="O697" s="458">
        <f>((E693-0.08)+(2*10*(L697/1000)))*N697*C693</f>
        <v>0</v>
      </c>
      <c r="P697" s="459">
        <f>O697</f>
        <v>0</v>
      </c>
      <c r="Q697" s="55">
        <f t="shared" si="153"/>
        <v>0</v>
      </c>
      <c r="R697" s="55">
        <f t="shared" si="154"/>
        <v>0</v>
      </c>
      <c r="S697" s="55">
        <f t="shared" si="155"/>
        <v>0</v>
      </c>
      <c r="T697" s="56">
        <f t="shared" si="156"/>
        <v>0</v>
      </c>
      <c r="U697" s="56">
        <f t="shared" si="157"/>
        <v>0</v>
      </c>
      <c r="V697" s="55">
        <f t="shared" si="158"/>
        <v>0</v>
      </c>
    </row>
    <row r="698" spans="1:22" outlineLevel="1" x14ac:dyDescent="0.3">
      <c r="A698" s="984">
        <v>21</v>
      </c>
      <c r="B698" s="985" t="s">
        <v>89</v>
      </c>
      <c r="C698" s="984">
        <v>0</v>
      </c>
      <c r="D698" s="460">
        <v>3.05</v>
      </c>
      <c r="E698" s="461">
        <v>0.3</v>
      </c>
      <c r="F698" s="460">
        <v>2.9</v>
      </c>
      <c r="G698" s="460">
        <f>F698*E698*D698*C698</f>
        <v>0</v>
      </c>
      <c r="H698" s="559">
        <v>20</v>
      </c>
      <c r="I698" s="559">
        <v>28</v>
      </c>
      <c r="J698" s="460">
        <f>(F698+(50*H698/1000))*I698*C698</f>
        <v>0</v>
      </c>
      <c r="K698" s="68" t="s">
        <v>63</v>
      </c>
      <c r="L698" s="559">
        <v>8</v>
      </c>
      <c r="M698" s="465">
        <v>0.1</v>
      </c>
      <c r="N698" s="559">
        <f>ROUND(((F698/2)/M698),0)+1</f>
        <v>16</v>
      </c>
      <c r="O698" s="466">
        <f>((((((((D698-0.08)+(E698-0.08))*2)+0.2)+((((E698-0.08)+0.2)*(((I698+I699+I700)/2)-2)))))))</f>
        <v>14.559999999999999</v>
      </c>
      <c r="P698" s="467">
        <f>O698*N698*C698</f>
        <v>0</v>
      </c>
      <c r="Q698" s="55">
        <f t="shared" si="153"/>
        <v>0</v>
      </c>
      <c r="R698" s="55">
        <f t="shared" si="154"/>
        <v>0</v>
      </c>
      <c r="S698" s="55">
        <f t="shared" si="155"/>
        <v>0</v>
      </c>
      <c r="T698" s="56">
        <f t="shared" si="156"/>
        <v>0</v>
      </c>
      <c r="U698" s="56">
        <f t="shared" si="157"/>
        <v>0</v>
      </c>
      <c r="V698" s="55">
        <f t="shared" si="158"/>
        <v>0</v>
      </c>
    </row>
    <row r="699" spans="1:22" outlineLevel="1" x14ac:dyDescent="0.3">
      <c r="A699" s="937"/>
      <c r="B699" s="915"/>
      <c r="C699" s="937"/>
      <c r="D699" s="57"/>
      <c r="E699" s="58"/>
      <c r="F699" s="57"/>
      <c r="G699" s="57"/>
      <c r="H699" s="556">
        <v>16</v>
      </c>
      <c r="I699" s="556">
        <v>14</v>
      </c>
      <c r="J699" s="57">
        <f>(F698+(50*H699/1000))*I699*C698</f>
        <v>0</v>
      </c>
      <c r="K699" s="60" t="s">
        <v>63</v>
      </c>
      <c r="L699" s="556">
        <v>8</v>
      </c>
      <c r="M699" s="61">
        <v>0.15</v>
      </c>
      <c r="N699" s="556">
        <f>ROUND((F698/2)/M699,0)+1</f>
        <v>11</v>
      </c>
      <c r="O699" s="53">
        <f>((((((((D698-0.08)+(E698-0.08))*2)+0.2)+((((E698-0.08)+0.2)*(((I699+I698+I700)/2)-2)))))))</f>
        <v>14.559999999999999</v>
      </c>
      <c r="P699" s="54">
        <f>O699*N699*C698</f>
        <v>0</v>
      </c>
      <c r="Q699" s="55">
        <f t="shared" si="153"/>
        <v>0</v>
      </c>
      <c r="R699" s="55">
        <f t="shared" si="154"/>
        <v>0</v>
      </c>
      <c r="S699" s="55">
        <f t="shared" si="155"/>
        <v>0</v>
      </c>
      <c r="T699" s="56">
        <f t="shared" si="156"/>
        <v>0</v>
      </c>
      <c r="U699" s="56">
        <f t="shared" si="157"/>
        <v>0</v>
      </c>
      <c r="V699" s="55">
        <f t="shared" si="158"/>
        <v>0</v>
      </c>
    </row>
    <row r="700" spans="1:22" outlineLevel="1" x14ac:dyDescent="0.3">
      <c r="A700" s="937"/>
      <c r="B700" s="915"/>
      <c r="C700" s="937"/>
      <c r="D700" s="57"/>
      <c r="E700" s="58"/>
      <c r="F700" s="57"/>
      <c r="G700" s="57"/>
      <c r="H700" s="556"/>
      <c r="I700" s="556"/>
      <c r="J700" s="57">
        <f>(F698+(50*H700/1000))*I700*C698</f>
        <v>0</v>
      </c>
      <c r="K700" s="60"/>
      <c r="L700" s="556"/>
      <c r="M700" s="61"/>
      <c r="N700" s="556"/>
      <c r="O700" s="62"/>
      <c r="P700" s="54">
        <f>O700</f>
        <v>0</v>
      </c>
      <c r="Q700" s="55">
        <f t="shared" si="153"/>
        <v>0</v>
      </c>
      <c r="R700" s="55">
        <f t="shared" si="154"/>
        <v>0</v>
      </c>
      <c r="S700" s="55">
        <f t="shared" si="155"/>
        <v>0</v>
      </c>
      <c r="T700" s="56">
        <f t="shared" si="156"/>
        <v>0</v>
      </c>
      <c r="U700" s="56">
        <f t="shared" si="157"/>
        <v>0</v>
      </c>
      <c r="V700" s="55">
        <f t="shared" si="158"/>
        <v>0</v>
      </c>
    </row>
    <row r="701" spans="1:22" outlineLevel="1" x14ac:dyDescent="0.3">
      <c r="A701" s="937"/>
      <c r="B701" s="915"/>
      <c r="C701" s="937"/>
      <c r="D701" s="57"/>
      <c r="E701" s="58"/>
      <c r="F701" s="57"/>
      <c r="G701" s="57"/>
      <c r="H701" s="556"/>
      <c r="I701" s="556"/>
      <c r="J701" s="57"/>
      <c r="K701" s="60"/>
      <c r="L701" s="556"/>
      <c r="M701" s="61"/>
      <c r="N701" s="556"/>
      <c r="O701" s="62"/>
      <c r="P701" s="54">
        <f>O701</f>
        <v>0</v>
      </c>
      <c r="Q701" s="55">
        <f t="shared" si="153"/>
        <v>0</v>
      </c>
      <c r="R701" s="55">
        <f t="shared" si="154"/>
        <v>0</v>
      </c>
      <c r="S701" s="55">
        <f t="shared" si="155"/>
        <v>0</v>
      </c>
      <c r="T701" s="56">
        <f t="shared" si="156"/>
        <v>0</v>
      </c>
      <c r="U701" s="56">
        <f t="shared" si="157"/>
        <v>0</v>
      </c>
      <c r="V701" s="55">
        <f t="shared" si="158"/>
        <v>0</v>
      </c>
    </row>
    <row r="702" spans="1:22" outlineLevel="1" x14ac:dyDescent="0.3">
      <c r="A702" s="937"/>
      <c r="B702" s="915"/>
      <c r="C702" s="937"/>
      <c r="D702" s="57"/>
      <c r="E702" s="58"/>
      <c r="F702" s="57"/>
      <c r="G702" s="57"/>
      <c r="H702" s="556"/>
      <c r="I702" s="556"/>
      <c r="J702" s="57"/>
      <c r="K702" s="60"/>
      <c r="L702" s="556"/>
      <c r="M702" s="61"/>
      <c r="N702" s="556"/>
      <c r="O702" s="69">
        <f>((E698-0.08)+(2*10*(L702/1000)))*N702*C698</f>
        <v>0</v>
      </c>
      <c r="P702" s="54">
        <f>O702</f>
        <v>0</v>
      </c>
      <c r="Q702" s="55">
        <f t="shared" si="153"/>
        <v>0</v>
      </c>
      <c r="R702" s="55">
        <f t="shared" si="154"/>
        <v>0</v>
      </c>
      <c r="S702" s="55">
        <f t="shared" si="155"/>
        <v>0</v>
      </c>
      <c r="T702" s="56">
        <f t="shared" si="156"/>
        <v>0</v>
      </c>
      <c r="U702" s="56">
        <f t="shared" si="157"/>
        <v>0</v>
      </c>
      <c r="V702" s="55">
        <f t="shared" si="158"/>
        <v>0</v>
      </c>
    </row>
    <row r="703" spans="1:22" outlineLevel="1" x14ac:dyDescent="0.3">
      <c r="A703" s="936">
        <v>22</v>
      </c>
      <c r="B703" s="914" t="s">
        <v>90</v>
      </c>
      <c r="C703" s="936">
        <v>2</v>
      </c>
      <c r="D703" s="48">
        <v>1.35</v>
      </c>
      <c r="E703" s="49">
        <v>0.23</v>
      </c>
      <c r="F703" s="48">
        <v>2.9</v>
      </c>
      <c r="G703" s="48">
        <f>F703*E703*D703*C703</f>
        <v>1.8009000000000002</v>
      </c>
      <c r="H703" s="555">
        <v>20</v>
      </c>
      <c r="I703" s="555">
        <v>8</v>
      </c>
      <c r="J703" s="48">
        <f>(F703+(50*H703/1000))*I703*C703</f>
        <v>62.4</v>
      </c>
      <c r="K703" s="68" t="s">
        <v>63</v>
      </c>
      <c r="L703" s="555">
        <v>8</v>
      </c>
      <c r="M703" s="52">
        <v>0.1</v>
      </c>
      <c r="N703" s="555">
        <f>ROUND(((F703/2)/M703),0)+1</f>
        <v>16</v>
      </c>
      <c r="O703" s="53">
        <f>((((((((D703-0.08)+(E703-0.08))*2)+0.2)+((((E703-0.08)+0.2)*(((I703+I704+I705)/2)-2)))))))</f>
        <v>5.1400000000000006</v>
      </c>
      <c r="P703" s="54">
        <f>O703*N703*C703</f>
        <v>164.48000000000002</v>
      </c>
      <c r="Q703" s="55">
        <f t="shared" si="153"/>
        <v>0</v>
      </c>
      <c r="R703" s="55">
        <f t="shared" si="154"/>
        <v>0</v>
      </c>
      <c r="S703" s="55">
        <f t="shared" si="155"/>
        <v>0</v>
      </c>
      <c r="T703" s="56">
        <f t="shared" si="156"/>
        <v>62.4</v>
      </c>
      <c r="U703" s="56">
        <f t="shared" si="157"/>
        <v>0</v>
      </c>
      <c r="V703" s="55">
        <f t="shared" si="158"/>
        <v>0</v>
      </c>
    </row>
    <row r="704" spans="1:22" outlineLevel="1" x14ac:dyDescent="0.3">
      <c r="A704" s="937"/>
      <c r="B704" s="915"/>
      <c r="C704" s="937"/>
      <c r="D704" s="57"/>
      <c r="E704" s="58"/>
      <c r="F704" s="57"/>
      <c r="G704" s="57"/>
      <c r="H704" s="556">
        <v>16</v>
      </c>
      <c r="I704" s="556">
        <v>8</v>
      </c>
      <c r="J704" s="57">
        <f>(F703+(50*H704/1000))*I704*C703</f>
        <v>59.2</v>
      </c>
      <c r="K704" s="60" t="s">
        <v>63</v>
      </c>
      <c r="L704" s="556">
        <v>8</v>
      </c>
      <c r="M704" s="61">
        <v>0.15</v>
      </c>
      <c r="N704" s="556">
        <f>ROUND((F703/2)/M704,0)+1</f>
        <v>11</v>
      </c>
      <c r="O704" s="53">
        <f>((((((((D703-0.08)+(E703-0.08))*2)+0.2)+((((E703-0.08)+0.2)*(((I704+I703+I705)/2)-2)))))))</f>
        <v>5.1400000000000006</v>
      </c>
      <c r="P704" s="54">
        <f>O704*N704*C703</f>
        <v>113.08000000000001</v>
      </c>
      <c r="Q704" s="55">
        <f t="shared" si="153"/>
        <v>0</v>
      </c>
      <c r="R704" s="55">
        <f t="shared" si="154"/>
        <v>0</v>
      </c>
      <c r="S704" s="55">
        <f t="shared" si="155"/>
        <v>59.2</v>
      </c>
      <c r="T704" s="56">
        <f t="shared" si="156"/>
        <v>0</v>
      </c>
      <c r="U704" s="56">
        <f t="shared" si="157"/>
        <v>0</v>
      </c>
      <c r="V704" s="55">
        <f t="shared" si="158"/>
        <v>0</v>
      </c>
    </row>
    <row r="705" spans="1:22" outlineLevel="1" x14ac:dyDescent="0.3">
      <c r="A705" s="937"/>
      <c r="B705" s="915"/>
      <c r="C705" s="937"/>
      <c r="D705" s="57"/>
      <c r="E705" s="58"/>
      <c r="F705" s="57"/>
      <c r="G705" s="57"/>
      <c r="H705" s="556"/>
      <c r="I705" s="556"/>
      <c r="J705" s="57">
        <f>(F703+(50*H705/1000))*I705*C703</f>
        <v>0</v>
      </c>
      <c r="K705" s="60"/>
      <c r="L705" s="556"/>
      <c r="M705" s="61"/>
      <c r="N705" s="556"/>
      <c r="O705" s="62"/>
      <c r="P705" s="54">
        <f>O705</f>
        <v>0</v>
      </c>
      <c r="Q705" s="55">
        <f t="shared" si="153"/>
        <v>0</v>
      </c>
      <c r="R705" s="55">
        <f t="shared" si="154"/>
        <v>0</v>
      </c>
      <c r="S705" s="55">
        <f t="shared" si="155"/>
        <v>0</v>
      </c>
      <c r="T705" s="56">
        <f t="shared" si="156"/>
        <v>0</v>
      </c>
      <c r="U705" s="56">
        <f t="shared" si="157"/>
        <v>0</v>
      </c>
      <c r="V705" s="55">
        <f t="shared" si="158"/>
        <v>0</v>
      </c>
    </row>
    <row r="706" spans="1:22" outlineLevel="1" x14ac:dyDescent="0.3">
      <c r="A706" s="937"/>
      <c r="B706" s="915"/>
      <c r="C706" s="937"/>
      <c r="D706" s="57"/>
      <c r="E706" s="58"/>
      <c r="F706" s="57"/>
      <c r="G706" s="57"/>
      <c r="H706" s="556"/>
      <c r="I706" s="556"/>
      <c r="J706" s="57"/>
      <c r="K706" s="60"/>
      <c r="L706" s="556"/>
      <c r="M706" s="61"/>
      <c r="N706" s="556"/>
      <c r="O706" s="62"/>
      <c r="P706" s="54">
        <f>O706</f>
        <v>0</v>
      </c>
      <c r="Q706" s="55">
        <f t="shared" si="153"/>
        <v>0</v>
      </c>
      <c r="R706" s="55">
        <f t="shared" si="154"/>
        <v>0</v>
      </c>
      <c r="S706" s="55">
        <f t="shared" si="155"/>
        <v>0</v>
      </c>
      <c r="T706" s="56">
        <f t="shared" si="156"/>
        <v>0</v>
      </c>
      <c r="U706" s="56">
        <f t="shared" si="157"/>
        <v>0</v>
      </c>
      <c r="V706" s="55">
        <f t="shared" si="158"/>
        <v>0</v>
      </c>
    </row>
    <row r="707" spans="1:22" outlineLevel="1" x14ac:dyDescent="0.3">
      <c r="A707" s="937"/>
      <c r="B707" s="915"/>
      <c r="C707" s="937"/>
      <c r="D707" s="57"/>
      <c r="E707" s="58"/>
      <c r="F707" s="57"/>
      <c r="G707" s="57"/>
      <c r="H707" s="556"/>
      <c r="I707" s="556"/>
      <c r="J707" s="57"/>
      <c r="K707" s="60"/>
      <c r="L707" s="556"/>
      <c r="M707" s="61"/>
      <c r="N707" s="556"/>
      <c r="O707" s="69">
        <f>((E703-0.08)+(2*10*(L707/1000)))*N707*C703</f>
        <v>0</v>
      </c>
      <c r="P707" s="54">
        <f>O707</f>
        <v>0</v>
      </c>
      <c r="Q707" s="55">
        <f t="shared" si="153"/>
        <v>0</v>
      </c>
      <c r="R707" s="55">
        <f t="shared" si="154"/>
        <v>0</v>
      </c>
      <c r="S707" s="55">
        <f t="shared" si="155"/>
        <v>0</v>
      </c>
      <c r="T707" s="56">
        <f t="shared" si="156"/>
        <v>0</v>
      </c>
      <c r="U707" s="56">
        <f t="shared" si="157"/>
        <v>0</v>
      </c>
      <c r="V707" s="55">
        <f t="shared" si="158"/>
        <v>0</v>
      </c>
    </row>
    <row r="708" spans="1:22" outlineLevel="1" x14ac:dyDescent="0.3">
      <c r="A708" s="936">
        <v>23</v>
      </c>
      <c r="B708" s="917" t="s">
        <v>91</v>
      </c>
      <c r="C708" s="981">
        <v>0</v>
      </c>
      <c r="D708" s="48">
        <v>2.8</v>
      </c>
      <c r="E708" s="49">
        <v>0.23</v>
      </c>
      <c r="F708" s="48">
        <v>2.9</v>
      </c>
      <c r="G708" s="48">
        <f>F708*E708*D708*C708</f>
        <v>0</v>
      </c>
      <c r="H708" s="555">
        <v>20</v>
      </c>
      <c r="I708" s="555">
        <v>16</v>
      </c>
      <c r="J708" s="48">
        <f>(F708+(50*H708/1000))*I708*C708</f>
        <v>0</v>
      </c>
      <c r="K708" s="68" t="s">
        <v>63</v>
      </c>
      <c r="L708" s="555">
        <v>8</v>
      </c>
      <c r="M708" s="52">
        <v>0.1</v>
      </c>
      <c r="N708" s="555">
        <f>ROUND(((F708/2)/M708),0)+1</f>
        <v>16</v>
      </c>
      <c r="O708" s="53">
        <f>((((((((D708-0.08)+(E708-0.08))*2)+0.2)+((((E708-0.08)+0.2)*(((I708+I709+I710)/2)-2)))))))</f>
        <v>10.84</v>
      </c>
      <c r="P708" s="54">
        <f>O708*N708*C708</f>
        <v>0</v>
      </c>
      <c r="Q708" s="55">
        <f t="shared" si="153"/>
        <v>0</v>
      </c>
      <c r="R708" s="55">
        <f t="shared" si="154"/>
        <v>0</v>
      </c>
      <c r="S708" s="55">
        <f t="shared" si="155"/>
        <v>0</v>
      </c>
      <c r="T708" s="56">
        <f t="shared" si="156"/>
        <v>0</v>
      </c>
      <c r="U708" s="56">
        <f t="shared" si="157"/>
        <v>0</v>
      </c>
      <c r="V708" s="55">
        <f t="shared" si="158"/>
        <v>0</v>
      </c>
    </row>
    <row r="709" spans="1:22" outlineLevel="1" x14ac:dyDescent="0.3">
      <c r="A709" s="937"/>
      <c r="B709" s="918"/>
      <c r="C709" s="982"/>
      <c r="D709" s="57"/>
      <c r="E709" s="58"/>
      <c r="F709" s="57"/>
      <c r="G709" s="57"/>
      <c r="H709" s="556">
        <v>16</v>
      </c>
      <c r="I709" s="556">
        <v>12</v>
      </c>
      <c r="J709" s="57">
        <f>(F708+(50*H709/1000))*I709*C708</f>
        <v>0</v>
      </c>
      <c r="K709" s="60" t="s">
        <v>63</v>
      </c>
      <c r="L709" s="556">
        <v>8</v>
      </c>
      <c r="M709" s="61">
        <v>0.15</v>
      </c>
      <c r="N709" s="556">
        <f>ROUND((F708/2)/M709,0)+1</f>
        <v>11</v>
      </c>
      <c r="O709" s="53">
        <f>((((((((D708-0.08)+(E708-0.08))*2)+0.2)+((((E708-0.08)+0.2)*(((I709+I708+I710)/2)-2)))))))</f>
        <v>10.84</v>
      </c>
      <c r="P709" s="54">
        <f>O709*N709*C708</f>
        <v>0</v>
      </c>
      <c r="Q709" s="55">
        <f t="shared" si="153"/>
        <v>0</v>
      </c>
      <c r="R709" s="55">
        <f t="shared" si="154"/>
        <v>0</v>
      </c>
      <c r="S709" s="55">
        <f t="shared" si="155"/>
        <v>0</v>
      </c>
      <c r="T709" s="56">
        <f t="shared" si="156"/>
        <v>0</v>
      </c>
      <c r="U709" s="56">
        <f t="shared" si="157"/>
        <v>0</v>
      </c>
      <c r="V709" s="55">
        <f t="shared" si="158"/>
        <v>0</v>
      </c>
    </row>
    <row r="710" spans="1:22" outlineLevel="1" x14ac:dyDescent="0.3">
      <c r="A710" s="937"/>
      <c r="B710" s="918"/>
      <c r="C710" s="982"/>
      <c r="D710" s="57"/>
      <c r="E710" s="58"/>
      <c r="F710" s="57"/>
      <c r="G710" s="57"/>
      <c r="H710" s="556">
        <v>12</v>
      </c>
      <c r="I710" s="556">
        <v>4</v>
      </c>
      <c r="J710" s="57">
        <f>(F708+(50*H710/1000))*I710*C708</f>
        <v>0</v>
      </c>
      <c r="K710" s="60"/>
      <c r="L710" s="556"/>
      <c r="M710" s="61"/>
      <c r="N710" s="556"/>
      <c r="O710" s="62"/>
      <c r="P710" s="54">
        <f t="shared" ref="P710:P715" si="161">O710</f>
        <v>0</v>
      </c>
      <c r="Q710" s="55">
        <f t="shared" si="153"/>
        <v>0</v>
      </c>
      <c r="R710" s="55">
        <f t="shared" si="154"/>
        <v>0</v>
      </c>
      <c r="S710" s="55">
        <f t="shared" si="155"/>
        <v>0</v>
      </c>
      <c r="T710" s="56">
        <f t="shared" si="156"/>
        <v>0</v>
      </c>
      <c r="U710" s="56">
        <f t="shared" si="157"/>
        <v>0</v>
      </c>
      <c r="V710" s="55">
        <f t="shared" si="158"/>
        <v>0</v>
      </c>
    </row>
    <row r="711" spans="1:22" outlineLevel="1" x14ac:dyDescent="0.3">
      <c r="A711" s="937"/>
      <c r="B711" s="919"/>
      <c r="C711" s="983"/>
      <c r="D711" s="57"/>
      <c r="E711" s="58"/>
      <c r="F711" s="57"/>
      <c r="G711" s="57"/>
      <c r="H711" s="556"/>
      <c r="I711" s="556"/>
      <c r="J711" s="57"/>
      <c r="K711" s="60"/>
      <c r="L711" s="556"/>
      <c r="M711" s="61"/>
      <c r="N711" s="556"/>
      <c r="O711" s="62"/>
      <c r="P711" s="54">
        <f t="shared" si="161"/>
        <v>0</v>
      </c>
      <c r="Q711" s="55">
        <f t="shared" si="153"/>
        <v>0</v>
      </c>
      <c r="R711" s="55">
        <f t="shared" si="154"/>
        <v>0</v>
      </c>
      <c r="S711" s="55">
        <f t="shared" si="155"/>
        <v>0</v>
      </c>
      <c r="T711" s="56">
        <f t="shared" si="156"/>
        <v>0</v>
      </c>
      <c r="U711" s="56">
        <f t="shared" si="157"/>
        <v>0</v>
      </c>
      <c r="V711" s="55">
        <f t="shared" si="158"/>
        <v>0</v>
      </c>
    </row>
    <row r="712" spans="1:22" outlineLevel="1" x14ac:dyDescent="0.3">
      <c r="A712" s="936">
        <v>24</v>
      </c>
      <c r="B712" s="914" t="s">
        <v>92</v>
      </c>
      <c r="C712" s="936">
        <v>0</v>
      </c>
      <c r="D712" s="48">
        <v>2.8</v>
      </c>
      <c r="E712" s="49">
        <v>0.23</v>
      </c>
      <c r="F712" s="48">
        <v>2.9</v>
      </c>
      <c r="G712" s="48">
        <f>F712*E712*D712*C712</f>
        <v>0</v>
      </c>
      <c r="H712" s="555">
        <v>16</v>
      </c>
      <c r="I712" s="555">
        <v>24</v>
      </c>
      <c r="J712" s="48">
        <f>(F712+(50*H712/1000))*I712*C712</f>
        <v>0</v>
      </c>
      <c r="K712" s="60" t="s">
        <v>63</v>
      </c>
      <c r="L712" s="555">
        <v>8</v>
      </c>
      <c r="M712" s="52">
        <v>0.1</v>
      </c>
      <c r="N712" s="555">
        <f>ROUND(((F712/2)/M712),0)+1</f>
        <v>16</v>
      </c>
      <c r="O712" s="53">
        <f>((((((((D712-0.08)+(E712-0.08))*2)+0.2)+((((E712-0.08)+0.2)*(((I712+I713+I714)/2)-2)))))))</f>
        <v>13.29</v>
      </c>
      <c r="P712" s="54">
        <f>O712*N712*C712</f>
        <v>0</v>
      </c>
      <c r="Q712" s="55">
        <f t="shared" si="153"/>
        <v>0</v>
      </c>
      <c r="R712" s="55">
        <f t="shared" si="154"/>
        <v>0</v>
      </c>
      <c r="S712" s="55">
        <f t="shared" si="155"/>
        <v>0</v>
      </c>
      <c r="T712" s="56">
        <f t="shared" si="156"/>
        <v>0</v>
      </c>
      <c r="U712" s="56">
        <f t="shared" si="157"/>
        <v>0</v>
      </c>
      <c r="V712" s="55">
        <f t="shared" si="158"/>
        <v>0</v>
      </c>
    </row>
    <row r="713" spans="1:22" outlineLevel="1" x14ac:dyDescent="0.3">
      <c r="A713" s="937"/>
      <c r="B713" s="915"/>
      <c r="C713" s="937"/>
      <c r="D713" s="57"/>
      <c r="E713" s="58"/>
      <c r="F713" s="57"/>
      <c r="G713" s="57"/>
      <c r="H713" s="556">
        <v>12</v>
      </c>
      <c r="I713" s="556">
        <v>22</v>
      </c>
      <c r="J713" s="57">
        <f>(F712+(50*H713/1000))*I713*C712</f>
        <v>0</v>
      </c>
      <c r="K713" s="60" t="s">
        <v>63</v>
      </c>
      <c r="L713" s="556">
        <v>8</v>
      </c>
      <c r="M713" s="61">
        <v>0.15</v>
      </c>
      <c r="N713" s="556">
        <f>ROUND((F712/2)/M713,0)+1</f>
        <v>11</v>
      </c>
      <c r="O713" s="53">
        <f>((((((((D712-0.08)+(E712-0.08))*2)+0.2)+((((E712-0.08)+0.2)*(((I713+I712+I714)/2)-2)))))))</f>
        <v>13.29</v>
      </c>
      <c r="P713" s="54">
        <f>O713*N713*C712</f>
        <v>0</v>
      </c>
      <c r="Q713" s="55">
        <f t="shared" si="153"/>
        <v>0</v>
      </c>
      <c r="R713" s="55">
        <f t="shared" si="154"/>
        <v>0</v>
      </c>
      <c r="S713" s="55">
        <f t="shared" si="155"/>
        <v>0</v>
      </c>
      <c r="T713" s="56">
        <f t="shared" si="156"/>
        <v>0</v>
      </c>
      <c r="U713" s="56">
        <f t="shared" si="157"/>
        <v>0</v>
      </c>
      <c r="V713" s="55">
        <f t="shared" si="158"/>
        <v>0</v>
      </c>
    </row>
    <row r="714" spans="1:22" outlineLevel="1" x14ac:dyDescent="0.3">
      <c r="A714" s="937"/>
      <c r="B714" s="915"/>
      <c r="C714" s="937"/>
      <c r="D714" s="57"/>
      <c r="E714" s="58"/>
      <c r="F714" s="57"/>
      <c r="G714" s="57"/>
      <c r="H714" s="556"/>
      <c r="I714" s="556"/>
      <c r="J714" s="57">
        <f>(F712+(50*H714/1000))*I714*C712</f>
        <v>0</v>
      </c>
      <c r="K714" s="60"/>
      <c r="L714" s="556"/>
      <c r="M714" s="61"/>
      <c r="N714" s="556"/>
      <c r="O714" s="62"/>
      <c r="P714" s="54">
        <f t="shared" si="161"/>
        <v>0</v>
      </c>
      <c r="Q714" s="55">
        <f t="shared" si="153"/>
        <v>0</v>
      </c>
      <c r="R714" s="55">
        <f t="shared" si="154"/>
        <v>0</v>
      </c>
      <c r="S714" s="55">
        <f t="shared" si="155"/>
        <v>0</v>
      </c>
      <c r="T714" s="56">
        <f t="shared" si="156"/>
        <v>0</v>
      </c>
      <c r="U714" s="56">
        <f t="shared" si="157"/>
        <v>0</v>
      </c>
      <c r="V714" s="55">
        <f t="shared" si="158"/>
        <v>0</v>
      </c>
    </row>
    <row r="715" spans="1:22" outlineLevel="1" x14ac:dyDescent="0.3">
      <c r="A715" s="938"/>
      <c r="B715" s="916"/>
      <c r="C715" s="938"/>
      <c r="D715" s="63"/>
      <c r="E715" s="64"/>
      <c r="F715" s="63"/>
      <c r="G715" s="63"/>
      <c r="H715" s="558"/>
      <c r="I715" s="558"/>
      <c r="J715" s="63"/>
      <c r="K715" s="66"/>
      <c r="L715" s="558"/>
      <c r="M715" s="67"/>
      <c r="N715" s="558"/>
      <c r="O715" s="69"/>
      <c r="P715" s="54">
        <f t="shared" si="161"/>
        <v>0</v>
      </c>
      <c r="Q715" s="55">
        <f t="shared" si="153"/>
        <v>0</v>
      </c>
      <c r="R715" s="55">
        <f t="shared" si="154"/>
        <v>0</v>
      </c>
      <c r="S715" s="55">
        <f t="shared" si="155"/>
        <v>0</v>
      </c>
      <c r="T715" s="56">
        <f t="shared" si="156"/>
        <v>0</v>
      </c>
      <c r="U715" s="56">
        <f t="shared" si="157"/>
        <v>0</v>
      </c>
      <c r="V715" s="55">
        <f t="shared" si="158"/>
        <v>0</v>
      </c>
    </row>
    <row r="716" spans="1:22" outlineLevel="1" x14ac:dyDescent="0.3">
      <c r="A716" s="936">
        <v>25</v>
      </c>
      <c r="B716" s="914" t="s">
        <v>93</v>
      </c>
      <c r="C716" s="936">
        <v>0</v>
      </c>
      <c r="D716" s="48">
        <v>8.42</v>
      </c>
      <c r="E716" s="49">
        <v>0.23</v>
      </c>
      <c r="F716" s="48">
        <v>2.9</v>
      </c>
      <c r="G716" s="48">
        <f>F716*E716*D716*C716</f>
        <v>0</v>
      </c>
      <c r="H716" s="555">
        <v>16</v>
      </c>
      <c r="I716" s="555">
        <v>68</v>
      </c>
      <c r="J716" s="48">
        <f>(F716+(50*H716/1000))*I716*C716</f>
        <v>0</v>
      </c>
      <c r="K716" s="51" t="s">
        <v>66</v>
      </c>
      <c r="L716" s="555">
        <v>8</v>
      </c>
      <c r="M716" s="52">
        <v>0.1</v>
      </c>
      <c r="N716" s="555">
        <f>ROUND(((F716/2)/M716),0)+1</f>
        <v>16</v>
      </c>
      <c r="O716" s="53">
        <f>((((((((D716-0.08)+(E716-0.08))*2)+0.2)+((((E716-0.08)+0.2)*(((I716+I717+I718)/2)-2)))))))</f>
        <v>35.730000000000004</v>
      </c>
      <c r="P716" s="54">
        <f>O716*N716*C716</f>
        <v>0</v>
      </c>
      <c r="Q716" s="55">
        <f t="shared" si="153"/>
        <v>0</v>
      </c>
      <c r="R716" s="55">
        <f t="shared" si="154"/>
        <v>0</v>
      </c>
      <c r="S716" s="55">
        <f t="shared" si="155"/>
        <v>0</v>
      </c>
      <c r="T716" s="56">
        <f t="shared" si="156"/>
        <v>0</v>
      </c>
      <c r="U716" s="56">
        <f t="shared" si="157"/>
        <v>0</v>
      </c>
      <c r="V716" s="55">
        <f t="shared" si="158"/>
        <v>0</v>
      </c>
    </row>
    <row r="717" spans="1:22" outlineLevel="1" x14ac:dyDescent="0.3">
      <c r="A717" s="937"/>
      <c r="B717" s="915"/>
      <c r="C717" s="937"/>
      <c r="D717" s="57"/>
      <c r="E717" s="58"/>
      <c r="F717" s="57"/>
      <c r="G717" s="57"/>
      <c r="H717" s="556">
        <v>12</v>
      </c>
      <c r="I717" s="556">
        <v>36</v>
      </c>
      <c r="J717" s="57">
        <f>(F716+(50*H717/1000))*I717*C716</f>
        <v>0</v>
      </c>
      <c r="K717" s="60" t="s">
        <v>63</v>
      </c>
      <c r="L717" s="556">
        <v>8</v>
      </c>
      <c r="M717" s="61">
        <v>0.15</v>
      </c>
      <c r="N717" s="556">
        <f>ROUND((F716/2)/M717,0)+1</f>
        <v>11</v>
      </c>
      <c r="O717" s="53">
        <f>((((((((D716-0.08)+(E716-0.08))*2)+0.2)+((((E716-0.08)+0.2)*(((I717+I716+I718)/2)-2)))))))</f>
        <v>35.730000000000004</v>
      </c>
      <c r="P717" s="54">
        <f>O717*N717*C716</f>
        <v>0</v>
      </c>
      <c r="Q717" s="55">
        <f t="shared" si="153"/>
        <v>0</v>
      </c>
      <c r="R717" s="55">
        <f t="shared" si="154"/>
        <v>0</v>
      </c>
      <c r="S717" s="55">
        <f t="shared" si="155"/>
        <v>0</v>
      </c>
      <c r="T717" s="56">
        <f t="shared" si="156"/>
        <v>0</v>
      </c>
      <c r="U717" s="56">
        <f t="shared" si="157"/>
        <v>0</v>
      </c>
      <c r="V717" s="55">
        <f t="shared" si="158"/>
        <v>0</v>
      </c>
    </row>
    <row r="718" spans="1:22" outlineLevel="1" x14ac:dyDescent="0.3">
      <c r="A718" s="937"/>
      <c r="B718" s="915"/>
      <c r="C718" s="937"/>
      <c r="D718" s="57"/>
      <c r="E718" s="58"/>
      <c r="F718" s="57"/>
      <c r="G718" s="57"/>
      <c r="H718" s="556">
        <v>8</v>
      </c>
      <c r="I718" s="556">
        <v>6</v>
      </c>
      <c r="J718" s="57">
        <f>(F716+(50*H718/1000))*I718*C716</f>
        <v>0</v>
      </c>
      <c r="K718" s="60" t="s">
        <v>63</v>
      </c>
      <c r="L718" s="556"/>
      <c r="M718" s="61"/>
      <c r="N718" s="556"/>
      <c r="O718" s="62"/>
      <c r="P718" s="54">
        <f t="shared" ref="P718:P723" si="162">O718</f>
        <v>0</v>
      </c>
      <c r="Q718" s="55">
        <f t="shared" si="153"/>
        <v>0</v>
      </c>
      <c r="R718" s="55">
        <f t="shared" si="154"/>
        <v>0</v>
      </c>
      <c r="S718" s="55">
        <f t="shared" si="155"/>
        <v>0</v>
      </c>
      <c r="T718" s="56">
        <f t="shared" si="156"/>
        <v>0</v>
      </c>
      <c r="U718" s="56">
        <f t="shared" si="157"/>
        <v>0</v>
      </c>
      <c r="V718" s="55">
        <f t="shared" si="158"/>
        <v>0</v>
      </c>
    </row>
    <row r="719" spans="1:22" outlineLevel="1" x14ac:dyDescent="0.3">
      <c r="A719" s="979"/>
      <c r="B719" s="980"/>
      <c r="C719" s="979"/>
      <c r="D719" s="70"/>
      <c r="E719" s="71"/>
      <c r="F719" s="70"/>
      <c r="G719" s="70"/>
      <c r="H719" s="557"/>
      <c r="I719" s="557"/>
      <c r="J719" s="70"/>
      <c r="K719" s="73" t="s">
        <v>64</v>
      </c>
      <c r="L719" s="557"/>
      <c r="M719" s="67"/>
      <c r="N719" s="558"/>
      <c r="O719" s="69"/>
      <c r="P719" s="54">
        <f t="shared" si="162"/>
        <v>0</v>
      </c>
      <c r="Q719" s="55">
        <f t="shared" si="153"/>
        <v>0</v>
      </c>
      <c r="R719" s="55">
        <f t="shared" si="154"/>
        <v>0</v>
      </c>
      <c r="S719" s="55">
        <f t="shared" si="155"/>
        <v>0</v>
      </c>
      <c r="T719" s="56">
        <f t="shared" si="156"/>
        <v>0</v>
      </c>
      <c r="U719" s="56">
        <f t="shared" si="157"/>
        <v>0</v>
      </c>
      <c r="V719" s="55">
        <f t="shared" si="158"/>
        <v>0</v>
      </c>
    </row>
    <row r="720" spans="1:22" outlineLevel="1" x14ac:dyDescent="0.3">
      <c r="A720" s="936">
        <v>26</v>
      </c>
      <c r="B720" s="914" t="s">
        <v>94</v>
      </c>
      <c r="C720" s="936">
        <v>0</v>
      </c>
      <c r="D720" s="48">
        <v>9.42</v>
      </c>
      <c r="E720" s="49">
        <v>0.23</v>
      </c>
      <c r="F720" s="48">
        <v>2.9</v>
      </c>
      <c r="G720" s="48">
        <f>F720*E720*D720*C720</f>
        <v>0</v>
      </c>
      <c r="H720" s="555">
        <v>16</v>
      </c>
      <c r="I720" s="555">
        <v>68</v>
      </c>
      <c r="J720" s="48">
        <f>(F720+(50*H720/1000))*I720*C720</f>
        <v>0</v>
      </c>
      <c r="K720" s="51" t="s">
        <v>66</v>
      </c>
      <c r="L720" s="555">
        <v>8</v>
      </c>
      <c r="M720" s="52">
        <v>0.1</v>
      </c>
      <c r="N720" s="555">
        <f>ROUND(((F720/2)/M720),0)+1</f>
        <v>16</v>
      </c>
      <c r="O720" s="53">
        <f>((((((((D720-0.08)+(E720-0.08))*2)+0.2)+((((E720-0.08)+0.2)*(((I720+I721+I722)/2)-2)))))))</f>
        <v>37.730000000000004</v>
      </c>
      <c r="P720" s="54">
        <f>O720*N720*C720</f>
        <v>0</v>
      </c>
      <c r="Q720" s="55">
        <f t="shared" si="153"/>
        <v>0</v>
      </c>
      <c r="R720" s="55">
        <f t="shared" si="154"/>
        <v>0</v>
      </c>
      <c r="S720" s="55">
        <f t="shared" si="155"/>
        <v>0</v>
      </c>
      <c r="T720" s="56">
        <f t="shared" si="156"/>
        <v>0</v>
      </c>
      <c r="U720" s="56">
        <f t="shared" si="157"/>
        <v>0</v>
      </c>
      <c r="V720" s="55">
        <f t="shared" si="158"/>
        <v>0</v>
      </c>
    </row>
    <row r="721" spans="1:22" outlineLevel="1" x14ac:dyDescent="0.3">
      <c r="A721" s="937"/>
      <c r="B721" s="915"/>
      <c r="C721" s="937"/>
      <c r="D721" s="57"/>
      <c r="E721" s="58"/>
      <c r="F721" s="57"/>
      <c r="G721" s="57"/>
      <c r="H721" s="556">
        <v>12</v>
      </c>
      <c r="I721" s="556">
        <v>36</v>
      </c>
      <c r="J721" s="57">
        <f>(F720+(50*H721/1000))*I721*C720</f>
        <v>0</v>
      </c>
      <c r="K721" s="60" t="s">
        <v>63</v>
      </c>
      <c r="L721" s="556">
        <v>8</v>
      </c>
      <c r="M721" s="61">
        <v>0.15</v>
      </c>
      <c r="N721" s="556">
        <f>ROUND((F720/2)/M721,0)+1</f>
        <v>11</v>
      </c>
      <c r="O721" s="53">
        <f>((((((((D720-0.08)+(E720-0.08))*2)+0.2)+((((E720-0.08)+0.2)*(((I721+I720+I722)/2)-2)))))))</f>
        <v>37.730000000000004</v>
      </c>
      <c r="P721" s="54">
        <f>O721*N721*C720</f>
        <v>0</v>
      </c>
      <c r="Q721" s="55">
        <f>IF(H721=10,(J721),0)+IF(L721=10,(O721*N721),0)</f>
        <v>0</v>
      </c>
      <c r="R721" s="55">
        <f>IF(H721=12,(J721),0)+IF(L721=12,(O721*N721),0)</f>
        <v>0</v>
      </c>
      <c r="S721" s="55">
        <f>IF(H721=16,(J721),0)+IF(L721=16,(O721*N721),0)</f>
        <v>0</v>
      </c>
      <c r="T721" s="56">
        <f>IF(H721=20,(J721),0)+IF(L721=20,(O721*N721),0)</f>
        <v>0</v>
      </c>
      <c r="U721" s="56">
        <f>IF(H721=25,(J721),0)+IF(L721=25,(O721*N721),0)</f>
        <v>0</v>
      </c>
      <c r="V721" s="55">
        <f>IF(H721=32,(J721),0)+IF(L721=32,(O721*N721),0)</f>
        <v>0</v>
      </c>
    </row>
    <row r="722" spans="1:22" outlineLevel="1" x14ac:dyDescent="0.3">
      <c r="A722" s="937"/>
      <c r="B722" s="915"/>
      <c r="C722" s="937"/>
      <c r="D722" s="57"/>
      <c r="E722" s="58"/>
      <c r="F722" s="57"/>
      <c r="G722" s="57"/>
      <c r="H722" s="556">
        <v>8</v>
      </c>
      <c r="I722" s="556">
        <v>6</v>
      </c>
      <c r="J722" s="57">
        <f>(F720+(50*H722/1000))*I722*C720</f>
        <v>0</v>
      </c>
      <c r="K722" s="60" t="s">
        <v>63</v>
      </c>
      <c r="L722" s="556"/>
      <c r="M722" s="61"/>
      <c r="N722" s="556"/>
      <c r="O722" s="62"/>
      <c r="P722" s="54">
        <f t="shared" si="162"/>
        <v>0</v>
      </c>
      <c r="Q722" s="55">
        <f>IF(H722=10,(J722),0)+IF(L722=10,(O722*N722),0)</f>
        <v>0</v>
      </c>
      <c r="R722" s="55">
        <f>IF(H722=12,(J722),0)+IF(L722=12,(O722*N722),0)</f>
        <v>0</v>
      </c>
      <c r="S722" s="55">
        <f>IF(H722=16,(J722),0)+IF(L722=16,(O722*N722),0)</f>
        <v>0</v>
      </c>
      <c r="T722" s="56">
        <f>IF(H722=20,(J722),0)+IF(L722=20,(O722*N722),0)</f>
        <v>0</v>
      </c>
      <c r="U722" s="56">
        <f>IF(H722=25,(J722),0)+IF(L722=25,(O722*N722),0)</f>
        <v>0</v>
      </c>
      <c r="V722" s="55">
        <f>IF(H722=32,(J722),0)+IF(L722=32,(O722*N722),0)</f>
        <v>0</v>
      </c>
    </row>
    <row r="723" spans="1:22" outlineLevel="1" x14ac:dyDescent="0.3">
      <c r="A723" s="979"/>
      <c r="B723" s="980"/>
      <c r="C723" s="979"/>
      <c r="D723" s="70"/>
      <c r="E723" s="71"/>
      <c r="F723" s="70"/>
      <c r="G723" s="70"/>
      <c r="H723" s="557"/>
      <c r="I723" s="557"/>
      <c r="J723" s="70"/>
      <c r="K723" s="73" t="s">
        <v>64</v>
      </c>
      <c r="L723" s="557"/>
      <c r="M723" s="67"/>
      <c r="N723" s="558"/>
      <c r="O723" s="69"/>
      <c r="P723" s="54">
        <f t="shared" si="162"/>
        <v>0</v>
      </c>
      <c r="Q723" s="55">
        <f>IF(H723=10,(J723),0)+IF(L723=10,(O723*N723),0)</f>
        <v>0</v>
      </c>
      <c r="R723" s="55">
        <f>IF(H723=12,(J723),0)+IF(L723=12,(O723*N723),0)</f>
        <v>0</v>
      </c>
      <c r="S723" s="55">
        <f>IF(H723=16,(J723),0)+IF(L723=16,(O723*N723),0)</f>
        <v>0</v>
      </c>
      <c r="T723" s="56">
        <f>IF(H723=20,(J723),0)+IF(L723=20,(O723*N723),0)</f>
        <v>0</v>
      </c>
      <c r="U723" s="56">
        <f>IF(H723=25,(J723),0)+IF(L723=25,(O723*N723),0)</f>
        <v>0</v>
      </c>
      <c r="V723" s="55">
        <f>IF(H723=32,(J723),0)+IF(L723=32,(O723*N723),0)</f>
        <v>0</v>
      </c>
    </row>
    <row r="724" spans="1:22" ht="15.6" outlineLevel="1" x14ac:dyDescent="0.3">
      <c r="A724" s="74"/>
      <c r="B724" s="75"/>
      <c r="C724" s="75"/>
      <c r="D724" s="75"/>
      <c r="E724" s="76"/>
      <c r="F724" s="75" t="s">
        <v>95</v>
      </c>
      <c r="G724" s="77">
        <f>(SUM(G593:G723)/2.9)*2.2</f>
        <v>26.423320000000007</v>
      </c>
      <c r="H724" s="75"/>
      <c r="I724" s="75"/>
      <c r="J724" s="75"/>
      <c r="K724" s="75"/>
      <c r="L724" s="78"/>
      <c r="M724" s="978" t="s">
        <v>96</v>
      </c>
      <c r="N724" s="978"/>
      <c r="O724" s="978"/>
      <c r="P724" s="77">
        <f t="shared" ref="P724:V724" si="163">SUM(P593:P723)</f>
        <v>6062.58</v>
      </c>
      <c r="Q724" s="77">
        <f t="shared" si="163"/>
        <v>0</v>
      </c>
      <c r="R724" s="77">
        <f t="shared" si="163"/>
        <v>77</v>
      </c>
      <c r="S724" s="77">
        <f t="shared" si="163"/>
        <v>1887.0000000000002</v>
      </c>
      <c r="T724" s="77">
        <f t="shared" si="163"/>
        <v>842.40000000000009</v>
      </c>
      <c r="U724" s="77">
        <f t="shared" si="163"/>
        <v>0</v>
      </c>
      <c r="V724" s="77">
        <f t="shared" si="163"/>
        <v>0</v>
      </c>
    </row>
    <row r="725" spans="1:22" ht="15.6" outlineLevel="1" x14ac:dyDescent="0.3">
      <c r="A725" s="79"/>
      <c r="B725" s="79"/>
      <c r="C725" s="79"/>
      <c r="D725" s="80"/>
      <c r="E725" s="81"/>
      <c r="F725" s="80"/>
      <c r="G725" s="80"/>
      <c r="H725" s="79"/>
      <c r="I725" s="79"/>
      <c r="J725" s="80"/>
      <c r="K725" s="79"/>
      <c r="L725" s="79"/>
      <c r="M725" s="977" t="s">
        <v>97</v>
      </c>
      <c r="N725" s="977"/>
      <c r="O725" s="977"/>
      <c r="P725" s="82">
        <f>8^2/162</f>
        <v>0.39506172839506171</v>
      </c>
      <c r="Q725" s="82">
        <f>10^2/162</f>
        <v>0.61728395061728392</v>
      </c>
      <c r="R725" s="82">
        <f>12^2/162</f>
        <v>0.88888888888888884</v>
      </c>
      <c r="S725" s="82">
        <f>16^2/162</f>
        <v>1.5802469135802468</v>
      </c>
      <c r="T725" s="82">
        <f>20^2/162</f>
        <v>2.4691358024691357</v>
      </c>
      <c r="U725" s="82">
        <f>25^2/162</f>
        <v>3.8580246913580245</v>
      </c>
      <c r="V725" s="82">
        <f>32^2/162</f>
        <v>6.3209876543209873</v>
      </c>
    </row>
    <row r="726" spans="1:22" ht="15.6" outlineLevel="1" x14ac:dyDescent="0.3">
      <c r="A726" s="83"/>
      <c r="B726" s="84"/>
      <c r="C726" s="84"/>
      <c r="D726" s="84"/>
      <c r="E726" s="85"/>
      <c r="F726" s="84"/>
      <c r="G726" s="84"/>
      <c r="H726" s="84"/>
      <c r="I726" s="84"/>
      <c r="J726" s="84"/>
      <c r="K726" s="84"/>
      <c r="L726" s="84"/>
      <c r="M726" s="978" t="s">
        <v>98</v>
      </c>
      <c r="N726" s="978"/>
      <c r="O726" s="978"/>
      <c r="P726" s="77">
        <f t="shared" ref="P726:V726" si="164">P725*P724</f>
        <v>2395.0933333333332</v>
      </c>
      <c r="Q726" s="77">
        <f t="shared" si="164"/>
        <v>0</v>
      </c>
      <c r="R726" s="77">
        <f t="shared" si="164"/>
        <v>68.444444444444443</v>
      </c>
      <c r="S726" s="77">
        <f t="shared" si="164"/>
        <v>2981.9259259259261</v>
      </c>
      <c r="T726" s="77">
        <f t="shared" si="164"/>
        <v>2080</v>
      </c>
      <c r="U726" s="77">
        <f t="shared" si="164"/>
        <v>0</v>
      </c>
      <c r="V726" s="77">
        <f t="shared" si="164"/>
        <v>0</v>
      </c>
    </row>
    <row r="727" spans="1:22" ht="15.6" outlineLevel="1" x14ac:dyDescent="0.3">
      <c r="M727" s="978" t="s">
        <v>99</v>
      </c>
      <c r="N727" s="978"/>
      <c r="O727" s="978"/>
      <c r="P727" s="77">
        <f t="shared" ref="P727:V727" si="165">P726/1000</f>
        <v>2.3950933333333331</v>
      </c>
      <c r="Q727" s="77">
        <f t="shared" si="165"/>
        <v>0</v>
      </c>
      <c r="R727" s="77">
        <f t="shared" si="165"/>
        <v>6.8444444444444447E-2</v>
      </c>
      <c r="S727" s="77">
        <f t="shared" si="165"/>
        <v>2.9819259259259261</v>
      </c>
      <c r="T727" s="77">
        <f t="shared" si="165"/>
        <v>2.08</v>
      </c>
      <c r="U727" s="77">
        <f t="shared" si="165"/>
        <v>0</v>
      </c>
      <c r="V727" s="77">
        <f t="shared" si="165"/>
        <v>0</v>
      </c>
    </row>
  </sheetData>
  <mergeCells count="758">
    <mergeCell ref="A449:A452"/>
    <mergeCell ref="B449:B452"/>
    <mergeCell ref="C449:C452"/>
    <mergeCell ref="M439:O439"/>
    <mergeCell ref="M440:O440"/>
    <mergeCell ref="M441:O441"/>
    <mergeCell ref="M442:O442"/>
    <mergeCell ref="A435:A438"/>
    <mergeCell ref="B435:B438"/>
    <mergeCell ref="C435:C438"/>
    <mergeCell ref="A445:A448"/>
    <mergeCell ref="B445:B448"/>
    <mergeCell ref="C445:C448"/>
    <mergeCell ref="A421:A425"/>
    <mergeCell ref="B421:B425"/>
    <mergeCell ref="C421:C425"/>
    <mergeCell ref="A426:A430"/>
    <mergeCell ref="B426:B430"/>
    <mergeCell ref="C426:C430"/>
    <mergeCell ref="A431:A434"/>
    <mergeCell ref="B431:B434"/>
    <mergeCell ref="C431:C434"/>
    <mergeCell ref="A406:A410"/>
    <mergeCell ref="B406:B410"/>
    <mergeCell ref="C406:C410"/>
    <mergeCell ref="A411:A415"/>
    <mergeCell ref="B411:B415"/>
    <mergeCell ref="C411:C415"/>
    <mergeCell ref="A416:A420"/>
    <mergeCell ref="B416:B420"/>
    <mergeCell ref="C416:C420"/>
    <mergeCell ref="A391:A395"/>
    <mergeCell ref="B391:B395"/>
    <mergeCell ref="C391:C395"/>
    <mergeCell ref="A396:A400"/>
    <mergeCell ref="B396:B400"/>
    <mergeCell ref="C396:C400"/>
    <mergeCell ref="A401:A405"/>
    <mergeCell ref="B401:B405"/>
    <mergeCell ref="C401:C405"/>
    <mergeCell ref="A378:A381"/>
    <mergeCell ref="B378:B381"/>
    <mergeCell ref="C378:C381"/>
    <mergeCell ref="A382:A385"/>
    <mergeCell ref="B382:B385"/>
    <mergeCell ref="C382:C385"/>
    <mergeCell ref="A386:A390"/>
    <mergeCell ref="B386:B390"/>
    <mergeCell ref="C386:C390"/>
    <mergeCell ref="A362:A365"/>
    <mergeCell ref="B362:B365"/>
    <mergeCell ref="C362:C365"/>
    <mergeCell ref="A370:A373"/>
    <mergeCell ref="B370:B373"/>
    <mergeCell ref="C370:C373"/>
    <mergeCell ref="A374:A377"/>
    <mergeCell ref="B374:B377"/>
    <mergeCell ref="C374:C377"/>
    <mergeCell ref="A366:A369"/>
    <mergeCell ref="B366:B369"/>
    <mergeCell ref="C366:C369"/>
    <mergeCell ref="A350:A353"/>
    <mergeCell ref="B350:B353"/>
    <mergeCell ref="C350:C353"/>
    <mergeCell ref="A354:A357"/>
    <mergeCell ref="B354:B357"/>
    <mergeCell ref="C354:C357"/>
    <mergeCell ref="A358:A361"/>
    <mergeCell ref="B358:B361"/>
    <mergeCell ref="C358:C361"/>
    <mergeCell ref="A338:A341"/>
    <mergeCell ref="B338:B341"/>
    <mergeCell ref="C338:C341"/>
    <mergeCell ref="A342:A345"/>
    <mergeCell ref="B342:B345"/>
    <mergeCell ref="C342:C345"/>
    <mergeCell ref="A346:A349"/>
    <mergeCell ref="B346:B349"/>
    <mergeCell ref="C346:C349"/>
    <mergeCell ref="A323:A327"/>
    <mergeCell ref="B323:B327"/>
    <mergeCell ref="C323:C327"/>
    <mergeCell ref="A328:A332"/>
    <mergeCell ref="B328:B332"/>
    <mergeCell ref="C328:C332"/>
    <mergeCell ref="A333:A337"/>
    <mergeCell ref="B333:B337"/>
    <mergeCell ref="C333:C337"/>
    <mergeCell ref="A308:A312"/>
    <mergeCell ref="B308:B312"/>
    <mergeCell ref="C308:C312"/>
    <mergeCell ref="A313:A317"/>
    <mergeCell ref="B313:B317"/>
    <mergeCell ref="C313:C317"/>
    <mergeCell ref="A318:A322"/>
    <mergeCell ref="B318:B322"/>
    <mergeCell ref="C318:C322"/>
    <mergeCell ref="P301:P302"/>
    <mergeCell ref="Q301:Q302"/>
    <mergeCell ref="R301:R302"/>
    <mergeCell ref="S301:S302"/>
    <mergeCell ref="T301:T302"/>
    <mergeCell ref="U301:U302"/>
    <mergeCell ref="V301:V302"/>
    <mergeCell ref="A303:A307"/>
    <mergeCell ref="B303:B307"/>
    <mergeCell ref="C303:C307"/>
    <mergeCell ref="M724:O724"/>
    <mergeCell ref="M725:O725"/>
    <mergeCell ref="M726:O726"/>
    <mergeCell ref="M727:O727"/>
    <mergeCell ref="A298:V299"/>
    <mergeCell ref="A300:G300"/>
    <mergeCell ref="H300:J300"/>
    <mergeCell ref="K300:O300"/>
    <mergeCell ref="P300:V300"/>
    <mergeCell ref="A301:A302"/>
    <mergeCell ref="B301:B302"/>
    <mergeCell ref="C301:C302"/>
    <mergeCell ref="D301:D302"/>
    <mergeCell ref="E301:E302"/>
    <mergeCell ref="F301:F302"/>
    <mergeCell ref="G301:G302"/>
    <mergeCell ref="H301:H302"/>
    <mergeCell ref="I301:I302"/>
    <mergeCell ref="J301:J302"/>
    <mergeCell ref="K301:K302"/>
    <mergeCell ref="L301:L302"/>
    <mergeCell ref="M301:M302"/>
    <mergeCell ref="N301:N302"/>
    <mergeCell ref="O301:O302"/>
    <mergeCell ref="A712:A715"/>
    <mergeCell ref="B712:B715"/>
    <mergeCell ref="C712:C715"/>
    <mergeCell ref="A716:A719"/>
    <mergeCell ref="B716:B719"/>
    <mergeCell ref="C716:C719"/>
    <mergeCell ref="A720:A723"/>
    <mergeCell ref="B720:B723"/>
    <mergeCell ref="C720:C723"/>
    <mergeCell ref="A698:A702"/>
    <mergeCell ref="B698:B702"/>
    <mergeCell ref="C698:C702"/>
    <mergeCell ref="A703:A707"/>
    <mergeCell ref="B703:B707"/>
    <mergeCell ref="C703:C707"/>
    <mergeCell ref="A708:A711"/>
    <mergeCell ref="B708:B711"/>
    <mergeCell ref="C708:C711"/>
    <mergeCell ref="A683:A687"/>
    <mergeCell ref="B683:B687"/>
    <mergeCell ref="C683:C687"/>
    <mergeCell ref="A688:A692"/>
    <mergeCell ref="B688:B692"/>
    <mergeCell ref="C688:C692"/>
    <mergeCell ref="A693:A697"/>
    <mergeCell ref="B693:B697"/>
    <mergeCell ref="C693:C697"/>
    <mergeCell ref="A668:A672"/>
    <mergeCell ref="B668:B672"/>
    <mergeCell ref="C668:C672"/>
    <mergeCell ref="A673:A677"/>
    <mergeCell ref="B673:B677"/>
    <mergeCell ref="C673:C677"/>
    <mergeCell ref="A678:A682"/>
    <mergeCell ref="B678:B682"/>
    <mergeCell ref="C678:C682"/>
    <mergeCell ref="A656:A659"/>
    <mergeCell ref="B656:B659"/>
    <mergeCell ref="C656:C659"/>
    <mergeCell ref="A660:A663"/>
    <mergeCell ref="B660:B663"/>
    <mergeCell ref="C660:C663"/>
    <mergeCell ref="A664:A667"/>
    <mergeCell ref="B664:B667"/>
    <mergeCell ref="C664:C667"/>
    <mergeCell ref="A644:A647"/>
    <mergeCell ref="B644:B647"/>
    <mergeCell ref="C644:C647"/>
    <mergeCell ref="A648:A651"/>
    <mergeCell ref="B648:B651"/>
    <mergeCell ref="C648:C651"/>
    <mergeCell ref="A652:A655"/>
    <mergeCell ref="B652:B655"/>
    <mergeCell ref="C652:C655"/>
    <mergeCell ref="A632:A635"/>
    <mergeCell ref="B632:B635"/>
    <mergeCell ref="C632:C635"/>
    <mergeCell ref="A636:A639"/>
    <mergeCell ref="B636:B639"/>
    <mergeCell ref="C636:C639"/>
    <mergeCell ref="A640:A643"/>
    <mergeCell ref="B640:B643"/>
    <mergeCell ref="C640:C643"/>
    <mergeCell ref="A618:A622"/>
    <mergeCell ref="B618:B622"/>
    <mergeCell ref="C618:C622"/>
    <mergeCell ref="A623:A627"/>
    <mergeCell ref="B623:B627"/>
    <mergeCell ref="C623:C627"/>
    <mergeCell ref="A628:A631"/>
    <mergeCell ref="B628:B631"/>
    <mergeCell ref="C628:C631"/>
    <mergeCell ref="A603:A607"/>
    <mergeCell ref="B603:B607"/>
    <mergeCell ref="C603:C607"/>
    <mergeCell ref="A608:A612"/>
    <mergeCell ref="B608:B612"/>
    <mergeCell ref="C608:C612"/>
    <mergeCell ref="A613:A617"/>
    <mergeCell ref="B613:B617"/>
    <mergeCell ref="C613:C617"/>
    <mergeCell ref="T591:T592"/>
    <mergeCell ref="U591:U592"/>
    <mergeCell ref="V591:V592"/>
    <mergeCell ref="A593:A597"/>
    <mergeCell ref="B593:B597"/>
    <mergeCell ref="C593:C597"/>
    <mergeCell ref="A598:A602"/>
    <mergeCell ref="B598:B602"/>
    <mergeCell ref="C598:C602"/>
    <mergeCell ref="A588:V589"/>
    <mergeCell ref="A590:G590"/>
    <mergeCell ref="H590:J590"/>
    <mergeCell ref="K590:O590"/>
    <mergeCell ref="P590:V590"/>
    <mergeCell ref="A591:A592"/>
    <mergeCell ref="B591:B592"/>
    <mergeCell ref="C591:C592"/>
    <mergeCell ref="D591:D592"/>
    <mergeCell ref="E591:E592"/>
    <mergeCell ref="F591:F592"/>
    <mergeCell ref="G591:G592"/>
    <mergeCell ref="H591:H592"/>
    <mergeCell ref="I591:I592"/>
    <mergeCell ref="J591:J592"/>
    <mergeCell ref="K591:K592"/>
    <mergeCell ref="L591:L592"/>
    <mergeCell ref="M591:M592"/>
    <mergeCell ref="N591:N592"/>
    <mergeCell ref="O591:O592"/>
    <mergeCell ref="P591:P592"/>
    <mergeCell ref="Q591:Q592"/>
    <mergeCell ref="R591:R592"/>
    <mergeCell ref="S591:S592"/>
    <mergeCell ref="M139:O139"/>
    <mergeCell ref="A131:A134"/>
    <mergeCell ref="B131:B134"/>
    <mergeCell ref="C131:C134"/>
    <mergeCell ref="M136:O136"/>
    <mergeCell ref="M137:O137"/>
    <mergeCell ref="M138:O138"/>
    <mergeCell ref="A123:A126"/>
    <mergeCell ref="B123:B126"/>
    <mergeCell ref="C123:C126"/>
    <mergeCell ref="A127:A130"/>
    <mergeCell ref="B127:B130"/>
    <mergeCell ref="C127:C130"/>
    <mergeCell ref="A114:A118"/>
    <mergeCell ref="B114:B118"/>
    <mergeCell ref="C114:C118"/>
    <mergeCell ref="A119:A122"/>
    <mergeCell ref="B119:B122"/>
    <mergeCell ref="C119:C122"/>
    <mergeCell ref="A104:A108"/>
    <mergeCell ref="B104:B108"/>
    <mergeCell ref="C104:C108"/>
    <mergeCell ref="A109:A113"/>
    <mergeCell ref="B109:B113"/>
    <mergeCell ref="C109:C113"/>
    <mergeCell ref="A94:A98"/>
    <mergeCell ref="B94:B98"/>
    <mergeCell ref="C94:C98"/>
    <mergeCell ref="A99:A103"/>
    <mergeCell ref="B99:B103"/>
    <mergeCell ref="C99:C103"/>
    <mergeCell ref="A84:A88"/>
    <mergeCell ref="B84:B88"/>
    <mergeCell ref="C84:C88"/>
    <mergeCell ref="A89:A93"/>
    <mergeCell ref="B89:B93"/>
    <mergeCell ref="C89:C93"/>
    <mergeCell ref="A76:A79"/>
    <mergeCell ref="B76:B79"/>
    <mergeCell ref="C76:C79"/>
    <mergeCell ref="A80:A83"/>
    <mergeCell ref="B80:B83"/>
    <mergeCell ref="C80:C83"/>
    <mergeCell ref="A68:A71"/>
    <mergeCell ref="B68:B71"/>
    <mergeCell ref="C68:C71"/>
    <mergeCell ref="A72:A75"/>
    <mergeCell ref="B72:B75"/>
    <mergeCell ref="C72:C75"/>
    <mergeCell ref="A60:A63"/>
    <mergeCell ref="B60:B63"/>
    <mergeCell ref="C60:C63"/>
    <mergeCell ref="A64:A67"/>
    <mergeCell ref="B64:B67"/>
    <mergeCell ref="C64:C67"/>
    <mergeCell ref="A52:A55"/>
    <mergeCell ref="B52:B55"/>
    <mergeCell ref="C52:C55"/>
    <mergeCell ref="A56:A59"/>
    <mergeCell ref="B56:B59"/>
    <mergeCell ref="C56:C59"/>
    <mergeCell ref="A44:A47"/>
    <mergeCell ref="B44:B47"/>
    <mergeCell ref="C44:C47"/>
    <mergeCell ref="A48:A51"/>
    <mergeCell ref="B48:B51"/>
    <mergeCell ref="C48:C51"/>
    <mergeCell ref="A34:A38"/>
    <mergeCell ref="B34:B38"/>
    <mergeCell ref="C34:C38"/>
    <mergeCell ref="A39:A43"/>
    <mergeCell ref="B39:B43"/>
    <mergeCell ref="C39:C43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9:A13"/>
    <mergeCell ref="B9:B13"/>
    <mergeCell ref="C9:C13"/>
    <mergeCell ref="L7:L8"/>
    <mergeCell ref="M7:M8"/>
    <mergeCell ref="N7:N8"/>
    <mergeCell ref="O7:O8"/>
    <mergeCell ref="P7:P8"/>
    <mergeCell ref="Q7:Q8"/>
    <mergeCell ref="F7:F8"/>
    <mergeCell ref="G7:G8"/>
    <mergeCell ref="H7:H8"/>
    <mergeCell ref="I7:I8"/>
    <mergeCell ref="J7:J8"/>
    <mergeCell ref="K7:K8"/>
    <mergeCell ref="A4:V5"/>
    <mergeCell ref="A6:G6"/>
    <mergeCell ref="H6:J6"/>
    <mergeCell ref="K6:O6"/>
    <mergeCell ref="P6:V6"/>
    <mergeCell ref="A7:A8"/>
    <mergeCell ref="B7:B8"/>
    <mergeCell ref="C7:C8"/>
    <mergeCell ref="D7:D8"/>
    <mergeCell ref="E7:E8"/>
    <mergeCell ref="R7:R8"/>
    <mergeCell ref="S7:S8"/>
    <mergeCell ref="T7:T8"/>
    <mergeCell ref="U7:U8"/>
    <mergeCell ref="V7:V8"/>
    <mergeCell ref="T146:T147"/>
    <mergeCell ref="U146:U147"/>
    <mergeCell ref="V146:V147"/>
    <mergeCell ref="A148:A152"/>
    <mergeCell ref="B148:B152"/>
    <mergeCell ref="C148:C152"/>
    <mergeCell ref="A153:A157"/>
    <mergeCell ref="B153:B157"/>
    <mergeCell ref="C153:C157"/>
    <mergeCell ref="A158:A162"/>
    <mergeCell ref="B158:B162"/>
    <mergeCell ref="C158:C162"/>
    <mergeCell ref="A163:A167"/>
    <mergeCell ref="B163:B167"/>
    <mergeCell ref="C163:C167"/>
    <mergeCell ref="A168:A172"/>
    <mergeCell ref="B168:B172"/>
    <mergeCell ref="C168:C172"/>
    <mergeCell ref="A173:A177"/>
    <mergeCell ref="B173:B177"/>
    <mergeCell ref="C173:C177"/>
    <mergeCell ref="A178:A182"/>
    <mergeCell ref="B178:B182"/>
    <mergeCell ref="C178:C182"/>
    <mergeCell ref="A183:A186"/>
    <mergeCell ref="B183:B186"/>
    <mergeCell ref="C183:C186"/>
    <mergeCell ref="A187:A190"/>
    <mergeCell ref="B187:B190"/>
    <mergeCell ref="C187:C190"/>
    <mergeCell ref="A191:A194"/>
    <mergeCell ref="B191:B194"/>
    <mergeCell ref="C191:C194"/>
    <mergeCell ref="A195:A198"/>
    <mergeCell ref="B195:B198"/>
    <mergeCell ref="C195:C198"/>
    <mergeCell ref="A199:A202"/>
    <mergeCell ref="B199:B202"/>
    <mergeCell ref="C199:C202"/>
    <mergeCell ref="A203:A206"/>
    <mergeCell ref="B203:B206"/>
    <mergeCell ref="C203:C206"/>
    <mergeCell ref="A207:A210"/>
    <mergeCell ref="B207:B210"/>
    <mergeCell ref="C207:C210"/>
    <mergeCell ref="A211:A214"/>
    <mergeCell ref="B211:B214"/>
    <mergeCell ref="C211:C214"/>
    <mergeCell ref="A215:A218"/>
    <mergeCell ref="B215:B218"/>
    <mergeCell ref="C215:C218"/>
    <mergeCell ref="A219:A222"/>
    <mergeCell ref="B219:B222"/>
    <mergeCell ref="C219:C222"/>
    <mergeCell ref="A223:A226"/>
    <mergeCell ref="B223:B226"/>
    <mergeCell ref="C223:C226"/>
    <mergeCell ref="A227:A231"/>
    <mergeCell ref="B227:B231"/>
    <mergeCell ref="C227:C231"/>
    <mergeCell ref="A232:A236"/>
    <mergeCell ref="B232:B236"/>
    <mergeCell ref="C232:C236"/>
    <mergeCell ref="A237:A241"/>
    <mergeCell ref="B237:B241"/>
    <mergeCell ref="C237:C241"/>
    <mergeCell ref="A242:A246"/>
    <mergeCell ref="B242:B246"/>
    <mergeCell ref="C242:C246"/>
    <mergeCell ref="A247:A251"/>
    <mergeCell ref="B247:B251"/>
    <mergeCell ref="C247:C251"/>
    <mergeCell ref="A252:A256"/>
    <mergeCell ref="B252:B256"/>
    <mergeCell ref="C252:C256"/>
    <mergeCell ref="A257:A261"/>
    <mergeCell ref="B257:B261"/>
    <mergeCell ref="C257:C261"/>
    <mergeCell ref="A262:A266"/>
    <mergeCell ref="B262:B266"/>
    <mergeCell ref="C262:C266"/>
    <mergeCell ref="A267:A271"/>
    <mergeCell ref="B267:B271"/>
    <mergeCell ref="C267:C271"/>
    <mergeCell ref="A272:A275"/>
    <mergeCell ref="B272:B275"/>
    <mergeCell ref="C272:C275"/>
    <mergeCell ref="A276:A279"/>
    <mergeCell ref="B276:B279"/>
    <mergeCell ref="C276:C279"/>
    <mergeCell ref="M289:O289"/>
    <mergeCell ref="M290:O290"/>
    <mergeCell ref="M291:O291"/>
    <mergeCell ref="A280:A283"/>
    <mergeCell ref="B280:B283"/>
    <mergeCell ref="C280:C283"/>
    <mergeCell ref="A284:A287"/>
    <mergeCell ref="B284:B287"/>
    <mergeCell ref="C284:C287"/>
    <mergeCell ref="M288:O288"/>
    <mergeCell ref="A143:V144"/>
    <mergeCell ref="A145:G145"/>
    <mergeCell ref="H145:J145"/>
    <mergeCell ref="K145:O145"/>
    <mergeCell ref="P145:V145"/>
    <mergeCell ref="A146:A147"/>
    <mergeCell ref="B146:B147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B458:M458"/>
    <mergeCell ref="A459:M459"/>
    <mergeCell ref="B460:AA461"/>
    <mergeCell ref="B462:J462"/>
    <mergeCell ref="K462:M462"/>
    <mergeCell ref="N462:R462"/>
    <mergeCell ref="S462:Y462"/>
    <mergeCell ref="B463:B464"/>
    <mergeCell ref="C463:C464"/>
    <mergeCell ref="D463:D464"/>
    <mergeCell ref="E463:E464"/>
    <mergeCell ref="F463:F464"/>
    <mergeCell ref="G463:G464"/>
    <mergeCell ref="H463:H464"/>
    <mergeCell ref="I463:I464"/>
    <mergeCell ref="J463:J464"/>
    <mergeCell ref="K463:K464"/>
    <mergeCell ref="L463:L464"/>
    <mergeCell ref="M463:M464"/>
    <mergeCell ref="N463:N464"/>
    <mergeCell ref="O463:O464"/>
    <mergeCell ref="P463:P464"/>
    <mergeCell ref="Q463:Q464"/>
    <mergeCell ref="R463:R464"/>
    <mergeCell ref="S463:S464"/>
    <mergeCell ref="T463:T464"/>
    <mergeCell ref="U463:U464"/>
    <mergeCell ref="V463:V464"/>
    <mergeCell ref="W463:W464"/>
    <mergeCell ref="X463:X464"/>
    <mergeCell ref="Y463:Y464"/>
    <mergeCell ref="B465:B468"/>
    <mergeCell ref="C465:C468"/>
    <mergeCell ref="D465:D468"/>
    <mergeCell ref="E465:E468"/>
    <mergeCell ref="F465:F468"/>
    <mergeCell ref="G465:G468"/>
    <mergeCell ref="H465:H468"/>
    <mergeCell ref="I465:I468"/>
    <mergeCell ref="B469:B472"/>
    <mergeCell ref="C469:C472"/>
    <mergeCell ref="D469:D472"/>
    <mergeCell ref="E469:E472"/>
    <mergeCell ref="F469:F472"/>
    <mergeCell ref="G469:G472"/>
    <mergeCell ref="H469:H472"/>
    <mergeCell ref="I469:I472"/>
    <mergeCell ref="B473:B476"/>
    <mergeCell ref="C473:C476"/>
    <mergeCell ref="D473:D476"/>
    <mergeCell ref="E473:E476"/>
    <mergeCell ref="F473:F476"/>
    <mergeCell ref="G473:G476"/>
    <mergeCell ref="H473:H476"/>
    <mergeCell ref="I473:I476"/>
    <mergeCell ref="B477:B480"/>
    <mergeCell ref="C477:C480"/>
    <mergeCell ref="D477:D480"/>
    <mergeCell ref="E477:E480"/>
    <mergeCell ref="F477:F480"/>
    <mergeCell ref="G477:G480"/>
    <mergeCell ref="H477:H480"/>
    <mergeCell ref="I477:I480"/>
    <mergeCell ref="B481:B484"/>
    <mergeCell ref="C481:C484"/>
    <mergeCell ref="D481:D484"/>
    <mergeCell ref="E481:E484"/>
    <mergeCell ref="F481:F484"/>
    <mergeCell ref="G481:G484"/>
    <mergeCell ref="H481:H484"/>
    <mergeCell ref="I481:I484"/>
    <mergeCell ref="B485:B488"/>
    <mergeCell ref="C485:C488"/>
    <mergeCell ref="D485:D488"/>
    <mergeCell ref="E485:E488"/>
    <mergeCell ref="F485:F488"/>
    <mergeCell ref="G485:G488"/>
    <mergeCell ref="H485:H488"/>
    <mergeCell ref="I485:I488"/>
    <mergeCell ref="B489:B492"/>
    <mergeCell ref="C489:C492"/>
    <mergeCell ref="D489:D492"/>
    <mergeCell ref="E489:F492"/>
    <mergeCell ref="G489:G492"/>
    <mergeCell ref="H489:H492"/>
    <mergeCell ref="I489:I492"/>
    <mergeCell ref="B493:B496"/>
    <mergeCell ref="C493:C496"/>
    <mergeCell ref="D493:D496"/>
    <mergeCell ref="E493:F496"/>
    <mergeCell ref="G493:G496"/>
    <mergeCell ref="H493:H496"/>
    <mergeCell ref="I493:I496"/>
    <mergeCell ref="B497:B500"/>
    <mergeCell ref="C497:C500"/>
    <mergeCell ref="D497:D500"/>
    <mergeCell ref="E497:E500"/>
    <mergeCell ref="F497:F500"/>
    <mergeCell ref="G497:G500"/>
    <mergeCell ref="H497:H500"/>
    <mergeCell ref="I497:I500"/>
    <mergeCell ref="B501:B504"/>
    <mergeCell ref="C501:C504"/>
    <mergeCell ref="D501:D504"/>
    <mergeCell ref="E501:E504"/>
    <mergeCell ref="F501:F504"/>
    <mergeCell ref="G501:G504"/>
    <mergeCell ref="H501:H504"/>
    <mergeCell ref="I501:I504"/>
    <mergeCell ref="B505:B508"/>
    <mergeCell ref="C505:C508"/>
    <mergeCell ref="D505:D508"/>
    <mergeCell ref="E505:E508"/>
    <mergeCell ref="F505:F508"/>
    <mergeCell ref="G505:G508"/>
    <mergeCell ref="H505:H508"/>
    <mergeCell ref="I505:I508"/>
    <mergeCell ref="S520:X520"/>
    <mergeCell ref="B523:M523"/>
    <mergeCell ref="A524:M524"/>
    <mergeCell ref="B525:AA526"/>
    <mergeCell ref="B527:J527"/>
    <mergeCell ref="K527:M527"/>
    <mergeCell ref="N527:R527"/>
    <mergeCell ref="S527:Y527"/>
    <mergeCell ref="B509:B512"/>
    <mergeCell ref="C509:C512"/>
    <mergeCell ref="D509:D512"/>
    <mergeCell ref="E509:E512"/>
    <mergeCell ref="F509:F512"/>
    <mergeCell ref="G509:G512"/>
    <mergeCell ref="H509:H512"/>
    <mergeCell ref="I509:I512"/>
    <mergeCell ref="B513:B516"/>
    <mergeCell ref="C513:C516"/>
    <mergeCell ref="D513:D516"/>
    <mergeCell ref="E513:E516"/>
    <mergeCell ref="F513:F516"/>
    <mergeCell ref="G513:G516"/>
    <mergeCell ref="H513:H516"/>
    <mergeCell ref="I513:I516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P517:R517"/>
    <mergeCell ref="P518:R518"/>
    <mergeCell ref="P519:R519"/>
    <mergeCell ref="T528:T529"/>
    <mergeCell ref="U528:U529"/>
    <mergeCell ref="V528:V529"/>
    <mergeCell ref="W528:W529"/>
    <mergeCell ref="X528:X529"/>
    <mergeCell ref="Y528:Y529"/>
    <mergeCell ref="B530:B533"/>
    <mergeCell ref="C530:C533"/>
    <mergeCell ref="D530:D533"/>
    <mergeCell ref="E530:E533"/>
    <mergeCell ref="F530:F533"/>
    <mergeCell ref="G530:G533"/>
    <mergeCell ref="H530:H533"/>
    <mergeCell ref="I530:I533"/>
    <mergeCell ref="K528:K529"/>
    <mergeCell ref="L528:L529"/>
    <mergeCell ref="M528:M529"/>
    <mergeCell ref="N528:N529"/>
    <mergeCell ref="O528:O529"/>
    <mergeCell ref="P528:P529"/>
    <mergeCell ref="Q528:Q529"/>
    <mergeCell ref="R528:R529"/>
    <mergeCell ref="S528:S529"/>
    <mergeCell ref="B528:B529"/>
    <mergeCell ref="B534:B537"/>
    <mergeCell ref="C534:C537"/>
    <mergeCell ref="D534:D537"/>
    <mergeCell ref="E534:E537"/>
    <mergeCell ref="F534:F537"/>
    <mergeCell ref="G534:G537"/>
    <mergeCell ref="H534:H537"/>
    <mergeCell ref="I534:I537"/>
    <mergeCell ref="B538:B541"/>
    <mergeCell ref="C538:C541"/>
    <mergeCell ref="D538:D541"/>
    <mergeCell ref="E538:E541"/>
    <mergeCell ref="F538:F541"/>
    <mergeCell ref="G538:G541"/>
    <mergeCell ref="H538:H541"/>
    <mergeCell ref="I538:I541"/>
    <mergeCell ref="B542:B545"/>
    <mergeCell ref="C542:C545"/>
    <mergeCell ref="D542:D545"/>
    <mergeCell ref="E542:E545"/>
    <mergeCell ref="F542:F545"/>
    <mergeCell ref="G542:G545"/>
    <mergeCell ref="H542:H545"/>
    <mergeCell ref="I542:I545"/>
    <mergeCell ref="B546:B549"/>
    <mergeCell ref="C546:C549"/>
    <mergeCell ref="D546:D549"/>
    <mergeCell ref="E546:E549"/>
    <mergeCell ref="F546:F549"/>
    <mergeCell ref="G546:G549"/>
    <mergeCell ref="H546:H549"/>
    <mergeCell ref="I546:I549"/>
    <mergeCell ref="B550:B553"/>
    <mergeCell ref="C550:C553"/>
    <mergeCell ref="D550:D553"/>
    <mergeCell ref="E550:E553"/>
    <mergeCell ref="F550:F553"/>
    <mergeCell ref="G550:G553"/>
    <mergeCell ref="H550:H553"/>
    <mergeCell ref="I550:I553"/>
    <mergeCell ref="B554:B557"/>
    <mergeCell ref="C554:C557"/>
    <mergeCell ref="D554:D557"/>
    <mergeCell ref="E554:F557"/>
    <mergeCell ref="G554:G557"/>
    <mergeCell ref="H554:H557"/>
    <mergeCell ref="I554:I557"/>
    <mergeCell ref="B558:B561"/>
    <mergeCell ref="C558:C561"/>
    <mergeCell ref="D558:D561"/>
    <mergeCell ref="E558:F561"/>
    <mergeCell ref="G558:G561"/>
    <mergeCell ref="H558:H561"/>
    <mergeCell ref="I558:I561"/>
    <mergeCell ref="B562:B565"/>
    <mergeCell ref="C562:C565"/>
    <mergeCell ref="D562:D565"/>
    <mergeCell ref="E562:E565"/>
    <mergeCell ref="F562:F565"/>
    <mergeCell ref="G562:G565"/>
    <mergeCell ref="H562:H565"/>
    <mergeCell ref="I562:I565"/>
    <mergeCell ref="B566:B569"/>
    <mergeCell ref="C566:C569"/>
    <mergeCell ref="D566:D569"/>
    <mergeCell ref="E566:E569"/>
    <mergeCell ref="F566:F569"/>
    <mergeCell ref="G566:G569"/>
    <mergeCell ref="H566:H569"/>
    <mergeCell ref="I566:I569"/>
    <mergeCell ref="B570:B573"/>
    <mergeCell ref="C570:C573"/>
    <mergeCell ref="D570:D573"/>
    <mergeCell ref="E570:E573"/>
    <mergeCell ref="F570:F573"/>
    <mergeCell ref="G570:G573"/>
    <mergeCell ref="H570:H573"/>
    <mergeCell ref="I570:I573"/>
    <mergeCell ref="P582:R582"/>
    <mergeCell ref="P583:R583"/>
    <mergeCell ref="P584:R584"/>
    <mergeCell ref="S585:X585"/>
    <mergeCell ref="B574:B577"/>
    <mergeCell ref="C574:C577"/>
    <mergeCell ref="D574:D577"/>
    <mergeCell ref="E574:E577"/>
    <mergeCell ref="F574:F577"/>
    <mergeCell ref="G574:G577"/>
    <mergeCell ref="H574:H577"/>
    <mergeCell ref="I574:I577"/>
    <mergeCell ref="B578:B581"/>
    <mergeCell ref="C578:C581"/>
    <mergeCell ref="D578:D581"/>
    <mergeCell ref="E578:E581"/>
    <mergeCell ref="F578:F581"/>
    <mergeCell ref="G578:G581"/>
    <mergeCell ref="H578:H581"/>
    <mergeCell ref="I578:I58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zoomScaleSheetLayoutView="100" workbookViewId="0">
      <selection activeCell="H30" sqref="H30"/>
    </sheetView>
  </sheetViews>
  <sheetFormatPr defaultColWidth="9.5546875" defaultRowHeight="15" customHeight="1" x14ac:dyDescent="0.3"/>
  <cols>
    <col min="1" max="2" width="9.5546875" style="695"/>
    <col min="3" max="3" width="16.6640625" style="695" customWidth="1"/>
    <col min="4" max="10" width="9.5546875" style="695"/>
    <col min="11" max="258" width="9.5546875" style="670"/>
    <col min="259" max="259" width="16.6640625" style="670" customWidth="1"/>
    <col min="260" max="514" width="9.5546875" style="670"/>
    <col min="515" max="515" width="16.6640625" style="670" customWidth="1"/>
    <col min="516" max="770" width="9.5546875" style="670"/>
    <col min="771" max="771" width="16.6640625" style="670" customWidth="1"/>
    <col min="772" max="1026" width="9.5546875" style="670"/>
    <col min="1027" max="1027" width="16.6640625" style="670" customWidth="1"/>
    <col min="1028" max="1282" width="9.5546875" style="670"/>
    <col min="1283" max="1283" width="16.6640625" style="670" customWidth="1"/>
    <col min="1284" max="1538" width="9.5546875" style="670"/>
    <col min="1539" max="1539" width="16.6640625" style="670" customWidth="1"/>
    <col min="1540" max="1794" width="9.5546875" style="670"/>
    <col min="1795" max="1795" width="16.6640625" style="670" customWidth="1"/>
    <col min="1796" max="2050" width="9.5546875" style="670"/>
    <col min="2051" max="2051" width="16.6640625" style="670" customWidth="1"/>
    <col min="2052" max="2306" width="9.5546875" style="670"/>
    <col min="2307" max="2307" width="16.6640625" style="670" customWidth="1"/>
    <col min="2308" max="2562" width="9.5546875" style="670"/>
    <col min="2563" max="2563" width="16.6640625" style="670" customWidth="1"/>
    <col min="2564" max="2818" width="9.5546875" style="670"/>
    <col min="2819" max="2819" width="16.6640625" style="670" customWidth="1"/>
    <col min="2820" max="3074" width="9.5546875" style="670"/>
    <col min="3075" max="3075" width="16.6640625" style="670" customWidth="1"/>
    <col min="3076" max="3330" width="9.5546875" style="670"/>
    <col min="3331" max="3331" width="16.6640625" style="670" customWidth="1"/>
    <col min="3332" max="3586" width="9.5546875" style="670"/>
    <col min="3587" max="3587" width="16.6640625" style="670" customWidth="1"/>
    <col min="3588" max="3842" width="9.5546875" style="670"/>
    <col min="3843" max="3843" width="16.6640625" style="670" customWidth="1"/>
    <col min="3844" max="4098" width="9.5546875" style="670"/>
    <col min="4099" max="4099" width="16.6640625" style="670" customWidth="1"/>
    <col min="4100" max="4354" width="9.5546875" style="670"/>
    <col min="4355" max="4355" width="16.6640625" style="670" customWidth="1"/>
    <col min="4356" max="4610" width="9.5546875" style="670"/>
    <col min="4611" max="4611" width="16.6640625" style="670" customWidth="1"/>
    <col min="4612" max="4866" width="9.5546875" style="670"/>
    <col min="4867" max="4867" width="16.6640625" style="670" customWidth="1"/>
    <col min="4868" max="5122" width="9.5546875" style="670"/>
    <col min="5123" max="5123" width="16.6640625" style="670" customWidth="1"/>
    <col min="5124" max="5378" width="9.5546875" style="670"/>
    <col min="5379" max="5379" width="16.6640625" style="670" customWidth="1"/>
    <col min="5380" max="5634" width="9.5546875" style="670"/>
    <col min="5635" max="5635" width="16.6640625" style="670" customWidth="1"/>
    <col min="5636" max="5890" width="9.5546875" style="670"/>
    <col min="5891" max="5891" width="16.6640625" style="670" customWidth="1"/>
    <col min="5892" max="6146" width="9.5546875" style="670"/>
    <col min="6147" max="6147" width="16.6640625" style="670" customWidth="1"/>
    <col min="6148" max="6402" width="9.5546875" style="670"/>
    <col min="6403" max="6403" width="16.6640625" style="670" customWidth="1"/>
    <col min="6404" max="6658" width="9.5546875" style="670"/>
    <col min="6659" max="6659" width="16.6640625" style="670" customWidth="1"/>
    <col min="6660" max="6914" width="9.5546875" style="670"/>
    <col min="6915" max="6915" width="16.6640625" style="670" customWidth="1"/>
    <col min="6916" max="7170" width="9.5546875" style="670"/>
    <col min="7171" max="7171" width="16.6640625" style="670" customWidth="1"/>
    <col min="7172" max="7426" width="9.5546875" style="670"/>
    <col min="7427" max="7427" width="16.6640625" style="670" customWidth="1"/>
    <col min="7428" max="7682" width="9.5546875" style="670"/>
    <col min="7683" max="7683" width="16.6640625" style="670" customWidth="1"/>
    <col min="7684" max="7938" width="9.5546875" style="670"/>
    <col min="7939" max="7939" width="16.6640625" style="670" customWidth="1"/>
    <col min="7940" max="8194" width="9.5546875" style="670"/>
    <col min="8195" max="8195" width="16.6640625" style="670" customWidth="1"/>
    <col min="8196" max="8450" width="9.5546875" style="670"/>
    <col min="8451" max="8451" width="16.6640625" style="670" customWidth="1"/>
    <col min="8452" max="8706" width="9.5546875" style="670"/>
    <col min="8707" max="8707" width="16.6640625" style="670" customWidth="1"/>
    <col min="8708" max="8962" width="9.5546875" style="670"/>
    <col min="8963" max="8963" width="16.6640625" style="670" customWidth="1"/>
    <col min="8964" max="9218" width="9.5546875" style="670"/>
    <col min="9219" max="9219" width="16.6640625" style="670" customWidth="1"/>
    <col min="9220" max="9474" width="9.5546875" style="670"/>
    <col min="9475" max="9475" width="16.6640625" style="670" customWidth="1"/>
    <col min="9476" max="9730" width="9.5546875" style="670"/>
    <col min="9731" max="9731" width="16.6640625" style="670" customWidth="1"/>
    <col min="9732" max="9986" width="9.5546875" style="670"/>
    <col min="9987" max="9987" width="16.6640625" style="670" customWidth="1"/>
    <col min="9988" max="10242" width="9.5546875" style="670"/>
    <col min="10243" max="10243" width="16.6640625" style="670" customWidth="1"/>
    <col min="10244" max="10498" width="9.5546875" style="670"/>
    <col min="10499" max="10499" width="16.6640625" style="670" customWidth="1"/>
    <col min="10500" max="10754" width="9.5546875" style="670"/>
    <col min="10755" max="10755" width="16.6640625" style="670" customWidth="1"/>
    <col min="10756" max="11010" width="9.5546875" style="670"/>
    <col min="11011" max="11011" width="16.6640625" style="670" customWidth="1"/>
    <col min="11012" max="11266" width="9.5546875" style="670"/>
    <col min="11267" max="11267" width="16.6640625" style="670" customWidth="1"/>
    <col min="11268" max="11522" width="9.5546875" style="670"/>
    <col min="11523" max="11523" width="16.6640625" style="670" customWidth="1"/>
    <col min="11524" max="11778" width="9.5546875" style="670"/>
    <col min="11779" max="11779" width="16.6640625" style="670" customWidth="1"/>
    <col min="11780" max="12034" width="9.5546875" style="670"/>
    <col min="12035" max="12035" width="16.6640625" style="670" customWidth="1"/>
    <col min="12036" max="12290" width="9.5546875" style="670"/>
    <col min="12291" max="12291" width="16.6640625" style="670" customWidth="1"/>
    <col min="12292" max="12546" width="9.5546875" style="670"/>
    <col min="12547" max="12547" width="16.6640625" style="670" customWidth="1"/>
    <col min="12548" max="12802" width="9.5546875" style="670"/>
    <col min="12803" max="12803" width="16.6640625" style="670" customWidth="1"/>
    <col min="12804" max="13058" width="9.5546875" style="670"/>
    <col min="13059" max="13059" width="16.6640625" style="670" customWidth="1"/>
    <col min="13060" max="13314" width="9.5546875" style="670"/>
    <col min="13315" max="13315" width="16.6640625" style="670" customWidth="1"/>
    <col min="13316" max="13570" width="9.5546875" style="670"/>
    <col min="13571" max="13571" width="16.6640625" style="670" customWidth="1"/>
    <col min="13572" max="13826" width="9.5546875" style="670"/>
    <col min="13827" max="13827" width="16.6640625" style="670" customWidth="1"/>
    <col min="13828" max="14082" width="9.5546875" style="670"/>
    <col min="14083" max="14083" width="16.6640625" style="670" customWidth="1"/>
    <col min="14084" max="14338" width="9.5546875" style="670"/>
    <col min="14339" max="14339" width="16.6640625" style="670" customWidth="1"/>
    <col min="14340" max="14594" width="9.5546875" style="670"/>
    <col min="14595" max="14595" width="16.6640625" style="670" customWidth="1"/>
    <col min="14596" max="14850" width="9.5546875" style="670"/>
    <col min="14851" max="14851" width="16.6640625" style="670" customWidth="1"/>
    <col min="14852" max="15106" width="9.5546875" style="670"/>
    <col min="15107" max="15107" width="16.6640625" style="670" customWidth="1"/>
    <col min="15108" max="15362" width="9.5546875" style="670"/>
    <col min="15363" max="15363" width="16.6640625" style="670" customWidth="1"/>
    <col min="15364" max="15618" width="9.5546875" style="670"/>
    <col min="15619" max="15619" width="16.6640625" style="670" customWidth="1"/>
    <col min="15620" max="15874" width="9.5546875" style="670"/>
    <col min="15875" max="15875" width="16.6640625" style="670" customWidth="1"/>
    <col min="15876" max="16130" width="9.5546875" style="670"/>
    <col min="16131" max="16131" width="16.6640625" style="670" customWidth="1"/>
    <col min="16132" max="16384" width="9.5546875" style="670"/>
  </cols>
  <sheetData>
    <row r="1" spans="1:12" ht="15" customHeight="1" x14ac:dyDescent="0.3">
      <c r="A1" s="694"/>
      <c r="B1" s="1000" t="s">
        <v>743</v>
      </c>
      <c r="C1" s="1000"/>
      <c r="D1" s="1000"/>
      <c r="E1" s="1000"/>
      <c r="F1" s="1000"/>
      <c r="G1" s="1000"/>
      <c r="H1" s="1000"/>
      <c r="I1" s="1000"/>
    </row>
    <row r="2" spans="1:12" ht="15" customHeight="1" x14ac:dyDescent="0.3">
      <c r="A2" s="694"/>
      <c r="B2" s="1000"/>
      <c r="C2" s="1000"/>
      <c r="D2" s="1000"/>
      <c r="E2" s="1000"/>
      <c r="F2" s="1000"/>
      <c r="G2" s="1000"/>
      <c r="H2" s="1000"/>
      <c r="I2" s="1000"/>
    </row>
    <row r="3" spans="1:12" ht="15" customHeight="1" x14ac:dyDescent="0.3">
      <c r="A3" s="694"/>
      <c r="B3" s="1000"/>
      <c r="C3" s="1000"/>
      <c r="D3" s="1000"/>
      <c r="E3" s="1000"/>
      <c r="F3" s="1000"/>
      <c r="G3" s="1000"/>
      <c r="H3" s="1000"/>
      <c r="I3" s="1000"/>
    </row>
    <row r="4" spans="1:12" ht="15" customHeight="1" x14ac:dyDescent="0.3">
      <c r="A4" s="694"/>
      <c r="B4" s="694"/>
      <c r="C4" s="694"/>
      <c r="D4" s="694"/>
      <c r="E4" s="694"/>
      <c r="F4" s="694"/>
      <c r="G4" s="694"/>
      <c r="H4" s="694"/>
      <c r="I4" s="694"/>
    </row>
    <row r="5" spans="1:12" ht="15" customHeight="1" x14ac:dyDescent="0.3">
      <c r="A5" s="694"/>
      <c r="B5" s="993" t="s">
        <v>639</v>
      </c>
      <c r="C5" s="993"/>
      <c r="D5" s="993"/>
      <c r="E5" s="993"/>
      <c r="F5" s="993"/>
      <c r="G5" s="993"/>
      <c r="H5" s="993"/>
      <c r="I5" s="993"/>
    </row>
    <row r="6" spans="1:12" ht="15" customHeight="1" x14ac:dyDescent="0.3">
      <c r="A6" s="694"/>
      <c r="B6" s="1001" t="s">
        <v>640</v>
      </c>
      <c r="C6" s="1002" t="s">
        <v>641</v>
      </c>
      <c r="D6" s="1001" t="s">
        <v>181</v>
      </c>
      <c r="E6" s="1003" t="s">
        <v>642</v>
      </c>
      <c r="F6" s="1004"/>
      <c r="G6" s="1004"/>
      <c r="H6" s="1004"/>
      <c r="I6" s="671"/>
    </row>
    <row r="7" spans="1:12" ht="15" customHeight="1" x14ac:dyDescent="0.3">
      <c r="A7" s="694"/>
      <c r="B7" s="1001"/>
      <c r="C7" s="1002"/>
      <c r="D7" s="1001"/>
      <c r="E7" s="762" t="s">
        <v>50</v>
      </c>
      <c r="F7" s="762" t="s">
        <v>744</v>
      </c>
      <c r="G7" s="762" t="s">
        <v>698</v>
      </c>
      <c r="H7" s="762" t="s">
        <v>745</v>
      </c>
      <c r="I7" s="762" t="s">
        <v>204</v>
      </c>
    </row>
    <row r="8" spans="1:12" ht="15" customHeight="1" x14ac:dyDescent="0.3">
      <c r="A8" s="694"/>
      <c r="B8" s="992" t="s">
        <v>646</v>
      </c>
      <c r="C8" s="992"/>
      <c r="D8" s="992"/>
      <c r="E8" s="992"/>
      <c r="F8" s="992"/>
      <c r="G8" s="992"/>
      <c r="H8" s="992"/>
      <c r="I8" s="992"/>
    </row>
    <row r="9" spans="1:12" ht="15" customHeight="1" x14ac:dyDescent="0.3">
      <c r="A9" s="694"/>
      <c r="B9" s="696"/>
      <c r="C9" s="697"/>
      <c r="D9" s="698"/>
      <c r="E9" s="698"/>
      <c r="F9" s="698"/>
      <c r="G9" s="698"/>
      <c r="H9" s="698"/>
      <c r="I9" s="699"/>
    </row>
    <row r="10" spans="1:12" ht="15" customHeight="1" x14ac:dyDescent="0.3">
      <c r="A10" s="694"/>
      <c r="B10" s="700"/>
      <c r="C10" s="701" t="s">
        <v>746</v>
      </c>
      <c r="D10" s="694">
        <v>8</v>
      </c>
      <c r="E10" s="694">
        <v>1.35</v>
      </c>
      <c r="F10" s="694">
        <v>2.0499999999999998</v>
      </c>
      <c r="G10" s="694">
        <v>0.15</v>
      </c>
      <c r="H10" s="702">
        <f>((E10+F10)*2)*G10*D10</f>
        <v>8.16</v>
      </c>
      <c r="I10" s="703"/>
    </row>
    <row r="11" spans="1:12" ht="15" customHeight="1" x14ac:dyDescent="0.3">
      <c r="A11" s="694"/>
      <c r="B11" s="700"/>
      <c r="C11" s="701" t="s">
        <v>747</v>
      </c>
      <c r="D11" s="694">
        <v>8</v>
      </c>
      <c r="E11" s="694">
        <v>2</v>
      </c>
      <c r="F11" s="694">
        <v>2.0499999999999998</v>
      </c>
      <c r="G11" s="694">
        <v>0.15</v>
      </c>
      <c r="H11" s="702">
        <f>((E11+F11)*2)*G11*D11</f>
        <v>9.7199999999999989</v>
      </c>
      <c r="I11" s="703"/>
    </row>
    <row r="12" spans="1:12" ht="15" customHeight="1" x14ac:dyDescent="0.3">
      <c r="A12" s="694"/>
      <c r="B12" s="700"/>
      <c r="C12" s="701" t="s">
        <v>748</v>
      </c>
      <c r="D12" s="694">
        <f>(2*6)+(3*2)</f>
        <v>18</v>
      </c>
      <c r="E12" s="694">
        <v>2</v>
      </c>
      <c r="F12" s="694">
        <v>2.0499999999999998</v>
      </c>
      <c r="G12" s="694">
        <v>0.15</v>
      </c>
      <c r="H12" s="702">
        <f>((E12+F12)*2)*G12*D12</f>
        <v>21.869999999999997</v>
      </c>
      <c r="I12" s="703"/>
    </row>
    <row r="13" spans="1:12" ht="15" customHeight="1" x14ac:dyDescent="0.3">
      <c r="A13" s="694"/>
      <c r="B13" s="700"/>
      <c r="C13" s="701" t="s">
        <v>749</v>
      </c>
      <c r="D13" s="694">
        <f>(2*6)+(3*2)</f>
        <v>18</v>
      </c>
      <c r="E13" s="694">
        <v>0.6</v>
      </c>
      <c r="F13" s="694">
        <v>0.7</v>
      </c>
      <c r="G13" s="694">
        <v>0.15</v>
      </c>
      <c r="H13" s="702">
        <f>((E13+F13)*2)*G13*D13</f>
        <v>7.02</v>
      </c>
      <c r="I13" s="703"/>
    </row>
    <row r="14" spans="1:12" s="695" customFormat="1" ht="15" customHeight="1" x14ac:dyDescent="0.3">
      <c r="A14" s="694"/>
      <c r="B14" s="700"/>
      <c r="C14" s="678" t="s">
        <v>750</v>
      </c>
      <c r="D14" s="678">
        <v>8</v>
      </c>
      <c r="E14" s="678">
        <v>0.9</v>
      </c>
      <c r="F14" s="678">
        <v>2.2000000000000002</v>
      </c>
      <c r="G14" s="704">
        <f>((2.54*7)/100)</f>
        <v>0.17780000000000001</v>
      </c>
      <c r="H14" s="702">
        <f>((E14+F14+F14)*G14*D14)</f>
        <v>7.5387200000000014</v>
      </c>
      <c r="I14" s="680" t="s">
        <v>751</v>
      </c>
      <c r="K14" s="670"/>
      <c r="L14" s="670"/>
    </row>
    <row r="15" spans="1:12" s="695" customFormat="1" ht="15" customHeight="1" x14ac:dyDescent="0.3">
      <c r="A15" s="694"/>
      <c r="B15" s="700"/>
      <c r="C15" s="678" t="s">
        <v>750</v>
      </c>
      <c r="D15" s="678">
        <v>0</v>
      </c>
      <c r="E15" s="678">
        <v>0.75</v>
      </c>
      <c r="F15" s="678">
        <v>1.95</v>
      </c>
      <c r="G15" s="704">
        <f>((2.54*7)/100)</f>
        <v>0.17780000000000001</v>
      </c>
      <c r="H15" s="702">
        <f>((E15+F15+F15)*G15*D15)</f>
        <v>0</v>
      </c>
      <c r="I15" s="680" t="s">
        <v>798</v>
      </c>
      <c r="K15" s="763"/>
      <c r="L15" s="670"/>
    </row>
    <row r="16" spans="1:12" s="695" customFormat="1" ht="15" customHeight="1" x14ac:dyDescent="0.3">
      <c r="A16" s="694"/>
      <c r="B16" s="700"/>
      <c r="C16" s="678" t="s">
        <v>794</v>
      </c>
      <c r="D16" s="678">
        <v>0</v>
      </c>
      <c r="E16" s="678">
        <v>0.8</v>
      </c>
      <c r="F16" s="678">
        <v>2.2000000000000002</v>
      </c>
      <c r="G16" s="704">
        <f>((2.54*6)/100)</f>
        <v>0.15240000000000001</v>
      </c>
      <c r="H16" s="702">
        <f>((E16+F16+F16)*G16*D16)</f>
        <v>0</v>
      </c>
      <c r="I16" s="680"/>
      <c r="K16" s="670"/>
      <c r="L16" s="670"/>
    </row>
    <row r="17" spans="1:12" s="695" customFormat="1" ht="15" customHeight="1" x14ac:dyDescent="0.3">
      <c r="A17" s="694"/>
      <c r="B17" s="700"/>
      <c r="C17" s="678" t="s">
        <v>795</v>
      </c>
      <c r="D17" s="678">
        <v>0</v>
      </c>
      <c r="E17" s="678">
        <v>1.2</v>
      </c>
      <c r="F17" s="678">
        <v>2.2000000000000002</v>
      </c>
      <c r="G17" s="704">
        <f>((2.54*6)/100)</f>
        <v>0.15240000000000001</v>
      </c>
      <c r="H17" s="702">
        <f>((E17+F17+F17)*G17*D17)</f>
        <v>0</v>
      </c>
      <c r="I17" s="680"/>
      <c r="K17" s="670"/>
      <c r="L17" s="670"/>
    </row>
    <row r="18" spans="1:12" s="695" customFormat="1" ht="15" customHeight="1" x14ac:dyDescent="0.3">
      <c r="A18" s="694"/>
      <c r="B18" s="700"/>
      <c r="C18" s="678" t="s">
        <v>799</v>
      </c>
      <c r="D18" s="678">
        <v>2</v>
      </c>
      <c r="E18" s="678">
        <v>1.2</v>
      </c>
      <c r="F18" s="678">
        <v>1.5</v>
      </c>
      <c r="G18" s="704">
        <f>((2.54*6)/100)</f>
        <v>0.15240000000000001</v>
      </c>
      <c r="H18" s="702">
        <f>((E18+F18+F18)*G18*D18)</f>
        <v>1.2801600000000002</v>
      </c>
      <c r="I18" s="680"/>
      <c r="K18" s="670"/>
      <c r="L18" s="670"/>
    </row>
    <row r="19" spans="1:12" ht="15" customHeight="1" x14ac:dyDescent="0.3">
      <c r="A19" s="694"/>
      <c r="B19" s="700"/>
      <c r="C19" s="678" t="s">
        <v>796</v>
      </c>
      <c r="D19" s="678">
        <v>0</v>
      </c>
      <c r="E19" s="678">
        <v>1.05</v>
      </c>
      <c r="F19" s="678">
        <v>0</v>
      </c>
      <c r="G19" s="678">
        <v>0.1</v>
      </c>
      <c r="H19" s="702">
        <f>G19*E19*D19</f>
        <v>0</v>
      </c>
      <c r="I19" s="680" t="s">
        <v>800</v>
      </c>
      <c r="K19" s="681"/>
      <c r="L19" s="681"/>
    </row>
    <row r="20" spans="1:12" ht="15" customHeight="1" x14ac:dyDescent="0.3">
      <c r="A20" s="694"/>
      <c r="B20" s="700"/>
      <c r="C20" s="678" t="s">
        <v>796</v>
      </c>
      <c r="D20" s="678">
        <v>0</v>
      </c>
      <c r="E20" s="678">
        <v>0.75</v>
      </c>
      <c r="F20" s="678">
        <v>0</v>
      </c>
      <c r="G20" s="678">
        <v>0.1</v>
      </c>
      <c r="H20" s="702">
        <f>G20*E20*D20</f>
        <v>0</v>
      </c>
      <c r="I20" s="680" t="s">
        <v>798</v>
      </c>
      <c r="K20" s="681"/>
      <c r="L20" s="681"/>
    </row>
    <row r="21" spans="1:12" ht="15" customHeight="1" x14ac:dyDescent="0.3">
      <c r="A21" s="694"/>
      <c r="B21" s="700"/>
      <c r="C21" s="678" t="s">
        <v>797</v>
      </c>
      <c r="D21" s="678">
        <v>1</v>
      </c>
      <c r="E21" s="678">
        <f>(1.47+0.86+0.83+1.03+1.03+0.84)</f>
        <v>6.0600000000000005</v>
      </c>
      <c r="F21" s="678">
        <f>(0.7+0.4+0.57+0.85+0.85+0.54)</f>
        <v>3.91</v>
      </c>
      <c r="G21" s="694">
        <v>0.15</v>
      </c>
      <c r="H21" s="702">
        <f>((E21+F21)*2)*G21*D21</f>
        <v>2.9910000000000001</v>
      </c>
      <c r="I21" s="680"/>
      <c r="K21" s="681"/>
      <c r="L21" s="681"/>
    </row>
    <row r="22" spans="1:12" ht="15" customHeight="1" x14ac:dyDescent="0.3">
      <c r="A22" s="694"/>
      <c r="B22" s="700"/>
      <c r="C22" s="678"/>
      <c r="D22" s="678"/>
      <c r="E22" s="678"/>
      <c r="F22" s="678"/>
      <c r="G22" s="678"/>
      <c r="H22" s="702"/>
      <c r="I22" s="680"/>
      <c r="K22" s="681"/>
      <c r="L22" s="681"/>
    </row>
    <row r="23" spans="1:12" ht="15" customHeight="1" x14ac:dyDescent="0.3">
      <c r="A23" s="694"/>
      <c r="B23" s="993" t="s">
        <v>752</v>
      </c>
      <c r="C23" s="993"/>
      <c r="D23" s="993"/>
      <c r="E23" s="993"/>
      <c r="F23" s="993"/>
      <c r="G23" s="993"/>
      <c r="H23" s="705">
        <f>SUM(H10:H22)</f>
        <v>58.579879999999996</v>
      </c>
      <c r="I23" s="706" t="s">
        <v>672</v>
      </c>
      <c r="K23" s="681"/>
      <c r="L23" s="681"/>
    </row>
    <row r="24" spans="1:12" ht="15" customHeight="1" x14ac:dyDescent="0.3">
      <c r="A24" s="694"/>
      <c r="B24" s="685"/>
      <c r="C24" s="686"/>
      <c r="D24" s="686"/>
      <c r="E24" s="686"/>
      <c r="F24" s="686"/>
      <c r="G24" s="686"/>
      <c r="H24" s="686"/>
      <c r="I24" s="694"/>
      <c r="K24" s="681"/>
      <c r="L24" s="681"/>
    </row>
    <row r="25" spans="1:12" ht="15" customHeight="1" thickBot="1" x14ac:dyDescent="0.35">
      <c r="A25" s="694"/>
      <c r="B25" s="685"/>
      <c r="C25" s="686"/>
      <c r="D25" s="686"/>
      <c r="E25" s="686"/>
      <c r="F25" s="686"/>
      <c r="G25" s="686"/>
      <c r="H25" s="686"/>
      <c r="I25" s="694"/>
    </row>
    <row r="26" spans="1:12" ht="15" customHeight="1" thickBot="1" x14ac:dyDescent="0.35">
      <c r="A26" s="694"/>
      <c r="B26" s="994" t="s">
        <v>753</v>
      </c>
      <c r="C26" s="995"/>
      <c r="D26" s="995"/>
      <c r="E26" s="996"/>
      <c r="F26" s="686"/>
      <c r="G26" s="694"/>
      <c r="H26" s="707"/>
      <c r="I26" s="694"/>
    </row>
    <row r="27" spans="1:12" ht="15" customHeight="1" thickBot="1" x14ac:dyDescent="0.35">
      <c r="A27" s="694"/>
      <c r="B27" s="708" t="s">
        <v>41</v>
      </c>
      <c r="C27" s="997" t="s">
        <v>556</v>
      </c>
      <c r="D27" s="997"/>
      <c r="E27" s="709" t="s">
        <v>179</v>
      </c>
      <c r="F27" s="694"/>
      <c r="G27" s="694"/>
      <c r="H27" s="710"/>
      <c r="I27" s="694"/>
    </row>
    <row r="28" spans="1:12" ht="15" customHeight="1" x14ac:dyDescent="0.3">
      <c r="A28" s="694"/>
      <c r="B28" s="689">
        <v>1</v>
      </c>
      <c r="C28" s="998" t="s">
        <v>623</v>
      </c>
      <c r="D28" s="999"/>
      <c r="E28" s="690">
        <f>H23*10</f>
        <v>585.79879999999991</v>
      </c>
      <c r="F28" s="694"/>
      <c r="G28" s="694"/>
      <c r="H28" s="686"/>
      <c r="I28" s="694"/>
    </row>
    <row r="29" spans="1:12" ht="15" customHeight="1" x14ac:dyDescent="0.3">
      <c r="A29" s="694"/>
      <c r="B29" s="691">
        <v>2</v>
      </c>
      <c r="C29" s="990" t="s">
        <v>624</v>
      </c>
      <c r="D29" s="991"/>
      <c r="E29" s="692">
        <f>E28*0.01</f>
        <v>5.8579879999999989</v>
      </c>
      <c r="F29" s="694"/>
      <c r="G29" s="694"/>
      <c r="H29" s="686"/>
      <c r="I29" s="694"/>
    </row>
    <row r="30" spans="1:12" ht="15" customHeight="1" x14ac:dyDescent="0.3">
      <c r="A30" s="694"/>
      <c r="B30" s="691">
        <v>4</v>
      </c>
      <c r="C30" s="990" t="s">
        <v>625</v>
      </c>
      <c r="D30" s="991"/>
      <c r="E30" s="692">
        <f>E29*1.35</f>
        <v>7.9082837999999986</v>
      </c>
      <c r="F30" s="694"/>
      <c r="G30" s="694"/>
      <c r="H30" s="686"/>
      <c r="I30" s="694"/>
    </row>
    <row r="31" spans="1:12" ht="15" customHeight="1" x14ac:dyDescent="0.3">
      <c r="A31" s="694"/>
      <c r="B31" s="691">
        <v>5</v>
      </c>
      <c r="C31" s="990" t="s">
        <v>608</v>
      </c>
      <c r="D31" s="991"/>
      <c r="E31" s="692">
        <f>ROUND(((E30)*1000)/35,0)</f>
        <v>226</v>
      </c>
      <c r="F31" s="686"/>
      <c r="G31" s="694"/>
      <c r="H31" s="686"/>
      <c r="I31" s="694"/>
    </row>
    <row r="32" spans="1:12" ht="15" customHeight="1" x14ac:dyDescent="0.3">
      <c r="A32" s="694"/>
      <c r="B32" s="685"/>
      <c r="C32" s="686"/>
      <c r="D32" s="686"/>
      <c r="E32" s="686"/>
      <c r="F32" s="686"/>
      <c r="G32" s="686"/>
      <c r="H32" s="686"/>
      <c r="I32" s="694"/>
    </row>
    <row r="33" spans="1:9" ht="15" customHeight="1" x14ac:dyDescent="0.3">
      <c r="A33" s="18"/>
      <c r="B33" s="18"/>
      <c r="C33" s="18"/>
      <c r="D33" s="18"/>
      <c r="E33" s="18"/>
      <c r="F33" s="18"/>
      <c r="G33" s="18"/>
      <c r="H33" s="18"/>
      <c r="I33" s="18"/>
    </row>
  </sheetData>
  <mergeCells count="14">
    <mergeCell ref="B1:I3"/>
    <mergeCell ref="B5:I5"/>
    <mergeCell ref="B6:B7"/>
    <mergeCell ref="C6:C7"/>
    <mergeCell ref="D6:D7"/>
    <mergeCell ref="E6:H6"/>
    <mergeCell ref="C30:D30"/>
    <mergeCell ref="C31:D31"/>
    <mergeCell ref="B8:I8"/>
    <mergeCell ref="B23:G23"/>
    <mergeCell ref="B26:E26"/>
    <mergeCell ref="C27:D27"/>
    <mergeCell ref="C28:D28"/>
    <mergeCell ref="C29:D29"/>
  </mergeCells>
  <pageMargins left="0.69861111111111107" right="0.45" top="0.75" bottom="0.75" header="0.51111111111111107" footer="0.51111111111111107"/>
  <pageSetup paperSize="9" scale="90" firstPageNumber="4294963191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topLeftCell="A19" zoomScaleSheetLayoutView="100" workbookViewId="0">
      <selection activeCell="I26" sqref="I26"/>
    </sheetView>
  </sheetViews>
  <sheetFormatPr defaultColWidth="6" defaultRowHeight="15" customHeight="1" x14ac:dyDescent="0.3"/>
  <cols>
    <col min="1" max="2" width="6" style="800"/>
    <col min="3" max="3" width="19.109375" style="800" customWidth="1"/>
    <col min="4" max="4" width="6" style="800"/>
    <col min="5" max="5" width="13.5546875" style="800" customWidth="1"/>
    <col min="6" max="7" width="6" style="800"/>
    <col min="8" max="9" width="12.109375" style="800" customWidth="1"/>
    <col min="10" max="10" width="21.33203125" style="800" customWidth="1"/>
    <col min="11" max="258" width="6" style="800"/>
    <col min="259" max="259" width="19.109375" style="800" customWidth="1"/>
    <col min="260" max="260" width="6" style="800"/>
    <col min="261" max="261" width="13.5546875" style="800" customWidth="1"/>
    <col min="262" max="263" width="6" style="800"/>
    <col min="264" max="265" width="12.109375" style="800" customWidth="1"/>
    <col min="266" max="266" width="21.33203125" style="800" customWidth="1"/>
    <col min="267" max="514" width="6" style="800"/>
    <col min="515" max="515" width="19.109375" style="800" customWidth="1"/>
    <col min="516" max="516" width="6" style="800"/>
    <col min="517" max="517" width="13.5546875" style="800" customWidth="1"/>
    <col min="518" max="519" width="6" style="800"/>
    <col min="520" max="521" width="12.109375" style="800" customWidth="1"/>
    <col min="522" max="522" width="21.33203125" style="800" customWidth="1"/>
    <col min="523" max="770" width="6" style="800"/>
    <col min="771" max="771" width="19.109375" style="800" customWidth="1"/>
    <col min="772" max="772" width="6" style="800"/>
    <col min="773" max="773" width="13.5546875" style="800" customWidth="1"/>
    <col min="774" max="775" width="6" style="800"/>
    <col min="776" max="777" width="12.109375" style="800" customWidth="1"/>
    <col min="778" max="778" width="21.33203125" style="800" customWidth="1"/>
    <col min="779" max="1026" width="6" style="800"/>
    <col min="1027" max="1027" width="19.109375" style="800" customWidth="1"/>
    <col min="1028" max="1028" width="6" style="800"/>
    <col min="1029" max="1029" width="13.5546875" style="800" customWidth="1"/>
    <col min="1030" max="1031" width="6" style="800"/>
    <col min="1032" max="1033" width="12.109375" style="800" customWidth="1"/>
    <col min="1034" max="1034" width="21.33203125" style="800" customWidth="1"/>
    <col min="1035" max="1282" width="6" style="800"/>
    <col min="1283" max="1283" width="19.109375" style="800" customWidth="1"/>
    <col min="1284" max="1284" width="6" style="800"/>
    <col min="1285" max="1285" width="13.5546875" style="800" customWidth="1"/>
    <col min="1286" max="1287" width="6" style="800"/>
    <col min="1288" max="1289" width="12.109375" style="800" customWidth="1"/>
    <col min="1290" max="1290" width="21.33203125" style="800" customWidth="1"/>
    <col min="1291" max="1538" width="6" style="800"/>
    <col min="1539" max="1539" width="19.109375" style="800" customWidth="1"/>
    <col min="1540" max="1540" width="6" style="800"/>
    <col min="1541" max="1541" width="13.5546875" style="800" customWidth="1"/>
    <col min="1542" max="1543" width="6" style="800"/>
    <col min="1544" max="1545" width="12.109375" style="800" customWidth="1"/>
    <col min="1546" max="1546" width="21.33203125" style="800" customWidth="1"/>
    <col min="1547" max="1794" width="6" style="800"/>
    <col min="1795" max="1795" width="19.109375" style="800" customWidth="1"/>
    <col min="1796" max="1796" width="6" style="800"/>
    <col min="1797" max="1797" width="13.5546875" style="800" customWidth="1"/>
    <col min="1798" max="1799" width="6" style="800"/>
    <col min="1800" max="1801" width="12.109375" style="800" customWidth="1"/>
    <col min="1802" max="1802" width="21.33203125" style="800" customWidth="1"/>
    <col min="1803" max="2050" width="6" style="800"/>
    <col min="2051" max="2051" width="19.109375" style="800" customWidth="1"/>
    <col min="2052" max="2052" width="6" style="800"/>
    <col min="2053" max="2053" width="13.5546875" style="800" customWidth="1"/>
    <col min="2054" max="2055" width="6" style="800"/>
    <col min="2056" max="2057" width="12.109375" style="800" customWidth="1"/>
    <col min="2058" max="2058" width="21.33203125" style="800" customWidth="1"/>
    <col min="2059" max="2306" width="6" style="800"/>
    <col min="2307" max="2307" width="19.109375" style="800" customWidth="1"/>
    <col min="2308" max="2308" width="6" style="800"/>
    <col min="2309" max="2309" width="13.5546875" style="800" customWidth="1"/>
    <col min="2310" max="2311" width="6" style="800"/>
    <col min="2312" max="2313" width="12.109375" style="800" customWidth="1"/>
    <col min="2314" max="2314" width="21.33203125" style="800" customWidth="1"/>
    <col min="2315" max="2562" width="6" style="800"/>
    <col min="2563" max="2563" width="19.109375" style="800" customWidth="1"/>
    <col min="2564" max="2564" width="6" style="800"/>
    <col min="2565" max="2565" width="13.5546875" style="800" customWidth="1"/>
    <col min="2566" max="2567" width="6" style="800"/>
    <col min="2568" max="2569" width="12.109375" style="800" customWidth="1"/>
    <col min="2570" max="2570" width="21.33203125" style="800" customWidth="1"/>
    <col min="2571" max="2818" width="6" style="800"/>
    <col min="2819" max="2819" width="19.109375" style="800" customWidth="1"/>
    <col min="2820" max="2820" width="6" style="800"/>
    <col min="2821" max="2821" width="13.5546875" style="800" customWidth="1"/>
    <col min="2822" max="2823" width="6" style="800"/>
    <col min="2824" max="2825" width="12.109375" style="800" customWidth="1"/>
    <col min="2826" max="2826" width="21.33203125" style="800" customWidth="1"/>
    <col min="2827" max="3074" width="6" style="800"/>
    <col min="3075" max="3075" width="19.109375" style="800" customWidth="1"/>
    <col min="3076" max="3076" width="6" style="800"/>
    <col min="3077" max="3077" width="13.5546875" style="800" customWidth="1"/>
    <col min="3078" max="3079" width="6" style="800"/>
    <col min="3080" max="3081" width="12.109375" style="800" customWidth="1"/>
    <col min="3082" max="3082" width="21.33203125" style="800" customWidth="1"/>
    <col min="3083" max="3330" width="6" style="800"/>
    <col min="3331" max="3331" width="19.109375" style="800" customWidth="1"/>
    <col min="3332" max="3332" width="6" style="800"/>
    <col min="3333" max="3333" width="13.5546875" style="800" customWidth="1"/>
    <col min="3334" max="3335" width="6" style="800"/>
    <col min="3336" max="3337" width="12.109375" style="800" customWidth="1"/>
    <col min="3338" max="3338" width="21.33203125" style="800" customWidth="1"/>
    <col min="3339" max="3586" width="6" style="800"/>
    <col min="3587" max="3587" width="19.109375" style="800" customWidth="1"/>
    <col min="3588" max="3588" width="6" style="800"/>
    <col min="3589" max="3589" width="13.5546875" style="800" customWidth="1"/>
    <col min="3590" max="3591" width="6" style="800"/>
    <col min="3592" max="3593" width="12.109375" style="800" customWidth="1"/>
    <col min="3594" max="3594" width="21.33203125" style="800" customWidth="1"/>
    <col min="3595" max="3842" width="6" style="800"/>
    <col min="3843" max="3843" width="19.109375" style="800" customWidth="1"/>
    <col min="3844" max="3844" width="6" style="800"/>
    <col min="3845" max="3845" width="13.5546875" style="800" customWidth="1"/>
    <col min="3846" max="3847" width="6" style="800"/>
    <col min="3848" max="3849" width="12.109375" style="800" customWidth="1"/>
    <col min="3850" max="3850" width="21.33203125" style="800" customWidth="1"/>
    <col min="3851" max="4098" width="6" style="800"/>
    <col min="4099" max="4099" width="19.109375" style="800" customWidth="1"/>
    <col min="4100" max="4100" width="6" style="800"/>
    <col min="4101" max="4101" width="13.5546875" style="800" customWidth="1"/>
    <col min="4102" max="4103" width="6" style="800"/>
    <col min="4104" max="4105" width="12.109375" style="800" customWidth="1"/>
    <col min="4106" max="4106" width="21.33203125" style="800" customWidth="1"/>
    <col min="4107" max="4354" width="6" style="800"/>
    <col min="4355" max="4355" width="19.109375" style="800" customWidth="1"/>
    <col min="4356" max="4356" width="6" style="800"/>
    <col min="4357" max="4357" width="13.5546875" style="800" customWidth="1"/>
    <col min="4358" max="4359" width="6" style="800"/>
    <col min="4360" max="4361" width="12.109375" style="800" customWidth="1"/>
    <col min="4362" max="4362" width="21.33203125" style="800" customWidth="1"/>
    <col min="4363" max="4610" width="6" style="800"/>
    <col min="4611" max="4611" width="19.109375" style="800" customWidth="1"/>
    <col min="4612" max="4612" width="6" style="800"/>
    <col min="4613" max="4613" width="13.5546875" style="800" customWidth="1"/>
    <col min="4614" max="4615" width="6" style="800"/>
    <col min="4616" max="4617" width="12.109375" style="800" customWidth="1"/>
    <col min="4618" max="4618" width="21.33203125" style="800" customWidth="1"/>
    <col min="4619" max="4866" width="6" style="800"/>
    <col min="4867" max="4867" width="19.109375" style="800" customWidth="1"/>
    <col min="4868" max="4868" width="6" style="800"/>
    <col min="4869" max="4869" width="13.5546875" style="800" customWidth="1"/>
    <col min="4870" max="4871" width="6" style="800"/>
    <col min="4872" max="4873" width="12.109375" style="800" customWidth="1"/>
    <col min="4874" max="4874" width="21.33203125" style="800" customWidth="1"/>
    <col min="4875" max="5122" width="6" style="800"/>
    <col min="5123" max="5123" width="19.109375" style="800" customWidth="1"/>
    <col min="5124" max="5124" width="6" style="800"/>
    <col min="5125" max="5125" width="13.5546875" style="800" customWidth="1"/>
    <col min="5126" max="5127" width="6" style="800"/>
    <col min="5128" max="5129" width="12.109375" style="800" customWidth="1"/>
    <col min="5130" max="5130" width="21.33203125" style="800" customWidth="1"/>
    <col min="5131" max="5378" width="6" style="800"/>
    <col min="5379" max="5379" width="19.109375" style="800" customWidth="1"/>
    <col min="5380" max="5380" width="6" style="800"/>
    <col min="5381" max="5381" width="13.5546875" style="800" customWidth="1"/>
    <col min="5382" max="5383" width="6" style="800"/>
    <col min="5384" max="5385" width="12.109375" style="800" customWidth="1"/>
    <col min="5386" max="5386" width="21.33203125" style="800" customWidth="1"/>
    <col min="5387" max="5634" width="6" style="800"/>
    <col min="5635" max="5635" width="19.109375" style="800" customWidth="1"/>
    <col min="5636" max="5636" width="6" style="800"/>
    <col min="5637" max="5637" width="13.5546875" style="800" customWidth="1"/>
    <col min="5638" max="5639" width="6" style="800"/>
    <col min="5640" max="5641" width="12.109375" style="800" customWidth="1"/>
    <col min="5642" max="5642" width="21.33203125" style="800" customWidth="1"/>
    <col min="5643" max="5890" width="6" style="800"/>
    <col min="5891" max="5891" width="19.109375" style="800" customWidth="1"/>
    <col min="5892" max="5892" width="6" style="800"/>
    <col min="5893" max="5893" width="13.5546875" style="800" customWidth="1"/>
    <col min="5894" max="5895" width="6" style="800"/>
    <col min="5896" max="5897" width="12.109375" style="800" customWidth="1"/>
    <col min="5898" max="5898" width="21.33203125" style="800" customWidth="1"/>
    <col min="5899" max="6146" width="6" style="800"/>
    <col min="6147" max="6147" width="19.109375" style="800" customWidth="1"/>
    <col min="6148" max="6148" width="6" style="800"/>
    <col min="6149" max="6149" width="13.5546875" style="800" customWidth="1"/>
    <col min="6150" max="6151" width="6" style="800"/>
    <col min="6152" max="6153" width="12.109375" style="800" customWidth="1"/>
    <col min="6154" max="6154" width="21.33203125" style="800" customWidth="1"/>
    <col min="6155" max="6402" width="6" style="800"/>
    <col min="6403" max="6403" width="19.109375" style="800" customWidth="1"/>
    <col min="6404" max="6404" width="6" style="800"/>
    <col min="6405" max="6405" width="13.5546875" style="800" customWidth="1"/>
    <col min="6406" max="6407" width="6" style="800"/>
    <col min="6408" max="6409" width="12.109375" style="800" customWidth="1"/>
    <col min="6410" max="6410" width="21.33203125" style="800" customWidth="1"/>
    <col min="6411" max="6658" width="6" style="800"/>
    <col min="6659" max="6659" width="19.109375" style="800" customWidth="1"/>
    <col min="6660" max="6660" width="6" style="800"/>
    <col min="6661" max="6661" width="13.5546875" style="800" customWidth="1"/>
    <col min="6662" max="6663" width="6" style="800"/>
    <col min="6664" max="6665" width="12.109375" style="800" customWidth="1"/>
    <col min="6666" max="6666" width="21.33203125" style="800" customWidth="1"/>
    <col min="6667" max="6914" width="6" style="800"/>
    <col min="6915" max="6915" width="19.109375" style="800" customWidth="1"/>
    <col min="6916" max="6916" width="6" style="800"/>
    <col min="6917" max="6917" width="13.5546875" style="800" customWidth="1"/>
    <col min="6918" max="6919" width="6" style="800"/>
    <col min="6920" max="6921" width="12.109375" style="800" customWidth="1"/>
    <col min="6922" max="6922" width="21.33203125" style="800" customWidth="1"/>
    <col min="6923" max="7170" width="6" style="800"/>
    <col min="7171" max="7171" width="19.109375" style="800" customWidth="1"/>
    <col min="7172" max="7172" width="6" style="800"/>
    <col min="7173" max="7173" width="13.5546875" style="800" customWidth="1"/>
    <col min="7174" max="7175" width="6" style="800"/>
    <col min="7176" max="7177" width="12.109375" style="800" customWidth="1"/>
    <col min="7178" max="7178" width="21.33203125" style="800" customWidth="1"/>
    <col min="7179" max="7426" width="6" style="800"/>
    <col min="7427" max="7427" width="19.109375" style="800" customWidth="1"/>
    <col min="7428" max="7428" width="6" style="800"/>
    <col min="7429" max="7429" width="13.5546875" style="800" customWidth="1"/>
    <col min="7430" max="7431" width="6" style="800"/>
    <col min="7432" max="7433" width="12.109375" style="800" customWidth="1"/>
    <col min="7434" max="7434" width="21.33203125" style="800" customWidth="1"/>
    <col min="7435" max="7682" width="6" style="800"/>
    <col min="7683" max="7683" width="19.109375" style="800" customWidth="1"/>
    <col min="7684" max="7684" width="6" style="800"/>
    <col min="7685" max="7685" width="13.5546875" style="800" customWidth="1"/>
    <col min="7686" max="7687" width="6" style="800"/>
    <col min="7688" max="7689" width="12.109375" style="800" customWidth="1"/>
    <col min="7690" max="7690" width="21.33203125" style="800" customWidth="1"/>
    <col min="7691" max="7938" width="6" style="800"/>
    <col min="7939" max="7939" width="19.109375" style="800" customWidth="1"/>
    <col min="7940" max="7940" width="6" style="800"/>
    <col min="7941" max="7941" width="13.5546875" style="800" customWidth="1"/>
    <col min="7942" max="7943" width="6" style="800"/>
    <col min="7944" max="7945" width="12.109375" style="800" customWidth="1"/>
    <col min="7946" max="7946" width="21.33203125" style="800" customWidth="1"/>
    <col min="7947" max="8194" width="6" style="800"/>
    <col min="8195" max="8195" width="19.109375" style="800" customWidth="1"/>
    <col min="8196" max="8196" width="6" style="800"/>
    <col min="8197" max="8197" width="13.5546875" style="800" customWidth="1"/>
    <col min="8198" max="8199" width="6" style="800"/>
    <col min="8200" max="8201" width="12.109375" style="800" customWidth="1"/>
    <col min="8202" max="8202" width="21.33203125" style="800" customWidth="1"/>
    <col min="8203" max="8450" width="6" style="800"/>
    <col min="8451" max="8451" width="19.109375" style="800" customWidth="1"/>
    <col min="8452" max="8452" width="6" style="800"/>
    <col min="8453" max="8453" width="13.5546875" style="800" customWidth="1"/>
    <col min="8454" max="8455" width="6" style="800"/>
    <col min="8456" max="8457" width="12.109375" style="800" customWidth="1"/>
    <col min="8458" max="8458" width="21.33203125" style="800" customWidth="1"/>
    <col min="8459" max="8706" width="6" style="800"/>
    <col min="8707" max="8707" width="19.109375" style="800" customWidth="1"/>
    <col min="8708" max="8708" width="6" style="800"/>
    <col min="8709" max="8709" width="13.5546875" style="800" customWidth="1"/>
    <col min="8710" max="8711" width="6" style="800"/>
    <col min="8712" max="8713" width="12.109375" style="800" customWidth="1"/>
    <col min="8714" max="8714" width="21.33203125" style="800" customWidth="1"/>
    <col min="8715" max="8962" width="6" style="800"/>
    <col min="8963" max="8963" width="19.109375" style="800" customWidth="1"/>
    <col min="8964" max="8964" width="6" style="800"/>
    <col min="8965" max="8965" width="13.5546875" style="800" customWidth="1"/>
    <col min="8966" max="8967" width="6" style="800"/>
    <col min="8968" max="8969" width="12.109375" style="800" customWidth="1"/>
    <col min="8970" max="8970" width="21.33203125" style="800" customWidth="1"/>
    <col min="8971" max="9218" width="6" style="800"/>
    <col min="9219" max="9219" width="19.109375" style="800" customWidth="1"/>
    <col min="9220" max="9220" width="6" style="800"/>
    <col min="9221" max="9221" width="13.5546875" style="800" customWidth="1"/>
    <col min="9222" max="9223" width="6" style="800"/>
    <col min="9224" max="9225" width="12.109375" style="800" customWidth="1"/>
    <col min="9226" max="9226" width="21.33203125" style="800" customWidth="1"/>
    <col min="9227" max="9474" width="6" style="800"/>
    <col min="9475" max="9475" width="19.109375" style="800" customWidth="1"/>
    <col min="9476" max="9476" width="6" style="800"/>
    <col min="9477" max="9477" width="13.5546875" style="800" customWidth="1"/>
    <col min="9478" max="9479" width="6" style="800"/>
    <col min="9480" max="9481" width="12.109375" style="800" customWidth="1"/>
    <col min="9482" max="9482" width="21.33203125" style="800" customWidth="1"/>
    <col min="9483" max="9730" width="6" style="800"/>
    <col min="9731" max="9731" width="19.109375" style="800" customWidth="1"/>
    <col min="9732" max="9732" width="6" style="800"/>
    <col min="9733" max="9733" width="13.5546875" style="800" customWidth="1"/>
    <col min="9734" max="9735" width="6" style="800"/>
    <col min="9736" max="9737" width="12.109375" style="800" customWidth="1"/>
    <col min="9738" max="9738" width="21.33203125" style="800" customWidth="1"/>
    <col min="9739" max="9986" width="6" style="800"/>
    <col min="9987" max="9987" width="19.109375" style="800" customWidth="1"/>
    <col min="9988" max="9988" width="6" style="800"/>
    <col min="9989" max="9989" width="13.5546875" style="800" customWidth="1"/>
    <col min="9990" max="9991" width="6" style="800"/>
    <col min="9992" max="9993" width="12.109375" style="800" customWidth="1"/>
    <col min="9994" max="9994" width="21.33203125" style="800" customWidth="1"/>
    <col min="9995" max="10242" width="6" style="800"/>
    <col min="10243" max="10243" width="19.109375" style="800" customWidth="1"/>
    <col min="10244" max="10244" width="6" style="800"/>
    <col min="10245" max="10245" width="13.5546875" style="800" customWidth="1"/>
    <col min="10246" max="10247" width="6" style="800"/>
    <col min="10248" max="10249" width="12.109375" style="800" customWidth="1"/>
    <col min="10250" max="10250" width="21.33203125" style="800" customWidth="1"/>
    <col min="10251" max="10498" width="6" style="800"/>
    <col min="10499" max="10499" width="19.109375" style="800" customWidth="1"/>
    <col min="10500" max="10500" width="6" style="800"/>
    <col min="10501" max="10501" width="13.5546875" style="800" customWidth="1"/>
    <col min="10502" max="10503" width="6" style="800"/>
    <col min="10504" max="10505" width="12.109375" style="800" customWidth="1"/>
    <col min="10506" max="10506" width="21.33203125" style="800" customWidth="1"/>
    <col min="10507" max="10754" width="6" style="800"/>
    <col min="10755" max="10755" width="19.109375" style="800" customWidth="1"/>
    <col min="10756" max="10756" width="6" style="800"/>
    <col min="10757" max="10757" width="13.5546875" style="800" customWidth="1"/>
    <col min="10758" max="10759" width="6" style="800"/>
    <col min="10760" max="10761" width="12.109375" style="800" customWidth="1"/>
    <col min="10762" max="10762" width="21.33203125" style="800" customWidth="1"/>
    <col min="10763" max="11010" width="6" style="800"/>
    <col min="11011" max="11011" width="19.109375" style="800" customWidth="1"/>
    <col min="11012" max="11012" width="6" style="800"/>
    <col min="11013" max="11013" width="13.5546875" style="800" customWidth="1"/>
    <col min="11014" max="11015" width="6" style="800"/>
    <col min="11016" max="11017" width="12.109375" style="800" customWidth="1"/>
    <col min="11018" max="11018" width="21.33203125" style="800" customWidth="1"/>
    <col min="11019" max="11266" width="6" style="800"/>
    <col min="11267" max="11267" width="19.109375" style="800" customWidth="1"/>
    <col min="11268" max="11268" width="6" style="800"/>
    <col min="11269" max="11269" width="13.5546875" style="800" customWidth="1"/>
    <col min="11270" max="11271" width="6" style="800"/>
    <col min="11272" max="11273" width="12.109375" style="800" customWidth="1"/>
    <col min="11274" max="11274" width="21.33203125" style="800" customWidth="1"/>
    <col min="11275" max="11522" width="6" style="800"/>
    <col min="11523" max="11523" width="19.109375" style="800" customWidth="1"/>
    <col min="11524" max="11524" width="6" style="800"/>
    <col min="11525" max="11525" width="13.5546875" style="800" customWidth="1"/>
    <col min="11526" max="11527" width="6" style="800"/>
    <col min="11528" max="11529" width="12.109375" style="800" customWidth="1"/>
    <col min="11530" max="11530" width="21.33203125" style="800" customWidth="1"/>
    <col min="11531" max="11778" width="6" style="800"/>
    <col min="11779" max="11779" width="19.109375" style="800" customWidth="1"/>
    <col min="11780" max="11780" width="6" style="800"/>
    <col min="11781" max="11781" width="13.5546875" style="800" customWidth="1"/>
    <col min="11782" max="11783" width="6" style="800"/>
    <col min="11784" max="11785" width="12.109375" style="800" customWidth="1"/>
    <col min="11786" max="11786" width="21.33203125" style="800" customWidth="1"/>
    <col min="11787" max="12034" width="6" style="800"/>
    <col min="12035" max="12035" width="19.109375" style="800" customWidth="1"/>
    <col min="12036" max="12036" width="6" style="800"/>
    <col min="12037" max="12037" width="13.5546875" style="800" customWidth="1"/>
    <col min="12038" max="12039" width="6" style="800"/>
    <col min="12040" max="12041" width="12.109375" style="800" customWidth="1"/>
    <col min="12042" max="12042" width="21.33203125" style="800" customWidth="1"/>
    <col min="12043" max="12290" width="6" style="800"/>
    <col min="12291" max="12291" width="19.109375" style="800" customWidth="1"/>
    <col min="12292" max="12292" width="6" style="800"/>
    <col min="12293" max="12293" width="13.5546875" style="800" customWidth="1"/>
    <col min="12294" max="12295" width="6" style="800"/>
    <col min="12296" max="12297" width="12.109375" style="800" customWidth="1"/>
    <col min="12298" max="12298" width="21.33203125" style="800" customWidth="1"/>
    <col min="12299" max="12546" width="6" style="800"/>
    <col min="12547" max="12547" width="19.109375" style="800" customWidth="1"/>
    <col min="12548" max="12548" width="6" style="800"/>
    <col min="12549" max="12549" width="13.5546875" style="800" customWidth="1"/>
    <col min="12550" max="12551" width="6" style="800"/>
    <col min="12552" max="12553" width="12.109375" style="800" customWidth="1"/>
    <col min="12554" max="12554" width="21.33203125" style="800" customWidth="1"/>
    <col min="12555" max="12802" width="6" style="800"/>
    <col min="12803" max="12803" width="19.109375" style="800" customWidth="1"/>
    <col min="12804" max="12804" width="6" style="800"/>
    <col min="12805" max="12805" width="13.5546875" style="800" customWidth="1"/>
    <col min="12806" max="12807" width="6" style="800"/>
    <col min="12808" max="12809" width="12.109375" style="800" customWidth="1"/>
    <col min="12810" max="12810" width="21.33203125" style="800" customWidth="1"/>
    <col min="12811" max="13058" width="6" style="800"/>
    <col min="13059" max="13059" width="19.109375" style="800" customWidth="1"/>
    <col min="13060" max="13060" width="6" style="800"/>
    <col min="13061" max="13061" width="13.5546875" style="800" customWidth="1"/>
    <col min="13062" max="13063" width="6" style="800"/>
    <col min="13064" max="13065" width="12.109375" style="800" customWidth="1"/>
    <col min="13066" max="13066" width="21.33203125" style="800" customWidth="1"/>
    <col min="13067" max="13314" width="6" style="800"/>
    <col min="13315" max="13315" width="19.109375" style="800" customWidth="1"/>
    <col min="13316" max="13316" width="6" style="800"/>
    <col min="13317" max="13317" width="13.5546875" style="800" customWidth="1"/>
    <col min="13318" max="13319" width="6" style="800"/>
    <col min="13320" max="13321" width="12.109375" style="800" customWidth="1"/>
    <col min="13322" max="13322" width="21.33203125" style="800" customWidth="1"/>
    <col min="13323" max="13570" width="6" style="800"/>
    <col min="13571" max="13571" width="19.109375" style="800" customWidth="1"/>
    <col min="13572" max="13572" width="6" style="800"/>
    <col min="13573" max="13573" width="13.5546875" style="800" customWidth="1"/>
    <col min="13574" max="13575" width="6" style="800"/>
    <col min="13576" max="13577" width="12.109375" style="800" customWidth="1"/>
    <col min="13578" max="13578" width="21.33203125" style="800" customWidth="1"/>
    <col min="13579" max="13826" width="6" style="800"/>
    <col min="13827" max="13827" width="19.109375" style="800" customWidth="1"/>
    <col min="13828" max="13828" width="6" style="800"/>
    <col min="13829" max="13829" width="13.5546875" style="800" customWidth="1"/>
    <col min="13830" max="13831" width="6" style="800"/>
    <col min="13832" max="13833" width="12.109375" style="800" customWidth="1"/>
    <col min="13834" max="13834" width="21.33203125" style="800" customWidth="1"/>
    <col min="13835" max="14082" width="6" style="800"/>
    <col min="14083" max="14083" width="19.109375" style="800" customWidth="1"/>
    <col min="14084" max="14084" width="6" style="800"/>
    <col min="14085" max="14085" width="13.5546875" style="800" customWidth="1"/>
    <col min="14086" max="14087" width="6" style="800"/>
    <col min="14088" max="14089" width="12.109375" style="800" customWidth="1"/>
    <col min="14090" max="14090" width="21.33203125" style="800" customWidth="1"/>
    <col min="14091" max="14338" width="6" style="800"/>
    <col min="14339" max="14339" width="19.109375" style="800" customWidth="1"/>
    <col min="14340" max="14340" width="6" style="800"/>
    <col min="14341" max="14341" width="13.5546875" style="800" customWidth="1"/>
    <col min="14342" max="14343" width="6" style="800"/>
    <col min="14344" max="14345" width="12.109375" style="800" customWidth="1"/>
    <col min="14346" max="14346" width="21.33203125" style="800" customWidth="1"/>
    <col min="14347" max="14594" width="6" style="800"/>
    <col min="14595" max="14595" width="19.109375" style="800" customWidth="1"/>
    <col min="14596" max="14596" width="6" style="800"/>
    <col min="14597" max="14597" width="13.5546875" style="800" customWidth="1"/>
    <col min="14598" max="14599" width="6" style="800"/>
    <col min="14600" max="14601" width="12.109375" style="800" customWidth="1"/>
    <col min="14602" max="14602" width="21.33203125" style="800" customWidth="1"/>
    <col min="14603" max="14850" width="6" style="800"/>
    <col min="14851" max="14851" width="19.109375" style="800" customWidth="1"/>
    <col min="14852" max="14852" width="6" style="800"/>
    <col min="14853" max="14853" width="13.5546875" style="800" customWidth="1"/>
    <col min="14854" max="14855" width="6" style="800"/>
    <col min="14856" max="14857" width="12.109375" style="800" customWidth="1"/>
    <col min="14858" max="14858" width="21.33203125" style="800" customWidth="1"/>
    <col min="14859" max="15106" width="6" style="800"/>
    <col min="15107" max="15107" width="19.109375" style="800" customWidth="1"/>
    <col min="15108" max="15108" width="6" style="800"/>
    <col min="15109" max="15109" width="13.5546875" style="800" customWidth="1"/>
    <col min="15110" max="15111" width="6" style="800"/>
    <col min="15112" max="15113" width="12.109375" style="800" customWidth="1"/>
    <col min="15114" max="15114" width="21.33203125" style="800" customWidth="1"/>
    <col min="15115" max="15362" width="6" style="800"/>
    <col min="15363" max="15363" width="19.109375" style="800" customWidth="1"/>
    <col min="15364" max="15364" width="6" style="800"/>
    <col min="15365" max="15365" width="13.5546875" style="800" customWidth="1"/>
    <col min="15366" max="15367" width="6" style="800"/>
    <col min="15368" max="15369" width="12.109375" style="800" customWidth="1"/>
    <col min="15370" max="15370" width="21.33203125" style="800" customWidth="1"/>
    <col min="15371" max="15618" width="6" style="800"/>
    <col min="15619" max="15619" width="19.109375" style="800" customWidth="1"/>
    <col min="15620" max="15620" width="6" style="800"/>
    <col min="15621" max="15621" width="13.5546875" style="800" customWidth="1"/>
    <col min="15622" max="15623" width="6" style="800"/>
    <col min="15624" max="15625" width="12.109375" style="800" customWidth="1"/>
    <col min="15626" max="15626" width="21.33203125" style="800" customWidth="1"/>
    <col min="15627" max="15874" width="6" style="800"/>
    <col min="15875" max="15875" width="19.109375" style="800" customWidth="1"/>
    <col min="15876" max="15876" width="6" style="800"/>
    <col min="15877" max="15877" width="13.5546875" style="800" customWidth="1"/>
    <col min="15878" max="15879" width="6" style="800"/>
    <col min="15880" max="15881" width="12.109375" style="800" customWidth="1"/>
    <col min="15882" max="15882" width="21.33203125" style="800" customWidth="1"/>
    <col min="15883" max="16130" width="6" style="800"/>
    <col min="16131" max="16131" width="19.109375" style="800" customWidth="1"/>
    <col min="16132" max="16132" width="6" style="800"/>
    <col min="16133" max="16133" width="13.5546875" style="800" customWidth="1"/>
    <col min="16134" max="16135" width="6" style="800"/>
    <col min="16136" max="16137" width="12.109375" style="800" customWidth="1"/>
    <col min="16138" max="16138" width="21.33203125" style="800" customWidth="1"/>
    <col min="16139" max="16384" width="6" style="800"/>
  </cols>
  <sheetData>
    <row r="1" spans="2:15" ht="15" customHeight="1" x14ac:dyDescent="0.3">
      <c r="B1" s="905" t="s">
        <v>836</v>
      </c>
      <c r="C1" s="905"/>
      <c r="D1" s="905"/>
      <c r="E1" s="905"/>
      <c r="F1" s="905"/>
      <c r="G1" s="905"/>
      <c r="H1" s="905"/>
      <c r="I1" s="905"/>
      <c r="J1" s="905"/>
    </row>
    <row r="2" spans="2:15" ht="15" customHeight="1" x14ac:dyDescent="0.3">
      <c r="B2" s="905"/>
      <c r="C2" s="905"/>
      <c r="D2" s="905"/>
      <c r="E2" s="905"/>
      <c r="F2" s="905"/>
      <c r="G2" s="905"/>
      <c r="H2" s="905"/>
      <c r="I2" s="905"/>
      <c r="J2" s="905"/>
    </row>
    <row r="3" spans="2:15" ht="15" customHeight="1" x14ac:dyDescent="0.3">
      <c r="B3" s="905"/>
      <c r="C3" s="905"/>
      <c r="D3" s="905"/>
      <c r="E3" s="905"/>
      <c r="F3" s="905"/>
      <c r="G3" s="905"/>
      <c r="H3" s="905"/>
      <c r="I3" s="905"/>
      <c r="J3" s="905"/>
    </row>
    <row r="4" spans="2:15" ht="15" customHeight="1" x14ac:dyDescent="0.3">
      <c r="B4" s="766"/>
      <c r="C4" s="766"/>
      <c r="D4" s="766"/>
      <c r="E4" s="766"/>
      <c r="F4" s="766"/>
      <c r="G4" s="766"/>
      <c r="H4" s="766"/>
      <c r="I4" s="766"/>
      <c r="J4" s="766"/>
    </row>
    <row r="5" spans="2:15" ht="15" customHeight="1" x14ac:dyDescent="0.3">
      <c r="B5" s="906" t="s">
        <v>639</v>
      </c>
      <c r="C5" s="906"/>
      <c r="D5" s="906"/>
      <c r="E5" s="906"/>
      <c r="F5" s="906"/>
      <c r="G5" s="906"/>
      <c r="H5" s="906"/>
      <c r="I5" s="906"/>
      <c r="J5" s="906"/>
    </row>
    <row r="6" spans="2:15" ht="15" customHeight="1" x14ac:dyDescent="0.3">
      <c r="B6" s="907" t="s">
        <v>640</v>
      </c>
      <c r="C6" s="908" t="s">
        <v>641</v>
      </c>
      <c r="D6" s="907" t="s">
        <v>181</v>
      </c>
      <c r="E6" s="1005" t="s">
        <v>642</v>
      </c>
      <c r="F6" s="1006"/>
      <c r="G6" s="1006"/>
      <c r="H6" s="1006"/>
      <c r="I6" s="1007"/>
      <c r="J6" s="767"/>
    </row>
    <row r="7" spans="2:15" ht="15" customHeight="1" x14ac:dyDescent="0.3">
      <c r="B7" s="907"/>
      <c r="C7" s="908"/>
      <c r="D7" s="907"/>
      <c r="E7" s="796" t="s">
        <v>50</v>
      </c>
      <c r="F7" s="796" t="s">
        <v>744</v>
      </c>
      <c r="G7" s="796" t="s">
        <v>577</v>
      </c>
      <c r="H7" s="796" t="s">
        <v>837</v>
      </c>
      <c r="I7" s="796" t="s">
        <v>838</v>
      </c>
      <c r="J7" s="796" t="s">
        <v>204</v>
      </c>
    </row>
    <row r="8" spans="2:15" ht="15" customHeight="1" x14ac:dyDescent="0.3">
      <c r="B8" s="895" t="s">
        <v>646</v>
      </c>
      <c r="C8" s="895"/>
      <c r="D8" s="895"/>
      <c r="E8" s="895"/>
      <c r="F8" s="895"/>
      <c r="G8" s="895"/>
      <c r="H8" s="895"/>
      <c r="I8" s="895"/>
      <c r="J8" s="895"/>
    </row>
    <row r="9" spans="2:15" ht="15" customHeight="1" x14ac:dyDescent="0.3">
      <c r="B9" s="807"/>
      <c r="C9" s="807"/>
      <c r="D9" s="807"/>
      <c r="E9" s="807"/>
      <c r="F9" s="807"/>
      <c r="G9" s="807"/>
      <c r="H9" s="807"/>
      <c r="I9" s="808"/>
      <c r="J9" s="809"/>
    </row>
    <row r="10" spans="2:15" ht="15" customHeight="1" x14ac:dyDescent="0.3">
      <c r="B10" s="769"/>
      <c r="C10" s="770" t="s">
        <v>735</v>
      </c>
      <c r="D10" s="771"/>
      <c r="E10" s="771"/>
      <c r="F10" s="771"/>
      <c r="G10" s="771"/>
      <c r="H10" s="771"/>
      <c r="I10" s="771"/>
      <c r="J10" s="772"/>
    </row>
    <row r="11" spans="2:15" ht="15" customHeight="1" x14ac:dyDescent="0.3">
      <c r="B11" s="773"/>
      <c r="C11" s="803" t="s">
        <v>727</v>
      </c>
      <c r="D11" s="803">
        <v>1</v>
      </c>
      <c r="E11" s="803">
        <f>7+7.45+6.9-(0.75*3)</f>
        <v>19.100000000000001</v>
      </c>
      <c r="F11" s="803">
        <f>7*0.3</f>
        <v>2.1</v>
      </c>
      <c r="G11" s="803">
        <f>2.82+2.59+2.7</f>
        <v>8.11</v>
      </c>
      <c r="H11" s="819">
        <f>D11*E11*F11</f>
        <v>40.110000000000007</v>
      </c>
      <c r="I11" s="802"/>
      <c r="J11" s="804"/>
    </row>
    <row r="12" spans="2:15" ht="15" customHeight="1" x14ac:dyDescent="0.3">
      <c r="B12" s="773"/>
      <c r="C12" s="803" t="s">
        <v>804</v>
      </c>
      <c r="D12" s="803">
        <v>1</v>
      </c>
      <c r="E12" s="803">
        <f>(3.55+3.35-0.75)</f>
        <v>6.15</v>
      </c>
      <c r="F12" s="803">
        <v>2.2000000000000002</v>
      </c>
      <c r="G12" s="803"/>
      <c r="H12" s="819">
        <f>D12*E12*F12</f>
        <v>13.530000000000001</v>
      </c>
      <c r="I12" s="802"/>
      <c r="J12" s="804"/>
    </row>
    <row r="13" spans="2:15" ht="15" customHeight="1" x14ac:dyDescent="0.3">
      <c r="B13" s="773"/>
      <c r="C13" s="803" t="s">
        <v>839</v>
      </c>
      <c r="D13" s="803"/>
      <c r="E13" s="803"/>
      <c r="F13" s="803"/>
      <c r="G13" s="803"/>
      <c r="H13" s="801"/>
      <c r="I13" s="802"/>
      <c r="J13" s="804"/>
    </row>
    <row r="14" spans="2:15" ht="15" customHeight="1" x14ac:dyDescent="0.3">
      <c r="B14" s="773"/>
      <c r="C14" s="803" t="s">
        <v>841</v>
      </c>
      <c r="D14" s="803">
        <v>1</v>
      </c>
      <c r="E14" s="803"/>
      <c r="F14" s="803"/>
      <c r="G14" s="803">
        <f>(2.9*0.6)+((2.9-0.75)*0.45)</f>
        <v>2.7075</v>
      </c>
      <c r="H14" s="802">
        <f>G14*D14</f>
        <v>2.7075</v>
      </c>
      <c r="I14" s="802"/>
      <c r="J14" s="804" t="s">
        <v>840</v>
      </c>
    </row>
    <row r="15" spans="2:15" ht="15" customHeight="1" x14ac:dyDescent="0.3">
      <c r="B15" s="906" t="s">
        <v>737</v>
      </c>
      <c r="C15" s="906"/>
      <c r="D15" s="906"/>
      <c r="E15" s="906"/>
      <c r="F15" s="906"/>
      <c r="G15" s="906"/>
      <c r="H15" s="776">
        <f>SUM(H11:H14)*2</f>
        <v>112.69500000000002</v>
      </c>
      <c r="I15" s="776"/>
      <c r="J15" s="777" t="s">
        <v>672</v>
      </c>
    </row>
    <row r="16" spans="2:15" ht="15" customHeight="1" x14ac:dyDescent="0.3">
      <c r="B16" s="807"/>
      <c r="C16" s="807"/>
      <c r="D16" s="807"/>
      <c r="E16" s="807"/>
      <c r="F16" s="807"/>
      <c r="G16" s="807"/>
      <c r="H16" s="807"/>
      <c r="I16" s="808"/>
      <c r="J16" s="809"/>
      <c r="N16" s="800">
        <f>2.9</f>
        <v>2.9</v>
      </c>
      <c r="O16" s="800">
        <v>2.9</v>
      </c>
    </row>
    <row r="17" spans="2:15" ht="15" customHeight="1" x14ac:dyDescent="0.3">
      <c r="B17" s="807"/>
      <c r="C17" s="807"/>
      <c r="D17" s="807"/>
      <c r="E17" s="807"/>
      <c r="F17" s="807"/>
      <c r="G17" s="807"/>
      <c r="H17" s="807"/>
      <c r="I17" s="808"/>
      <c r="J17" s="809"/>
      <c r="N17" s="800">
        <v>0.65</v>
      </c>
      <c r="O17" s="800">
        <v>0.45</v>
      </c>
    </row>
    <row r="18" spans="2:15" ht="15" customHeight="1" x14ac:dyDescent="0.3">
      <c r="B18" s="769"/>
      <c r="C18" s="770" t="s">
        <v>842</v>
      </c>
      <c r="D18" s="771"/>
      <c r="E18" s="771"/>
      <c r="F18" s="771"/>
      <c r="G18" s="771"/>
      <c r="H18" s="771"/>
      <c r="I18" s="771"/>
      <c r="J18" s="772"/>
      <c r="N18" s="800">
        <f>N16+N17</f>
        <v>3.55</v>
      </c>
      <c r="O18" s="800">
        <f>O16+O17</f>
        <v>3.35</v>
      </c>
    </row>
    <row r="19" spans="2:15" ht="15" customHeight="1" x14ac:dyDescent="0.3">
      <c r="B19" s="773"/>
      <c r="C19" s="803" t="s">
        <v>727</v>
      </c>
      <c r="D19" s="803">
        <v>1</v>
      </c>
      <c r="E19" s="803">
        <f>6.7+6.7-(0.75*2)</f>
        <v>11.9</v>
      </c>
      <c r="F19" s="803">
        <v>1.9</v>
      </c>
      <c r="G19" s="803">
        <f>2.59+2.59</f>
        <v>5.18</v>
      </c>
      <c r="H19" s="819">
        <f>D19*E19*F19</f>
        <v>22.61</v>
      </c>
      <c r="I19" s="802"/>
      <c r="J19" s="804"/>
    </row>
    <row r="20" spans="2:15" ht="15" customHeight="1" x14ac:dyDescent="0.3">
      <c r="B20" s="773"/>
      <c r="C20" s="803" t="s">
        <v>804</v>
      </c>
      <c r="D20" s="803">
        <v>1</v>
      </c>
      <c r="E20" s="803">
        <f>3.4+3.2-0.75</f>
        <v>5.85</v>
      </c>
      <c r="F20" s="803">
        <v>2.2000000000000002</v>
      </c>
      <c r="G20" s="803"/>
      <c r="H20" s="819">
        <f>D20*E20*F20</f>
        <v>12.870000000000001</v>
      </c>
      <c r="I20" s="802"/>
      <c r="J20" s="804"/>
    </row>
    <row r="21" spans="2:15" ht="15" customHeight="1" x14ac:dyDescent="0.3">
      <c r="B21" s="773"/>
      <c r="C21" s="803" t="s">
        <v>839</v>
      </c>
      <c r="D21" s="803"/>
      <c r="E21" s="803"/>
      <c r="F21" s="803"/>
      <c r="G21" s="803"/>
      <c r="H21" s="801"/>
      <c r="I21" s="802"/>
      <c r="J21" s="804"/>
      <c r="N21" s="800">
        <v>2.75</v>
      </c>
      <c r="O21" s="800">
        <v>2.75</v>
      </c>
    </row>
    <row r="22" spans="2:15" ht="15" customHeight="1" x14ac:dyDescent="0.3">
      <c r="B22" s="773"/>
      <c r="C22" s="803" t="s">
        <v>841</v>
      </c>
      <c r="D22" s="803">
        <v>1</v>
      </c>
      <c r="E22" s="803"/>
      <c r="F22" s="803"/>
      <c r="G22" s="803">
        <f>(2.75*0.6)+((2.75-0.75)*0.45)</f>
        <v>2.5499999999999998</v>
      </c>
      <c r="H22" s="802">
        <f>G22*D22</f>
        <v>2.5499999999999998</v>
      </c>
      <c r="I22" s="802"/>
      <c r="J22" s="804" t="s">
        <v>840</v>
      </c>
      <c r="N22" s="800">
        <v>0.65</v>
      </c>
      <c r="O22" s="800">
        <v>0.45</v>
      </c>
    </row>
    <row r="23" spans="2:15" ht="15" customHeight="1" x14ac:dyDescent="0.3">
      <c r="B23" s="906" t="s">
        <v>843</v>
      </c>
      <c r="C23" s="906"/>
      <c r="D23" s="906"/>
      <c r="E23" s="906"/>
      <c r="F23" s="906"/>
      <c r="G23" s="906"/>
      <c r="H23" s="776">
        <f>SUM(H19:H22)</f>
        <v>38.03</v>
      </c>
      <c r="I23" s="776"/>
      <c r="J23" s="777" t="s">
        <v>672</v>
      </c>
      <c r="N23" s="800">
        <f>N21+N22</f>
        <v>3.4</v>
      </c>
      <c r="O23" s="800">
        <f>O21+O22</f>
        <v>3.2</v>
      </c>
    </row>
    <row r="24" spans="2:15" ht="15" customHeight="1" x14ac:dyDescent="0.3">
      <c r="B24" s="807"/>
      <c r="C24" s="807"/>
      <c r="D24" s="807"/>
      <c r="E24" s="807"/>
      <c r="F24" s="807"/>
      <c r="G24" s="807"/>
      <c r="H24" s="807"/>
      <c r="I24" s="808"/>
      <c r="J24" s="809"/>
    </row>
    <row r="25" spans="2:15" ht="15" customHeight="1" x14ac:dyDescent="0.3">
      <c r="B25" s="807"/>
      <c r="C25" s="807"/>
      <c r="D25" s="807"/>
      <c r="E25" s="807"/>
      <c r="F25" s="807"/>
      <c r="G25" s="807"/>
      <c r="H25" s="807"/>
      <c r="I25" s="808"/>
      <c r="J25" s="809"/>
    </row>
    <row r="26" spans="2:15" ht="15" customHeight="1" x14ac:dyDescent="0.3">
      <c r="B26" s="906" t="s">
        <v>739</v>
      </c>
      <c r="C26" s="906"/>
      <c r="D26" s="906"/>
      <c r="E26" s="906"/>
      <c r="F26" s="906"/>
      <c r="G26" s="906"/>
      <c r="H26" s="810">
        <f>H23+H15</f>
        <v>150.72500000000002</v>
      </c>
      <c r="I26" s="810"/>
      <c r="J26" s="777" t="s">
        <v>672</v>
      </c>
    </row>
    <row r="27" spans="2:15" ht="15" customHeight="1" x14ac:dyDescent="0.3">
      <c r="B27" s="811"/>
      <c r="C27" s="779"/>
      <c r="D27" s="779"/>
      <c r="E27" s="779"/>
      <c r="F27" s="779"/>
      <c r="G27" s="779"/>
      <c r="H27" s="779"/>
      <c r="I27" s="766"/>
      <c r="J27" s="766"/>
    </row>
    <row r="28" spans="2:15" ht="15" customHeight="1" thickBot="1" x14ac:dyDescent="0.35">
      <c r="B28" s="812"/>
      <c r="C28" s="813"/>
      <c r="D28" s="814"/>
      <c r="E28" s="814"/>
      <c r="F28" s="814"/>
      <c r="G28" s="815"/>
      <c r="H28" s="815"/>
      <c r="I28" s="812"/>
      <c r="J28" s="814"/>
    </row>
    <row r="29" spans="2:15" ht="15" customHeight="1" thickBot="1" x14ac:dyDescent="0.35">
      <c r="B29" s="899" t="s">
        <v>845</v>
      </c>
      <c r="C29" s="900"/>
      <c r="D29" s="900"/>
      <c r="E29" s="901"/>
      <c r="F29" s="812"/>
      <c r="G29" s="816"/>
      <c r="H29" s="816"/>
      <c r="I29" s="816"/>
      <c r="J29" s="816"/>
    </row>
    <row r="30" spans="2:15" ht="15" customHeight="1" thickBot="1" x14ac:dyDescent="0.35">
      <c r="B30" s="781" t="s">
        <v>41</v>
      </c>
      <c r="C30" s="902" t="s">
        <v>556</v>
      </c>
      <c r="D30" s="902"/>
      <c r="E30" s="782" t="s">
        <v>179</v>
      </c>
      <c r="F30" s="812"/>
      <c r="G30" s="817"/>
      <c r="H30" s="817"/>
      <c r="I30" s="817"/>
      <c r="J30" s="817"/>
    </row>
    <row r="31" spans="2:15" ht="15" customHeight="1" x14ac:dyDescent="0.3">
      <c r="B31" s="785">
        <v>1</v>
      </c>
      <c r="C31" s="1016" t="s">
        <v>623</v>
      </c>
      <c r="D31" s="1017"/>
      <c r="E31" s="786">
        <f>H22+H14*2</f>
        <v>7.9649999999999999</v>
      </c>
      <c r="F31" s="812"/>
      <c r="G31" s="817"/>
      <c r="H31" s="817">
        <f>0.1</f>
        <v>0.1</v>
      </c>
      <c r="I31" s="817"/>
      <c r="J31" s="817">
        <f>8*0.06</f>
        <v>0.48</v>
      </c>
    </row>
    <row r="32" spans="2:15" ht="15" customHeight="1" x14ac:dyDescent="0.3">
      <c r="B32" s="787">
        <v>2</v>
      </c>
      <c r="C32" s="891" t="s">
        <v>624</v>
      </c>
      <c r="D32" s="892"/>
      <c r="E32" s="788">
        <f>E31*(0.1-0.012-0.016-0.01)</f>
        <v>0.49383000000000005</v>
      </c>
      <c r="F32" s="766"/>
      <c r="G32" s="766"/>
      <c r="H32" s="766">
        <v>1.2E-2</v>
      </c>
      <c r="I32" s="766"/>
      <c r="J32" s="766"/>
    </row>
    <row r="33" spans="2:10" ht="15" customHeight="1" x14ac:dyDescent="0.3">
      <c r="B33" s="787">
        <v>4</v>
      </c>
      <c r="C33" s="891" t="s">
        <v>821</v>
      </c>
      <c r="D33" s="892"/>
      <c r="E33" s="788">
        <f>E32*1.4</f>
        <v>0.69136200000000003</v>
      </c>
      <c r="F33" s="766"/>
      <c r="G33" s="766"/>
      <c r="H33" s="766">
        <v>1.6E-2</v>
      </c>
      <c r="I33" s="766"/>
      <c r="J33" s="766"/>
    </row>
    <row r="34" spans="2:10" ht="15" customHeight="1" x14ac:dyDescent="0.3">
      <c r="B34" s="787">
        <v>5</v>
      </c>
      <c r="C34" s="891" t="s">
        <v>608</v>
      </c>
      <c r="D34" s="892"/>
      <c r="E34" s="788">
        <f>((E33/(4+1))*1000)/350</f>
        <v>0.39506400000000003</v>
      </c>
      <c r="F34" s="766"/>
      <c r="G34" s="766"/>
      <c r="H34" s="800">
        <v>0.01</v>
      </c>
      <c r="I34" s="802"/>
      <c r="J34" s="766"/>
    </row>
    <row r="35" spans="2:10" ht="15" customHeight="1" x14ac:dyDescent="0.3">
      <c r="B35" s="787">
        <v>6</v>
      </c>
      <c r="C35" s="891" t="s">
        <v>609</v>
      </c>
      <c r="D35" s="892"/>
      <c r="E35" s="788">
        <f>(E33/5)*4</f>
        <v>0.55308960000000007</v>
      </c>
      <c r="F35" s="766"/>
      <c r="G35" s="766"/>
      <c r="H35" s="802">
        <f>H31-H33-H32-H34</f>
        <v>6.2000000000000006E-2</v>
      </c>
      <c r="I35" s="766"/>
      <c r="J35" s="766"/>
    </row>
    <row r="36" spans="2:10" ht="15" customHeight="1" x14ac:dyDescent="0.3">
      <c r="B36" s="787">
        <v>7</v>
      </c>
      <c r="C36" s="891" t="s">
        <v>610</v>
      </c>
      <c r="D36" s="892"/>
      <c r="E36" s="788">
        <f>E35*35.28</f>
        <v>19.513001088000003</v>
      </c>
      <c r="F36" s="766"/>
      <c r="G36" s="766"/>
      <c r="H36" s="766"/>
      <c r="I36" s="766"/>
      <c r="J36" s="766"/>
    </row>
    <row r="37" spans="2:10" ht="15" customHeight="1" thickBot="1" x14ac:dyDescent="0.35">
      <c r="B37" s="789">
        <v>8</v>
      </c>
      <c r="C37" s="893" t="s">
        <v>611</v>
      </c>
      <c r="D37" s="894"/>
      <c r="E37" s="790">
        <f>E36/100</f>
        <v>0.19513001088000004</v>
      </c>
      <c r="F37" s="766"/>
      <c r="G37" s="766"/>
      <c r="H37" s="766"/>
      <c r="I37" s="766"/>
      <c r="J37" s="766"/>
    </row>
    <row r="38" spans="2:10" ht="15" customHeight="1" x14ac:dyDescent="0.3">
      <c r="B38" s="818"/>
      <c r="C38" s="818"/>
      <c r="D38" s="818"/>
      <c r="E38" s="818"/>
      <c r="F38" s="818"/>
      <c r="G38" s="818"/>
      <c r="H38" s="818"/>
      <c r="I38" s="818"/>
      <c r="J38" s="818"/>
    </row>
    <row r="39" spans="2:10" ht="15" customHeight="1" thickBot="1" x14ac:dyDescent="0.35"/>
    <row r="40" spans="2:10" ht="15" customHeight="1" thickBot="1" x14ac:dyDescent="0.35">
      <c r="B40" s="1008" t="s">
        <v>753</v>
      </c>
      <c r="C40" s="1009"/>
      <c r="D40" s="1009"/>
      <c r="E40" s="1010"/>
    </row>
    <row r="41" spans="2:10" ht="15" customHeight="1" thickBot="1" x14ac:dyDescent="0.35">
      <c r="B41" s="820" t="s">
        <v>41</v>
      </c>
      <c r="C41" s="1011" t="s">
        <v>556</v>
      </c>
      <c r="D41" s="1011"/>
      <c r="E41" s="821" t="s">
        <v>179</v>
      </c>
    </row>
    <row r="42" spans="2:10" ht="15" customHeight="1" x14ac:dyDescent="0.3">
      <c r="B42" s="534">
        <v>1</v>
      </c>
      <c r="C42" s="1012" t="s">
        <v>623</v>
      </c>
      <c r="D42" s="1013"/>
      <c r="E42" s="535">
        <f>(H12+H11)*2+(H19+H20)</f>
        <v>142.76000000000002</v>
      </c>
    </row>
    <row r="43" spans="2:10" ht="15" customHeight="1" x14ac:dyDescent="0.3">
      <c r="B43" s="527">
        <v>2</v>
      </c>
      <c r="C43" s="1014" t="s">
        <v>624</v>
      </c>
      <c r="D43" s="1015"/>
      <c r="E43" s="536">
        <f>E42*0.01</f>
        <v>1.4276000000000002</v>
      </c>
    </row>
    <row r="44" spans="2:10" ht="15" customHeight="1" x14ac:dyDescent="0.3">
      <c r="B44" s="527">
        <v>4</v>
      </c>
      <c r="C44" s="1014" t="s">
        <v>625</v>
      </c>
      <c r="D44" s="1015"/>
      <c r="E44" s="536">
        <f>E43*1.35</f>
        <v>1.9272600000000004</v>
      </c>
    </row>
    <row r="45" spans="2:10" ht="15" customHeight="1" x14ac:dyDescent="0.3">
      <c r="B45" s="527">
        <v>5</v>
      </c>
      <c r="C45" s="1014" t="s">
        <v>608</v>
      </c>
      <c r="D45" s="1015"/>
      <c r="E45" s="536">
        <f>ROUND(((E44)*1000)/35,0)</f>
        <v>55</v>
      </c>
    </row>
  </sheetData>
  <mergeCells count="25">
    <mergeCell ref="C44:D44"/>
    <mergeCell ref="C45:D45"/>
    <mergeCell ref="C36:D36"/>
    <mergeCell ref="C37:D37"/>
    <mergeCell ref="C31:D31"/>
    <mergeCell ref="C32:D32"/>
    <mergeCell ref="C33:D33"/>
    <mergeCell ref="C34:D34"/>
    <mergeCell ref="C35:D35"/>
    <mergeCell ref="C43:D43"/>
    <mergeCell ref="B29:E29"/>
    <mergeCell ref="C30:D30"/>
    <mergeCell ref="B40:E40"/>
    <mergeCell ref="C41:D41"/>
    <mergeCell ref="C42:D42"/>
    <mergeCell ref="B26:G26"/>
    <mergeCell ref="B8:J8"/>
    <mergeCell ref="B15:G15"/>
    <mergeCell ref="B23:G23"/>
    <mergeCell ref="B1:J3"/>
    <mergeCell ref="B5:J5"/>
    <mergeCell ref="B6:B7"/>
    <mergeCell ref="C6:C7"/>
    <mergeCell ref="D6:D7"/>
    <mergeCell ref="E6:I6"/>
  </mergeCells>
  <printOptions horizontalCentered="1"/>
  <pageMargins left="0.25" right="0.2" top="0.75" bottom="0.75" header="0.51111111111111107" footer="0.51111111111111107"/>
  <pageSetup paperSize="9" scale="90" firstPageNumber="4294963191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59" zoomScaleSheetLayoutView="100" workbookViewId="0">
      <selection activeCell="H74" sqref="H74"/>
    </sheetView>
  </sheetViews>
  <sheetFormatPr defaultRowHeight="15" customHeight="1" x14ac:dyDescent="0.3"/>
  <cols>
    <col min="1" max="2" width="9.109375" style="800"/>
    <col min="3" max="3" width="15.109375" style="800" customWidth="1"/>
    <col min="4" max="258" width="9.109375" style="800"/>
    <col min="259" max="259" width="15.109375" style="800" customWidth="1"/>
    <col min="260" max="514" width="9.109375" style="800"/>
    <col min="515" max="515" width="15.109375" style="800" customWidth="1"/>
    <col min="516" max="770" width="9.109375" style="800"/>
    <col min="771" max="771" width="15.109375" style="800" customWidth="1"/>
    <col min="772" max="1026" width="9.109375" style="800"/>
    <col min="1027" max="1027" width="15.109375" style="800" customWidth="1"/>
    <col min="1028" max="1282" width="9.109375" style="800"/>
    <col min="1283" max="1283" width="15.109375" style="800" customWidth="1"/>
    <col min="1284" max="1538" width="9.109375" style="800"/>
    <col min="1539" max="1539" width="15.109375" style="800" customWidth="1"/>
    <col min="1540" max="1794" width="9.109375" style="800"/>
    <col min="1795" max="1795" width="15.109375" style="800" customWidth="1"/>
    <col min="1796" max="2050" width="9.109375" style="800"/>
    <col min="2051" max="2051" width="15.109375" style="800" customWidth="1"/>
    <col min="2052" max="2306" width="9.109375" style="800"/>
    <col min="2307" max="2307" width="15.109375" style="800" customWidth="1"/>
    <col min="2308" max="2562" width="9.109375" style="800"/>
    <col min="2563" max="2563" width="15.109375" style="800" customWidth="1"/>
    <col min="2564" max="2818" width="9.109375" style="800"/>
    <col min="2819" max="2819" width="15.109375" style="800" customWidth="1"/>
    <col min="2820" max="3074" width="9.109375" style="800"/>
    <col min="3075" max="3075" width="15.109375" style="800" customWidth="1"/>
    <col min="3076" max="3330" width="9.109375" style="800"/>
    <col min="3331" max="3331" width="15.109375" style="800" customWidth="1"/>
    <col min="3332" max="3586" width="9.109375" style="800"/>
    <col min="3587" max="3587" width="15.109375" style="800" customWidth="1"/>
    <col min="3588" max="3842" width="9.109375" style="800"/>
    <col min="3843" max="3843" width="15.109375" style="800" customWidth="1"/>
    <col min="3844" max="4098" width="9.109375" style="800"/>
    <col min="4099" max="4099" width="15.109375" style="800" customWidth="1"/>
    <col min="4100" max="4354" width="9.109375" style="800"/>
    <col min="4355" max="4355" width="15.109375" style="800" customWidth="1"/>
    <col min="4356" max="4610" width="9.109375" style="800"/>
    <col min="4611" max="4611" width="15.109375" style="800" customWidth="1"/>
    <col min="4612" max="4866" width="9.109375" style="800"/>
    <col min="4867" max="4867" width="15.109375" style="800" customWidth="1"/>
    <col min="4868" max="5122" width="9.109375" style="800"/>
    <col min="5123" max="5123" width="15.109375" style="800" customWidth="1"/>
    <col min="5124" max="5378" width="9.109375" style="800"/>
    <col min="5379" max="5379" width="15.109375" style="800" customWidth="1"/>
    <col min="5380" max="5634" width="9.109375" style="800"/>
    <col min="5635" max="5635" width="15.109375" style="800" customWidth="1"/>
    <col min="5636" max="5890" width="9.109375" style="800"/>
    <col min="5891" max="5891" width="15.109375" style="800" customWidth="1"/>
    <col min="5892" max="6146" width="9.109375" style="800"/>
    <col min="6147" max="6147" width="15.109375" style="800" customWidth="1"/>
    <col min="6148" max="6402" width="9.109375" style="800"/>
    <col min="6403" max="6403" width="15.109375" style="800" customWidth="1"/>
    <col min="6404" max="6658" width="9.109375" style="800"/>
    <col min="6659" max="6659" width="15.109375" style="800" customWidth="1"/>
    <col min="6660" max="6914" width="9.109375" style="800"/>
    <col min="6915" max="6915" width="15.109375" style="800" customWidth="1"/>
    <col min="6916" max="7170" width="9.109375" style="800"/>
    <col min="7171" max="7171" width="15.109375" style="800" customWidth="1"/>
    <col min="7172" max="7426" width="9.109375" style="800"/>
    <col min="7427" max="7427" width="15.109375" style="800" customWidth="1"/>
    <col min="7428" max="7682" width="9.109375" style="800"/>
    <col min="7683" max="7683" width="15.109375" style="800" customWidth="1"/>
    <col min="7684" max="7938" width="9.109375" style="800"/>
    <col min="7939" max="7939" width="15.109375" style="800" customWidth="1"/>
    <col min="7940" max="8194" width="9.109375" style="800"/>
    <col min="8195" max="8195" width="15.109375" style="800" customWidth="1"/>
    <col min="8196" max="8450" width="9.109375" style="800"/>
    <col min="8451" max="8451" width="15.109375" style="800" customWidth="1"/>
    <col min="8452" max="8706" width="9.109375" style="800"/>
    <col min="8707" max="8707" width="15.109375" style="800" customWidth="1"/>
    <col min="8708" max="8962" width="9.109375" style="800"/>
    <col min="8963" max="8963" width="15.109375" style="800" customWidth="1"/>
    <col min="8964" max="9218" width="9.109375" style="800"/>
    <col min="9219" max="9219" width="15.109375" style="800" customWidth="1"/>
    <col min="9220" max="9474" width="9.109375" style="800"/>
    <col min="9475" max="9475" width="15.109375" style="800" customWidth="1"/>
    <col min="9476" max="9730" width="9.109375" style="800"/>
    <col min="9731" max="9731" width="15.109375" style="800" customWidth="1"/>
    <col min="9732" max="9986" width="9.109375" style="800"/>
    <col min="9987" max="9987" width="15.109375" style="800" customWidth="1"/>
    <col min="9988" max="10242" width="9.109375" style="800"/>
    <col min="10243" max="10243" width="15.109375" style="800" customWidth="1"/>
    <col min="10244" max="10498" width="9.109375" style="800"/>
    <col min="10499" max="10499" width="15.109375" style="800" customWidth="1"/>
    <col min="10500" max="10754" width="9.109375" style="800"/>
    <col min="10755" max="10755" width="15.109375" style="800" customWidth="1"/>
    <col min="10756" max="11010" width="9.109375" style="800"/>
    <col min="11011" max="11011" width="15.109375" style="800" customWidth="1"/>
    <col min="11012" max="11266" width="9.109375" style="800"/>
    <col min="11267" max="11267" width="15.109375" style="800" customWidth="1"/>
    <col min="11268" max="11522" width="9.109375" style="800"/>
    <col min="11523" max="11523" width="15.109375" style="800" customWidth="1"/>
    <col min="11524" max="11778" width="9.109375" style="800"/>
    <col min="11779" max="11779" width="15.109375" style="800" customWidth="1"/>
    <col min="11780" max="12034" width="9.109375" style="800"/>
    <col min="12035" max="12035" width="15.109375" style="800" customWidth="1"/>
    <col min="12036" max="12290" width="9.109375" style="800"/>
    <col min="12291" max="12291" width="15.109375" style="800" customWidth="1"/>
    <col min="12292" max="12546" width="9.109375" style="800"/>
    <col min="12547" max="12547" width="15.109375" style="800" customWidth="1"/>
    <col min="12548" max="12802" width="9.109375" style="800"/>
    <col min="12803" max="12803" width="15.109375" style="800" customWidth="1"/>
    <col min="12804" max="13058" width="9.109375" style="800"/>
    <col min="13059" max="13059" width="15.109375" style="800" customWidth="1"/>
    <col min="13060" max="13314" width="9.109375" style="800"/>
    <col min="13315" max="13315" width="15.109375" style="800" customWidth="1"/>
    <col min="13316" max="13570" width="9.109375" style="800"/>
    <col min="13571" max="13571" width="15.109375" style="800" customWidth="1"/>
    <col min="13572" max="13826" width="9.109375" style="800"/>
    <col min="13827" max="13827" width="15.109375" style="800" customWidth="1"/>
    <col min="13828" max="14082" width="9.109375" style="800"/>
    <col min="14083" max="14083" width="15.109375" style="800" customWidth="1"/>
    <col min="14084" max="14338" width="9.109375" style="800"/>
    <col min="14339" max="14339" width="15.109375" style="800" customWidth="1"/>
    <col min="14340" max="14594" width="9.109375" style="800"/>
    <col min="14595" max="14595" width="15.109375" style="800" customWidth="1"/>
    <col min="14596" max="14850" width="9.109375" style="800"/>
    <col min="14851" max="14851" width="15.109375" style="800" customWidth="1"/>
    <col min="14852" max="15106" width="9.109375" style="800"/>
    <col min="15107" max="15107" width="15.109375" style="800" customWidth="1"/>
    <col min="15108" max="15362" width="9.109375" style="800"/>
    <col min="15363" max="15363" width="15.109375" style="800" customWidth="1"/>
    <col min="15364" max="15618" width="9.109375" style="800"/>
    <col min="15619" max="15619" width="15.109375" style="800" customWidth="1"/>
    <col min="15620" max="15874" width="9.109375" style="800"/>
    <col min="15875" max="15875" width="15.109375" style="800" customWidth="1"/>
    <col min="15876" max="16130" width="9.109375" style="800"/>
    <col min="16131" max="16131" width="15.109375" style="800" customWidth="1"/>
    <col min="16132" max="16384" width="9.109375" style="800"/>
  </cols>
  <sheetData>
    <row r="1" spans="1:15" ht="15" customHeight="1" x14ac:dyDescent="0.3">
      <c r="A1" s="822"/>
      <c r="B1" s="905" t="s">
        <v>725</v>
      </c>
      <c r="C1" s="905"/>
      <c r="D1" s="905"/>
      <c r="E1" s="905"/>
      <c r="F1" s="905"/>
      <c r="G1" s="905"/>
      <c r="H1" s="905"/>
      <c r="I1" s="905"/>
    </row>
    <row r="2" spans="1:15" ht="15" customHeight="1" x14ac:dyDescent="0.3">
      <c r="A2" s="822"/>
      <c r="B2" s="905"/>
      <c r="C2" s="905"/>
      <c r="D2" s="905"/>
      <c r="E2" s="905"/>
      <c r="F2" s="905"/>
      <c r="G2" s="905"/>
      <c r="H2" s="905"/>
      <c r="I2" s="905"/>
    </row>
    <row r="3" spans="1:15" ht="15" customHeight="1" x14ac:dyDescent="0.3">
      <c r="A3" s="822"/>
      <c r="B3" s="905"/>
      <c r="C3" s="905"/>
      <c r="D3" s="905"/>
      <c r="E3" s="905"/>
      <c r="F3" s="905"/>
      <c r="G3" s="905"/>
      <c r="H3" s="905"/>
      <c r="I3" s="905"/>
    </row>
    <row r="4" spans="1:15" ht="15" customHeight="1" x14ac:dyDescent="0.3">
      <c r="A4" s="822"/>
      <c r="B4" s="822"/>
      <c r="C4" s="822"/>
      <c r="D4" s="822"/>
      <c r="E4" s="822"/>
      <c r="F4" s="822"/>
      <c r="G4" s="822"/>
      <c r="H4" s="822"/>
      <c r="I4" s="822"/>
    </row>
    <row r="5" spans="1:15" ht="15" customHeight="1" x14ac:dyDescent="0.3">
      <c r="A5" s="822"/>
      <c r="B5" s="906" t="s">
        <v>639</v>
      </c>
      <c r="C5" s="906"/>
      <c r="D5" s="906"/>
      <c r="E5" s="906"/>
      <c r="F5" s="906"/>
      <c r="G5" s="906"/>
      <c r="H5" s="906"/>
      <c r="I5" s="906"/>
    </row>
    <row r="6" spans="1:15" ht="15" customHeight="1" x14ac:dyDescent="0.3">
      <c r="A6" s="822"/>
      <c r="B6" s="907" t="s">
        <v>640</v>
      </c>
      <c r="C6" s="908" t="s">
        <v>641</v>
      </c>
      <c r="D6" s="907" t="s">
        <v>181</v>
      </c>
      <c r="E6" s="907" t="s">
        <v>642</v>
      </c>
      <c r="F6" s="907"/>
      <c r="G6" s="907"/>
      <c r="H6" s="907"/>
      <c r="I6" s="767"/>
    </row>
    <row r="7" spans="1:15" ht="15" customHeight="1" x14ac:dyDescent="0.3">
      <c r="A7" s="822"/>
      <c r="B7" s="907"/>
      <c r="C7" s="908"/>
      <c r="D7" s="907"/>
      <c r="E7" s="796" t="s">
        <v>643</v>
      </c>
      <c r="F7" s="796" t="s">
        <v>644</v>
      </c>
      <c r="G7" s="796" t="s">
        <v>577</v>
      </c>
      <c r="H7" s="796" t="s">
        <v>645</v>
      </c>
      <c r="I7" s="796" t="s">
        <v>204</v>
      </c>
    </row>
    <row r="8" spans="1:15" ht="15" customHeight="1" x14ac:dyDescent="0.3">
      <c r="A8" s="822"/>
      <c r="B8" s="895" t="s">
        <v>646</v>
      </c>
      <c r="C8" s="895"/>
      <c r="D8" s="895"/>
      <c r="E8" s="895"/>
      <c r="F8" s="895"/>
      <c r="G8" s="895"/>
      <c r="H8" s="895"/>
      <c r="I8" s="895"/>
    </row>
    <row r="9" spans="1:15" ht="15" customHeight="1" x14ac:dyDescent="0.3">
      <c r="A9" s="822"/>
      <c r="B9" s="823"/>
      <c r="C9" s="824" t="s">
        <v>726</v>
      </c>
      <c r="D9" s="825"/>
      <c r="E9" s="825"/>
      <c r="F9" s="825"/>
      <c r="G9" s="825"/>
      <c r="H9" s="825"/>
      <c r="I9" s="826"/>
      <c r="O9" s="827"/>
    </row>
    <row r="10" spans="1:15" ht="15" customHeight="1" x14ac:dyDescent="0.3">
      <c r="A10" s="822"/>
      <c r="B10" s="828"/>
      <c r="C10" s="829" t="s">
        <v>727</v>
      </c>
      <c r="D10" s="829">
        <v>1</v>
      </c>
      <c r="E10" s="829">
        <f>6.7*2</f>
        <v>13.4</v>
      </c>
      <c r="F10" s="829">
        <v>0.3</v>
      </c>
      <c r="G10" s="803">
        <f>2.71+2.59</f>
        <v>5.3</v>
      </c>
      <c r="H10" s="830">
        <f t="shared" ref="H10:H15" si="0">((E10*F10)+(G10))*D10</f>
        <v>9.32</v>
      </c>
      <c r="I10" s="804"/>
      <c r="L10" s="827"/>
      <c r="M10" s="827"/>
    </row>
    <row r="11" spans="1:15" ht="15" customHeight="1" x14ac:dyDescent="0.3">
      <c r="A11" s="822"/>
      <c r="B11" s="828"/>
      <c r="C11" s="831" t="s">
        <v>649</v>
      </c>
      <c r="D11" s="831">
        <v>1</v>
      </c>
      <c r="E11" s="831">
        <v>-0.75</v>
      </c>
      <c r="F11" s="831">
        <v>0.3</v>
      </c>
      <c r="G11" s="831"/>
      <c r="H11" s="831">
        <f t="shared" si="0"/>
        <v>-0.22499999999999998</v>
      </c>
      <c r="I11" s="832" t="s">
        <v>728</v>
      </c>
      <c r="L11" s="833"/>
      <c r="M11" s="833"/>
    </row>
    <row r="12" spans="1:15" ht="15" customHeight="1" x14ac:dyDescent="0.3">
      <c r="A12" s="822"/>
      <c r="B12" s="828"/>
      <c r="C12" s="829" t="s">
        <v>804</v>
      </c>
      <c r="D12" s="829">
        <v>1</v>
      </c>
      <c r="E12" s="829">
        <v>2.6</v>
      </c>
      <c r="F12" s="829">
        <v>0.2</v>
      </c>
      <c r="G12" s="829">
        <v>0.42199999999999999</v>
      </c>
      <c r="H12" s="830">
        <f t="shared" si="0"/>
        <v>0.94199999999999995</v>
      </c>
      <c r="I12" s="832"/>
      <c r="L12" s="833"/>
      <c r="M12" s="833"/>
    </row>
    <row r="13" spans="1:15" ht="15" customHeight="1" x14ac:dyDescent="0.3">
      <c r="A13" s="822"/>
      <c r="B13" s="828"/>
      <c r="C13" s="829" t="s">
        <v>781</v>
      </c>
      <c r="D13" s="829">
        <v>1</v>
      </c>
      <c r="E13" s="829">
        <v>6.68</v>
      </c>
      <c r="F13" s="829">
        <v>0.2</v>
      </c>
      <c r="G13" s="803">
        <v>1.94</v>
      </c>
      <c r="H13" s="830">
        <f t="shared" si="0"/>
        <v>3.2759999999999998</v>
      </c>
      <c r="I13" s="832"/>
      <c r="L13" s="833"/>
      <c r="M13" s="833"/>
    </row>
    <row r="14" spans="1:15" ht="15" customHeight="1" x14ac:dyDescent="0.3">
      <c r="A14" s="822"/>
      <c r="B14" s="828"/>
      <c r="C14" s="829" t="s">
        <v>729</v>
      </c>
      <c r="D14" s="829">
        <v>1</v>
      </c>
      <c r="E14" s="829">
        <v>8.1999999999999993</v>
      </c>
      <c r="F14" s="829">
        <v>0.2</v>
      </c>
      <c r="G14" s="829">
        <v>3.2</v>
      </c>
      <c r="H14" s="830">
        <f t="shared" si="0"/>
        <v>4.84</v>
      </c>
      <c r="I14" s="832"/>
      <c r="L14" s="833"/>
      <c r="M14" s="833"/>
    </row>
    <row r="15" spans="1:15" ht="15" customHeight="1" x14ac:dyDescent="0.3">
      <c r="A15" s="822"/>
      <c r="B15" s="828"/>
      <c r="C15" s="829" t="s">
        <v>730</v>
      </c>
      <c r="D15" s="829">
        <v>1</v>
      </c>
      <c r="E15" s="829">
        <v>7</v>
      </c>
      <c r="F15" s="829">
        <v>0.2</v>
      </c>
      <c r="G15" s="829">
        <v>2.06</v>
      </c>
      <c r="H15" s="830">
        <f t="shared" si="0"/>
        <v>3.46</v>
      </c>
      <c r="I15" s="832"/>
      <c r="L15" s="834"/>
      <c r="M15" s="834"/>
    </row>
    <row r="16" spans="1:15" ht="15" customHeight="1" x14ac:dyDescent="0.3">
      <c r="A16" s="822"/>
      <c r="B16" s="828"/>
      <c r="C16" s="829" t="s">
        <v>730</v>
      </c>
      <c r="D16" s="829">
        <v>1</v>
      </c>
      <c r="E16" s="829">
        <v>7.6</v>
      </c>
      <c r="F16" s="829">
        <v>0.2</v>
      </c>
      <c r="G16" s="829">
        <v>2.2869999999999999</v>
      </c>
      <c r="H16" s="830">
        <f>((E16*F16)+(G16))*D16</f>
        <v>3.8069999999999999</v>
      </c>
      <c r="I16" s="832"/>
      <c r="L16" s="834"/>
      <c r="M16" s="834"/>
    </row>
    <row r="17" spans="1:9" ht="15" customHeight="1" x14ac:dyDescent="0.3">
      <c r="A17" s="822"/>
      <c r="B17" s="906" t="s">
        <v>731</v>
      </c>
      <c r="C17" s="906"/>
      <c r="D17" s="906"/>
      <c r="E17" s="906"/>
      <c r="F17" s="906"/>
      <c r="G17" s="835">
        <f>SUM(G10:G16)*2</f>
        <v>30.417999999999999</v>
      </c>
      <c r="H17" s="835">
        <f>SUM(H10:H16)*2</f>
        <v>50.839999999999996</v>
      </c>
      <c r="I17" s="836" t="s">
        <v>672</v>
      </c>
    </row>
    <row r="18" spans="1:9" ht="15" customHeight="1" x14ac:dyDescent="0.3">
      <c r="A18" s="822"/>
      <c r="B18" s="805"/>
      <c r="C18" s="806"/>
      <c r="D18" s="806"/>
      <c r="E18" s="806"/>
      <c r="F18" s="806"/>
      <c r="G18" s="806"/>
      <c r="H18" s="837"/>
      <c r="I18" s="838"/>
    </row>
    <row r="19" spans="1:9" ht="15" customHeight="1" x14ac:dyDescent="0.3">
      <c r="A19" s="822"/>
      <c r="B19" s="823"/>
      <c r="C19" s="824" t="s">
        <v>732</v>
      </c>
      <c r="D19" s="825"/>
      <c r="E19" s="825"/>
      <c r="F19" s="825"/>
      <c r="G19" s="825"/>
      <c r="H19" s="825"/>
      <c r="I19" s="826"/>
    </row>
    <row r="20" spans="1:9" ht="15" customHeight="1" x14ac:dyDescent="0.3">
      <c r="A20" s="822"/>
      <c r="B20" s="828"/>
      <c r="C20" s="829" t="s">
        <v>727</v>
      </c>
      <c r="D20" s="829">
        <v>1</v>
      </c>
      <c r="E20" s="829">
        <f>7.42+7.45</f>
        <v>14.870000000000001</v>
      </c>
      <c r="F20" s="829">
        <v>0.3</v>
      </c>
      <c r="G20" s="829">
        <f>2.59+2.713</f>
        <v>5.3029999999999999</v>
      </c>
      <c r="H20" s="830">
        <f t="shared" ref="H20:H26" si="1">((E20*F20)+(G20))*D20</f>
        <v>9.7639999999999993</v>
      </c>
      <c r="I20" s="804"/>
    </row>
    <row r="21" spans="1:9" ht="15" customHeight="1" x14ac:dyDescent="0.3">
      <c r="A21" s="822"/>
      <c r="B21" s="828"/>
      <c r="C21" s="831" t="s">
        <v>649</v>
      </c>
      <c r="D21" s="831">
        <v>1</v>
      </c>
      <c r="E21" s="831">
        <v>-0.75</v>
      </c>
      <c r="F21" s="831">
        <v>0.3</v>
      </c>
      <c r="G21" s="831"/>
      <c r="H21" s="831">
        <f t="shared" si="1"/>
        <v>-0.22499999999999998</v>
      </c>
      <c r="I21" s="832" t="s">
        <v>728</v>
      </c>
    </row>
    <row r="22" spans="1:9" ht="15" customHeight="1" x14ac:dyDescent="0.3">
      <c r="A22" s="822"/>
      <c r="B22" s="828"/>
      <c r="C22" s="829" t="s">
        <v>804</v>
      </c>
      <c r="D22" s="829">
        <v>1</v>
      </c>
      <c r="E22" s="829">
        <v>2.6</v>
      </c>
      <c r="F22" s="829">
        <v>0.2</v>
      </c>
      <c r="G22" s="829">
        <v>0.42199999999999999</v>
      </c>
      <c r="H22" s="830">
        <f t="shared" si="1"/>
        <v>0.94199999999999995</v>
      </c>
      <c r="I22" s="832"/>
    </row>
    <row r="23" spans="1:9" ht="15" customHeight="1" x14ac:dyDescent="0.3">
      <c r="A23" s="822"/>
      <c r="B23" s="828"/>
      <c r="C23" s="829" t="s">
        <v>733</v>
      </c>
      <c r="D23" s="829">
        <v>1</v>
      </c>
      <c r="E23" s="829">
        <v>6.08</v>
      </c>
      <c r="F23" s="829">
        <v>0.2</v>
      </c>
      <c r="G23" s="829">
        <v>1.71</v>
      </c>
      <c r="H23" s="830">
        <f t="shared" si="1"/>
        <v>2.9260000000000002</v>
      </c>
      <c r="I23" s="832"/>
    </row>
    <row r="24" spans="1:9" ht="15" customHeight="1" x14ac:dyDescent="0.3">
      <c r="A24" s="822"/>
      <c r="B24" s="828"/>
      <c r="C24" s="829" t="s">
        <v>729</v>
      </c>
      <c r="D24" s="829">
        <v>1</v>
      </c>
      <c r="E24" s="829">
        <v>8.1999999999999993</v>
      </c>
      <c r="F24" s="829">
        <v>0.2</v>
      </c>
      <c r="G24" s="829">
        <v>3.2</v>
      </c>
      <c r="H24" s="830">
        <f t="shared" si="1"/>
        <v>4.84</v>
      </c>
      <c r="I24" s="832"/>
    </row>
    <row r="25" spans="1:9" ht="15" customHeight="1" x14ac:dyDescent="0.3">
      <c r="A25" s="822"/>
      <c r="B25" s="828"/>
      <c r="C25" s="829" t="s">
        <v>730</v>
      </c>
      <c r="D25" s="829">
        <v>1</v>
      </c>
      <c r="E25" s="829">
        <v>7.6</v>
      </c>
      <c r="F25" s="829">
        <v>0.2</v>
      </c>
      <c r="G25" s="829">
        <v>2.2799999999999998</v>
      </c>
      <c r="H25" s="830">
        <f>((E25*F25)+(G25))*D25</f>
        <v>3.8</v>
      </c>
      <c r="I25" s="832"/>
    </row>
    <row r="26" spans="1:9" ht="15" customHeight="1" x14ac:dyDescent="0.3">
      <c r="A26" s="822"/>
      <c r="B26" s="828"/>
      <c r="C26" s="829" t="s">
        <v>730</v>
      </c>
      <c r="D26" s="829">
        <v>1</v>
      </c>
      <c r="E26" s="829">
        <v>7.62</v>
      </c>
      <c r="F26" s="829">
        <v>0.2</v>
      </c>
      <c r="G26" s="829">
        <v>2.31</v>
      </c>
      <c r="H26" s="830">
        <f t="shared" si="1"/>
        <v>3.8340000000000001</v>
      </c>
      <c r="I26" s="832"/>
    </row>
    <row r="27" spans="1:9" ht="15" customHeight="1" x14ac:dyDescent="0.3">
      <c r="A27" s="822"/>
      <c r="B27" s="906" t="s">
        <v>734</v>
      </c>
      <c r="C27" s="906"/>
      <c r="D27" s="906"/>
      <c r="E27" s="906"/>
      <c r="F27" s="906"/>
      <c r="G27" s="835">
        <f>SUM(G20:G26)*2</f>
        <v>30.45</v>
      </c>
      <c r="H27" s="835">
        <f>SUM(H20:H26)*2</f>
        <v>51.762</v>
      </c>
      <c r="I27" s="836" t="s">
        <v>672</v>
      </c>
    </row>
    <row r="28" spans="1:9" ht="15" customHeight="1" x14ac:dyDescent="0.3">
      <c r="A28" s="822"/>
      <c r="B28" s="807"/>
      <c r="C28" s="807"/>
      <c r="D28" s="807"/>
      <c r="E28" s="807"/>
      <c r="F28" s="807"/>
      <c r="G28" s="807"/>
      <c r="H28" s="839"/>
      <c r="I28" s="840"/>
    </row>
    <row r="29" spans="1:9" ht="15" customHeight="1" x14ac:dyDescent="0.3">
      <c r="A29" s="822"/>
      <c r="B29" s="823"/>
      <c r="C29" s="824" t="s">
        <v>735</v>
      </c>
      <c r="D29" s="825"/>
      <c r="E29" s="825"/>
      <c r="F29" s="825"/>
      <c r="G29" s="825"/>
      <c r="H29" s="825"/>
      <c r="I29" s="826"/>
    </row>
    <row r="30" spans="1:9" ht="15" customHeight="1" x14ac:dyDescent="0.3">
      <c r="A30" s="822"/>
      <c r="B30" s="828"/>
      <c r="C30" s="829" t="s">
        <v>727</v>
      </c>
      <c r="D30" s="829">
        <v>1</v>
      </c>
      <c r="E30" s="829">
        <f>7+7.45+6.9</f>
        <v>21.35</v>
      </c>
      <c r="F30" s="829">
        <v>0.3</v>
      </c>
      <c r="G30" s="841">
        <f>2.82+2.59+2.7</f>
        <v>8.11</v>
      </c>
      <c r="H30" s="830">
        <f t="shared" ref="H30:H37" si="2">((E30*F30)+(G30))*D30</f>
        <v>14.515000000000001</v>
      </c>
      <c r="I30" s="804"/>
    </row>
    <row r="31" spans="1:9" ht="15" customHeight="1" x14ac:dyDescent="0.3">
      <c r="A31" s="822"/>
      <c r="B31" s="828"/>
      <c r="C31" s="831" t="s">
        <v>649</v>
      </c>
      <c r="D31" s="831">
        <v>1</v>
      </c>
      <c r="E31" s="831">
        <v>-0.75</v>
      </c>
      <c r="F31" s="831">
        <v>0.3</v>
      </c>
      <c r="G31" s="831"/>
      <c r="H31" s="831">
        <f t="shared" si="2"/>
        <v>-0.22499999999999998</v>
      </c>
      <c r="I31" s="832" t="s">
        <v>728</v>
      </c>
    </row>
    <row r="32" spans="1:9" ht="15" customHeight="1" x14ac:dyDescent="0.3">
      <c r="A32" s="822"/>
      <c r="B32" s="828"/>
      <c r="C32" s="829" t="s">
        <v>804</v>
      </c>
      <c r="D32" s="829">
        <v>1</v>
      </c>
      <c r="E32" s="829">
        <v>2.6</v>
      </c>
      <c r="F32" s="829">
        <v>0.2</v>
      </c>
      <c r="G32" s="829">
        <v>0.42199999999999999</v>
      </c>
      <c r="H32" s="830">
        <f t="shared" si="2"/>
        <v>0.94199999999999995</v>
      </c>
      <c r="I32" s="832"/>
    </row>
    <row r="33" spans="1:10" ht="15" customHeight="1" x14ac:dyDescent="0.3">
      <c r="A33" s="822"/>
      <c r="B33" s="828"/>
      <c r="C33" s="829" t="s">
        <v>736</v>
      </c>
      <c r="D33" s="829">
        <v>1</v>
      </c>
      <c r="E33" s="829">
        <v>5.4</v>
      </c>
      <c r="F33" s="829">
        <v>0.2</v>
      </c>
      <c r="G33" s="829">
        <v>1.26</v>
      </c>
      <c r="H33" s="830">
        <f t="shared" si="2"/>
        <v>2.34</v>
      </c>
      <c r="I33" s="832"/>
      <c r="J33" s="800">
        <f>108-92.3</f>
        <v>15.700000000000003</v>
      </c>
    </row>
    <row r="34" spans="1:10" ht="15" customHeight="1" x14ac:dyDescent="0.3">
      <c r="A34" s="822"/>
      <c r="B34" s="828"/>
      <c r="C34" s="829" t="s">
        <v>729</v>
      </c>
      <c r="D34" s="829">
        <v>1</v>
      </c>
      <c r="E34" s="829">
        <v>7.2</v>
      </c>
      <c r="F34" s="829">
        <v>0.2</v>
      </c>
      <c r="G34" s="829">
        <v>1.8</v>
      </c>
      <c r="H34" s="830">
        <f t="shared" si="2"/>
        <v>3.24</v>
      </c>
      <c r="I34" s="832"/>
    </row>
    <row r="35" spans="1:10" ht="15" customHeight="1" x14ac:dyDescent="0.3">
      <c r="A35" s="822"/>
      <c r="B35" s="828"/>
      <c r="C35" s="829" t="s">
        <v>730</v>
      </c>
      <c r="D35" s="829">
        <v>1</v>
      </c>
      <c r="E35" s="829">
        <v>7.29</v>
      </c>
      <c r="F35" s="829">
        <v>0.2</v>
      </c>
      <c r="G35" s="829">
        <v>1.83</v>
      </c>
      <c r="H35" s="830">
        <f>((E35*F35)+(G35))*D35</f>
        <v>3.2880000000000003</v>
      </c>
      <c r="I35" s="832"/>
    </row>
    <row r="36" spans="1:10" ht="15" customHeight="1" x14ac:dyDescent="0.3">
      <c r="A36" s="822"/>
      <c r="B36" s="828"/>
      <c r="C36" s="829" t="s">
        <v>730</v>
      </c>
      <c r="D36" s="829">
        <v>1</v>
      </c>
      <c r="E36" s="829">
        <v>7.29</v>
      </c>
      <c r="F36" s="829">
        <v>0.2</v>
      </c>
      <c r="G36" s="829">
        <v>1.83</v>
      </c>
      <c r="H36" s="830">
        <f>((E36*F36)+(G36))*D36</f>
        <v>3.2880000000000003</v>
      </c>
      <c r="I36" s="832"/>
    </row>
    <row r="37" spans="1:10" ht="15" customHeight="1" x14ac:dyDescent="0.3">
      <c r="A37" s="822"/>
      <c r="B37" s="828"/>
      <c r="C37" s="829" t="s">
        <v>730</v>
      </c>
      <c r="D37" s="829">
        <v>1</v>
      </c>
      <c r="E37" s="829">
        <v>7.29</v>
      </c>
      <c r="F37" s="829">
        <v>0.2</v>
      </c>
      <c r="G37" s="829">
        <v>1.83</v>
      </c>
      <c r="H37" s="830">
        <f t="shared" si="2"/>
        <v>3.2880000000000003</v>
      </c>
      <c r="I37" s="832"/>
    </row>
    <row r="38" spans="1:10" ht="15" customHeight="1" x14ac:dyDescent="0.3">
      <c r="A38" s="822"/>
      <c r="B38" s="906" t="s">
        <v>737</v>
      </c>
      <c r="C38" s="906"/>
      <c r="D38" s="906"/>
      <c r="E38" s="906"/>
      <c r="F38" s="906"/>
      <c r="G38" s="835">
        <f>SUM(G30:G37)*2</f>
        <v>34.164000000000001</v>
      </c>
      <c r="H38" s="835">
        <f>SUM(H30:H37)*2</f>
        <v>61.352000000000011</v>
      </c>
      <c r="I38" s="836" t="s">
        <v>672</v>
      </c>
    </row>
    <row r="39" spans="1:10" ht="15" customHeight="1" x14ac:dyDescent="0.3">
      <c r="A39" s="822"/>
      <c r="B39" s="807"/>
      <c r="C39" s="807"/>
      <c r="D39" s="807"/>
      <c r="E39" s="807"/>
      <c r="F39" s="807"/>
      <c r="G39" s="839"/>
      <c r="H39" s="839"/>
      <c r="I39" s="840"/>
    </row>
    <row r="40" spans="1:10" ht="15" customHeight="1" x14ac:dyDescent="0.3">
      <c r="A40" s="822"/>
      <c r="B40" s="823"/>
      <c r="C40" s="824" t="s">
        <v>738</v>
      </c>
      <c r="D40" s="825"/>
      <c r="E40" s="825"/>
      <c r="F40" s="825"/>
      <c r="G40" s="825"/>
      <c r="H40" s="825"/>
      <c r="I40" s="826"/>
    </row>
    <row r="41" spans="1:10" ht="15" customHeight="1" x14ac:dyDescent="0.3">
      <c r="A41" s="822"/>
      <c r="B41" s="828"/>
      <c r="C41" s="829" t="s">
        <v>727</v>
      </c>
      <c r="D41" s="829">
        <v>1</v>
      </c>
      <c r="E41" s="829">
        <f>(6.7+6.7)</f>
        <v>13.4</v>
      </c>
      <c r="F41" s="829">
        <v>0.3</v>
      </c>
      <c r="G41" s="829">
        <f>2.59+2.59</f>
        <v>5.18</v>
      </c>
      <c r="H41" s="830">
        <f t="shared" ref="H41:H47" si="3">((E41*F41)+(G41))*D41</f>
        <v>9.1999999999999993</v>
      </c>
      <c r="I41" s="804"/>
    </row>
    <row r="42" spans="1:10" ht="15" customHeight="1" x14ac:dyDescent="0.3">
      <c r="A42" s="822"/>
      <c r="B42" s="828"/>
      <c r="C42" s="831" t="s">
        <v>649</v>
      </c>
      <c r="D42" s="831">
        <v>1</v>
      </c>
      <c r="E42" s="831">
        <v>-0.75</v>
      </c>
      <c r="F42" s="831">
        <v>0.3</v>
      </c>
      <c r="G42" s="831"/>
      <c r="H42" s="831">
        <f t="shared" si="3"/>
        <v>-0.22499999999999998</v>
      </c>
      <c r="I42" s="832" t="s">
        <v>728</v>
      </c>
    </row>
    <row r="43" spans="1:10" ht="15" customHeight="1" x14ac:dyDescent="0.3">
      <c r="A43" s="822"/>
      <c r="B43" s="828"/>
      <c r="C43" s="829" t="s">
        <v>804</v>
      </c>
      <c r="D43" s="829">
        <v>1</v>
      </c>
      <c r="E43" s="829">
        <v>2.6</v>
      </c>
      <c r="F43" s="829">
        <v>0.2</v>
      </c>
      <c r="G43" s="829">
        <v>0.42199999999999999</v>
      </c>
      <c r="H43" s="830">
        <f t="shared" si="3"/>
        <v>0.94199999999999995</v>
      </c>
      <c r="I43" s="832"/>
    </row>
    <row r="44" spans="1:10" ht="15" customHeight="1" x14ac:dyDescent="0.3">
      <c r="A44" s="822"/>
      <c r="B44" s="828"/>
      <c r="C44" s="829" t="s">
        <v>733</v>
      </c>
      <c r="D44" s="829">
        <v>1</v>
      </c>
      <c r="E44" s="829">
        <v>6.38</v>
      </c>
      <c r="F44" s="829">
        <v>0.2</v>
      </c>
      <c r="G44" s="829">
        <v>1.83</v>
      </c>
      <c r="H44" s="830">
        <f t="shared" si="3"/>
        <v>3.1059999999999999</v>
      </c>
      <c r="I44" s="832"/>
    </row>
    <row r="45" spans="1:10" ht="15" customHeight="1" x14ac:dyDescent="0.3">
      <c r="A45" s="822"/>
      <c r="B45" s="828"/>
      <c r="C45" s="829" t="s">
        <v>729</v>
      </c>
      <c r="D45" s="829">
        <v>1</v>
      </c>
      <c r="E45" s="829">
        <v>7.9</v>
      </c>
      <c r="F45" s="829">
        <v>0.2</v>
      </c>
      <c r="G45" s="829">
        <v>3.04</v>
      </c>
      <c r="H45" s="830">
        <f t="shared" si="3"/>
        <v>4.62</v>
      </c>
      <c r="I45" s="832"/>
    </row>
    <row r="46" spans="1:10" ht="15" customHeight="1" x14ac:dyDescent="0.3">
      <c r="A46" s="822"/>
      <c r="B46" s="828"/>
      <c r="C46" s="829" t="s">
        <v>730</v>
      </c>
      <c r="D46" s="829">
        <v>1</v>
      </c>
      <c r="E46" s="829">
        <v>7.9</v>
      </c>
      <c r="F46" s="829">
        <v>0.2</v>
      </c>
      <c r="G46" s="829">
        <v>2.4</v>
      </c>
      <c r="H46" s="830">
        <f t="shared" si="3"/>
        <v>3.98</v>
      </c>
      <c r="I46" s="832"/>
    </row>
    <row r="47" spans="1:10" ht="15" customHeight="1" x14ac:dyDescent="0.3">
      <c r="A47" s="822"/>
      <c r="B47" s="828"/>
      <c r="C47" s="829" t="s">
        <v>730</v>
      </c>
      <c r="D47" s="829">
        <v>1</v>
      </c>
      <c r="E47" s="829">
        <v>7.3</v>
      </c>
      <c r="F47" s="829">
        <v>0.2</v>
      </c>
      <c r="G47" s="829">
        <v>2.17</v>
      </c>
      <c r="H47" s="830">
        <f t="shared" si="3"/>
        <v>3.63</v>
      </c>
      <c r="I47" s="832"/>
    </row>
    <row r="48" spans="1:10" ht="15" customHeight="1" x14ac:dyDescent="0.3">
      <c r="A48" s="822"/>
      <c r="B48" s="906" t="s">
        <v>734</v>
      </c>
      <c r="C48" s="906"/>
      <c r="D48" s="906"/>
      <c r="E48" s="906"/>
      <c r="F48" s="906"/>
      <c r="G48" s="835">
        <f>SUM(G41:G47)*2</f>
        <v>30.084</v>
      </c>
      <c r="H48" s="835">
        <f>SUM(H41:H47)*2</f>
        <v>50.506</v>
      </c>
      <c r="I48" s="836" t="s">
        <v>672</v>
      </c>
    </row>
    <row r="49" spans="1:9" ht="15" customHeight="1" x14ac:dyDescent="0.3">
      <c r="A49" s="822"/>
      <c r="B49" s="807"/>
      <c r="C49" s="807"/>
      <c r="D49" s="807"/>
      <c r="E49" s="807"/>
      <c r="F49" s="807"/>
      <c r="G49" s="807"/>
      <c r="H49" s="839"/>
      <c r="I49" s="840"/>
    </row>
    <row r="50" spans="1:9" ht="15" customHeight="1" x14ac:dyDescent="0.3">
      <c r="A50" s="822"/>
      <c r="B50" s="906" t="s">
        <v>739</v>
      </c>
      <c r="C50" s="906"/>
      <c r="D50" s="906"/>
      <c r="E50" s="906"/>
      <c r="F50" s="906"/>
      <c r="G50" s="842">
        <f>G38+G27+G17+G48</f>
        <v>125.11600000000001</v>
      </c>
      <c r="H50" s="842">
        <f>H38+H27+H17+H48</f>
        <v>214.46</v>
      </c>
      <c r="I50" s="836" t="s">
        <v>672</v>
      </c>
    </row>
    <row r="51" spans="1:9" ht="15" customHeight="1" x14ac:dyDescent="0.3">
      <c r="A51" s="822"/>
      <c r="B51" s="811"/>
      <c r="C51" s="779"/>
      <c r="D51" s="779"/>
      <c r="E51" s="779"/>
      <c r="F51" s="780"/>
      <c r="G51" s="780"/>
      <c r="H51" s="822"/>
      <c r="I51" s="822"/>
    </row>
    <row r="52" spans="1:9" ht="15" customHeight="1" x14ac:dyDescent="0.3">
      <c r="A52" s="822"/>
      <c r="B52" s="811"/>
      <c r="C52" s="779"/>
      <c r="D52" s="779"/>
      <c r="E52" s="779"/>
      <c r="F52" s="780"/>
      <c r="G52" s="780"/>
      <c r="H52" s="822"/>
      <c r="I52" s="822"/>
    </row>
    <row r="53" spans="1:9" ht="15" customHeight="1" thickBot="1" x14ac:dyDescent="0.35">
      <c r="A53" s="822"/>
      <c r="B53" s="811"/>
      <c r="C53" s="779"/>
      <c r="D53" s="779"/>
      <c r="E53" s="779"/>
      <c r="F53" s="780"/>
      <c r="G53" s="780"/>
      <c r="H53" s="822"/>
      <c r="I53" s="822"/>
    </row>
    <row r="54" spans="1:9" ht="15" customHeight="1" x14ac:dyDescent="0.3">
      <c r="A54" s="822"/>
      <c r="B54" s="1018" t="s">
        <v>720</v>
      </c>
      <c r="C54" s="1019"/>
      <c r="D54" s="1019"/>
      <c r="E54" s="1020"/>
      <c r="F54" s="780"/>
      <c r="G54" s="780"/>
      <c r="H54" s="822"/>
      <c r="I54" s="822"/>
    </row>
    <row r="55" spans="1:9" ht="15" customHeight="1" thickBot="1" x14ac:dyDescent="0.35">
      <c r="A55" s="822"/>
      <c r="B55" s="843" t="s">
        <v>41</v>
      </c>
      <c r="C55" s="1021" t="s">
        <v>556</v>
      </c>
      <c r="D55" s="1021"/>
      <c r="E55" s="844" t="s">
        <v>179</v>
      </c>
      <c r="F55" s="780"/>
      <c r="G55" s="780"/>
      <c r="H55" s="822"/>
      <c r="I55" s="822"/>
    </row>
    <row r="56" spans="1:9" ht="15" customHeight="1" x14ac:dyDescent="0.3">
      <c r="A56" s="822"/>
      <c r="B56" s="785">
        <v>1</v>
      </c>
      <c r="C56" s="1016" t="s">
        <v>623</v>
      </c>
      <c r="D56" s="1017"/>
      <c r="E56" s="786">
        <f>H50</f>
        <v>214.46</v>
      </c>
      <c r="F56" s="780"/>
      <c r="G56" s="780"/>
      <c r="H56" s="822"/>
      <c r="I56" s="822"/>
    </row>
    <row r="57" spans="1:9" ht="15" customHeight="1" x14ac:dyDescent="0.3">
      <c r="A57" s="822"/>
      <c r="B57" s="787">
        <v>2</v>
      </c>
      <c r="C57" s="891" t="s">
        <v>624</v>
      </c>
      <c r="D57" s="892"/>
      <c r="E57" s="788">
        <f>E56*0.0254</f>
        <v>5.4472839999999998</v>
      </c>
      <c r="F57" s="780"/>
      <c r="G57" s="780"/>
      <c r="H57" s="822"/>
      <c r="I57" s="822"/>
    </row>
    <row r="58" spans="1:9" ht="15" customHeight="1" x14ac:dyDescent="0.3">
      <c r="A58" s="822"/>
      <c r="B58" s="787">
        <v>4</v>
      </c>
      <c r="C58" s="891" t="s">
        <v>625</v>
      </c>
      <c r="D58" s="892"/>
      <c r="E58" s="788">
        <f>E57*1.35</f>
        <v>7.3538334000000001</v>
      </c>
      <c r="F58" s="780"/>
      <c r="G58" s="780"/>
      <c r="H58" s="822"/>
      <c r="I58" s="822"/>
    </row>
    <row r="59" spans="1:9" ht="15" customHeight="1" x14ac:dyDescent="0.3">
      <c r="A59" s="822"/>
      <c r="B59" s="787">
        <v>5</v>
      </c>
      <c r="C59" s="891" t="s">
        <v>608</v>
      </c>
      <c r="D59" s="892"/>
      <c r="E59" s="788">
        <f>ROUND(((E58/(4+1))*1000)/35,0)</f>
        <v>42</v>
      </c>
      <c r="F59" s="780"/>
      <c r="G59" s="780"/>
      <c r="H59" s="822"/>
      <c r="I59" s="822"/>
    </row>
    <row r="60" spans="1:9" ht="15" customHeight="1" x14ac:dyDescent="0.3">
      <c r="A60" s="822"/>
      <c r="B60" s="787">
        <v>6</v>
      </c>
      <c r="C60" s="891" t="s">
        <v>609</v>
      </c>
      <c r="D60" s="892"/>
      <c r="E60" s="788">
        <f>(E58/5)*4</f>
        <v>5.8830667200000004</v>
      </c>
      <c r="F60" s="780"/>
      <c r="G60" s="780"/>
      <c r="H60" s="822"/>
      <c r="I60" s="822"/>
    </row>
    <row r="61" spans="1:9" ht="15" customHeight="1" x14ac:dyDescent="0.3">
      <c r="A61" s="822"/>
      <c r="B61" s="787">
        <v>7</v>
      </c>
      <c r="C61" s="891" t="s">
        <v>610</v>
      </c>
      <c r="D61" s="892"/>
      <c r="E61" s="788">
        <f>E60*35.28</f>
        <v>207.55459388160003</v>
      </c>
      <c r="F61" s="822"/>
      <c r="G61" s="822"/>
      <c r="H61" s="822"/>
      <c r="I61" s="822"/>
    </row>
    <row r="62" spans="1:9" ht="15" customHeight="1" thickBot="1" x14ac:dyDescent="0.35">
      <c r="A62" s="822"/>
      <c r="B62" s="789">
        <v>8</v>
      </c>
      <c r="C62" s="893" t="s">
        <v>611</v>
      </c>
      <c r="D62" s="894"/>
      <c r="E62" s="845">
        <f>E61/100</f>
        <v>2.0755459388160005</v>
      </c>
      <c r="F62" s="780"/>
      <c r="G62" s="780"/>
      <c r="H62" s="822"/>
      <c r="I62" s="822"/>
    </row>
    <row r="63" spans="1:9" ht="15" customHeight="1" x14ac:dyDescent="0.3">
      <c r="A63" s="822"/>
      <c r="B63" s="811"/>
      <c r="C63" s="779"/>
      <c r="D63" s="779"/>
      <c r="E63" s="779"/>
      <c r="F63" s="780"/>
      <c r="G63" s="780"/>
      <c r="H63" s="822"/>
      <c r="I63" s="822"/>
    </row>
    <row r="64" spans="1:9" ht="15" customHeight="1" thickBot="1" x14ac:dyDescent="0.35">
      <c r="A64" s="822"/>
      <c r="B64" s="812"/>
      <c r="C64" s="813"/>
      <c r="D64" s="814"/>
      <c r="E64" s="822"/>
      <c r="F64" s="822"/>
      <c r="G64" s="822"/>
      <c r="H64" s="822"/>
      <c r="I64" s="822"/>
    </row>
    <row r="65" spans="1:9" ht="15" customHeight="1" x14ac:dyDescent="0.3">
      <c r="A65" s="822"/>
      <c r="B65" s="1018" t="s">
        <v>721</v>
      </c>
      <c r="C65" s="1019"/>
      <c r="D65" s="1019"/>
      <c r="E65" s="1020"/>
      <c r="F65" s="822"/>
      <c r="G65" s="822"/>
      <c r="H65" s="822"/>
      <c r="I65" s="822"/>
    </row>
    <row r="66" spans="1:9" ht="15" customHeight="1" thickBot="1" x14ac:dyDescent="0.35">
      <c r="A66" s="822"/>
      <c r="B66" s="843" t="s">
        <v>41</v>
      </c>
      <c r="C66" s="1021" t="s">
        <v>556</v>
      </c>
      <c r="D66" s="1021"/>
      <c r="E66" s="844" t="s">
        <v>179</v>
      </c>
      <c r="F66" s="822"/>
      <c r="G66" s="822"/>
      <c r="H66" s="822"/>
      <c r="I66" s="822"/>
    </row>
    <row r="67" spans="1:9" ht="15" customHeight="1" x14ac:dyDescent="0.3">
      <c r="A67" s="822"/>
      <c r="B67" s="785">
        <v>1</v>
      </c>
      <c r="C67" s="1016" t="s">
        <v>623</v>
      </c>
      <c r="D67" s="1017"/>
      <c r="E67" s="786">
        <f>G50</f>
        <v>125.11600000000001</v>
      </c>
      <c r="F67" s="822"/>
      <c r="G67" s="822"/>
      <c r="H67" s="822"/>
      <c r="I67" s="822"/>
    </row>
    <row r="68" spans="1:9" ht="15" customHeight="1" x14ac:dyDescent="0.3">
      <c r="A68" s="822"/>
      <c r="B68" s="787">
        <v>2</v>
      </c>
      <c r="C68" s="891" t="s">
        <v>624</v>
      </c>
      <c r="D68" s="892"/>
      <c r="E68" s="848">
        <f>E67*0.06</f>
        <v>7.5069600000000003</v>
      </c>
      <c r="F68" s="822"/>
      <c r="G68" s="822"/>
      <c r="H68" s="822"/>
      <c r="I68" s="822"/>
    </row>
    <row r="69" spans="1:9" ht="15" customHeight="1" x14ac:dyDescent="0.3">
      <c r="A69" s="822"/>
      <c r="B69" s="787">
        <v>3</v>
      </c>
      <c r="C69" s="892" t="s">
        <v>722</v>
      </c>
      <c r="D69" s="1022"/>
      <c r="E69" s="846">
        <f>(E67*0.06)/(0.21*0.1*0.09)</f>
        <v>3971.936507936508</v>
      </c>
      <c r="F69" s="822"/>
      <c r="G69" s="822"/>
      <c r="H69" s="822"/>
      <c r="I69" s="822"/>
    </row>
    <row r="70" spans="1:9" ht="15" customHeight="1" x14ac:dyDescent="0.3">
      <c r="A70" s="822"/>
      <c r="B70" s="787">
        <v>4</v>
      </c>
      <c r="C70" s="797" t="s">
        <v>723</v>
      </c>
      <c r="D70" s="847"/>
      <c r="E70" s="846">
        <f>E68</f>
        <v>7.5069600000000003</v>
      </c>
      <c r="F70" s="822"/>
      <c r="G70" s="822"/>
      <c r="H70" s="822"/>
      <c r="I70" s="822"/>
    </row>
    <row r="71" spans="1:9" ht="15" customHeight="1" x14ac:dyDescent="0.3">
      <c r="A71" s="822"/>
      <c r="B71" s="787">
        <v>5</v>
      </c>
      <c r="C71" s="891" t="s">
        <v>625</v>
      </c>
      <c r="D71" s="892"/>
      <c r="E71" s="788">
        <f>E70*1.35</f>
        <v>10.134396000000001</v>
      </c>
      <c r="F71" s="822"/>
      <c r="G71" s="877"/>
      <c r="H71" s="822"/>
      <c r="I71" s="822"/>
    </row>
    <row r="72" spans="1:9" ht="15" customHeight="1" x14ac:dyDescent="0.3">
      <c r="A72" s="822"/>
      <c r="B72" s="787">
        <v>6</v>
      </c>
      <c r="C72" s="891" t="s">
        <v>608</v>
      </c>
      <c r="D72" s="892"/>
      <c r="E72" s="788">
        <f>ROUND(((E71/(4+1))*1000)/35,0)</f>
        <v>58</v>
      </c>
      <c r="F72" s="822"/>
      <c r="G72" s="822"/>
      <c r="H72" s="822"/>
      <c r="I72" s="822"/>
    </row>
    <row r="73" spans="1:9" ht="15" customHeight="1" x14ac:dyDescent="0.3">
      <c r="A73" s="822"/>
      <c r="B73" s="787">
        <v>7</v>
      </c>
      <c r="C73" s="891" t="s">
        <v>609</v>
      </c>
      <c r="D73" s="892"/>
      <c r="E73" s="788">
        <f>(E71/5)*4</f>
        <v>8.1075168000000009</v>
      </c>
      <c r="F73" s="822"/>
      <c r="G73" s="822"/>
      <c r="H73" s="822"/>
      <c r="I73" s="822"/>
    </row>
    <row r="74" spans="1:9" ht="15" customHeight="1" x14ac:dyDescent="0.3">
      <c r="A74" s="822"/>
      <c r="B74" s="787">
        <v>8</v>
      </c>
      <c r="C74" s="891" t="s">
        <v>610</v>
      </c>
      <c r="D74" s="892"/>
      <c r="E74" s="788">
        <f>E73*35.28</f>
        <v>286.03319270400004</v>
      </c>
      <c r="F74" s="822"/>
      <c r="G74" s="822"/>
      <c r="H74" s="822"/>
      <c r="I74" s="822"/>
    </row>
    <row r="75" spans="1:9" ht="15" customHeight="1" x14ac:dyDescent="0.3">
      <c r="A75" s="822"/>
      <c r="B75" s="787">
        <v>9</v>
      </c>
      <c r="C75" s="891" t="s">
        <v>611</v>
      </c>
      <c r="D75" s="892"/>
      <c r="E75" s="848">
        <f>E74/100</f>
        <v>2.8603319270400003</v>
      </c>
      <c r="F75" s="822"/>
      <c r="G75" s="822"/>
      <c r="H75" s="822"/>
      <c r="I75" s="822"/>
    </row>
    <row r="76" spans="1:9" ht="15" customHeight="1" thickBot="1" x14ac:dyDescent="0.35">
      <c r="A76" s="822"/>
      <c r="B76" s="789">
        <v>10</v>
      </c>
      <c r="C76" s="893" t="s">
        <v>724</v>
      </c>
      <c r="D76" s="894"/>
      <c r="E76" s="849">
        <f>ROUNDUP(E69,0)</f>
        <v>3972</v>
      </c>
      <c r="F76" s="822"/>
      <c r="G76" s="822"/>
      <c r="H76" s="822"/>
      <c r="I76" s="822"/>
    </row>
    <row r="77" spans="1:9" ht="15" customHeight="1" x14ac:dyDescent="0.3">
      <c r="A77" s="822"/>
      <c r="B77" s="822"/>
      <c r="C77" s="822"/>
      <c r="D77" s="822"/>
      <c r="E77" s="822"/>
      <c r="F77" s="822"/>
      <c r="G77" s="822"/>
      <c r="H77" s="822"/>
      <c r="I77" s="822"/>
    </row>
    <row r="78" spans="1:9" ht="15" customHeight="1" x14ac:dyDescent="0.3">
      <c r="A78" s="822"/>
      <c r="B78" s="822"/>
      <c r="C78" s="822"/>
      <c r="D78" s="822"/>
      <c r="E78" s="822"/>
      <c r="F78" s="822"/>
      <c r="G78" s="822"/>
      <c r="H78" s="822"/>
      <c r="I78" s="822"/>
    </row>
  </sheetData>
  <mergeCells count="32">
    <mergeCell ref="C75:D75"/>
    <mergeCell ref="C76:D76"/>
    <mergeCell ref="C68:D68"/>
    <mergeCell ref="C69:D69"/>
    <mergeCell ref="C71:D71"/>
    <mergeCell ref="C72:D72"/>
    <mergeCell ref="C73:D73"/>
    <mergeCell ref="C74:D74"/>
    <mergeCell ref="C67:D67"/>
    <mergeCell ref="B54:E54"/>
    <mergeCell ref="C55:D55"/>
    <mergeCell ref="C56:D56"/>
    <mergeCell ref="C57:D57"/>
    <mergeCell ref="C58:D58"/>
    <mergeCell ref="C59:D59"/>
    <mergeCell ref="C60:D60"/>
    <mergeCell ref="C61:D61"/>
    <mergeCell ref="C62:D62"/>
    <mergeCell ref="B65:E65"/>
    <mergeCell ref="C66:D66"/>
    <mergeCell ref="B50:F50"/>
    <mergeCell ref="B1:I3"/>
    <mergeCell ref="B5:I5"/>
    <mergeCell ref="B6:B7"/>
    <mergeCell ref="C6:C7"/>
    <mergeCell ref="D6:D7"/>
    <mergeCell ref="E6:H6"/>
    <mergeCell ref="B8:I8"/>
    <mergeCell ref="B17:F17"/>
    <mergeCell ref="B27:F27"/>
    <mergeCell ref="B38:F38"/>
    <mergeCell ref="B48:F48"/>
  </mergeCells>
  <printOptions horizontalCentered="1"/>
  <pageMargins left="0.69861111111111107" right="0.69861111111111107" top="0.75" bottom="0.75" header="0.51111111111111107" footer="0.51111111111111107"/>
  <pageSetup paperSize="9" firstPageNumber="4294963191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"/>
  <sheetViews>
    <sheetView topLeftCell="A42" zoomScaleSheetLayoutView="100" workbookViewId="0">
      <selection activeCell="H58" sqref="H58"/>
    </sheetView>
  </sheetViews>
  <sheetFormatPr defaultRowHeight="15" customHeight="1" x14ac:dyDescent="0.3"/>
  <cols>
    <col min="1" max="1" width="9.109375" style="670"/>
    <col min="2" max="2" width="9.109375" style="865"/>
    <col min="3" max="3" width="20.88671875" style="865" customWidth="1"/>
    <col min="4" max="4" width="9.109375" style="865"/>
    <col min="5" max="5" width="10.6640625" style="865" customWidth="1"/>
    <col min="6" max="6" width="9.109375" style="866"/>
    <col min="7" max="7" width="9.109375" style="867"/>
    <col min="8" max="8" width="17.44140625" style="670" customWidth="1"/>
    <col min="9" max="258" width="9.109375" style="670"/>
    <col min="259" max="259" width="20.88671875" style="670" customWidth="1"/>
    <col min="260" max="263" width="9.109375" style="670"/>
    <col min="264" max="264" width="17.44140625" style="670" customWidth="1"/>
    <col min="265" max="514" width="9.109375" style="670"/>
    <col min="515" max="515" width="20.88671875" style="670" customWidth="1"/>
    <col min="516" max="519" width="9.109375" style="670"/>
    <col min="520" max="520" width="17.44140625" style="670" customWidth="1"/>
    <col min="521" max="770" width="9.109375" style="670"/>
    <col min="771" max="771" width="20.88671875" style="670" customWidth="1"/>
    <col min="772" max="775" width="9.109375" style="670"/>
    <col min="776" max="776" width="17.44140625" style="670" customWidth="1"/>
    <col min="777" max="1026" width="9.109375" style="670"/>
    <col min="1027" max="1027" width="20.88671875" style="670" customWidth="1"/>
    <col min="1028" max="1031" width="9.109375" style="670"/>
    <col min="1032" max="1032" width="17.44140625" style="670" customWidth="1"/>
    <col min="1033" max="1282" width="9.109375" style="670"/>
    <col min="1283" max="1283" width="20.88671875" style="670" customWidth="1"/>
    <col min="1284" max="1287" width="9.109375" style="670"/>
    <col min="1288" max="1288" width="17.44140625" style="670" customWidth="1"/>
    <col min="1289" max="1538" width="9.109375" style="670"/>
    <col min="1539" max="1539" width="20.88671875" style="670" customWidth="1"/>
    <col min="1540" max="1543" width="9.109375" style="670"/>
    <col min="1544" max="1544" width="17.44140625" style="670" customWidth="1"/>
    <col min="1545" max="1794" width="9.109375" style="670"/>
    <col min="1795" max="1795" width="20.88671875" style="670" customWidth="1"/>
    <col min="1796" max="1799" width="9.109375" style="670"/>
    <col min="1800" max="1800" width="17.44140625" style="670" customWidth="1"/>
    <col min="1801" max="2050" width="9.109375" style="670"/>
    <col min="2051" max="2051" width="20.88671875" style="670" customWidth="1"/>
    <col min="2052" max="2055" width="9.109375" style="670"/>
    <col min="2056" max="2056" width="17.44140625" style="670" customWidth="1"/>
    <col min="2057" max="2306" width="9.109375" style="670"/>
    <col min="2307" max="2307" width="20.88671875" style="670" customWidth="1"/>
    <col min="2308" max="2311" width="9.109375" style="670"/>
    <col min="2312" max="2312" width="17.44140625" style="670" customWidth="1"/>
    <col min="2313" max="2562" width="9.109375" style="670"/>
    <col min="2563" max="2563" width="20.88671875" style="670" customWidth="1"/>
    <col min="2564" max="2567" width="9.109375" style="670"/>
    <col min="2568" max="2568" width="17.44140625" style="670" customWidth="1"/>
    <col min="2569" max="2818" width="9.109375" style="670"/>
    <col min="2819" max="2819" width="20.88671875" style="670" customWidth="1"/>
    <col min="2820" max="2823" width="9.109375" style="670"/>
    <col min="2824" max="2824" width="17.44140625" style="670" customWidth="1"/>
    <col min="2825" max="3074" width="9.109375" style="670"/>
    <col min="3075" max="3075" width="20.88671875" style="670" customWidth="1"/>
    <col min="3076" max="3079" width="9.109375" style="670"/>
    <col min="3080" max="3080" width="17.44140625" style="670" customWidth="1"/>
    <col min="3081" max="3330" width="9.109375" style="670"/>
    <col min="3331" max="3331" width="20.88671875" style="670" customWidth="1"/>
    <col min="3332" max="3335" width="9.109375" style="670"/>
    <col min="3336" max="3336" width="17.44140625" style="670" customWidth="1"/>
    <col min="3337" max="3586" width="9.109375" style="670"/>
    <col min="3587" max="3587" width="20.88671875" style="670" customWidth="1"/>
    <col min="3588" max="3591" width="9.109375" style="670"/>
    <col min="3592" max="3592" width="17.44140625" style="670" customWidth="1"/>
    <col min="3593" max="3842" width="9.109375" style="670"/>
    <col min="3843" max="3843" width="20.88671875" style="670" customWidth="1"/>
    <col min="3844" max="3847" width="9.109375" style="670"/>
    <col min="3848" max="3848" width="17.44140625" style="670" customWidth="1"/>
    <col min="3849" max="4098" width="9.109375" style="670"/>
    <col min="4099" max="4099" width="20.88671875" style="670" customWidth="1"/>
    <col min="4100" max="4103" width="9.109375" style="670"/>
    <col min="4104" max="4104" width="17.44140625" style="670" customWidth="1"/>
    <col min="4105" max="4354" width="9.109375" style="670"/>
    <col min="4355" max="4355" width="20.88671875" style="670" customWidth="1"/>
    <col min="4356" max="4359" width="9.109375" style="670"/>
    <col min="4360" max="4360" width="17.44140625" style="670" customWidth="1"/>
    <col min="4361" max="4610" width="9.109375" style="670"/>
    <col min="4611" max="4611" width="20.88671875" style="670" customWidth="1"/>
    <col min="4612" max="4615" width="9.109375" style="670"/>
    <col min="4616" max="4616" width="17.44140625" style="670" customWidth="1"/>
    <col min="4617" max="4866" width="9.109375" style="670"/>
    <col min="4867" max="4867" width="20.88671875" style="670" customWidth="1"/>
    <col min="4868" max="4871" width="9.109375" style="670"/>
    <col min="4872" max="4872" width="17.44140625" style="670" customWidth="1"/>
    <col min="4873" max="5122" width="9.109375" style="670"/>
    <col min="5123" max="5123" width="20.88671875" style="670" customWidth="1"/>
    <col min="5124" max="5127" width="9.109375" style="670"/>
    <col min="5128" max="5128" width="17.44140625" style="670" customWidth="1"/>
    <col min="5129" max="5378" width="9.109375" style="670"/>
    <col min="5379" max="5379" width="20.88671875" style="670" customWidth="1"/>
    <col min="5380" max="5383" width="9.109375" style="670"/>
    <col min="5384" max="5384" width="17.44140625" style="670" customWidth="1"/>
    <col min="5385" max="5634" width="9.109375" style="670"/>
    <col min="5635" max="5635" width="20.88671875" style="670" customWidth="1"/>
    <col min="5636" max="5639" width="9.109375" style="670"/>
    <col min="5640" max="5640" width="17.44140625" style="670" customWidth="1"/>
    <col min="5641" max="5890" width="9.109375" style="670"/>
    <col min="5891" max="5891" width="20.88671875" style="670" customWidth="1"/>
    <col min="5892" max="5895" width="9.109375" style="670"/>
    <col min="5896" max="5896" width="17.44140625" style="670" customWidth="1"/>
    <col min="5897" max="6146" width="9.109375" style="670"/>
    <col min="6147" max="6147" width="20.88671875" style="670" customWidth="1"/>
    <col min="6148" max="6151" width="9.109375" style="670"/>
    <col min="6152" max="6152" width="17.44140625" style="670" customWidth="1"/>
    <col min="6153" max="6402" width="9.109375" style="670"/>
    <col min="6403" max="6403" width="20.88671875" style="670" customWidth="1"/>
    <col min="6404" max="6407" width="9.109375" style="670"/>
    <col min="6408" max="6408" width="17.44140625" style="670" customWidth="1"/>
    <col min="6409" max="6658" width="9.109375" style="670"/>
    <col min="6659" max="6659" width="20.88671875" style="670" customWidth="1"/>
    <col min="6660" max="6663" width="9.109375" style="670"/>
    <col min="6664" max="6664" width="17.44140625" style="670" customWidth="1"/>
    <col min="6665" max="6914" width="9.109375" style="670"/>
    <col min="6915" max="6915" width="20.88671875" style="670" customWidth="1"/>
    <col min="6916" max="6919" width="9.109375" style="670"/>
    <col min="6920" max="6920" width="17.44140625" style="670" customWidth="1"/>
    <col min="6921" max="7170" width="9.109375" style="670"/>
    <col min="7171" max="7171" width="20.88671875" style="670" customWidth="1"/>
    <col min="7172" max="7175" width="9.109375" style="670"/>
    <col min="7176" max="7176" width="17.44140625" style="670" customWidth="1"/>
    <col min="7177" max="7426" width="9.109375" style="670"/>
    <col min="7427" max="7427" width="20.88671875" style="670" customWidth="1"/>
    <col min="7428" max="7431" width="9.109375" style="670"/>
    <col min="7432" max="7432" width="17.44140625" style="670" customWidth="1"/>
    <col min="7433" max="7682" width="9.109375" style="670"/>
    <col min="7683" max="7683" width="20.88671875" style="670" customWidth="1"/>
    <col min="7684" max="7687" width="9.109375" style="670"/>
    <col min="7688" max="7688" width="17.44140625" style="670" customWidth="1"/>
    <col min="7689" max="7938" width="9.109375" style="670"/>
    <col min="7939" max="7939" width="20.88671875" style="670" customWidth="1"/>
    <col min="7940" max="7943" width="9.109375" style="670"/>
    <col min="7944" max="7944" width="17.44140625" style="670" customWidth="1"/>
    <col min="7945" max="8194" width="9.109375" style="670"/>
    <col min="8195" max="8195" width="20.88671875" style="670" customWidth="1"/>
    <col min="8196" max="8199" width="9.109375" style="670"/>
    <col min="8200" max="8200" width="17.44140625" style="670" customWidth="1"/>
    <col min="8201" max="8450" width="9.109375" style="670"/>
    <col min="8451" max="8451" width="20.88671875" style="670" customWidth="1"/>
    <col min="8452" max="8455" width="9.109375" style="670"/>
    <col min="8456" max="8456" width="17.44140625" style="670" customWidth="1"/>
    <col min="8457" max="8706" width="9.109375" style="670"/>
    <col min="8707" max="8707" width="20.88671875" style="670" customWidth="1"/>
    <col min="8708" max="8711" width="9.109375" style="670"/>
    <col min="8712" max="8712" width="17.44140625" style="670" customWidth="1"/>
    <col min="8713" max="8962" width="9.109375" style="670"/>
    <col min="8963" max="8963" width="20.88671875" style="670" customWidth="1"/>
    <col min="8964" max="8967" width="9.109375" style="670"/>
    <col min="8968" max="8968" width="17.44140625" style="670" customWidth="1"/>
    <col min="8969" max="9218" width="9.109375" style="670"/>
    <col min="9219" max="9219" width="20.88671875" style="670" customWidth="1"/>
    <col min="9220" max="9223" width="9.109375" style="670"/>
    <col min="9224" max="9224" width="17.44140625" style="670" customWidth="1"/>
    <col min="9225" max="9474" width="9.109375" style="670"/>
    <col min="9475" max="9475" width="20.88671875" style="670" customWidth="1"/>
    <col min="9476" max="9479" width="9.109375" style="670"/>
    <col min="9480" max="9480" width="17.44140625" style="670" customWidth="1"/>
    <col min="9481" max="9730" width="9.109375" style="670"/>
    <col min="9731" max="9731" width="20.88671875" style="670" customWidth="1"/>
    <col min="9732" max="9735" width="9.109375" style="670"/>
    <col min="9736" max="9736" width="17.44140625" style="670" customWidth="1"/>
    <col min="9737" max="9986" width="9.109375" style="670"/>
    <col min="9987" max="9987" width="20.88671875" style="670" customWidth="1"/>
    <col min="9988" max="9991" width="9.109375" style="670"/>
    <col min="9992" max="9992" width="17.44140625" style="670" customWidth="1"/>
    <col min="9993" max="10242" width="9.109375" style="670"/>
    <col min="10243" max="10243" width="20.88671875" style="670" customWidth="1"/>
    <col min="10244" max="10247" width="9.109375" style="670"/>
    <col min="10248" max="10248" width="17.44140625" style="670" customWidth="1"/>
    <col min="10249" max="10498" width="9.109375" style="670"/>
    <col min="10499" max="10499" width="20.88671875" style="670" customWidth="1"/>
    <col min="10500" max="10503" width="9.109375" style="670"/>
    <col min="10504" max="10504" width="17.44140625" style="670" customWidth="1"/>
    <col min="10505" max="10754" width="9.109375" style="670"/>
    <col min="10755" max="10755" width="20.88671875" style="670" customWidth="1"/>
    <col min="10756" max="10759" width="9.109375" style="670"/>
    <col min="10760" max="10760" width="17.44140625" style="670" customWidth="1"/>
    <col min="10761" max="11010" width="9.109375" style="670"/>
    <col min="11011" max="11011" width="20.88671875" style="670" customWidth="1"/>
    <col min="11012" max="11015" width="9.109375" style="670"/>
    <col min="11016" max="11016" width="17.44140625" style="670" customWidth="1"/>
    <col min="11017" max="11266" width="9.109375" style="670"/>
    <col min="11267" max="11267" width="20.88671875" style="670" customWidth="1"/>
    <col min="11268" max="11271" width="9.109375" style="670"/>
    <col min="11272" max="11272" width="17.44140625" style="670" customWidth="1"/>
    <col min="11273" max="11522" width="9.109375" style="670"/>
    <col min="11523" max="11523" width="20.88671875" style="670" customWidth="1"/>
    <col min="11524" max="11527" width="9.109375" style="670"/>
    <col min="11528" max="11528" width="17.44140625" style="670" customWidth="1"/>
    <col min="11529" max="11778" width="9.109375" style="670"/>
    <col min="11779" max="11779" width="20.88671875" style="670" customWidth="1"/>
    <col min="11780" max="11783" width="9.109375" style="670"/>
    <col min="11784" max="11784" width="17.44140625" style="670" customWidth="1"/>
    <col min="11785" max="12034" width="9.109375" style="670"/>
    <col min="12035" max="12035" width="20.88671875" style="670" customWidth="1"/>
    <col min="12036" max="12039" width="9.109375" style="670"/>
    <col min="12040" max="12040" width="17.44140625" style="670" customWidth="1"/>
    <col min="12041" max="12290" width="9.109375" style="670"/>
    <col min="12291" max="12291" width="20.88671875" style="670" customWidth="1"/>
    <col min="12292" max="12295" width="9.109375" style="670"/>
    <col min="12296" max="12296" width="17.44140625" style="670" customWidth="1"/>
    <col min="12297" max="12546" width="9.109375" style="670"/>
    <col min="12547" max="12547" width="20.88671875" style="670" customWidth="1"/>
    <col min="12548" max="12551" width="9.109375" style="670"/>
    <col min="12552" max="12552" width="17.44140625" style="670" customWidth="1"/>
    <col min="12553" max="12802" width="9.109375" style="670"/>
    <col min="12803" max="12803" width="20.88671875" style="670" customWidth="1"/>
    <col min="12804" max="12807" width="9.109375" style="670"/>
    <col min="12808" max="12808" width="17.44140625" style="670" customWidth="1"/>
    <col min="12809" max="13058" width="9.109375" style="670"/>
    <col min="13059" max="13059" width="20.88671875" style="670" customWidth="1"/>
    <col min="13060" max="13063" width="9.109375" style="670"/>
    <col min="13064" max="13064" width="17.44140625" style="670" customWidth="1"/>
    <col min="13065" max="13314" width="9.109375" style="670"/>
    <col min="13315" max="13315" width="20.88671875" style="670" customWidth="1"/>
    <col min="13316" max="13319" width="9.109375" style="670"/>
    <col min="13320" max="13320" width="17.44140625" style="670" customWidth="1"/>
    <col min="13321" max="13570" width="9.109375" style="670"/>
    <col min="13571" max="13571" width="20.88671875" style="670" customWidth="1"/>
    <col min="13572" max="13575" width="9.109375" style="670"/>
    <col min="13576" max="13576" width="17.44140625" style="670" customWidth="1"/>
    <col min="13577" max="13826" width="9.109375" style="670"/>
    <col min="13827" max="13827" width="20.88671875" style="670" customWidth="1"/>
    <col min="13828" max="13831" width="9.109375" style="670"/>
    <col min="13832" max="13832" width="17.44140625" style="670" customWidth="1"/>
    <col min="13833" max="14082" width="9.109375" style="670"/>
    <col min="14083" max="14083" width="20.88671875" style="670" customWidth="1"/>
    <col min="14084" max="14087" width="9.109375" style="670"/>
    <col min="14088" max="14088" width="17.44140625" style="670" customWidth="1"/>
    <col min="14089" max="14338" width="9.109375" style="670"/>
    <col min="14339" max="14339" width="20.88671875" style="670" customWidth="1"/>
    <col min="14340" max="14343" width="9.109375" style="670"/>
    <col min="14344" max="14344" width="17.44140625" style="670" customWidth="1"/>
    <col min="14345" max="14594" width="9.109375" style="670"/>
    <col min="14595" max="14595" width="20.88671875" style="670" customWidth="1"/>
    <col min="14596" max="14599" width="9.109375" style="670"/>
    <col min="14600" max="14600" width="17.44140625" style="670" customWidth="1"/>
    <col min="14601" max="14850" width="9.109375" style="670"/>
    <col min="14851" max="14851" width="20.88671875" style="670" customWidth="1"/>
    <col min="14852" max="14855" width="9.109375" style="670"/>
    <col min="14856" max="14856" width="17.44140625" style="670" customWidth="1"/>
    <col min="14857" max="15106" width="9.109375" style="670"/>
    <col min="15107" max="15107" width="20.88671875" style="670" customWidth="1"/>
    <col min="15108" max="15111" width="9.109375" style="670"/>
    <col min="15112" max="15112" width="17.44140625" style="670" customWidth="1"/>
    <col min="15113" max="15362" width="9.109375" style="670"/>
    <col min="15363" max="15363" width="20.88671875" style="670" customWidth="1"/>
    <col min="15364" max="15367" width="9.109375" style="670"/>
    <col min="15368" max="15368" width="17.44140625" style="670" customWidth="1"/>
    <col min="15369" max="15618" width="9.109375" style="670"/>
    <col min="15619" max="15619" width="20.88671875" style="670" customWidth="1"/>
    <col min="15620" max="15623" width="9.109375" style="670"/>
    <col min="15624" max="15624" width="17.44140625" style="670" customWidth="1"/>
    <col min="15625" max="15874" width="9.109375" style="670"/>
    <col min="15875" max="15875" width="20.88671875" style="670" customWidth="1"/>
    <col min="15876" max="15879" width="9.109375" style="670"/>
    <col min="15880" max="15880" width="17.44140625" style="670" customWidth="1"/>
    <col min="15881" max="16130" width="9.109375" style="670"/>
    <col min="16131" max="16131" width="20.88671875" style="670" customWidth="1"/>
    <col min="16132" max="16135" width="9.109375" style="670"/>
    <col min="16136" max="16136" width="17.44140625" style="670" customWidth="1"/>
    <col min="16137" max="16384" width="9.109375" style="670"/>
  </cols>
  <sheetData>
    <row r="1" spans="2:8" ht="15" customHeight="1" x14ac:dyDescent="0.3">
      <c r="B1" s="670"/>
      <c r="C1" s="670"/>
      <c r="D1" s="670"/>
      <c r="E1" s="670"/>
      <c r="F1" s="670"/>
      <c r="G1" s="670"/>
    </row>
    <row r="2" spans="2:8" ht="15" customHeight="1" x14ac:dyDescent="0.3">
      <c r="B2" s="670"/>
      <c r="C2" s="670"/>
      <c r="D2" s="670"/>
      <c r="E2" s="670"/>
      <c r="F2" s="670"/>
      <c r="G2" s="670"/>
    </row>
    <row r="3" spans="2:8" ht="15" customHeight="1" x14ac:dyDescent="0.3">
      <c r="B3" s="1000" t="s">
        <v>638</v>
      </c>
      <c r="C3" s="1000"/>
      <c r="D3" s="1000"/>
      <c r="E3" s="1000"/>
      <c r="F3" s="1000"/>
      <c r="G3" s="1000"/>
      <c r="H3" s="1000"/>
    </row>
    <row r="4" spans="2:8" ht="15" customHeight="1" x14ac:dyDescent="0.3">
      <c r="B4" s="1000"/>
      <c r="C4" s="1000"/>
      <c r="D4" s="1000"/>
      <c r="E4" s="1000"/>
      <c r="F4" s="1000"/>
      <c r="G4" s="1000"/>
      <c r="H4" s="1000"/>
    </row>
    <row r="5" spans="2:8" ht="15" customHeight="1" x14ac:dyDescent="0.3">
      <c r="B5" s="1000"/>
      <c r="C5" s="1000"/>
      <c r="D5" s="1000"/>
      <c r="E5" s="1000"/>
      <c r="F5" s="1000"/>
      <c r="G5" s="1000"/>
      <c r="H5" s="1000"/>
    </row>
    <row r="6" spans="2:8" ht="15" customHeight="1" x14ac:dyDescent="0.3">
      <c r="B6" s="669"/>
      <c r="C6" s="669"/>
      <c r="D6" s="669"/>
      <c r="E6" s="669"/>
      <c r="F6" s="669"/>
      <c r="G6" s="669"/>
      <c r="H6" s="669"/>
    </row>
    <row r="7" spans="2:8" ht="15" customHeight="1" x14ac:dyDescent="0.3">
      <c r="B7" s="993" t="s">
        <v>639</v>
      </c>
      <c r="C7" s="993"/>
      <c r="D7" s="993"/>
      <c r="E7" s="993"/>
      <c r="F7" s="993"/>
      <c r="G7" s="993"/>
      <c r="H7" s="993"/>
    </row>
    <row r="8" spans="2:8" ht="15" customHeight="1" x14ac:dyDescent="0.3">
      <c r="B8" s="1001" t="s">
        <v>640</v>
      </c>
      <c r="C8" s="1002" t="s">
        <v>641</v>
      </c>
      <c r="D8" s="1001" t="s">
        <v>181</v>
      </c>
      <c r="E8" s="1001" t="s">
        <v>642</v>
      </c>
      <c r="F8" s="1001"/>
      <c r="G8" s="1001"/>
      <c r="H8" s="671"/>
    </row>
    <row r="9" spans="2:8" ht="15" customHeight="1" x14ac:dyDescent="0.3">
      <c r="B9" s="1001"/>
      <c r="C9" s="1002"/>
      <c r="D9" s="1001"/>
      <c r="E9" s="798" t="s">
        <v>643</v>
      </c>
      <c r="F9" s="798" t="s">
        <v>644</v>
      </c>
      <c r="G9" s="798" t="s">
        <v>645</v>
      </c>
      <c r="H9" s="798" t="s">
        <v>204</v>
      </c>
    </row>
    <row r="10" spans="2:8" ht="15" customHeight="1" x14ac:dyDescent="0.3">
      <c r="B10" s="992" t="s">
        <v>646</v>
      </c>
      <c r="C10" s="992"/>
      <c r="D10" s="992"/>
      <c r="E10" s="992"/>
      <c r="F10" s="992"/>
      <c r="G10" s="992"/>
      <c r="H10" s="992"/>
    </row>
    <row r="11" spans="2:8" ht="15" customHeight="1" x14ac:dyDescent="0.3">
      <c r="B11" s="672"/>
      <c r="C11" s="673" t="s">
        <v>647</v>
      </c>
      <c r="D11" s="674"/>
      <c r="E11" s="674"/>
      <c r="F11" s="674"/>
      <c r="G11" s="674"/>
      <c r="H11" s="675"/>
    </row>
    <row r="12" spans="2:8" ht="15" customHeight="1" x14ac:dyDescent="0.3">
      <c r="B12" s="676"/>
      <c r="C12" s="852" t="s">
        <v>648</v>
      </c>
      <c r="D12" s="669">
        <v>1</v>
      </c>
      <c r="E12" s="669">
        <f>288.99</f>
        <v>288.99</v>
      </c>
      <c r="F12" s="669">
        <v>2.9</v>
      </c>
      <c r="G12" s="853">
        <f t="shared" ref="G12:G32" si="0">F12*E12*D12</f>
        <v>838.07100000000003</v>
      </c>
      <c r="H12" s="854"/>
    </row>
    <row r="13" spans="2:8" ht="15" customHeight="1" x14ac:dyDescent="0.3">
      <c r="B13" s="676"/>
      <c r="C13" s="681" t="s">
        <v>649</v>
      </c>
      <c r="D13" s="681">
        <v>8</v>
      </c>
      <c r="E13" s="681">
        <v>-1.35</v>
      </c>
      <c r="F13" s="681">
        <v>2.0499999999999998</v>
      </c>
      <c r="G13" s="855">
        <f t="shared" si="0"/>
        <v>-22.14</v>
      </c>
      <c r="H13" s="682" t="s">
        <v>650</v>
      </c>
    </row>
    <row r="14" spans="2:8" ht="15" customHeight="1" x14ac:dyDescent="0.3">
      <c r="B14" s="676"/>
      <c r="C14" s="681" t="s">
        <v>649</v>
      </c>
      <c r="D14" s="681">
        <v>8</v>
      </c>
      <c r="E14" s="681">
        <v>-2</v>
      </c>
      <c r="F14" s="681">
        <v>2.0499999999999998</v>
      </c>
      <c r="G14" s="855">
        <f>F14*E14*D14</f>
        <v>-32.799999999999997</v>
      </c>
      <c r="H14" s="682" t="s">
        <v>651</v>
      </c>
    </row>
    <row r="15" spans="2:8" ht="15" customHeight="1" x14ac:dyDescent="0.3">
      <c r="B15" s="676"/>
      <c r="C15" s="681" t="s">
        <v>649</v>
      </c>
      <c r="D15" s="681">
        <f>(2*6)+(3*2)</f>
        <v>18</v>
      </c>
      <c r="E15" s="681">
        <v>-2</v>
      </c>
      <c r="F15" s="681">
        <v>2.0499999999999998</v>
      </c>
      <c r="G15" s="855">
        <f t="shared" si="0"/>
        <v>-73.8</v>
      </c>
      <c r="H15" s="682" t="s">
        <v>652</v>
      </c>
    </row>
    <row r="16" spans="2:8" ht="15" customHeight="1" x14ac:dyDescent="0.3">
      <c r="B16" s="676"/>
      <c r="C16" s="681" t="s">
        <v>649</v>
      </c>
      <c r="D16" s="681">
        <f>(2*6)+(3*2)</f>
        <v>18</v>
      </c>
      <c r="E16" s="681">
        <v>-0.6</v>
      </c>
      <c r="F16" s="681">
        <v>0.75</v>
      </c>
      <c r="G16" s="855">
        <f t="shared" si="0"/>
        <v>-8.1</v>
      </c>
      <c r="H16" s="682" t="s">
        <v>653</v>
      </c>
    </row>
    <row r="17" spans="2:8" ht="15" customHeight="1" x14ac:dyDescent="0.3">
      <c r="B17" s="856"/>
      <c r="C17" s="681" t="s">
        <v>649</v>
      </c>
      <c r="D17" s="681">
        <v>1</v>
      </c>
      <c r="E17" s="681">
        <v>-1.8</v>
      </c>
      <c r="F17" s="681">
        <v>1.2</v>
      </c>
      <c r="G17" s="681">
        <f t="shared" si="0"/>
        <v>-2.16</v>
      </c>
      <c r="H17" s="682" t="s">
        <v>654</v>
      </c>
    </row>
    <row r="18" spans="2:8" ht="15" customHeight="1" x14ac:dyDescent="0.3">
      <c r="B18" s="856"/>
      <c r="C18" s="681" t="s">
        <v>649</v>
      </c>
      <c r="D18" s="681">
        <v>1</v>
      </c>
      <c r="E18" s="681">
        <v>-1.2</v>
      </c>
      <c r="F18" s="681">
        <v>1.2</v>
      </c>
      <c r="G18" s="681">
        <f t="shared" si="0"/>
        <v>-1.44</v>
      </c>
      <c r="H18" s="682" t="s">
        <v>654</v>
      </c>
    </row>
    <row r="19" spans="2:8" ht="15" customHeight="1" x14ac:dyDescent="0.3">
      <c r="B19" s="676"/>
      <c r="C19" s="677" t="s">
        <v>655</v>
      </c>
      <c r="D19" s="677">
        <v>1</v>
      </c>
      <c r="E19" s="677">
        <f>3.48</f>
        <v>3.48</v>
      </c>
      <c r="F19" s="669">
        <v>2.9</v>
      </c>
      <c r="G19" s="853">
        <f t="shared" si="0"/>
        <v>10.092000000000001</v>
      </c>
      <c r="H19" s="680" t="s">
        <v>656</v>
      </c>
    </row>
    <row r="20" spans="2:8" ht="15" customHeight="1" x14ac:dyDescent="0.3">
      <c r="B20" s="676"/>
      <c r="C20" s="681" t="s">
        <v>649</v>
      </c>
      <c r="D20" s="681">
        <v>2</v>
      </c>
      <c r="E20" s="681">
        <v>-0.6</v>
      </c>
      <c r="F20" s="681">
        <v>0.7</v>
      </c>
      <c r="G20" s="855">
        <f t="shared" si="0"/>
        <v>-0.84</v>
      </c>
      <c r="H20" s="682" t="s">
        <v>657</v>
      </c>
    </row>
    <row r="21" spans="2:8" ht="15" customHeight="1" x14ac:dyDescent="0.3">
      <c r="B21" s="676"/>
      <c r="C21" s="677" t="s">
        <v>658</v>
      </c>
      <c r="D21" s="677">
        <v>2</v>
      </c>
      <c r="E21" s="677">
        <v>9.8800000000000008</v>
      </c>
      <c r="F21" s="677">
        <f t="shared" ref="F21:F26" si="1">(0.7+0.23)*2</f>
        <v>1.8599999999999999</v>
      </c>
      <c r="G21" s="679">
        <f t="shared" si="0"/>
        <v>36.753599999999999</v>
      </c>
      <c r="H21" s="680"/>
    </row>
    <row r="22" spans="2:8" ht="15" customHeight="1" x14ac:dyDescent="0.3">
      <c r="B22" s="676"/>
      <c r="C22" s="677" t="s">
        <v>674</v>
      </c>
      <c r="D22" s="677">
        <v>1</v>
      </c>
      <c r="E22" s="677">
        <v>11.64</v>
      </c>
      <c r="F22" s="677">
        <f t="shared" si="1"/>
        <v>1.8599999999999999</v>
      </c>
      <c r="G22" s="679">
        <f>F22*E22*D22</f>
        <v>21.650400000000001</v>
      </c>
      <c r="H22" s="680"/>
    </row>
    <row r="23" spans="2:8" ht="15" customHeight="1" x14ac:dyDescent="0.3">
      <c r="B23" s="676"/>
      <c r="C23" s="677" t="s">
        <v>659</v>
      </c>
      <c r="D23" s="677">
        <v>2</v>
      </c>
      <c r="E23" s="677">
        <v>10</v>
      </c>
      <c r="F23" s="677">
        <f t="shared" si="1"/>
        <v>1.8599999999999999</v>
      </c>
      <c r="G23" s="679">
        <f t="shared" si="0"/>
        <v>37.199999999999996</v>
      </c>
      <c r="H23" s="682"/>
    </row>
    <row r="24" spans="2:8" ht="15" customHeight="1" x14ac:dyDescent="0.3">
      <c r="B24" s="676"/>
      <c r="C24" s="677" t="s">
        <v>660</v>
      </c>
      <c r="D24" s="677">
        <v>2</v>
      </c>
      <c r="E24" s="677">
        <v>13.7</v>
      </c>
      <c r="F24" s="677">
        <f t="shared" si="1"/>
        <v>1.8599999999999999</v>
      </c>
      <c r="G24" s="679">
        <f t="shared" si="0"/>
        <v>50.963999999999992</v>
      </c>
      <c r="H24" s="682"/>
    </row>
    <row r="25" spans="2:8" ht="15" customHeight="1" x14ac:dyDescent="0.3">
      <c r="B25" s="676"/>
      <c r="C25" s="677" t="s">
        <v>675</v>
      </c>
      <c r="D25" s="677">
        <v>1</v>
      </c>
      <c r="E25" s="677">
        <v>12.81</v>
      </c>
      <c r="F25" s="677">
        <f t="shared" si="1"/>
        <v>1.8599999999999999</v>
      </c>
      <c r="G25" s="679">
        <f>F25*E25*D25</f>
        <v>23.826599999999999</v>
      </c>
      <c r="H25" s="682"/>
    </row>
    <row r="26" spans="2:8" ht="15" customHeight="1" x14ac:dyDescent="0.3">
      <c r="B26" s="676"/>
      <c r="C26" s="677" t="s">
        <v>660</v>
      </c>
      <c r="D26" s="677">
        <v>2</v>
      </c>
      <c r="E26" s="677">
        <v>6.32</v>
      </c>
      <c r="F26" s="677">
        <f t="shared" si="1"/>
        <v>1.8599999999999999</v>
      </c>
      <c r="G26" s="679">
        <f t="shared" si="0"/>
        <v>23.510400000000001</v>
      </c>
      <c r="H26" s="682"/>
    </row>
    <row r="27" spans="2:8" ht="15" customHeight="1" x14ac:dyDescent="0.3">
      <c r="B27" s="676"/>
      <c r="C27" s="551" t="s">
        <v>678</v>
      </c>
      <c r="D27" s="551">
        <v>3</v>
      </c>
      <c r="E27" s="551">
        <v>1.34</v>
      </c>
      <c r="F27" s="551">
        <f>0.7+0.23+0.23+0.7</f>
        <v>1.8599999999999999</v>
      </c>
      <c r="G27" s="857">
        <f>F27*E27*D27</f>
        <v>7.4771999999999998</v>
      </c>
      <c r="H27" s="858"/>
    </row>
    <row r="28" spans="2:8" ht="15" customHeight="1" x14ac:dyDescent="0.3">
      <c r="B28" s="676"/>
      <c r="C28" s="677" t="s">
        <v>661</v>
      </c>
      <c r="D28" s="677">
        <v>2</v>
      </c>
      <c r="E28" s="677">
        <f>0.9+3.05+0.77+2.75+1.2+2.59+3.05+0.9</f>
        <v>15.209999999999999</v>
      </c>
      <c r="F28" s="669">
        <v>1.65</v>
      </c>
      <c r="G28" s="853">
        <f>F28*E28*D28</f>
        <v>50.192999999999991</v>
      </c>
      <c r="H28" s="680" t="s">
        <v>662</v>
      </c>
    </row>
    <row r="29" spans="2:8" ht="15" customHeight="1" x14ac:dyDescent="0.3">
      <c r="B29" s="676"/>
      <c r="C29" s="677" t="s">
        <v>661</v>
      </c>
      <c r="D29" s="677">
        <v>2</v>
      </c>
      <c r="E29" s="677">
        <f>(2.29+3.05+3.05+0.9+3.05+0.91)</f>
        <v>13.25</v>
      </c>
      <c r="F29" s="669">
        <v>1.65</v>
      </c>
      <c r="G29" s="853">
        <f t="shared" si="0"/>
        <v>43.724999999999994</v>
      </c>
      <c r="H29" s="680" t="s">
        <v>663</v>
      </c>
    </row>
    <row r="30" spans="2:8" ht="15" customHeight="1" x14ac:dyDescent="0.3">
      <c r="B30" s="676"/>
      <c r="C30" s="677" t="s">
        <v>661</v>
      </c>
      <c r="D30" s="677">
        <v>2</v>
      </c>
      <c r="E30" s="677">
        <f>(2.59+1.2+3.05+1.08+2.75+0.9+2.9+3.2+0.9)</f>
        <v>18.57</v>
      </c>
      <c r="F30" s="669">
        <v>1.65</v>
      </c>
      <c r="G30" s="853">
        <f t="shared" si="0"/>
        <v>61.280999999999999</v>
      </c>
      <c r="H30" s="680" t="s">
        <v>664</v>
      </c>
    </row>
    <row r="31" spans="2:8" ht="15" customHeight="1" x14ac:dyDescent="0.3">
      <c r="B31" s="676"/>
      <c r="C31" s="677" t="s">
        <v>661</v>
      </c>
      <c r="D31" s="677">
        <v>2</v>
      </c>
      <c r="E31" s="677">
        <f>0.9+2.44+2.9+3.2+0.9+2.9</f>
        <v>13.240000000000002</v>
      </c>
      <c r="F31" s="669">
        <v>1.65</v>
      </c>
      <c r="G31" s="853">
        <f t="shared" si="0"/>
        <v>43.692000000000007</v>
      </c>
      <c r="H31" s="680" t="s">
        <v>665</v>
      </c>
    </row>
    <row r="32" spans="2:8" ht="15" customHeight="1" x14ac:dyDescent="0.3">
      <c r="B32" s="676"/>
      <c r="C32" s="677" t="s">
        <v>666</v>
      </c>
      <c r="D32" s="677">
        <v>1</v>
      </c>
      <c r="E32" s="677">
        <v>1</v>
      </c>
      <c r="F32" s="669">
        <f>(3.94+3.94+1.37+1.37+1.69+1.69+2.71)</f>
        <v>16.71</v>
      </c>
      <c r="G32" s="853">
        <f t="shared" si="0"/>
        <v>16.71</v>
      </c>
      <c r="H32" s="680" t="s">
        <v>667</v>
      </c>
    </row>
    <row r="33" spans="2:8" ht="15" customHeight="1" x14ac:dyDescent="0.3">
      <c r="B33" s="676"/>
      <c r="C33" s="677" t="s">
        <v>668</v>
      </c>
      <c r="D33" s="677">
        <v>2</v>
      </c>
      <c r="E33" s="551">
        <v>1.5</v>
      </c>
      <c r="F33" s="552">
        <v>0.75</v>
      </c>
      <c r="G33" s="553">
        <f>F33*E33*D33+((1.2+0.6+0.6)*0.15)</f>
        <v>2.61</v>
      </c>
      <c r="H33" s="680" t="s">
        <v>669</v>
      </c>
    </row>
    <row r="34" spans="2:8" ht="15" customHeight="1" x14ac:dyDescent="0.3">
      <c r="B34" s="676"/>
      <c r="C34" s="677" t="s">
        <v>668</v>
      </c>
      <c r="D34" s="677">
        <v>2</v>
      </c>
      <c r="E34" s="551">
        <v>1.8</v>
      </c>
      <c r="F34" s="552">
        <v>0.75</v>
      </c>
      <c r="G34" s="553">
        <f>F34*E34*D34+((1.2+0.6+0.6)*0.15)</f>
        <v>3.06</v>
      </c>
      <c r="H34" s="680" t="s">
        <v>670</v>
      </c>
    </row>
    <row r="35" spans="2:8" ht="15" customHeight="1" x14ac:dyDescent="0.3">
      <c r="B35" s="676"/>
      <c r="C35" s="677"/>
      <c r="D35" s="677"/>
      <c r="E35" s="551"/>
      <c r="F35" s="552"/>
      <c r="G35" s="553"/>
      <c r="H35" s="680"/>
    </row>
    <row r="36" spans="2:8" ht="15" customHeight="1" x14ac:dyDescent="0.3">
      <c r="B36" s="993" t="s">
        <v>671</v>
      </c>
      <c r="C36" s="993"/>
      <c r="D36" s="993"/>
      <c r="E36" s="993"/>
      <c r="F36" s="993"/>
      <c r="G36" s="683">
        <f>SUM(G12:G34)</f>
        <v>1129.5362</v>
      </c>
      <c r="H36" s="684" t="s">
        <v>672</v>
      </c>
    </row>
    <row r="37" spans="2:8" ht="15" customHeight="1" x14ac:dyDescent="0.3">
      <c r="B37" s="670"/>
      <c r="C37" s="670"/>
      <c r="D37" s="670"/>
      <c r="E37" s="670"/>
      <c r="F37" s="670"/>
      <c r="G37" s="670"/>
    </row>
    <row r="38" spans="2:8" ht="15" customHeight="1" x14ac:dyDescent="0.3">
      <c r="B38" s="1025" t="s">
        <v>676</v>
      </c>
      <c r="C38" s="1025"/>
      <c r="D38" s="1025"/>
      <c r="E38" s="1025"/>
      <c r="F38" s="1025"/>
      <c r="G38" s="1025"/>
      <c r="H38" s="1025"/>
    </row>
    <row r="39" spans="2:8" ht="15" customHeight="1" x14ac:dyDescent="0.3">
      <c r="B39" s="859"/>
      <c r="C39" s="860" t="s">
        <v>677</v>
      </c>
      <c r="D39" s="859"/>
      <c r="E39" s="859"/>
      <c r="F39" s="859"/>
      <c r="G39" s="859"/>
      <c r="H39" s="859"/>
    </row>
    <row r="40" spans="2:8" ht="15" customHeight="1" x14ac:dyDescent="0.3">
      <c r="B40" s="859"/>
      <c r="C40" s="860" t="s">
        <v>648</v>
      </c>
      <c r="D40" s="859">
        <v>1</v>
      </c>
      <c r="E40" s="859">
        <f>288.99</f>
        <v>288.99</v>
      </c>
      <c r="F40" s="859">
        <f>1.2+0.15+(1.2-0.2)</f>
        <v>2.3499999999999996</v>
      </c>
      <c r="G40" s="861">
        <f>F40*E40*D40</f>
        <v>679.12649999999996</v>
      </c>
      <c r="H40" s="859"/>
    </row>
    <row r="41" spans="2:8" ht="15" customHeight="1" x14ac:dyDescent="0.3">
      <c r="B41" s="862"/>
      <c r="C41" s="862"/>
      <c r="D41" s="862"/>
      <c r="E41" s="862"/>
      <c r="F41" s="862"/>
      <c r="G41" s="862"/>
      <c r="H41" s="862"/>
    </row>
    <row r="42" spans="2:8" ht="15" customHeight="1" x14ac:dyDescent="0.3">
      <c r="B42" s="670"/>
      <c r="C42" s="670"/>
      <c r="D42" s="670"/>
      <c r="E42" s="670"/>
      <c r="F42" s="670"/>
      <c r="G42" s="670"/>
    </row>
    <row r="43" spans="2:8" ht="15" customHeight="1" x14ac:dyDescent="0.3">
      <c r="B43" s="670"/>
      <c r="C43" s="670" t="s">
        <v>853</v>
      </c>
      <c r="D43" s="670"/>
      <c r="E43" s="670"/>
      <c r="F43" s="670"/>
      <c r="G43" s="670"/>
    </row>
    <row r="44" spans="2:8" ht="15" customHeight="1" x14ac:dyDescent="0.3">
      <c r="B44" s="670"/>
      <c r="C44" s="670"/>
      <c r="D44" s="670"/>
      <c r="E44" s="670"/>
      <c r="F44" s="670"/>
      <c r="G44" s="670"/>
    </row>
    <row r="45" spans="2:8" ht="15" customHeight="1" thickBot="1" x14ac:dyDescent="0.35">
      <c r="B45" s="670"/>
      <c r="C45" s="670"/>
      <c r="D45" s="670"/>
      <c r="E45" s="670"/>
      <c r="F45" s="670"/>
      <c r="G45" s="670"/>
    </row>
    <row r="46" spans="2:8" ht="15" customHeight="1" x14ac:dyDescent="0.3">
      <c r="B46" s="1026" t="s">
        <v>854</v>
      </c>
      <c r="C46" s="1027"/>
      <c r="D46" s="1027"/>
      <c r="E46" s="1028"/>
      <c r="F46" s="670"/>
      <c r="G46" s="670"/>
    </row>
    <row r="47" spans="2:8" ht="15" customHeight="1" thickBot="1" x14ac:dyDescent="0.35">
      <c r="B47" s="687" t="s">
        <v>41</v>
      </c>
      <c r="C47" s="1029" t="s">
        <v>556</v>
      </c>
      <c r="D47" s="1029"/>
      <c r="E47" s="688" t="s">
        <v>179</v>
      </c>
      <c r="F47" s="670"/>
      <c r="G47" s="670"/>
    </row>
    <row r="48" spans="2:8" ht="15" customHeight="1" x14ac:dyDescent="0.3">
      <c r="B48" s="689">
        <v>1</v>
      </c>
      <c r="C48" s="998" t="s">
        <v>623</v>
      </c>
      <c r="D48" s="999"/>
      <c r="E48" s="690">
        <f>(G36*12)+G40</f>
        <v>14233.5609</v>
      </c>
      <c r="F48" s="670"/>
      <c r="G48" s="670"/>
    </row>
    <row r="49" spans="2:8" ht="15" customHeight="1" x14ac:dyDescent="0.3">
      <c r="B49" s="691">
        <v>2</v>
      </c>
      <c r="C49" s="990" t="s">
        <v>624</v>
      </c>
      <c r="D49" s="991"/>
      <c r="E49" s="692">
        <f>E48*0.01</f>
        <v>142.33560900000001</v>
      </c>
      <c r="F49" s="670"/>
      <c r="G49" s="670"/>
      <c r="H49" s="670">
        <f>G36*12</f>
        <v>13554.4344</v>
      </c>
    </row>
    <row r="50" spans="2:8" ht="15" customHeight="1" x14ac:dyDescent="0.3">
      <c r="B50" s="691">
        <v>4</v>
      </c>
      <c r="C50" s="990" t="s">
        <v>625</v>
      </c>
      <c r="D50" s="991"/>
      <c r="E50" s="692">
        <f>E49*1.35</f>
        <v>192.15307215000001</v>
      </c>
      <c r="F50" s="670"/>
      <c r="G50" s="670"/>
      <c r="H50" s="863">
        <f>H49+G40</f>
        <v>14233.5609</v>
      </c>
    </row>
    <row r="51" spans="2:8" ht="15" customHeight="1" x14ac:dyDescent="0.3">
      <c r="B51" s="691">
        <v>5</v>
      </c>
      <c r="C51" s="990" t="s">
        <v>608</v>
      </c>
      <c r="D51" s="991"/>
      <c r="E51" s="692">
        <f>ROUND(((E50/(4+1))*1000)/35,0)</f>
        <v>1098</v>
      </c>
      <c r="F51" s="670"/>
      <c r="G51" s="670"/>
    </row>
    <row r="52" spans="2:8" ht="15" customHeight="1" x14ac:dyDescent="0.3">
      <c r="B52" s="691">
        <v>6</v>
      </c>
      <c r="C52" s="990" t="s">
        <v>609</v>
      </c>
      <c r="D52" s="991"/>
      <c r="E52" s="692">
        <f>(E50/5)*4</f>
        <v>153.72245772000002</v>
      </c>
      <c r="F52" s="670"/>
      <c r="G52" s="670"/>
    </row>
    <row r="53" spans="2:8" ht="15" customHeight="1" x14ac:dyDescent="0.3">
      <c r="B53" s="691">
        <v>7</v>
      </c>
      <c r="C53" s="990" t="s">
        <v>610</v>
      </c>
      <c r="D53" s="991"/>
      <c r="E53" s="692">
        <f>E52*35.28</f>
        <v>5423.3283083616006</v>
      </c>
      <c r="F53" s="670"/>
      <c r="G53" s="670"/>
    </row>
    <row r="54" spans="2:8" ht="15" customHeight="1" thickBot="1" x14ac:dyDescent="0.35">
      <c r="B54" s="693">
        <v>8</v>
      </c>
      <c r="C54" s="1023" t="s">
        <v>611</v>
      </c>
      <c r="D54" s="1024"/>
      <c r="E54" s="864">
        <f>E53/100</f>
        <v>54.233283083616008</v>
      </c>
      <c r="F54" s="670"/>
      <c r="G54" s="670"/>
    </row>
    <row r="55" spans="2:8" ht="15" customHeight="1" thickBot="1" x14ac:dyDescent="0.35">
      <c r="B55" s="670"/>
      <c r="C55" s="670"/>
      <c r="D55" s="670"/>
      <c r="E55" s="670"/>
      <c r="F55" s="670"/>
      <c r="G55" s="670"/>
    </row>
    <row r="56" spans="2:8" ht="15" customHeight="1" x14ac:dyDescent="0.3">
      <c r="B56" s="1026" t="s">
        <v>673</v>
      </c>
      <c r="C56" s="1027"/>
      <c r="D56" s="1027"/>
      <c r="E56" s="1028"/>
      <c r="F56" s="670"/>
      <c r="G56" s="670"/>
    </row>
    <row r="57" spans="2:8" ht="15" customHeight="1" thickBot="1" x14ac:dyDescent="0.35">
      <c r="B57" s="687" t="s">
        <v>41</v>
      </c>
      <c r="C57" s="1029" t="s">
        <v>556</v>
      </c>
      <c r="D57" s="1029"/>
      <c r="E57" s="688" t="s">
        <v>179</v>
      </c>
      <c r="F57" s="670"/>
      <c r="G57" s="670"/>
    </row>
    <row r="58" spans="2:8" ht="15" customHeight="1" x14ac:dyDescent="0.3">
      <c r="B58" s="689">
        <v>1</v>
      </c>
      <c r="C58" s="998" t="s">
        <v>623</v>
      </c>
      <c r="D58" s="999"/>
      <c r="E58" s="690">
        <f>(G36*12)+G40</f>
        <v>14233.5609</v>
      </c>
      <c r="F58" s="670"/>
      <c r="G58" s="670"/>
    </row>
    <row r="59" spans="2:8" ht="15" customHeight="1" x14ac:dyDescent="0.3">
      <c r="B59" s="691">
        <v>2</v>
      </c>
      <c r="C59" s="990" t="s">
        <v>624</v>
      </c>
      <c r="D59" s="991"/>
      <c r="E59" s="692">
        <f>E58*0.015</f>
        <v>213.50341349999999</v>
      </c>
      <c r="F59" s="670"/>
      <c r="G59" s="670"/>
    </row>
    <row r="60" spans="2:8" ht="15" customHeight="1" x14ac:dyDescent="0.3">
      <c r="B60" s="691">
        <v>4</v>
      </c>
      <c r="C60" s="990" t="s">
        <v>625</v>
      </c>
      <c r="D60" s="991"/>
      <c r="E60" s="692">
        <f>E59*1.35</f>
        <v>288.22960822499999</v>
      </c>
      <c r="F60" s="670"/>
      <c r="G60" s="670"/>
    </row>
    <row r="61" spans="2:8" ht="15" customHeight="1" x14ac:dyDescent="0.3">
      <c r="B61" s="691">
        <v>5</v>
      </c>
      <c r="C61" s="990" t="s">
        <v>608</v>
      </c>
      <c r="D61" s="991"/>
      <c r="E61" s="692">
        <f>ROUND(((E60/(4+1))*1000)/35,0)</f>
        <v>1647</v>
      </c>
      <c r="F61" s="670"/>
      <c r="G61" s="670"/>
    </row>
    <row r="62" spans="2:8" ht="15" customHeight="1" x14ac:dyDescent="0.3">
      <c r="B62" s="691">
        <v>6</v>
      </c>
      <c r="C62" s="990" t="s">
        <v>609</v>
      </c>
      <c r="D62" s="991"/>
      <c r="E62" s="692">
        <f>(E60/5)*4</f>
        <v>230.58368658000001</v>
      </c>
      <c r="F62" s="670"/>
      <c r="G62" s="670"/>
    </row>
    <row r="63" spans="2:8" ht="15" customHeight="1" x14ac:dyDescent="0.3">
      <c r="B63" s="691">
        <v>7</v>
      </c>
      <c r="C63" s="990" t="s">
        <v>610</v>
      </c>
      <c r="D63" s="991"/>
      <c r="E63" s="692">
        <f>E62*35.28</f>
        <v>8134.9924625424001</v>
      </c>
      <c r="F63" s="670"/>
      <c r="G63" s="670"/>
    </row>
    <row r="64" spans="2:8" ht="15" customHeight="1" thickBot="1" x14ac:dyDescent="0.35">
      <c r="B64" s="693">
        <v>8</v>
      </c>
      <c r="C64" s="1023" t="s">
        <v>611</v>
      </c>
      <c r="D64" s="1024"/>
      <c r="E64" s="864">
        <f>E63/100</f>
        <v>81.349924625423995</v>
      </c>
      <c r="F64" s="670"/>
      <c r="G64" s="670"/>
    </row>
    <row r="65" spans="2:7" ht="15" customHeight="1" x14ac:dyDescent="0.3">
      <c r="B65" s="670"/>
      <c r="C65" s="670"/>
      <c r="D65" s="670"/>
      <c r="E65" s="670"/>
      <c r="F65" s="670"/>
      <c r="G65" s="670"/>
    </row>
  </sheetData>
  <mergeCells count="27">
    <mergeCell ref="C62:D62"/>
    <mergeCell ref="C63:D63"/>
    <mergeCell ref="C64:D64"/>
    <mergeCell ref="B56:E56"/>
    <mergeCell ref="C57:D57"/>
    <mergeCell ref="C58:D58"/>
    <mergeCell ref="C59:D59"/>
    <mergeCell ref="C60:D60"/>
    <mergeCell ref="C61:D61"/>
    <mergeCell ref="C54:D54"/>
    <mergeCell ref="B10:H10"/>
    <mergeCell ref="B36:F36"/>
    <mergeCell ref="B38:H38"/>
    <mergeCell ref="B46:E46"/>
    <mergeCell ref="C47:D47"/>
    <mergeCell ref="C48:D48"/>
    <mergeCell ref="C49:D49"/>
    <mergeCell ref="C50:D50"/>
    <mergeCell ref="C51:D51"/>
    <mergeCell ref="C52:D52"/>
    <mergeCell ref="C53:D53"/>
    <mergeCell ref="B3:H5"/>
    <mergeCell ref="B7:H7"/>
    <mergeCell ref="B8:B9"/>
    <mergeCell ref="C8:C9"/>
    <mergeCell ref="D8:D9"/>
    <mergeCell ref="E8:G8"/>
  </mergeCells>
  <printOptions horizontalCentered="1"/>
  <pageMargins left="0.69861111111111107" right="0.69861111111111107" top="0.75" bottom="0.75" header="0.51111111111111107" footer="0.51111111111111107"/>
  <pageSetup paperSize="9" scale="95" firstPageNumber="4294963191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DA586"/>
  <sheetViews>
    <sheetView topLeftCell="A115" workbookViewId="0">
      <selection activeCell="O128" sqref="O128"/>
    </sheetView>
  </sheetViews>
  <sheetFormatPr defaultRowHeight="14.4" outlineLevelRow="1" x14ac:dyDescent="0.3"/>
  <cols>
    <col min="1" max="1" width="6.44140625" style="98" bestFit="1" customWidth="1"/>
    <col min="2" max="2" width="14.5546875" customWidth="1"/>
    <col min="4" max="4" width="5" style="98" bestFit="1" customWidth="1"/>
    <col min="5" max="5" width="6" bestFit="1" customWidth="1"/>
    <col min="6" max="6" width="6.6640625" customWidth="1"/>
    <col min="7" max="7" width="9.5546875" customWidth="1"/>
    <col min="8" max="8" width="8.109375" customWidth="1"/>
    <col min="9" max="9" width="11.33203125" customWidth="1"/>
    <col min="10" max="10" width="5.88671875" customWidth="1"/>
    <col min="11" max="11" width="7.5546875" customWidth="1"/>
    <col min="12" max="12" width="7" bestFit="1" customWidth="1"/>
    <col min="13" max="13" width="7" customWidth="1"/>
    <col min="14" max="14" width="5.88671875" bestFit="1" customWidth="1"/>
    <col min="15" max="15" width="9.5546875" customWidth="1"/>
    <col min="17" max="17" width="6" bestFit="1" customWidth="1"/>
    <col min="18" max="18" width="6" customWidth="1"/>
    <col min="19" max="19" width="7.6640625" bestFit="1" customWidth="1"/>
    <col min="20" max="20" width="3.88671875" bestFit="1" customWidth="1"/>
    <col min="27" max="27" width="4.5546875" bestFit="1" customWidth="1"/>
    <col min="28" max="28" width="8.44140625" bestFit="1" customWidth="1"/>
    <col min="29" max="33" width="7.5546875" bestFit="1" customWidth="1"/>
    <col min="34" max="34" width="8.5546875" bestFit="1" customWidth="1"/>
    <col min="35" max="35" width="6.44140625" bestFit="1" customWidth="1"/>
  </cols>
  <sheetData>
    <row r="2" spans="1:35" x14ac:dyDescent="0.3">
      <c r="B2" s="99" t="s">
        <v>102</v>
      </c>
    </row>
    <row r="3" spans="1:35" x14ac:dyDescent="0.3">
      <c r="B3" s="99" t="s">
        <v>103</v>
      </c>
    </row>
    <row r="5" spans="1:35" s="101" customFormat="1" x14ac:dyDescent="0.3">
      <c r="A5" s="100" t="s">
        <v>104</v>
      </c>
      <c r="B5" s="100" t="s">
        <v>105</v>
      </c>
      <c r="C5" s="100" t="s">
        <v>51</v>
      </c>
      <c r="D5" s="100" t="s">
        <v>106</v>
      </c>
      <c r="E5" s="100" t="s">
        <v>44</v>
      </c>
      <c r="F5" s="100" t="s">
        <v>45</v>
      </c>
      <c r="G5" s="100" t="s">
        <v>107</v>
      </c>
      <c r="H5" s="100" t="s">
        <v>108</v>
      </c>
      <c r="I5" s="1077" t="s">
        <v>109</v>
      </c>
      <c r="J5" s="100" t="s">
        <v>48</v>
      </c>
      <c r="K5" s="100" t="s">
        <v>110</v>
      </c>
      <c r="L5" s="100" t="s">
        <v>50</v>
      </c>
      <c r="M5" s="1077" t="s">
        <v>111</v>
      </c>
      <c r="N5" s="100" t="s">
        <v>112</v>
      </c>
      <c r="O5" s="1077" t="s">
        <v>113</v>
      </c>
      <c r="P5" s="100" t="s">
        <v>114</v>
      </c>
      <c r="Q5" s="1078" t="s">
        <v>115</v>
      </c>
      <c r="R5" s="1078"/>
      <c r="S5" s="1078"/>
      <c r="T5" s="1078"/>
      <c r="U5" s="1078"/>
      <c r="V5" s="1078"/>
      <c r="W5" s="1078"/>
      <c r="X5" s="1078"/>
      <c r="Y5" s="1078"/>
      <c r="Z5" s="1078"/>
      <c r="AA5" s="1078"/>
      <c r="AB5" s="100"/>
      <c r="AC5" s="100"/>
      <c r="AD5" s="100"/>
      <c r="AE5" s="100"/>
      <c r="AF5" s="100"/>
      <c r="AG5" s="100"/>
      <c r="AH5" s="100"/>
      <c r="AI5" s="100"/>
    </row>
    <row r="6" spans="1:35" s="101" customFormat="1" x14ac:dyDescent="0.3">
      <c r="A6" s="100"/>
      <c r="B6" s="100"/>
      <c r="C6" s="100"/>
      <c r="D6" s="100"/>
      <c r="E6" s="100"/>
      <c r="F6" s="100"/>
      <c r="G6" s="100"/>
      <c r="H6" s="100"/>
      <c r="I6" s="1077"/>
      <c r="J6" s="100"/>
      <c r="K6" s="100"/>
      <c r="L6" s="100"/>
      <c r="M6" s="1077"/>
      <c r="N6" s="100"/>
      <c r="O6" s="1077"/>
      <c r="P6" s="100"/>
      <c r="Q6" s="100" t="s">
        <v>116</v>
      </c>
      <c r="R6" s="100" t="s">
        <v>50</v>
      </c>
      <c r="S6" s="100" t="s">
        <v>53</v>
      </c>
      <c r="T6" s="100" t="s">
        <v>48</v>
      </c>
      <c r="U6" s="1078" t="s">
        <v>106</v>
      </c>
      <c r="V6" s="1078"/>
      <c r="W6" s="1078"/>
      <c r="X6" s="1078"/>
      <c r="Y6" s="1078"/>
      <c r="Z6" s="1078"/>
      <c r="AA6" s="100" t="s">
        <v>117</v>
      </c>
      <c r="AB6" s="100" t="s">
        <v>118</v>
      </c>
      <c r="AC6" s="102" t="s">
        <v>55</v>
      </c>
      <c r="AD6" s="100" t="s">
        <v>56</v>
      </c>
      <c r="AE6" s="100" t="s">
        <v>57</v>
      </c>
      <c r="AF6" s="100" t="s">
        <v>58</v>
      </c>
      <c r="AG6" s="100" t="s">
        <v>59</v>
      </c>
      <c r="AH6" s="100" t="s">
        <v>60</v>
      </c>
      <c r="AI6" s="100" t="s">
        <v>61</v>
      </c>
    </row>
    <row r="7" spans="1:35" s="99" customFormat="1" x14ac:dyDescent="0.3">
      <c r="A7" s="103"/>
      <c r="B7" s="103"/>
      <c r="C7" s="103"/>
      <c r="D7" s="100"/>
      <c r="E7" s="103"/>
      <c r="F7" s="103"/>
      <c r="G7" s="103"/>
      <c r="H7" s="100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0" t="s">
        <v>119</v>
      </c>
      <c r="V7" s="100" t="s">
        <v>120</v>
      </c>
      <c r="W7" s="100" t="s">
        <v>121</v>
      </c>
      <c r="X7" s="100" t="s">
        <v>122</v>
      </c>
      <c r="Y7" s="100" t="s">
        <v>123</v>
      </c>
      <c r="Z7" s="100" t="s">
        <v>124</v>
      </c>
      <c r="AA7" s="103"/>
      <c r="AB7" s="103"/>
      <c r="AC7" s="103"/>
      <c r="AD7" s="103"/>
      <c r="AE7" s="103"/>
      <c r="AF7" s="103"/>
      <c r="AG7" s="103"/>
      <c r="AH7" s="103"/>
      <c r="AI7" s="103"/>
    </row>
    <row r="8" spans="1:35" x14ac:dyDescent="0.3">
      <c r="A8" s="100" t="s">
        <v>125</v>
      </c>
      <c r="B8" s="1075" t="s">
        <v>126</v>
      </c>
      <c r="C8" s="1076"/>
      <c r="D8" s="104"/>
      <c r="E8" s="105"/>
      <c r="F8" s="105"/>
      <c r="G8" s="105"/>
      <c r="H8" s="100"/>
      <c r="I8" s="105"/>
      <c r="J8" s="105"/>
      <c r="K8" s="105"/>
      <c r="L8" s="105"/>
      <c r="M8" s="105"/>
      <c r="N8" s="105"/>
      <c r="O8" s="105"/>
      <c r="P8" s="103"/>
      <c r="Q8" s="105"/>
      <c r="R8" s="105"/>
      <c r="S8" s="105"/>
      <c r="T8" s="105"/>
      <c r="U8" s="104"/>
      <c r="V8" s="104"/>
      <c r="W8" s="104"/>
      <c r="X8" s="104"/>
      <c r="Y8" s="104"/>
      <c r="Z8" s="104"/>
      <c r="AA8" s="105"/>
      <c r="AB8" s="103"/>
      <c r="AC8" s="105"/>
      <c r="AD8" s="105"/>
      <c r="AE8" s="105"/>
      <c r="AF8" s="105"/>
      <c r="AG8" s="105"/>
      <c r="AH8" s="105"/>
      <c r="AI8" s="105"/>
    </row>
    <row r="10" spans="1:35" x14ac:dyDescent="0.3">
      <c r="A10" s="104"/>
      <c r="B10" s="105"/>
      <c r="C10" s="105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</row>
    <row r="11" spans="1:35" x14ac:dyDescent="0.3">
      <c r="A11" s="104">
        <v>1</v>
      </c>
      <c r="B11" s="659" t="s">
        <v>129</v>
      </c>
      <c r="C11" s="105"/>
      <c r="D11" s="104">
        <v>0.75</v>
      </c>
      <c r="E11" s="105">
        <v>2.7</v>
      </c>
      <c r="F11" s="105">
        <v>0.3</v>
      </c>
      <c r="G11" s="105">
        <v>0.75</v>
      </c>
      <c r="H11" s="106">
        <f>G11*F11*E11*D11</f>
        <v>0.45562499999999995</v>
      </c>
      <c r="I11" s="105" t="s">
        <v>127</v>
      </c>
      <c r="J11" s="105">
        <v>16</v>
      </c>
      <c r="K11" s="105">
        <v>3</v>
      </c>
      <c r="L11" s="105">
        <f>E11</f>
        <v>2.7</v>
      </c>
      <c r="M11" s="107">
        <f>L11+(2*(G11-0.07))</f>
        <v>4.0600000000000005</v>
      </c>
      <c r="N11" s="108">
        <f t="shared" ref="N11" si="0">J11*J11/162</f>
        <v>1.5802469135802468</v>
      </c>
      <c r="O11" s="108">
        <f>M11*K11*N11</f>
        <v>19.247407407407408</v>
      </c>
      <c r="P11" s="109">
        <f>O11*D11</f>
        <v>14.435555555555556</v>
      </c>
      <c r="Q11" s="107">
        <f>E11/2</f>
        <v>1.35</v>
      </c>
      <c r="R11" s="107">
        <f>(2*(F11-0.025))+(2*(G11-0.035))+(2*10*0.008)</f>
        <v>2.14</v>
      </c>
      <c r="S11" s="107">
        <v>0.1</v>
      </c>
      <c r="T11" s="110">
        <v>8</v>
      </c>
      <c r="U11" s="111">
        <f>ROUND(IF(S11=0.1,Q11/S11,0),0)</f>
        <v>14</v>
      </c>
      <c r="V11" s="111">
        <f>ROUND(IF(S11=0.125,Q11/S11,0),0)</f>
        <v>0</v>
      </c>
      <c r="W11" s="111">
        <f>ROUND(IF(S11=0.15,Q11/S11,0),0)</f>
        <v>0</v>
      </c>
      <c r="X11" s="111">
        <f t="shared" ref="X11:X12" si="1">ROUND(IF(S11=0.18,Q11/S11,0),0)</f>
        <v>0</v>
      </c>
      <c r="Y11" s="111">
        <f>ROUND(IF(S11=0.2,Q11/S11,0),0)</f>
        <v>0</v>
      </c>
      <c r="Z11" s="111">
        <f>ROUND(IF(S11=0.23,Q11/S11,0),0)</f>
        <v>0</v>
      </c>
      <c r="AA11" s="108">
        <f>((T11*T11)/162)*D11</f>
        <v>0.29629629629629628</v>
      </c>
      <c r="AB11" s="109">
        <f>AA11*R11*(U11+V11+W11+X11+Y11+Z11)*D11</f>
        <v>6.6577777777777785</v>
      </c>
      <c r="AC11" s="108">
        <f>(IF(J11=8,P11,0))+((IF(T11=8,AB11,0)))</f>
        <v>6.6577777777777785</v>
      </c>
      <c r="AD11" s="108">
        <f>(IF(J11=10,P11,0))+((IF(T11=10,AB11,0)))</f>
        <v>0</v>
      </c>
      <c r="AE11" s="108">
        <f>IF(J11=12,P11,0)</f>
        <v>0</v>
      </c>
      <c r="AF11" s="108">
        <f>IF(J11=16,P11,0)</f>
        <v>14.435555555555556</v>
      </c>
      <c r="AG11" s="108">
        <f>IF(J11=20,P11,0)</f>
        <v>0</v>
      </c>
      <c r="AH11" s="108">
        <f>IF(J11=25,P11,0)</f>
        <v>0</v>
      </c>
      <c r="AI11" s="108">
        <f>IF(J11=32,P11,0)</f>
        <v>0</v>
      </c>
    </row>
    <row r="12" spans="1:35" x14ac:dyDescent="0.3">
      <c r="A12" s="104"/>
      <c r="B12" s="105"/>
      <c r="C12" s="105"/>
      <c r="D12" s="104">
        <v>1</v>
      </c>
      <c r="E12" s="105"/>
      <c r="F12" s="105"/>
      <c r="G12" s="105"/>
      <c r="H12" s="103"/>
      <c r="I12" s="105" t="s">
        <v>128</v>
      </c>
      <c r="J12" s="105">
        <v>16</v>
      </c>
      <c r="K12" s="105">
        <v>3</v>
      </c>
      <c r="L12" s="107">
        <f>E11/2</f>
        <v>1.35</v>
      </c>
      <c r="M12" s="107">
        <f>L12+(2*0.38)</f>
        <v>2.1100000000000003</v>
      </c>
      <c r="N12" s="108">
        <f>J12*J12/162</f>
        <v>1.5802469135802468</v>
      </c>
      <c r="O12" s="108">
        <f>M12*K12*N12</f>
        <v>10.002962962962965</v>
      </c>
      <c r="P12" s="109">
        <f t="shared" ref="P12:P13" si="2">O12*D12</f>
        <v>10.002962962962965</v>
      </c>
      <c r="Q12" s="107">
        <f>E11/2</f>
        <v>1.35</v>
      </c>
      <c r="R12" s="107">
        <f>(2*(F11-0.025))+(2*(G11-0.035))+(2*10*0.008)</f>
        <v>2.14</v>
      </c>
      <c r="S12" s="108">
        <v>0.15</v>
      </c>
      <c r="T12" s="110">
        <v>8</v>
      </c>
      <c r="U12" s="111">
        <f>ROUND(IF(S12=0.1,Q12/S12,0),0)</f>
        <v>0</v>
      </c>
      <c r="V12" s="111">
        <f>ROUND(IF(S12=0.125,Q12/S12,0),0)</f>
        <v>0</v>
      </c>
      <c r="W12" s="111">
        <f>ROUND(IF(S12=0.15,Q12/S12,0),0)</f>
        <v>9</v>
      </c>
      <c r="X12" s="111">
        <f t="shared" si="1"/>
        <v>0</v>
      </c>
      <c r="Y12" s="111">
        <f>ROUND(IF(S12=0.2,Q12/S12,0),0)</f>
        <v>0</v>
      </c>
      <c r="Z12" s="111">
        <f>ROUND(IF(S12=0.23,Q12/S12,0),0)</f>
        <v>0</v>
      </c>
      <c r="AA12" s="108">
        <f>((T12*T12)/162)*D12</f>
        <v>0.39506172839506171</v>
      </c>
      <c r="AB12" s="109">
        <f>AA12*R12*(U12+V12+W12+X12+Y12+Z12)*D12</f>
        <v>7.608888888888889</v>
      </c>
      <c r="AC12" s="108">
        <f>(IF(J12=8,P12,0))+((IF(T12=8,AB12,0)))</f>
        <v>7.608888888888889</v>
      </c>
      <c r="AD12" s="108">
        <f>(IF(J12=10,P12,0))+((IF(T12=10,AB12,0)))</f>
        <v>0</v>
      </c>
      <c r="AE12" s="108">
        <f>IF(J12=12,P12,0)</f>
        <v>0</v>
      </c>
      <c r="AF12" s="108">
        <f>IF(J12=16,P12,0)</f>
        <v>10.002962962962965</v>
      </c>
      <c r="AG12" s="108">
        <f>IF(J12=20,P12,0)</f>
        <v>0</v>
      </c>
      <c r="AH12" s="108">
        <f>IF(J12=25,P12,0)</f>
        <v>0</v>
      </c>
      <c r="AI12" s="108">
        <f>IF(J12=32,P12,0)</f>
        <v>0</v>
      </c>
    </row>
    <row r="13" spans="1:35" x14ac:dyDescent="0.3">
      <c r="A13" s="104"/>
      <c r="B13" s="105"/>
      <c r="C13" s="105"/>
      <c r="D13" s="104">
        <v>1</v>
      </c>
      <c r="E13" s="105"/>
      <c r="F13" s="105"/>
      <c r="G13" s="105"/>
      <c r="H13" s="103"/>
      <c r="I13" s="105"/>
      <c r="J13" s="105">
        <v>16</v>
      </c>
      <c r="K13" s="105">
        <v>10</v>
      </c>
      <c r="L13" s="107">
        <f>(E11/4)+0.6</f>
        <v>1.2749999999999999</v>
      </c>
      <c r="M13" s="107">
        <f>L13+(G11-0.07)</f>
        <v>1.9549999999999998</v>
      </c>
      <c r="N13" s="108">
        <f t="shared" ref="N13" si="3">J13*J13/162</f>
        <v>1.5802469135802468</v>
      </c>
      <c r="O13" s="108">
        <f>M13*K13*N13</f>
        <v>30.893827160493821</v>
      </c>
      <c r="P13" s="109">
        <f t="shared" si="2"/>
        <v>30.893827160493821</v>
      </c>
      <c r="Q13" s="108"/>
      <c r="R13" s="108"/>
      <c r="S13" s="108"/>
      <c r="T13" s="110"/>
      <c r="U13" s="111"/>
      <c r="V13" s="111"/>
      <c r="W13" s="111"/>
      <c r="X13" s="111"/>
      <c r="Y13" s="111"/>
      <c r="Z13" s="111"/>
      <c r="AA13" s="108"/>
      <c r="AB13" s="109"/>
      <c r="AC13" s="108">
        <f>(IF(J13=8,P13,0))+((IF(T13=8,AB13,0)))</f>
        <v>0</v>
      </c>
      <c r="AD13" s="108">
        <f>(IF(J13=10,P13,0))+((IF(T13=10,AB13,0)))</f>
        <v>0</v>
      </c>
      <c r="AE13" s="108">
        <f>IF(J13=12,P13,0)</f>
        <v>0</v>
      </c>
      <c r="AF13" s="108">
        <f>IF(J13=16,P13,0)</f>
        <v>30.893827160493821</v>
      </c>
      <c r="AG13" s="108">
        <f>IF(J13=20,P13,0)</f>
        <v>0</v>
      </c>
      <c r="AH13" s="108">
        <f>IF(J13=25,P13,0)</f>
        <v>0</v>
      </c>
      <c r="AI13" s="108">
        <f>IF(J13=32,P13,0)</f>
        <v>0</v>
      </c>
    </row>
    <row r="15" spans="1:35" x14ac:dyDescent="0.3">
      <c r="A15" s="104">
        <v>1</v>
      </c>
      <c r="B15" s="659" t="s">
        <v>130</v>
      </c>
      <c r="C15" s="105"/>
      <c r="D15" s="104">
        <v>1</v>
      </c>
      <c r="E15" s="105">
        <v>2.82</v>
      </c>
      <c r="F15" s="105">
        <v>0.23</v>
      </c>
      <c r="G15" s="105">
        <v>0.75</v>
      </c>
      <c r="H15" s="106">
        <f>G15*F15*E15*D15</f>
        <v>0.48644999999999999</v>
      </c>
      <c r="I15" s="105" t="s">
        <v>127</v>
      </c>
      <c r="J15" s="105">
        <v>16</v>
      </c>
      <c r="K15" s="105">
        <v>3</v>
      </c>
      <c r="L15" s="105">
        <f>E15</f>
        <v>2.82</v>
      </c>
      <c r="M15" s="107">
        <f>L15+(2*(G15-0.07))</f>
        <v>4.18</v>
      </c>
      <c r="N15" s="108">
        <f t="shared" ref="N15" si="4">J15*J15/162</f>
        <v>1.5802469135802468</v>
      </c>
      <c r="O15" s="108">
        <f>M15*K15*N15</f>
        <v>19.816296296296294</v>
      </c>
      <c r="P15" s="109">
        <f>O15*D15</f>
        <v>19.816296296296294</v>
      </c>
      <c r="Q15" s="107">
        <f>E15/2</f>
        <v>1.41</v>
      </c>
      <c r="R15" s="107">
        <f>(2*(F15-0.025))+(2*(G15-0.035))+(2*10*0.008)</f>
        <v>1.9999999999999998</v>
      </c>
      <c r="S15" s="107">
        <v>0.125</v>
      </c>
      <c r="T15" s="110">
        <v>8</v>
      </c>
      <c r="U15" s="111">
        <f>ROUND(IF(S15=0.1,Q15/S15,0),0)</f>
        <v>0</v>
      </c>
      <c r="V15" s="111">
        <f>ROUND(IF(S15=0.125,Q15/S15,0),0)</f>
        <v>11</v>
      </c>
      <c r="W15" s="111">
        <f>ROUND(IF(S15=0.15,Q15/S15,0),0)</f>
        <v>0</v>
      </c>
      <c r="X15" s="111">
        <f t="shared" ref="X15:X16" si="5">ROUND(IF(S15=0.18,Q15/S15,0),0)</f>
        <v>0</v>
      </c>
      <c r="Y15" s="111">
        <f>ROUND(IF(S15=0.2,Q15/S15,0),0)</f>
        <v>0</v>
      </c>
      <c r="Z15" s="111">
        <f>ROUND(IF(S15=0.23,Q15/S15,0),0)</f>
        <v>0</v>
      </c>
      <c r="AA15" s="108">
        <f>((T15*T15)/162)*D15</f>
        <v>0.39506172839506171</v>
      </c>
      <c r="AB15" s="109">
        <f>AA15*R15*(U15+V15+W15+X15+Y15+Z15)*D15</f>
        <v>8.6913580246913558</v>
      </c>
      <c r="AC15" s="108">
        <f>(IF(J15=8,P15,0))+((IF(T15=8,AB15,0)))</f>
        <v>8.6913580246913558</v>
      </c>
      <c r="AD15" s="108">
        <f>(IF(J15=10,P15,0))+((IF(T15=10,AB15,0)))</f>
        <v>0</v>
      </c>
      <c r="AE15" s="108">
        <f>IF(J15=12,P15,0)</f>
        <v>0</v>
      </c>
      <c r="AF15" s="108">
        <f>IF(J15=16,P15,0)</f>
        <v>19.816296296296294</v>
      </c>
      <c r="AG15" s="108">
        <f>IF(J15=20,P15,0)</f>
        <v>0</v>
      </c>
      <c r="AH15" s="108">
        <f>IF(J15=25,P15,0)</f>
        <v>0</v>
      </c>
      <c r="AI15" s="108">
        <f>IF(J15=32,P15,0)</f>
        <v>0</v>
      </c>
    </row>
    <row r="16" spans="1:35" x14ac:dyDescent="0.3">
      <c r="A16" s="104"/>
      <c r="B16" s="105"/>
      <c r="C16" s="105"/>
      <c r="D16" s="104">
        <v>1</v>
      </c>
      <c r="E16" s="105"/>
      <c r="F16" s="105"/>
      <c r="G16" s="105"/>
      <c r="H16" s="103"/>
      <c r="I16" s="105" t="s">
        <v>128</v>
      </c>
      <c r="J16" s="105">
        <v>16</v>
      </c>
      <c r="K16" s="105">
        <v>2</v>
      </c>
      <c r="L16" s="107">
        <f>E15/2</f>
        <v>1.41</v>
      </c>
      <c r="M16" s="107">
        <f>L16+(2*0.38)</f>
        <v>2.17</v>
      </c>
      <c r="N16" s="108">
        <f>J16*J16/162</f>
        <v>1.5802469135802468</v>
      </c>
      <c r="O16" s="108">
        <f>M16*K16*N16</f>
        <v>6.8582716049382713</v>
      </c>
      <c r="P16" s="109">
        <f t="shared" ref="P16:P17" si="6">O16*D16</f>
        <v>6.8582716049382713</v>
      </c>
      <c r="Q16" s="107">
        <f>E15/2</f>
        <v>1.41</v>
      </c>
      <c r="R16" s="107">
        <f>(2*(F15-0.025))+(2*(G15-0.035))+(2*10*0.008)</f>
        <v>1.9999999999999998</v>
      </c>
      <c r="S16" s="108">
        <v>0.15</v>
      </c>
      <c r="T16" s="110">
        <v>8</v>
      </c>
      <c r="U16" s="111">
        <f>ROUND(IF(S16=0.1,Q16/S16,0),0)</f>
        <v>0</v>
      </c>
      <c r="V16" s="111">
        <f>ROUND(IF(S16=0.125,Q16/S16,0),0)</f>
        <v>0</v>
      </c>
      <c r="W16" s="111">
        <f>ROUND(IF(S16=0.15,Q16/S16,0),0)</f>
        <v>9</v>
      </c>
      <c r="X16" s="111">
        <f t="shared" si="5"/>
        <v>0</v>
      </c>
      <c r="Y16" s="111">
        <f>ROUND(IF(S16=0.2,Q16/S16,0),0)</f>
        <v>0</v>
      </c>
      <c r="Z16" s="111">
        <f>ROUND(IF(S16=0.23,Q16/S16,0),0)</f>
        <v>0</v>
      </c>
      <c r="AA16" s="108">
        <f>((T16*T16)/162)*D16</f>
        <v>0.39506172839506171</v>
      </c>
      <c r="AB16" s="109">
        <f>AA16*R16*(U16+V16+W16+X16+Y16+Z16)*D16</f>
        <v>7.1111111111111098</v>
      </c>
      <c r="AC16" s="108">
        <f>(IF(J16=8,P16,0))+((IF(T16=8,AB16,0)))</f>
        <v>7.1111111111111098</v>
      </c>
      <c r="AD16" s="108">
        <f>(IF(J16=10,P16,0))+((IF(T16=10,AB16,0)))</f>
        <v>0</v>
      </c>
      <c r="AE16" s="108">
        <f>IF(J16=12,P16,0)</f>
        <v>0</v>
      </c>
      <c r="AF16" s="108">
        <f>IF(J16=16,P16,0)</f>
        <v>6.8582716049382713</v>
      </c>
      <c r="AG16" s="108">
        <f>IF(J16=20,P16,0)</f>
        <v>0</v>
      </c>
      <c r="AH16" s="108">
        <f>IF(J16=25,P16,0)</f>
        <v>0</v>
      </c>
      <c r="AI16" s="108">
        <f>IF(J16=32,P16,0)</f>
        <v>0</v>
      </c>
    </row>
    <row r="17" spans="1:35" x14ac:dyDescent="0.3">
      <c r="A17" s="104"/>
      <c r="B17" s="105"/>
      <c r="C17" s="105"/>
      <c r="D17" s="104">
        <v>1</v>
      </c>
      <c r="E17" s="105"/>
      <c r="F17" s="105"/>
      <c r="G17" s="105"/>
      <c r="H17" s="103"/>
      <c r="I17" s="105"/>
      <c r="J17" s="105">
        <v>16</v>
      </c>
      <c r="K17" s="105">
        <v>8</v>
      </c>
      <c r="L17" s="107">
        <f>(E15/4)+0.6</f>
        <v>1.3049999999999999</v>
      </c>
      <c r="M17" s="107">
        <f>L17+(G15-0.07)</f>
        <v>1.9849999999999999</v>
      </c>
      <c r="N17" s="108">
        <f t="shared" ref="N17" si="7">J17*J17/162</f>
        <v>1.5802469135802468</v>
      </c>
      <c r="O17" s="108">
        <f>M17*K17*N17</f>
        <v>25.094320987654317</v>
      </c>
      <c r="P17" s="109">
        <f t="shared" si="6"/>
        <v>25.094320987654317</v>
      </c>
      <c r="Q17" s="108"/>
      <c r="R17" s="108"/>
      <c r="S17" s="108"/>
      <c r="T17" s="110"/>
      <c r="U17" s="111"/>
      <c r="V17" s="111"/>
      <c r="W17" s="111"/>
      <c r="X17" s="111"/>
      <c r="Y17" s="111"/>
      <c r="Z17" s="111"/>
      <c r="AA17" s="108"/>
      <c r="AB17" s="109"/>
      <c r="AC17" s="108">
        <f>(IF(J17=8,P17,0))+((IF(T17=8,AB17,0)))</f>
        <v>0</v>
      </c>
      <c r="AD17" s="108">
        <f>(IF(J17=10,P17,0))+((IF(T17=10,AB17,0)))</f>
        <v>0</v>
      </c>
      <c r="AE17" s="108">
        <f>IF(J17=12,P17,0)</f>
        <v>0</v>
      </c>
      <c r="AF17" s="108">
        <f>IF(J17=16,P17,0)</f>
        <v>25.094320987654317</v>
      </c>
      <c r="AG17" s="108">
        <f>IF(J17=20,P17,0)</f>
        <v>0</v>
      </c>
      <c r="AH17" s="108">
        <f>IF(J17=25,P17,0)</f>
        <v>0</v>
      </c>
      <c r="AI17" s="108">
        <f>IF(J17=32,P17,0)</f>
        <v>0</v>
      </c>
    </row>
    <row r="18" spans="1:35" x14ac:dyDescent="0.3">
      <c r="A18" s="104"/>
      <c r="B18" s="105"/>
      <c r="C18" s="105"/>
      <c r="D18" s="104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</row>
    <row r="19" spans="1:35" x14ac:dyDescent="0.3">
      <c r="A19" s="114"/>
      <c r="B19" s="115"/>
      <c r="C19" s="115"/>
      <c r="D19" s="114"/>
      <c r="E19" s="115"/>
      <c r="F19" s="115"/>
      <c r="G19" s="115"/>
      <c r="H19" s="116"/>
      <c r="I19" s="115"/>
      <c r="J19" s="115"/>
      <c r="K19" s="115"/>
      <c r="L19" s="117"/>
      <c r="M19" s="117"/>
      <c r="N19" s="118"/>
      <c r="O19" s="118"/>
      <c r="P19" s="119"/>
      <c r="Q19" s="117"/>
      <c r="R19" s="117"/>
      <c r="S19" s="118"/>
      <c r="T19" s="120"/>
      <c r="U19" s="121"/>
      <c r="V19" s="121"/>
      <c r="W19" s="121"/>
      <c r="X19" s="121"/>
      <c r="Y19" s="121"/>
      <c r="Z19" s="121"/>
      <c r="AA19" s="118"/>
      <c r="AB19" s="119"/>
      <c r="AC19" s="118"/>
      <c r="AD19" s="118"/>
      <c r="AE19" s="118"/>
      <c r="AF19" s="118"/>
      <c r="AG19" s="118"/>
      <c r="AH19" s="118"/>
      <c r="AI19" s="118"/>
    </row>
    <row r="20" spans="1:35" x14ac:dyDescent="0.3">
      <c r="A20" s="104">
        <v>1</v>
      </c>
      <c r="B20" s="659" t="s">
        <v>131</v>
      </c>
      <c r="C20" s="105"/>
      <c r="D20" s="104">
        <v>1</v>
      </c>
      <c r="E20" s="105">
        <v>7.75</v>
      </c>
      <c r="F20" s="105">
        <v>0.38</v>
      </c>
      <c r="G20" s="105">
        <v>0.75</v>
      </c>
      <c r="H20" s="106">
        <f>G20*F20*E20*D20</f>
        <v>2.2087500000000002</v>
      </c>
      <c r="I20" s="105" t="s">
        <v>127</v>
      </c>
      <c r="J20" s="105">
        <v>25</v>
      </c>
      <c r="K20" s="105">
        <v>5</v>
      </c>
      <c r="L20" s="105">
        <f>E20</f>
        <v>7.75</v>
      </c>
      <c r="M20" s="107">
        <f>L20+(2*(G20-0.07))</f>
        <v>9.11</v>
      </c>
      <c r="N20" s="108">
        <f t="shared" ref="N20" si="8">J20*J20/162</f>
        <v>3.8580246913580245</v>
      </c>
      <c r="O20" s="108">
        <f>M20*K20*N20</f>
        <v>175.733024691358</v>
      </c>
      <c r="P20" s="109">
        <f>O20*D20</f>
        <v>175.733024691358</v>
      </c>
      <c r="Q20" s="107">
        <f>E20/2</f>
        <v>3.875</v>
      </c>
      <c r="R20" s="107">
        <f>(2*(F20-0.025))+(2*(G20-0.035))+(2*10*0.008)</f>
        <v>2.2999999999999998</v>
      </c>
      <c r="S20" s="107">
        <v>0.1</v>
      </c>
      <c r="T20" s="110">
        <v>10</v>
      </c>
      <c r="U20" s="111">
        <f>ROUND(IF(S20=0.1,Q20/S20,0),0)</f>
        <v>39</v>
      </c>
      <c r="V20" s="111">
        <f>ROUND(IF(S20=0.125,Q20/S20,0),0)</f>
        <v>0</v>
      </c>
      <c r="W20" s="111">
        <f>ROUND(IF(S20=0.15,Q20/S20,0),0)</f>
        <v>0</v>
      </c>
      <c r="X20" s="111">
        <f t="shared" ref="X20:X21" si="9">ROUND(IF(S20=0.18,Q20/S20,0),0)</f>
        <v>0</v>
      </c>
      <c r="Y20" s="111">
        <f>ROUND(IF(S20=0.2,Q20/S20,0),0)</f>
        <v>0</v>
      </c>
      <c r="Z20" s="111">
        <f>ROUND(IF(S20=0.23,Q20/S20,0),0)</f>
        <v>0</v>
      </c>
      <c r="AA20" s="108">
        <f>((T20*T20)/162)*D20</f>
        <v>0.61728395061728392</v>
      </c>
      <c r="AB20" s="109">
        <f>AA20*R20*(U20+V20+W20+X20+Y20+Z20)*D20</f>
        <v>55.370370370370367</v>
      </c>
      <c r="AC20" s="108">
        <f>(IF(J20=8,P20,0))+((IF(T20=8,AB20,0)))</f>
        <v>0</v>
      </c>
      <c r="AD20" s="108">
        <f>(IF(J20=10,P20,0))+((IF(T20=10,AB20,0)))</f>
        <v>55.370370370370367</v>
      </c>
      <c r="AE20" s="108">
        <f>IF(J20=12,P20,0)</f>
        <v>0</v>
      </c>
      <c r="AF20" s="108">
        <f>IF(J20=16,P20,0)</f>
        <v>0</v>
      </c>
      <c r="AG20" s="108">
        <f>IF(J20=20,P20,0)</f>
        <v>0</v>
      </c>
      <c r="AH20" s="108">
        <f>IF(J20=25,P20,0)</f>
        <v>175.733024691358</v>
      </c>
      <c r="AI20" s="108">
        <f>IF(J20=32,P20,0)</f>
        <v>0</v>
      </c>
    </row>
    <row r="21" spans="1:35" x14ac:dyDescent="0.3">
      <c r="A21" s="104"/>
      <c r="B21" s="105"/>
      <c r="C21" s="105"/>
      <c r="D21" s="104">
        <v>1</v>
      </c>
      <c r="E21" s="105"/>
      <c r="F21" s="105"/>
      <c r="G21" s="105"/>
      <c r="H21" s="103"/>
      <c r="I21" s="105" t="s">
        <v>128</v>
      </c>
      <c r="J21" s="105">
        <v>16</v>
      </c>
      <c r="K21" s="105">
        <v>4</v>
      </c>
      <c r="L21" s="107">
        <f>E20/2</f>
        <v>3.875</v>
      </c>
      <c r="M21" s="107">
        <f>L21+(2*0.38)</f>
        <v>4.6349999999999998</v>
      </c>
      <c r="N21" s="108">
        <f>J21*J21/162</f>
        <v>1.5802469135802468</v>
      </c>
      <c r="O21" s="108">
        <f>M21*K21*N21</f>
        <v>29.297777777777775</v>
      </c>
      <c r="P21" s="109">
        <f t="shared" ref="P21:P23" si="10">O21*D21</f>
        <v>29.297777777777775</v>
      </c>
      <c r="Q21" s="107">
        <f>E20/2</f>
        <v>3.875</v>
      </c>
      <c r="R21" s="107">
        <f>(2*(F20-0.025))+(2*(G20-0.035))+(2*10*0.008)</f>
        <v>2.2999999999999998</v>
      </c>
      <c r="S21" s="108">
        <v>0.1</v>
      </c>
      <c r="T21" s="110">
        <v>8</v>
      </c>
      <c r="U21" s="111">
        <f>ROUND(IF(S21=0.1,Q21/S21,0),0)</f>
        <v>39</v>
      </c>
      <c r="V21" s="111">
        <f>ROUND(IF(S21=0.125,Q21/S21,0),0)</f>
        <v>0</v>
      </c>
      <c r="W21" s="111">
        <f>ROUND(IF(S21=0.15,Q21/S21,0),0)</f>
        <v>0</v>
      </c>
      <c r="X21" s="111">
        <f t="shared" si="9"/>
        <v>0</v>
      </c>
      <c r="Y21" s="111">
        <f>ROUND(IF(S21=0.2,Q21/S21,0),0)</f>
        <v>0</v>
      </c>
      <c r="Z21" s="111">
        <f>ROUND(IF(S21=0.23,Q21/S21,0),0)</f>
        <v>0</v>
      </c>
      <c r="AA21" s="108">
        <f>((T21*T21)/162)*D21</f>
        <v>0.39506172839506171</v>
      </c>
      <c r="AB21" s="109">
        <f>AA21*R21*(U21+V21+W21+X21+Y21+Z21)*D21</f>
        <v>35.437037037037037</v>
      </c>
      <c r="AC21" s="108">
        <f>(IF(J21=8,P21,0))+((IF(T21=8,AB21,0)))</f>
        <v>35.437037037037037</v>
      </c>
      <c r="AD21" s="108">
        <f>(IF(J21=10,P21,0))+((IF(T21=10,AB21,0)))</f>
        <v>0</v>
      </c>
      <c r="AE21" s="108">
        <f>IF(J21=12,P21,0)</f>
        <v>0</v>
      </c>
      <c r="AF21" s="108">
        <f>IF(J21=16,P21,0)</f>
        <v>29.297777777777775</v>
      </c>
      <c r="AG21" s="108">
        <f>IF(J21=20,P21,0)</f>
        <v>0</v>
      </c>
      <c r="AH21" s="108">
        <f>IF(J21=25,P21,0)</f>
        <v>0</v>
      </c>
      <c r="AI21" s="108">
        <f>IF(J21=32,P21,0)</f>
        <v>0</v>
      </c>
    </row>
    <row r="22" spans="1:35" x14ac:dyDescent="0.3">
      <c r="A22" s="104"/>
      <c r="B22" s="105"/>
      <c r="C22" s="105"/>
      <c r="D22" s="104">
        <v>1</v>
      </c>
      <c r="E22" s="105"/>
      <c r="F22" s="105"/>
      <c r="G22" s="105"/>
      <c r="H22" s="103"/>
      <c r="I22" s="105"/>
      <c r="J22" s="105">
        <v>25</v>
      </c>
      <c r="K22" s="105">
        <v>7</v>
      </c>
      <c r="L22" s="107">
        <f>(E20/4)+0.6</f>
        <v>2.5375000000000001</v>
      </c>
      <c r="M22" s="107">
        <f>L22+(G20-0.07)</f>
        <v>3.2175000000000002</v>
      </c>
      <c r="N22" s="108">
        <f t="shared" ref="N22:N23" si="11">J22*J22/162</f>
        <v>3.8580246913580245</v>
      </c>
      <c r="O22" s="108">
        <f>M22*K22*N22</f>
        <v>86.892361111111114</v>
      </c>
      <c r="P22" s="109">
        <f t="shared" si="10"/>
        <v>86.892361111111114</v>
      </c>
      <c r="Q22" s="108"/>
      <c r="R22" s="108"/>
      <c r="S22" s="108"/>
      <c r="T22" s="110"/>
      <c r="U22" s="111"/>
      <c r="V22" s="111"/>
      <c r="W22" s="111"/>
      <c r="X22" s="111"/>
      <c r="Y22" s="111"/>
      <c r="Z22" s="111"/>
      <c r="AA22" s="108"/>
      <c r="AB22" s="109"/>
      <c r="AC22" s="108">
        <f>(IF(J22=8,P22,0))+((IF(T22=8,AB22,0)))</f>
        <v>0</v>
      </c>
      <c r="AD22" s="108">
        <f>(IF(J22=10,P22,0))+((IF(T22=10,AB22,0)))</f>
        <v>0</v>
      </c>
      <c r="AE22" s="108">
        <f>IF(J22=12,P22,0)</f>
        <v>0</v>
      </c>
      <c r="AF22" s="108">
        <f>IF(J22=16,P22,0)</f>
        <v>0</v>
      </c>
      <c r="AG22" s="108">
        <f>IF(J22=20,P22,0)</f>
        <v>0</v>
      </c>
      <c r="AH22" s="108">
        <f>IF(J22=25,P22,0)</f>
        <v>86.892361111111114</v>
      </c>
      <c r="AI22" s="108">
        <f>IF(J22=32,P22,0)</f>
        <v>0</v>
      </c>
    </row>
    <row r="23" spans="1:35" x14ac:dyDescent="0.3">
      <c r="A23" s="104"/>
      <c r="B23" s="105"/>
      <c r="C23" s="105"/>
      <c r="D23" s="104">
        <v>1</v>
      </c>
      <c r="E23" s="105"/>
      <c r="F23" s="105"/>
      <c r="G23" s="105"/>
      <c r="H23" s="105"/>
      <c r="I23" s="105"/>
      <c r="J23" s="112">
        <v>25</v>
      </c>
      <c r="K23" s="112">
        <v>5</v>
      </c>
      <c r="L23" s="107">
        <f>(E20/4)+0.6</f>
        <v>2.5375000000000001</v>
      </c>
      <c r="M23" s="107">
        <f>L23+(G20-0.07)</f>
        <v>3.2175000000000002</v>
      </c>
      <c r="N23" s="113">
        <f t="shared" si="11"/>
        <v>3.8580246913580245</v>
      </c>
      <c r="O23" s="113">
        <f>M23*K23*N23</f>
        <v>62.065972222222229</v>
      </c>
      <c r="P23" s="109">
        <f t="shared" si="10"/>
        <v>62.065972222222229</v>
      </c>
      <c r="Q23" s="108"/>
      <c r="R23" s="108"/>
      <c r="S23" s="108"/>
      <c r="T23" s="110"/>
      <c r="U23" s="111"/>
      <c r="V23" s="111"/>
      <c r="W23" s="111"/>
      <c r="X23" s="111"/>
      <c r="Y23" s="111"/>
      <c r="Z23" s="111"/>
      <c r="AA23" s="108"/>
      <c r="AB23" s="109"/>
      <c r="AC23" s="108">
        <f>(IF(J23=8,P23,0))+((IF(T23=8,AB23,0)))</f>
        <v>0</v>
      </c>
      <c r="AD23" s="108">
        <f>(IF(J23=10,P23,0))+((IF(T23=10,AB23,0)))</f>
        <v>0</v>
      </c>
      <c r="AE23" s="108">
        <f>IF(J23=12,P23,0)</f>
        <v>0</v>
      </c>
      <c r="AF23" s="108">
        <f>IF(J23=16,P23,0)</f>
        <v>0</v>
      </c>
      <c r="AG23" s="108">
        <f>IF(J23=20,P23,0)</f>
        <v>0</v>
      </c>
      <c r="AH23" s="108">
        <f>IF(J23=25,P23,0)</f>
        <v>62.065972222222229</v>
      </c>
      <c r="AI23" s="108">
        <f>IF(J23=32,P23,0)</f>
        <v>0</v>
      </c>
    </row>
    <row r="24" spans="1:35" x14ac:dyDescent="0.3">
      <c r="A24" s="104"/>
      <c r="B24" s="105"/>
      <c r="C24" s="105"/>
      <c r="D24" s="104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</row>
    <row r="25" spans="1:35" x14ac:dyDescent="0.3">
      <c r="A25" s="104">
        <v>1</v>
      </c>
      <c r="B25" s="659" t="s">
        <v>132</v>
      </c>
      <c r="C25" s="105"/>
      <c r="D25" s="104">
        <v>1</v>
      </c>
      <c r="E25" s="105">
        <v>4.92</v>
      </c>
      <c r="F25" s="105">
        <v>0.38</v>
      </c>
      <c r="G25" s="105">
        <v>0.75</v>
      </c>
      <c r="H25" s="106">
        <f>G25*F25*E25*D25</f>
        <v>1.4022000000000001</v>
      </c>
      <c r="I25" s="105" t="s">
        <v>127</v>
      </c>
      <c r="J25" s="105">
        <v>25</v>
      </c>
      <c r="K25" s="105">
        <v>4</v>
      </c>
      <c r="L25" s="105">
        <f>E25</f>
        <v>4.92</v>
      </c>
      <c r="M25" s="107">
        <f>L25+(2*(G25-0.07))</f>
        <v>6.2799999999999994</v>
      </c>
      <c r="N25" s="108">
        <f t="shared" ref="N25" si="12">J25*J25/162</f>
        <v>3.8580246913580245</v>
      </c>
      <c r="O25" s="108">
        <f>M25*K25*N25</f>
        <v>96.913580246913568</v>
      </c>
      <c r="P25" s="109">
        <f>O25*D25</f>
        <v>96.913580246913568</v>
      </c>
      <c r="Q25" s="107">
        <f>E25/2</f>
        <v>2.46</v>
      </c>
      <c r="R25" s="107">
        <f>(2*(F25-0.025))+(2*(G25-0.035))+(2*10*0.008)</f>
        <v>2.2999999999999998</v>
      </c>
      <c r="S25" s="107">
        <v>0.125</v>
      </c>
      <c r="T25" s="110">
        <v>10</v>
      </c>
      <c r="U25" s="111">
        <f>ROUND(IF(S25=0.1,Q25/S25,0),0)</f>
        <v>0</v>
      </c>
      <c r="V25" s="111">
        <f>ROUND(IF(S25=0.125,Q25/S25,0),0)</f>
        <v>20</v>
      </c>
      <c r="W25" s="111">
        <f>ROUND(IF(S25=0.15,Q25/S25,0),0)</f>
        <v>0</v>
      </c>
      <c r="X25" s="111">
        <f t="shared" ref="X25:X26" si="13">ROUND(IF(S25=0.18,Q25/S25,0),0)</f>
        <v>0</v>
      </c>
      <c r="Y25" s="111">
        <f>ROUND(IF(S25=0.2,Q25/S25,0),0)</f>
        <v>0</v>
      </c>
      <c r="Z25" s="111">
        <f>ROUND(IF(S25=0.23,Q25/S25,0),0)</f>
        <v>0</v>
      </c>
      <c r="AA25" s="108">
        <f>((T25*T25)/162)*D25</f>
        <v>0.61728395061728392</v>
      </c>
      <c r="AB25" s="109">
        <f>AA25*R25*(U25+V25+W25+X25+Y25+Z25)*D25</f>
        <v>28.39506172839506</v>
      </c>
      <c r="AC25" s="108">
        <f>(IF(J25=8,P25,0))+((IF(T25=8,AB25,0)))</f>
        <v>0</v>
      </c>
      <c r="AD25" s="108">
        <f>(IF(J25=10,P25,0))+((IF(T25=10,AB25,0)))</f>
        <v>28.39506172839506</v>
      </c>
      <c r="AE25" s="108">
        <f>IF(J25=12,P25,0)</f>
        <v>0</v>
      </c>
      <c r="AF25" s="108">
        <f>IF(J25=16,P25,0)</f>
        <v>0</v>
      </c>
      <c r="AG25" s="108">
        <f>IF(J25=20,P25,0)</f>
        <v>0</v>
      </c>
      <c r="AH25" s="108">
        <f>IF(J25=25,P25,0)</f>
        <v>96.913580246913568</v>
      </c>
      <c r="AI25" s="108">
        <f>IF(J25=32,P25,0)</f>
        <v>0</v>
      </c>
    </row>
    <row r="26" spans="1:35" x14ac:dyDescent="0.3">
      <c r="A26" s="104"/>
      <c r="B26" s="105"/>
      <c r="C26" s="105"/>
      <c r="D26" s="104">
        <v>1</v>
      </c>
      <c r="E26" s="105"/>
      <c r="F26" s="105"/>
      <c r="G26" s="105"/>
      <c r="H26" s="103"/>
      <c r="I26" s="105" t="s">
        <v>128</v>
      </c>
      <c r="J26" s="105">
        <v>16</v>
      </c>
      <c r="K26" s="105">
        <v>4</v>
      </c>
      <c r="L26" s="107">
        <f>E25/2</f>
        <v>2.46</v>
      </c>
      <c r="M26" s="107">
        <f>L26+(2*0.38)</f>
        <v>3.2199999999999998</v>
      </c>
      <c r="N26" s="108">
        <f>J26*J26/162</f>
        <v>1.5802469135802468</v>
      </c>
      <c r="O26" s="108">
        <f>M26*K26*N26</f>
        <v>20.353580246913577</v>
      </c>
      <c r="P26" s="109">
        <f t="shared" ref="P26:P28" si="14">O26*D26</f>
        <v>20.353580246913577</v>
      </c>
      <c r="Q26" s="107">
        <f>E25/2</f>
        <v>2.46</v>
      </c>
      <c r="R26" s="107">
        <f>(2*(F25-0.025))+(2*(G25-0.035))+(2*10*0.008)</f>
        <v>2.2999999999999998</v>
      </c>
      <c r="S26" s="107">
        <v>0.125</v>
      </c>
      <c r="T26" s="110">
        <v>8</v>
      </c>
      <c r="U26" s="111">
        <f>ROUND(IF(S26=0.1,Q26/S26,0),0)</f>
        <v>0</v>
      </c>
      <c r="V26" s="111">
        <f>ROUND(IF(S26=0.125,Q26/S26,0),0)</f>
        <v>20</v>
      </c>
      <c r="W26" s="111">
        <f>ROUND(IF(S26=0.15,Q26/S26,0),0)</f>
        <v>0</v>
      </c>
      <c r="X26" s="111">
        <f t="shared" si="13"/>
        <v>0</v>
      </c>
      <c r="Y26" s="111">
        <f>ROUND(IF(S26=0.2,Q26/S26,0),0)</f>
        <v>0</v>
      </c>
      <c r="Z26" s="111">
        <f>ROUND(IF(S26=0.23,Q26/S26,0),0)</f>
        <v>0</v>
      </c>
      <c r="AA26" s="108">
        <f>((T26*T26)/162)*D26</f>
        <v>0.39506172839506171</v>
      </c>
      <c r="AB26" s="109">
        <f>AA26*R26*(U26+V26+W26+X26+Y26+Z26)*D26</f>
        <v>18.172839506172838</v>
      </c>
      <c r="AC26" s="108">
        <f>(IF(J26=8,P26,0))+((IF(T26=8,AB26,0)))</f>
        <v>18.172839506172838</v>
      </c>
      <c r="AD26" s="108">
        <f>(IF(J26=10,P26,0))+((IF(T26=10,AB26,0)))</f>
        <v>0</v>
      </c>
      <c r="AE26" s="108">
        <f>IF(J26=12,P26,0)</f>
        <v>0</v>
      </c>
      <c r="AF26" s="108">
        <f>IF(J26=16,P26,0)</f>
        <v>20.353580246913577</v>
      </c>
      <c r="AG26" s="108">
        <f>IF(J26=20,P26,0)</f>
        <v>0</v>
      </c>
      <c r="AH26" s="108">
        <f>IF(J26=25,P26,0)</f>
        <v>0</v>
      </c>
      <c r="AI26" s="108">
        <f>IF(J26=32,P26,0)</f>
        <v>0</v>
      </c>
    </row>
    <row r="27" spans="1:35" x14ac:dyDescent="0.3">
      <c r="A27" s="104"/>
      <c r="B27" s="105"/>
      <c r="C27" s="105"/>
      <c r="D27" s="104">
        <v>1</v>
      </c>
      <c r="E27" s="105"/>
      <c r="F27" s="105"/>
      <c r="G27" s="105"/>
      <c r="H27" s="103"/>
      <c r="I27" s="105"/>
      <c r="J27" s="105">
        <v>25</v>
      </c>
      <c r="K27" s="105">
        <v>5</v>
      </c>
      <c r="L27" s="107">
        <f>(E25/4)+0.6</f>
        <v>1.83</v>
      </c>
      <c r="M27" s="107">
        <f>L27+(G25-0.07)</f>
        <v>2.5099999999999998</v>
      </c>
      <c r="N27" s="108">
        <f t="shared" ref="N27:N28" si="15">J27*J27/162</f>
        <v>3.8580246913580245</v>
      </c>
      <c r="O27" s="108">
        <f>M27*K27*N27</f>
        <v>48.418209876543202</v>
      </c>
      <c r="P27" s="109">
        <f t="shared" si="14"/>
        <v>48.418209876543202</v>
      </c>
      <c r="Q27" s="108"/>
      <c r="R27" s="108"/>
      <c r="S27" s="108"/>
      <c r="T27" s="110"/>
      <c r="U27" s="111"/>
      <c r="V27" s="111"/>
      <c r="W27" s="111"/>
      <c r="X27" s="111"/>
      <c r="Y27" s="111"/>
      <c r="Z27" s="111"/>
      <c r="AA27" s="108"/>
      <c r="AB27" s="109"/>
      <c r="AC27" s="108">
        <f>(IF(J27=8,P27,0))+((IF(T27=8,AB27,0)))</f>
        <v>0</v>
      </c>
      <c r="AD27" s="108">
        <f>(IF(J27=10,P27,0))+((IF(T27=10,AB27,0)))</f>
        <v>0</v>
      </c>
      <c r="AE27" s="108">
        <f>IF(J27=12,P27,0)</f>
        <v>0</v>
      </c>
      <c r="AF27" s="108">
        <f>IF(J27=16,P27,0)</f>
        <v>0</v>
      </c>
      <c r="AG27" s="108">
        <f>IF(J27=20,P27,0)</f>
        <v>0</v>
      </c>
      <c r="AH27" s="108">
        <f>IF(J27=25,P27,0)</f>
        <v>48.418209876543202</v>
      </c>
      <c r="AI27" s="108">
        <f>IF(J27=32,P27,0)</f>
        <v>0</v>
      </c>
    </row>
    <row r="28" spans="1:35" x14ac:dyDescent="0.3">
      <c r="A28" s="104"/>
      <c r="B28" s="105"/>
      <c r="C28" s="105"/>
      <c r="D28" s="104">
        <v>1</v>
      </c>
      <c r="E28" s="105"/>
      <c r="F28" s="105"/>
      <c r="G28" s="105"/>
      <c r="H28" s="105"/>
      <c r="I28" s="105"/>
      <c r="J28" s="112">
        <v>16</v>
      </c>
      <c r="K28" s="112">
        <v>5</v>
      </c>
      <c r="L28" s="107">
        <f>(E25/4)+0.6</f>
        <v>1.83</v>
      </c>
      <c r="M28" s="107">
        <f>L28+(G25-0.07)</f>
        <v>2.5099999999999998</v>
      </c>
      <c r="N28" s="113">
        <f t="shared" si="15"/>
        <v>1.5802469135802468</v>
      </c>
      <c r="O28" s="113">
        <f>M28*K28*N28</f>
        <v>19.832098765432097</v>
      </c>
      <c r="P28" s="109">
        <f t="shared" si="14"/>
        <v>19.832098765432097</v>
      </c>
      <c r="Q28" s="108"/>
      <c r="R28" s="108"/>
      <c r="S28" s="108"/>
      <c r="T28" s="110"/>
      <c r="U28" s="111"/>
      <c r="V28" s="111"/>
      <c r="W28" s="111"/>
      <c r="X28" s="111"/>
      <c r="Y28" s="111"/>
      <c r="Z28" s="111"/>
      <c r="AA28" s="108"/>
      <c r="AB28" s="109"/>
      <c r="AC28" s="108">
        <f>(IF(J28=8,P28,0))+((IF(T28=8,AB28,0)))</f>
        <v>0</v>
      </c>
      <c r="AD28" s="108">
        <f>(IF(J28=10,P28,0))+((IF(T28=10,AB28,0)))</f>
        <v>0</v>
      </c>
      <c r="AE28" s="108">
        <f>IF(J28=12,P28,0)</f>
        <v>0</v>
      </c>
      <c r="AF28" s="108">
        <f>IF(J28=16,P28,0)</f>
        <v>19.832098765432097</v>
      </c>
      <c r="AG28" s="108">
        <f>IF(J28=20,P28,0)</f>
        <v>0</v>
      </c>
      <c r="AH28" s="108">
        <f>IF(J28=25,P28,0)</f>
        <v>0</v>
      </c>
      <c r="AI28" s="108">
        <f>IF(J28=32,P28,0)</f>
        <v>0</v>
      </c>
    </row>
    <row r="29" spans="1:35" x14ac:dyDescent="0.3">
      <c r="A29" s="104"/>
      <c r="B29" s="105"/>
      <c r="C29" s="105"/>
      <c r="D29" s="104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</row>
    <row r="30" spans="1:35" x14ac:dyDescent="0.3">
      <c r="A30" s="104">
        <v>1</v>
      </c>
      <c r="B30" s="659" t="s">
        <v>133</v>
      </c>
      <c r="C30" s="105"/>
      <c r="D30" s="104">
        <v>1</v>
      </c>
      <c r="E30" s="105">
        <v>2.85</v>
      </c>
      <c r="F30" s="105">
        <v>0.3</v>
      </c>
      <c r="G30" s="105">
        <v>0.75</v>
      </c>
      <c r="H30" s="106">
        <f>G30*F30*E30*D30</f>
        <v>0.64124999999999999</v>
      </c>
      <c r="I30" s="105" t="s">
        <v>127</v>
      </c>
      <c r="J30" s="105">
        <v>16</v>
      </c>
      <c r="K30" s="105">
        <v>3</v>
      </c>
      <c r="L30" s="105">
        <f>E30</f>
        <v>2.85</v>
      </c>
      <c r="M30" s="107">
        <f>L30+(2*(G30-0.07))</f>
        <v>4.21</v>
      </c>
      <c r="N30" s="108">
        <f t="shared" ref="N30" si="16">J30*J30/162</f>
        <v>1.5802469135802468</v>
      </c>
      <c r="O30" s="108">
        <f>M30*K30*N30</f>
        <v>19.958518518518517</v>
      </c>
      <c r="P30" s="109">
        <f>O30*D30</f>
        <v>19.958518518518517</v>
      </c>
      <c r="Q30" s="107">
        <f>E30/2</f>
        <v>1.425</v>
      </c>
      <c r="R30" s="107">
        <f>(2*(F30-0.025))+(2*(G30-0.035))+(2*10*0.008)</f>
        <v>2.14</v>
      </c>
      <c r="S30" s="107">
        <v>0.1</v>
      </c>
      <c r="T30" s="110">
        <v>8</v>
      </c>
      <c r="U30" s="111">
        <f>ROUND(IF(S30=0.1,Q30/S30,0),0)</f>
        <v>14</v>
      </c>
      <c r="V30" s="111">
        <f>ROUND(IF(S30=0.125,Q30/S30,0),0)</f>
        <v>0</v>
      </c>
      <c r="W30" s="111">
        <f>ROUND(IF(S30=0.15,Q30/S30,0),0)</f>
        <v>0</v>
      </c>
      <c r="X30" s="111">
        <f t="shared" ref="X30:X31" si="17">ROUND(IF(S30=0.18,Q30/S30,0),0)</f>
        <v>0</v>
      </c>
      <c r="Y30" s="111">
        <f>ROUND(IF(S30=0.2,Q30/S30,0),0)</f>
        <v>0</v>
      </c>
      <c r="Z30" s="111">
        <f>ROUND(IF(S30=0.23,Q30/S30,0),0)</f>
        <v>0</v>
      </c>
      <c r="AA30" s="108">
        <f>((T30*T30)/162)*D30</f>
        <v>0.39506172839506171</v>
      </c>
      <c r="AB30" s="109">
        <f>AA30*R30*(U30+V30+W30+X30+Y30+Z30)*D30</f>
        <v>11.83604938271605</v>
      </c>
      <c r="AC30" s="108">
        <f>(IF(J30=8,P30,0))+((IF(T30=8,AB30,0)))</f>
        <v>11.83604938271605</v>
      </c>
      <c r="AD30" s="108">
        <f>(IF(J30=10,P30,0))+((IF(T30=10,AB30,0)))</f>
        <v>0</v>
      </c>
      <c r="AE30" s="108">
        <f>IF(J30=12,P30,0)</f>
        <v>0</v>
      </c>
      <c r="AF30" s="108">
        <f>IF(J30=16,P30,0)</f>
        <v>19.958518518518517</v>
      </c>
      <c r="AG30" s="108">
        <f>IF(J30=20,P30,0)</f>
        <v>0</v>
      </c>
      <c r="AH30" s="108">
        <f>IF(J30=25,P30,0)</f>
        <v>0</v>
      </c>
      <c r="AI30" s="108">
        <f>IF(J30=32,P30,0)</f>
        <v>0</v>
      </c>
    </row>
    <row r="31" spans="1:35" x14ac:dyDescent="0.3">
      <c r="A31" s="104"/>
      <c r="B31" s="105"/>
      <c r="C31" s="105"/>
      <c r="D31" s="104">
        <v>1</v>
      </c>
      <c r="E31" s="105"/>
      <c r="F31" s="105"/>
      <c r="G31" s="105"/>
      <c r="H31" s="103"/>
      <c r="I31" s="105" t="s">
        <v>128</v>
      </c>
      <c r="J31" s="105">
        <v>16</v>
      </c>
      <c r="K31" s="105">
        <v>3</v>
      </c>
      <c r="L31" s="107">
        <f>E30/2</f>
        <v>1.425</v>
      </c>
      <c r="M31" s="107">
        <f>L31+(2*0.38)</f>
        <v>2.1850000000000001</v>
      </c>
      <c r="N31" s="108">
        <f>J31*J31/162</f>
        <v>1.5802469135802468</v>
      </c>
      <c r="O31" s="108">
        <f>M31*K31*N31</f>
        <v>10.358518518518517</v>
      </c>
      <c r="P31" s="109">
        <f t="shared" ref="P31:P32" si="18">O31*D31</f>
        <v>10.358518518518517</v>
      </c>
      <c r="Q31" s="107">
        <f>E30/2</f>
        <v>1.425</v>
      </c>
      <c r="R31" s="107">
        <f>(2*(F30-0.025))+(2*(G30-0.035))+(2*10*0.008)</f>
        <v>2.14</v>
      </c>
      <c r="S31" s="108">
        <v>0.15</v>
      </c>
      <c r="T31" s="110">
        <v>8</v>
      </c>
      <c r="U31" s="111">
        <f>ROUND(IF(S31=0.1,Q31/S31,0),0)</f>
        <v>0</v>
      </c>
      <c r="V31" s="111">
        <f>ROUND(IF(S31=0.125,Q31/S31,0),0)</f>
        <v>0</v>
      </c>
      <c r="W31" s="111">
        <f>ROUND(IF(S31=0.15,Q31/S31,0),0)</f>
        <v>10</v>
      </c>
      <c r="X31" s="111">
        <f t="shared" si="17"/>
        <v>0</v>
      </c>
      <c r="Y31" s="111">
        <f>ROUND(IF(S31=0.2,Q31/S31,0),0)</f>
        <v>0</v>
      </c>
      <c r="Z31" s="111">
        <f>ROUND(IF(S31=0.23,Q31/S31,0),0)</f>
        <v>0</v>
      </c>
      <c r="AA31" s="108">
        <f>((T31*T31)/162)*D31</f>
        <v>0.39506172839506171</v>
      </c>
      <c r="AB31" s="109">
        <f>AA31*R31*(U31+V31+W31+X31+Y31+Z31)*D31</f>
        <v>8.4543209876543219</v>
      </c>
      <c r="AC31" s="108">
        <f>(IF(J31=8,P31,0))+((IF(T31=8,AB31,0)))</f>
        <v>8.4543209876543219</v>
      </c>
      <c r="AD31" s="108">
        <f>(IF(J31=10,P31,0))+((IF(T31=10,AB31,0)))</f>
        <v>0</v>
      </c>
      <c r="AE31" s="108">
        <f>IF(J31=12,P31,0)</f>
        <v>0</v>
      </c>
      <c r="AF31" s="108">
        <f>IF(J31=16,P31,0)</f>
        <v>10.358518518518517</v>
      </c>
      <c r="AG31" s="108">
        <f>IF(J31=20,P31,0)</f>
        <v>0</v>
      </c>
      <c r="AH31" s="108">
        <f>IF(J31=25,P31,0)</f>
        <v>0</v>
      </c>
      <c r="AI31" s="108">
        <f>IF(J31=32,P31,0)</f>
        <v>0</v>
      </c>
    </row>
    <row r="32" spans="1:35" x14ac:dyDescent="0.3">
      <c r="A32" s="104"/>
      <c r="B32" s="105"/>
      <c r="C32" s="105"/>
      <c r="D32" s="104">
        <v>1</v>
      </c>
      <c r="E32" s="105"/>
      <c r="F32" s="105"/>
      <c r="G32" s="105"/>
      <c r="H32" s="103"/>
      <c r="I32" s="105"/>
      <c r="J32" s="105">
        <v>16</v>
      </c>
      <c r="K32" s="105">
        <v>10</v>
      </c>
      <c r="L32" s="107">
        <f>(E30/4)+0.6</f>
        <v>1.3125</v>
      </c>
      <c r="M32" s="107">
        <f>L32+(G30-0.07)</f>
        <v>1.9924999999999999</v>
      </c>
      <c r="N32" s="108">
        <f t="shared" ref="N32" si="19">J32*J32/162</f>
        <v>1.5802469135802468</v>
      </c>
      <c r="O32" s="108">
        <f>M32*K32*N32</f>
        <v>31.48641975308642</v>
      </c>
      <c r="P32" s="109">
        <f t="shared" si="18"/>
        <v>31.48641975308642</v>
      </c>
      <c r="Q32" s="108"/>
      <c r="R32" s="108"/>
      <c r="S32" s="108"/>
      <c r="T32" s="110"/>
      <c r="U32" s="111"/>
      <c r="V32" s="111"/>
      <c r="W32" s="111"/>
      <c r="X32" s="111"/>
      <c r="Y32" s="111"/>
      <c r="Z32" s="111"/>
      <c r="AA32" s="108"/>
      <c r="AB32" s="109"/>
      <c r="AC32" s="108">
        <f>(IF(J32=8,P32,0))+((IF(T32=8,AB32,0)))</f>
        <v>0</v>
      </c>
      <c r="AD32" s="108">
        <f>(IF(J32=10,P32,0))+((IF(T32=10,AB32,0)))</f>
        <v>0</v>
      </c>
      <c r="AE32" s="108">
        <f>IF(J32=12,P32,0)</f>
        <v>0</v>
      </c>
      <c r="AF32" s="108">
        <f>IF(J32=16,P32,0)</f>
        <v>31.48641975308642</v>
      </c>
      <c r="AG32" s="108">
        <f>IF(J32=20,P32,0)</f>
        <v>0</v>
      </c>
      <c r="AH32" s="108">
        <f>IF(J32=25,P32,0)</f>
        <v>0</v>
      </c>
      <c r="AI32" s="108">
        <f>IF(J32=32,P32,0)</f>
        <v>0</v>
      </c>
    </row>
    <row r="33" spans="1:35" x14ac:dyDescent="0.3">
      <c r="A33" s="104"/>
      <c r="B33" s="105"/>
      <c r="C33" s="105"/>
      <c r="D33" s="104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</row>
    <row r="34" spans="1:35" x14ac:dyDescent="0.3">
      <c r="A34" s="104"/>
      <c r="B34" s="105"/>
      <c r="C34" s="105"/>
      <c r="D34" s="104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</row>
    <row r="35" spans="1:35" x14ac:dyDescent="0.3">
      <c r="A35" s="104">
        <v>1</v>
      </c>
      <c r="B35" s="659" t="s">
        <v>134</v>
      </c>
      <c r="C35" s="105"/>
      <c r="D35" s="104">
        <v>0.75</v>
      </c>
      <c r="E35" s="105">
        <v>2.9350000000000001</v>
      </c>
      <c r="F35" s="105">
        <v>0.23</v>
      </c>
      <c r="G35" s="105">
        <v>0.75</v>
      </c>
      <c r="H35" s="106">
        <f>G35*F35*E35*D35</f>
        <v>0.379715625</v>
      </c>
      <c r="I35" s="105" t="s">
        <v>127</v>
      </c>
      <c r="J35" s="105">
        <v>16</v>
      </c>
      <c r="K35" s="105">
        <v>3</v>
      </c>
      <c r="L35" s="105">
        <f>E35</f>
        <v>2.9350000000000001</v>
      </c>
      <c r="M35" s="107">
        <f>L35+(2*(G35-0.07))</f>
        <v>4.2949999999999999</v>
      </c>
      <c r="N35" s="108">
        <f t="shared" ref="N35" si="20">J35*J35/162</f>
        <v>1.5802469135802468</v>
      </c>
      <c r="O35" s="108">
        <f>M35*K35*N35</f>
        <v>20.36148148148148</v>
      </c>
      <c r="P35" s="109">
        <f>O35*D35</f>
        <v>15.271111111111111</v>
      </c>
      <c r="Q35" s="107">
        <f>E35/2</f>
        <v>1.4675</v>
      </c>
      <c r="R35" s="107">
        <f>(2*(F35-0.025))+(2*(G35-0.035))+(2*10*0.008)</f>
        <v>1.9999999999999998</v>
      </c>
      <c r="S35" s="107">
        <v>0.125</v>
      </c>
      <c r="T35" s="110">
        <v>8</v>
      </c>
      <c r="U35" s="111">
        <f>ROUND(IF(S35=0.1,Q35/S35,0),0)</f>
        <v>0</v>
      </c>
      <c r="V35" s="111">
        <f>ROUND(IF(S35=0.125,Q35/S35,0),0)</f>
        <v>12</v>
      </c>
      <c r="W35" s="111">
        <f>ROUND(IF(S35=0.15,Q35/S35,0),0)</f>
        <v>0</v>
      </c>
      <c r="X35" s="111">
        <f t="shared" ref="X35:X36" si="21">ROUND(IF(S35=0.18,Q35/S35,0),0)</f>
        <v>0</v>
      </c>
      <c r="Y35" s="111">
        <f>ROUND(IF(S35=0.2,Q35/S35,0),0)</f>
        <v>0</v>
      </c>
      <c r="Z35" s="111">
        <f>ROUND(IF(S35=0.23,Q35/S35,0),0)</f>
        <v>0</v>
      </c>
      <c r="AA35" s="108">
        <f>((T35*T35)/162)*D35</f>
        <v>0.29629629629629628</v>
      </c>
      <c r="AB35" s="109">
        <f>AA35*R35*(U35+V35+W35+X35+Y35+Z35)*D35</f>
        <v>5.3333333333333321</v>
      </c>
      <c r="AC35" s="108">
        <f>(IF(J35=8,P35,0))+((IF(T35=8,AB35,0)))</f>
        <v>5.3333333333333321</v>
      </c>
      <c r="AD35" s="108">
        <f>(IF(J35=10,P35,0))+((IF(T35=10,AB35,0)))</f>
        <v>0</v>
      </c>
      <c r="AE35" s="108">
        <f>IF(J35=12,P35,0)</f>
        <v>0</v>
      </c>
      <c r="AF35" s="108">
        <f>IF(J35=16,P35,0)</f>
        <v>15.271111111111111</v>
      </c>
      <c r="AG35" s="108">
        <f>IF(J35=20,P35,0)</f>
        <v>0</v>
      </c>
      <c r="AH35" s="108">
        <f>IF(J35=25,P35,0)</f>
        <v>0</v>
      </c>
      <c r="AI35" s="108">
        <f>IF(J35=32,P35,0)</f>
        <v>0</v>
      </c>
    </row>
    <row r="36" spans="1:35" x14ac:dyDescent="0.3">
      <c r="A36" s="104"/>
      <c r="B36" s="105"/>
      <c r="C36" s="105"/>
      <c r="D36" s="104">
        <v>1</v>
      </c>
      <c r="E36" s="105"/>
      <c r="F36" s="105"/>
      <c r="G36" s="105"/>
      <c r="H36" s="103"/>
      <c r="I36" s="105" t="s">
        <v>128</v>
      </c>
      <c r="J36" s="105">
        <v>16</v>
      </c>
      <c r="K36" s="105">
        <v>2</v>
      </c>
      <c r="L36" s="107">
        <f>E35/2</f>
        <v>1.4675</v>
      </c>
      <c r="M36" s="107">
        <f>L36+(2*0.38)</f>
        <v>2.2275</v>
      </c>
      <c r="N36" s="108">
        <f>J36*J36/162</f>
        <v>1.5802469135802468</v>
      </c>
      <c r="O36" s="108">
        <f>M36*K36*N36</f>
        <v>7.04</v>
      </c>
      <c r="P36" s="109">
        <f t="shared" ref="P36:P37" si="22">O36*D36</f>
        <v>7.04</v>
      </c>
      <c r="Q36" s="107">
        <f>E35/2</f>
        <v>1.4675</v>
      </c>
      <c r="R36" s="107">
        <f>(2*(F35-0.025))+(2*(G35-0.035))+(2*10*0.008)</f>
        <v>1.9999999999999998</v>
      </c>
      <c r="S36" s="108">
        <v>0.15</v>
      </c>
      <c r="T36" s="110">
        <v>8</v>
      </c>
      <c r="U36" s="111">
        <f>ROUND(IF(S36=0.1,Q36/S36,0),0)</f>
        <v>0</v>
      </c>
      <c r="V36" s="111">
        <f>ROUND(IF(S36=0.125,Q36/S36,0),0)</f>
        <v>0</v>
      </c>
      <c r="W36" s="111">
        <f>ROUND(IF(S36=0.15,Q36/S36,0),0)</f>
        <v>10</v>
      </c>
      <c r="X36" s="111">
        <f t="shared" si="21"/>
        <v>0</v>
      </c>
      <c r="Y36" s="111">
        <f>ROUND(IF(S36=0.2,Q36/S36,0),0)</f>
        <v>0</v>
      </c>
      <c r="Z36" s="111">
        <f>ROUND(IF(S36=0.23,Q36/S36,0),0)</f>
        <v>0</v>
      </c>
      <c r="AA36" s="108">
        <f>((T36*T36)/162)*D36</f>
        <v>0.39506172839506171</v>
      </c>
      <c r="AB36" s="109">
        <f>AA36*R36*(U36+V36+W36+X36+Y36+Z36)*D36</f>
        <v>7.9012345679012332</v>
      </c>
      <c r="AC36" s="108">
        <f>(IF(J36=8,P36,0))+((IF(T36=8,AB36,0)))</f>
        <v>7.9012345679012332</v>
      </c>
      <c r="AD36" s="108">
        <f>(IF(J36=10,P36,0))+((IF(T36=10,AB36,0)))</f>
        <v>0</v>
      </c>
      <c r="AE36" s="108">
        <f>IF(J36=12,P36,0)</f>
        <v>0</v>
      </c>
      <c r="AF36" s="108">
        <f>IF(J36=16,P36,0)</f>
        <v>7.04</v>
      </c>
      <c r="AG36" s="108">
        <f>IF(J36=20,P36,0)</f>
        <v>0</v>
      </c>
      <c r="AH36" s="108">
        <f>IF(J36=25,P36,0)</f>
        <v>0</v>
      </c>
      <c r="AI36" s="108">
        <f>IF(J36=32,P36,0)</f>
        <v>0</v>
      </c>
    </row>
    <row r="37" spans="1:35" x14ac:dyDescent="0.3">
      <c r="A37" s="104"/>
      <c r="B37" s="105"/>
      <c r="C37" s="105"/>
      <c r="D37" s="104">
        <v>1</v>
      </c>
      <c r="E37" s="105"/>
      <c r="F37" s="105"/>
      <c r="G37" s="105"/>
      <c r="H37" s="103"/>
      <c r="I37" s="105"/>
      <c r="J37" s="105">
        <v>16</v>
      </c>
      <c r="K37" s="105">
        <v>8</v>
      </c>
      <c r="L37" s="107">
        <f>(E35/4)+0.6</f>
        <v>1.33375</v>
      </c>
      <c r="M37" s="107">
        <f>L37+(G35-0.07)</f>
        <v>2.0137499999999999</v>
      </c>
      <c r="N37" s="108">
        <f t="shared" ref="N37" si="23">J37*J37/162</f>
        <v>1.5802469135802468</v>
      </c>
      <c r="O37" s="108">
        <f>M37*K37*N37</f>
        <v>25.457777777777775</v>
      </c>
      <c r="P37" s="109">
        <f t="shared" si="22"/>
        <v>25.457777777777775</v>
      </c>
      <c r="Q37" s="108"/>
      <c r="R37" s="108"/>
      <c r="S37" s="108"/>
      <c r="T37" s="110"/>
      <c r="U37" s="111"/>
      <c r="V37" s="111"/>
      <c r="W37" s="111"/>
      <c r="X37" s="111"/>
      <c r="Y37" s="111"/>
      <c r="Z37" s="111"/>
      <c r="AA37" s="108"/>
      <c r="AB37" s="109"/>
      <c r="AC37" s="108">
        <f>(IF(J37=8,P37,0))+((IF(T37=8,AB37,0)))</f>
        <v>0</v>
      </c>
      <c r="AD37" s="108">
        <f>(IF(J37=10,P37,0))+((IF(T37=10,AB37,0)))</f>
        <v>0</v>
      </c>
      <c r="AE37" s="108">
        <f>IF(J37=12,P37,0)</f>
        <v>0</v>
      </c>
      <c r="AF37" s="108">
        <f>IF(J37=16,P37,0)</f>
        <v>25.457777777777775</v>
      </c>
      <c r="AG37" s="108">
        <f>IF(J37=20,P37,0)</f>
        <v>0</v>
      </c>
      <c r="AH37" s="108">
        <f>IF(J37=25,P37,0)</f>
        <v>0</v>
      </c>
      <c r="AI37" s="108">
        <f>IF(J37=32,P37,0)</f>
        <v>0</v>
      </c>
    </row>
    <row r="38" spans="1:35" x14ac:dyDescent="0.3">
      <c r="A38" s="104"/>
      <c r="B38" s="105"/>
      <c r="C38" s="105"/>
      <c r="D38" s="104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</row>
    <row r="39" spans="1:35" x14ac:dyDescent="0.3">
      <c r="A39" s="104">
        <v>1</v>
      </c>
      <c r="B39" s="659" t="s">
        <v>135</v>
      </c>
      <c r="C39" s="105"/>
      <c r="D39" s="104">
        <v>1</v>
      </c>
      <c r="E39" s="105">
        <v>2.82</v>
      </c>
      <c r="F39" s="105">
        <v>0.23</v>
      </c>
      <c r="G39" s="105">
        <v>0.75</v>
      </c>
      <c r="H39" s="106">
        <f>G39*F39*E39*D39</f>
        <v>0.48644999999999999</v>
      </c>
      <c r="I39" s="105" t="s">
        <v>127</v>
      </c>
      <c r="J39" s="105">
        <v>16</v>
      </c>
      <c r="K39" s="105">
        <v>3</v>
      </c>
      <c r="L39" s="105">
        <f>E39</f>
        <v>2.82</v>
      </c>
      <c r="M39" s="107">
        <f>L39+(2*(G39-0.07))</f>
        <v>4.18</v>
      </c>
      <c r="N39" s="108">
        <f t="shared" ref="N39" si="24">J39*J39/162</f>
        <v>1.5802469135802468</v>
      </c>
      <c r="O39" s="108">
        <f>M39*K39*N39</f>
        <v>19.816296296296294</v>
      </c>
      <c r="P39" s="109">
        <f>O39*D39</f>
        <v>19.816296296296294</v>
      </c>
      <c r="Q39" s="107">
        <f>E39/2</f>
        <v>1.41</v>
      </c>
      <c r="R39" s="107">
        <f>(2*(F39-0.025))+(2*(G39-0.035))+(2*10*0.008)</f>
        <v>1.9999999999999998</v>
      </c>
      <c r="S39" s="107">
        <v>0.125</v>
      </c>
      <c r="T39" s="110">
        <v>8</v>
      </c>
      <c r="U39" s="111">
        <f>ROUND(IF(S39=0.1,Q39/S39,0),0)</f>
        <v>0</v>
      </c>
      <c r="V39" s="111">
        <f>ROUND(IF(S39=0.125,Q39/S39,0),0)</f>
        <v>11</v>
      </c>
      <c r="W39" s="111">
        <f>ROUND(IF(S39=0.15,Q39/S39,0),0)</f>
        <v>0</v>
      </c>
      <c r="X39" s="111">
        <f t="shared" ref="X39:X40" si="25">ROUND(IF(S39=0.18,Q39/S39,0),0)</f>
        <v>0</v>
      </c>
      <c r="Y39" s="111">
        <f>ROUND(IF(S39=0.2,Q39/S39,0),0)</f>
        <v>0</v>
      </c>
      <c r="Z39" s="111">
        <f>ROUND(IF(S39=0.23,Q39/S39,0),0)</f>
        <v>0</v>
      </c>
      <c r="AA39" s="108">
        <f>((T39*T39)/162)*D39</f>
        <v>0.39506172839506171</v>
      </c>
      <c r="AB39" s="109">
        <f>AA39*R39*(U39+V39+W39+X39+Y39+Z39)*D39</f>
        <v>8.6913580246913558</v>
      </c>
      <c r="AC39" s="108">
        <f>(IF(J39=8,P39,0))+((IF(T39=8,AB39,0)))</f>
        <v>8.6913580246913558</v>
      </c>
      <c r="AD39" s="108">
        <f>(IF(J39=10,P39,0))+((IF(T39=10,AB39,0)))</f>
        <v>0</v>
      </c>
      <c r="AE39" s="108">
        <f>IF(J39=12,P39,0)</f>
        <v>0</v>
      </c>
      <c r="AF39" s="108">
        <f>IF(J39=16,P39,0)</f>
        <v>19.816296296296294</v>
      </c>
      <c r="AG39" s="108">
        <f>IF(J39=20,P39,0)</f>
        <v>0</v>
      </c>
      <c r="AH39" s="108">
        <f>IF(J39=25,P39,0)</f>
        <v>0</v>
      </c>
      <c r="AI39" s="108">
        <f>IF(J39=32,P39,0)</f>
        <v>0</v>
      </c>
    </row>
    <row r="40" spans="1:35" x14ac:dyDescent="0.3">
      <c r="A40" s="104"/>
      <c r="B40" s="105"/>
      <c r="C40" s="105"/>
      <c r="D40" s="104">
        <v>1</v>
      </c>
      <c r="E40" s="105"/>
      <c r="F40" s="105"/>
      <c r="G40" s="105"/>
      <c r="H40" s="103"/>
      <c r="I40" s="105" t="s">
        <v>128</v>
      </c>
      <c r="J40" s="105">
        <v>16</v>
      </c>
      <c r="K40" s="105">
        <v>2</v>
      </c>
      <c r="L40" s="107">
        <f>E39/2</f>
        <v>1.41</v>
      </c>
      <c r="M40" s="107">
        <f>L40+(2*0.38)</f>
        <v>2.17</v>
      </c>
      <c r="N40" s="108">
        <f>J40*J40/162</f>
        <v>1.5802469135802468</v>
      </c>
      <c r="O40" s="108">
        <f>M40*K40*N40</f>
        <v>6.8582716049382713</v>
      </c>
      <c r="P40" s="109">
        <f t="shared" ref="P40:P41" si="26">O40*D40</f>
        <v>6.8582716049382713</v>
      </c>
      <c r="Q40" s="107">
        <f>E39/2</f>
        <v>1.41</v>
      </c>
      <c r="R40" s="107">
        <f>(2*(F39-0.025))+(2*(G39-0.035))+(2*10*0.008)</f>
        <v>1.9999999999999998</v>
      </c>
      <c r="S40" s="108">
        <v>0.15</v>
      </c>
      <c r="T40" s="110">
        <v>8</v>
      </c>
      <c r="U40" s="111">
        <f>ROUND(IF(S40=0.1,Q40/S40,0),0)</f>
        <v>0</v>
      </c>
      <c r="V40" s="111">
        <f>ROUND(IF(S40=0.125,Q40/S40,0),0)</f>
        <v>0</v>
      </c>
      <c r="W40" s="111">
        <f>ROUND(IF(S40=0.15,Q40/S40,0),0)</f>
        <v>9</v>
      </c>
      <c r="X40" s="111">
        <f t="shared" si="25"/>
        <v>0</v>
      </c>
      <c r="Y40" s="111">
        <f>ROUND(IF(S40=0.2,Q40/S40,0),0)</f>
        <v>0</v>
      </c>
      <c r="Z40" s="111">
        <f>ROUND(IF(S40=0.23,Q40/S40,0),0)</f>
        <v>0</v>
      </c>
      <c r="AA40" s="108">
        <f>((T40*T40)/162)*D40</f>
        <v>0.39506172839506171</v>
      </c>
      <c r="AB40" s="109">
        <f>AA40*R40*(U40+V40+W40+X40+Y40+Z40)*D40</f>
        <v>7.1111111111111098</v>
      </c>
      <c r="AC40" s="108">
        <f>(IF(J40=8,P40,0))+((IF(T40=8,AB40,0)))</f>
        <v>7.1111111111111098</v>
      </c>
      <c r="AD40" s="108">
        <f>(IF(J40=10,P40,0))+((IF(T40=10,AB40,0)))</f>
        <v>0</v>
      </c>
      <c r="AE40" s="108">
        <f>IF(J40=12,P40,0)</f>
        <v>0</v>
      </c>
      <c r="AF40" s="108">
        <f>IF(J40=16,P40,0)</f>
        <v>6.8582716049382713</v>
      </c>
      <c r="AG40" s="108">
        <f>IF(J40=20,P40,0)</f>
        <v>0</v>
      </c>
      <c r="AH40" s="108">
        <f>IF(J40=25,P40,0)</f>
        <v>0</v>
      </c>
      <c r="AI40" s="108">
        <f>IF(J40=32,P40,0)</f>
        <v>0</v>
      </c>
    </row>
    <row r="41" spans="1:35" x14ac:dyDescent="0.3">
      <c r="A41" s="104"/>
      <c r="B41" s="105"/>
      <c r="C41" s="105"/>
      <c r="D41" s="104">
        <v>1</v>
      </c>
      <c r="E41" s="105"/>
      <c r="F41" s="105"/>
      <c r="G41" s="105"/>
      <c r="H41" s="103"/>
      <c r="I41" s="105"/>
      <c r="J41" s="105">
        <v>16</v>
      </c>
      <c r="K41" s="105">
        <v>8</v>
      </c>
      <c r="L41" s="107">
        <f>(E39/4)+0.6</f>
        <v>1.3049999999999999</v>
      </c>
      <c r="M41" s="107">
        <f>L41+(G39-0.07)</f>
        <v>1.9849999999999999</v>
      </c>
      <c r="N41" s="108">
        <f t="shared" ref="N41" si="27">J41*J41/162</f>
        <v>1.5802469135802468</v>
      </c>
      <c r="O41" s="108">
        <f>M41*K41*N41</f>
        <v>25.094320987654317</v>
      </c>
      <c r="P41" s="109">
        <f t="shared" si="26"/>
        <v>25.094320987654317</v>
      </c>
      <c r="Q41" s="108"/>
      <c r="R41" s="108"/>
      <c r="S41" s="108"/>
      <c r="T41" s="110"/>
      <c r="U41" s="111"/>
      <c r="V41" s="111"/>
      <c r="W41" s="111"/>
      <c r="X41" s="111"/>
      <c r="Y41" s="111"/>
      <c r="Z41" s="111"/>
      <c r="AA41" s="108"/>
      <c r="AB41" s="109"/>
      <c r="AC41" s="108">
        <f>(IF(J41=8,P41,0))+((IF(T41=8,AB41,0)))</f>
        <v>0</v>
      </c>
      <c r="AD41" s="108">
        <f>(IF(J41=10,P41,0))+((IF(T41=10,AB41,0)))</f>
        <v>0</v>
      </c>
      <c r="AE41" s="108">
        <f>IF(J41=12,P41,0)</f>
        <v>0</v>
      </c>
      <c r="AF41" s="108">
        <f>IF(J41=16,P41,0)</f>
        <v>25.094320987654317</v>
      </c>
      <c r="AG41" s="108">
        <f>IF(J41=20,P41,0)</f>
        <v>0</v>
      </c>
      <c r="AH41" s="108">
        <f>IF(J41=25,P41,0)</f>
        <v>0</v>
      </c>
      <c r="AI41" s="108">
        <f>IF(J41=32,P41,0)</f>
        <v>0</v>
      </c>
    </row>
    <row r="42" spans="1:35" x14ac:dyDescent="0.3">
      <c r="A42" s="104"/>
      <c r="B42" s="105"/>
      <c r="C42" s="105"/>
      <c r="D42" s="104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</row>
    <row r="43" spans="1:35" x14ac:dyDescent="0.3">
      <c r="A43" s="104">
        <v>1</v>
      </c>
      <c r="B43" s="659" t="s">
        <v>136</v>
      </c>
      <c r="C43" s="105"/>
      <c r="D43" s="104">
        <v>1</v>
      </c>
      <c r="E43" s="105">
        <v>2.86</v>
      </c>
      <c r="F43" s="105">
        <v>0.23</v>
      </c>
      <c r="G43" s="105">
        <v>0.75</v>
      </c>
      <c r="H43" s="106">
        <f>G43*F43*E43*D43</f>
        <v>0.49335000000000001</v>
      </c>
      <c r="I43" s="105" t="s">
        <v>127</v>
      </c>
      <c r="J43" s="105">
        <v>16</v>
      </c>
      <c r="K43" s="105">
        <v>3</v>
      </c>
      <c r="L43" s="105">
        <f>E43</f>
        <v>2.86</v>
      </c>
      <c r="M43" s="107">
        <f>L43+(2*(G43-0.07))</f>
        <v>4.22</v>
      </c>
      <c r="N43" s="108">
        <f t="shared" ref="N43" si="28">J43*J43/162</f>
        <v>1.5802469135802468</v>
      </c>
      <c r="O43" s="108">
        <f>M43*K43*N43</f>
        <v>20.005925925925926</v>
      </c>
      <c r="P43" s="109">
        <f>O43*D43</f>
        <v>20.005925925925926</v>
      </c>
      <c r="Q43" s="107">
        <f>E43/2</f>
        <v>1.43</v>
      </c>
      <c r="R43" s="107">
        <f>(2*(F43-0.025))+(2*(G43-0.035))+(2*10*0.008)</f>
        <v>1.9999999999999998</v>
      </c>
      <c r="S43" s="107">
        <v>0.125</v>
      </c>
      <c r="T43" s="110">
        <v>8</v>
      </c>
      <c r="U43" s="111">
        <f>ROUND(IF(S43=0.1,Q43/S43,0),0)</f>
        <v>0</v>
      </c>
      <c r="V43" s="111">
        <f>ROUND(IF(S43=0.125,Q43/S43,0),0)</f>
        <v>11</v>
      </c>
      <c r="W43" s="111">
        <f>ROUND(IF(S43=0.15,Q43/S43,0),0)</f>
        <v>0</v>
      </c>
      <c r="X43" s="111">
        <f t="shared" ref="X43:X44" si="29">ROUND(IF(S43=0.18,Q43/S43,0),0)</f>
        <v>0</v>
      </c>
      <c r="Y43" s="111">
        <f>ROUND(IF(S43=0.2,Q43/S43,0),0)</f>
        <v>0</v>
      </c>
      <c r="Z43" s="111">
        <f>ROUND(IF(S43=0.23,Q43/S43,0),0)</f>
        <v>0</v>
      </c>
      <c r="AA43" s="108">
        <f>((T43*T43)/162)*D43</f>
        <v>0.39506172839506171</v>
      </c>
      <c r="AB43" s="109">
        <f>AA43*R43*(U43+V43+W43+X43+Y43+Z43)*D43</f>
        <v>8.6913580246913558</v>
      </c>
      <c r="AC43" s="108">
        <f>(IF(J43=8,P43,0))+((IF(T43=8,AB43,0)))</f>
        <v>8.6913580246913558</v>
      </c>
      <c r="AD43" s="108">
        <f>(IF(J43=10,P43,0))+((IF(T43=10,AB43,0)))</f>
        <v>0</v>
      </c>
      <c r="AE43" s="108">
        <f>IF(J43=12,P43,0)</f>
        <v>0</v>
      </c>
      <c r="AF43" s="108">
        <f>IF(J43=16,P43,0)</f>
        <v>20.005925925925926</v>
      </c>
      <c r="AG43" s="108">
        <f>IF(J43=20,P43,0)</f>
        <v>0</v>
      </c>
      <c r="AH43" s="108">
        <f>IF(J43=25,P43,0)</f>
        <v>0</v>
      </c>
      <c r="AI43" s="108">
        <f>IF(J43=32,P43,0)</f>
        <v>0</v>
      </c>
    </row>
    <row r="44" spans="1:35" x14ac:dyDescent="0.3">
      <c r="A44" s="104"/>
      <c r="B44" s="105"/>
      <c r="C44" s="105"/>
      <c r="D44" s="104">
        <v>1</v>
      </c>
      <c r="E44" s="105"/>
      <c r="F44" s="105"/>
      <c r="G44" s="105"/>
      <c r="H44" s="103"/>
      <c r="I44" s="105" t="s">
        <v>128</v>
      </c>
      <c r="J44" s="105">
        <v>16</v>
      </c>
      <c r="K44" s="105">
        <v>2</v>
      </c>
      <c r="L44" s="107">
        <f>E43/2</f>
        <v>1.43</v>
      </c>
      <c r="M44" s="107">
        <f>L44+(2*0.38)</f>
        <v>2.19</v>
      </c>
      <c r="N44" s="108">
        <f>J44*J44/162</f>
        <v>1.5802469135802468</v>
      </c>
      <c r="O44" s="108">
        <f>M44*K44*N44</f>
        <v>6.9214814814814813</v>
      </c>
      <c r="P44" s="109">
        <f t="shared" ref="P44:P45" si="30">O44*D44</f>
        <v>6.9214814814814813</v>
      </c>
      <c r="Q44" s="107">
        <f>E43/2</f>
        <v>1.43</v>
      </c>
      <c r="R44" s="107">
        <f>(2*(F43-0.025))+(2*(G43-0.035))+(2*10*0.008)</f>
        <v>1.9999999999999998</v>
      </c>
      <c r="S44" s="108">
        <v>0.15</v>
      </c>
      <c r="T44" s="110">
        <v>8</v>
      </c>
      <c r="U44" s="111">
        <f>ROUND(IF(S44=0.1,Q44/S44,0),0)</f>
        <v>0</v>
      </c>
      <c r="V44" s="111">
        <f>ROUND(IF(S44=0.125,Q44/S44,0),0)</f>
        <v>0</v>
      </c>
      <c r="W44" s="111">
        <f>ROUND(IF(S44=0.15,Q44/S44,0),0)</f>
        <v>10</v>
      </c>
      <c r="X44" s="111">
        <f t="shared" si="29"/>
        <v>0</v>
      </c>
      <c r="Y44" s="111">
        <f>ROUND(IF(S44=0.2,Q44/S44,0),0)</f>
        <v>0</v>
      </c>
      <c r="Z44" s="111">
        <f>ROUND(IF(S44=0.23,Q44/S44,0),0)</f>
        <v>0</v>
      </c>
      <c r="AA44" s="108">
        <f>((T44*T44)/162)*D44</f>
        <v>0.39506172839506171</v>
      </c>
      <c r="AB44" s="109">
        <f>AA44*R44*(U44+V44+W44+X44+Y44+Z44)*D44</f>
        <v>7.9012345679012332</v>
      </c>
      <c r="AC44" s="108">
        <f>(IF(J44=8,P44,0))+((IF(T44=8,AB44,0)))</f>
        <v>7.9012345679012332</v>
      </c>
      <c r="AD44" s="108">
        <f>(IF(J44=10,P44,0))+((IF(T44=10,AB44,0)))</f>
        <v>0</v>
      </c>
      <c r="AE44" s="108">
        <f>IF(J44=12,P44,0)</f>
        <v>0</v>
      </c>
      <c r="AF44" s="108">
        <f>IF(J44=16,P44,0)</f>
        <v>6.9214814814814813</v>
      </c>
      <c r="AG44" s="108">
        <f>IF(J44=20,P44,0)</f>
        <v>0</v>
      </c>
      <c r="AH44" s="108">
        <f>IF(J44=25,P44,0)</f>
        <v>0</v>
      </c>
      <c r="AI44" s="108">
        <f>IF(J44=32,P44,0)</f>
        <v>0</v>
      </c>
    </row>
    <row r="45" spans="1:35" x14ac:dyDescent="0.3">
      <c r="A45" s="104"/>
      <c r="B45" s="105"/>
      <c r="C45" s="105"/>
      <c r="D45" s="104">
        <v>1</v>
      </c>
      <c r="E45" s="105"/>
      <c r="F45" s="105"/>
      <c r="G45" s="105"/>
      <c r="H45" s="103"/>
      <c r="I45" s="105"/>
      <c r="J45" s="105">
        <v>16</v>
      </c>
      <c r="K45" s="105">
        <v>8</v>
      </c>
      <c r="L45" s="107">
        <f>(E43/4)+0.6</f>
        <v>1.3149999999999999</v>
      </c>
      <c r="M45" s="107">
        <f>L45+(G43-0.07)</f>
        <v>1.9949999999999999</v>
      </c>
      <c r="N45" s="108">
        <f t="shared" ref="N45" si="31">J45*J45/162</f>
        <v>1.5802469135802468</v>
      </c>
      <c r="O45" s="108">
        <f>M45*K45*N45</f>
        <v>25.220740740740737</v>
      </c>
      <c r="P45" s="109">
        <f t="shared" si="30"/>
        <v>25.220740740740737</v>
      </c>
      <c r="Q45" s="108"/>
      <c r="R45" s="108"/>
      <c r="S45" s="108"/>
      <c r="T45" s="110"/>
      <c r="U45" s="111"/>
      <c r="V45" s="111"/>
      <c r="W45" s="111"/>
      <c r="X45" s="111"/>
      <c r="Y45" s="111"/>
      <c r="Z45" s="111"/>
      <c r="AA45" s="108"/>
      <c r="AB45" s="109"/>
      <c r="AC45" s="108">
        <f>(IF(J45=8,P45,0))+((IF(T45=8,AB45,0)))</f>
        <v>0</v>
      </c>
      <c r="AD45" s="108">
        <f>(IF(J45=10,P45,0))+((IF(T45=10,AB45,0)))</f>
        <v>0</v>
      </c>
      <c r="AE45" s="108">
        <f>IF(J45=12,P45,0)</f>
        <v>0</v>
      </c>
      <c r="AF45" s="108">
        <f>IF(J45=16,P45,0)</f>
        <v>25.220740740740737</v>
      </c>
      <c r="AG45" s="108">
        <f>IF(J45=20,P45,0)</f>
        <v>0</v>
      </c>
      <c r="AH45" s="108">
        <f>IF(J45=25,P45,0)</f>
        <v>0</v>
      </c>
      <c r="AI45" s="108">
        <f>IF(J45=32,P45,0)</f>
        <v>0</v>
      </c>
    </row>
    <row r="46" spans="1:35" x14ac:dyDescent="0.3">
      <c r="A46" s="104"/>
      <c r="B46" s="105"/>
      <c r="C46" s="105"/>
      <c r="D46" s="104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</row>
    <row r="47" spans="1:35" x14ac:dyDescent="0.3">
      <c r="A47" s="104">
        <v>1</v>
      </c>
      <c r="B47" s="659" t="s">
        <v>137</v>
      </c>
      <c r="C47" s="105"/>
      <c r="D47" s="104">
        <v>1</v>
      </c>
      <c r="E47" s="105">
        <v>2.3650000000000002</v>
      </c>
      <c r="F47" s="105">
        <v>0.23</v>
      </c>
      <c r="G47" s="105">
        <v>0.75</v>
      </c>
      <c r="H47" s="106">
        <f>G47*F47*E47*D47</f>
        <v>0.40796250000000006</v>
      </c>
      <c r="I47" s="105" t="s">
        <v>127</v>
      </c>
      <c r="J47" s="105">
        <v>16</v>
      </c>
      <c r="K47" s="105">
        <v>3</v>
      </c>
      <c r="L47" s="105">
        <f>E47</f>
        <v>2.3650000000000002</v>
      </c>
      <c r="M47" s="107">
        <f>L47+(2*(G47-0.07))</f>
        <v>3.7250000000000001</v>
      </c>
      <c r="N47" s="108">
        <f t="shared" ref="N47" si="32">J47*J47/162</f>
        <v>1.5802469135802468</v>
      </c>
      <c r="O47" s="108">
        <f>M47*K47*N47</f>
        <v>17.659259259259258</v>
      </c>
      <c r="P47" s="109">
        <f>O47*D47</f>
        <v>17.659259259259258</v>
      </c>
      <c r="Q47" s="107">
        <f>E47/2</f>
        <v>1.1825000000000001</v>
      </c>
      <c r="R47" s="107">
        <f>(2*(F47-0.025))+(2*(G47-0.035))+(2*10*0.008)</f>
        <v>1.9999999999999998</v>
      </c>
      <c r="S47" s="107">
        <v>0.125</v>
      </c>
      <c r="T47" s="110">
        <v>8</v>
      </c>
      <c r="U47" s="111">
        <f>ROUND(IF(S47=0.1,Q47/S47,0),0)</f>
        <v>0</v>
      </c>
      <c r="V47" s="111">
        <f>ROUND(IF(S47=0.125,Q47/S47,0),0)</f>
        <v>9</v>
      </c>
      <c r="W47" s="111">
        <f>ROUND(IF(S47=0.15,Q47/S47,0),0)</f>
        <v>0</v>
      </c>
      <c r="X47" s="111">
        <f t="shared" ref="X47:X48" si="33">ROUND(IF(S47=0.18,Q47/S47,0),0)</f>
        <v>0</v>
      </c>
      <c r="Y47" s="111">
        <f>ROUND(IF(S47=0.2,Q47/S47,0),0)</f>
        <v>0</v>
      </c>
      <c r="Z47" s="111">
        <f>ROUND(IF(S47=0.23,Q47/S47,0),0)</f>
        <v>0</v>
      </c>
      <c r="AA47" s="108">
        <f>((T47*T47)/162)*D47</f>
        <v>0.39506172839506171</v>
      </c>
      <c r="AB47" s="109">
        <f>AA47*R47*(U47+V47+W47+X47+Y47+Z47)*D47</f>
        <v>7.1111111111111098</v>
      </c>
      <c r="AC47" s="108">
        <f>(IF(J47=8,P47,0))+((IF(T47=8,AB47,0)))</f>
        <v>7.1111111111111098</v>
      </c>
      <c r="AD47" s="108">
        <f>(IF(J47=10,P47,0))+((IF(T47=10,AB47,0)))</f>
        <v>0</v>
      </c>
      <c r="AE47" s="108">
        <f>IF(J47=12,P47,0)</f>
        <v>0</v>
      </c>
      <c r="AF47" s="108">
        <f>IF(J47=16,P47,0)</f>
        <v>17.659259259259258</v>
      </c>
      <c r="AG47" s="108">
        <f>IF(J47=20,P47,0)</f>
        <v>0</v>
      </c>
      <c r="AH47" s="108">
        <f>IF(J47=25,P47,0)</f>
        <v>0</v>
      </c>
      <c r="AI47" s="108">
        <f>IF(J47=32,P47,0)</f>
        <v>0</v>
      </c>
    </row>
    <row r="48" spans="1:35" x14ac:dyDescent="0.3">
      <c r="A48" s="104"/>
      <c r="B48" s="105"/>
      <c r="C48" s="105"/>
      <c r="D48" s="104">
        <v>1</v>
      </c>
      <c r="E48" s="105"/>
      <c r="F48" s="105"/>
      <c r="G48" s="105"/>
      <c r="H48" s="103"/>
      <c r="I48" s="105" t="s">
        <v>128</v>
      </c>
      <c r="J48" s="105">
        <v>16</v>
      </c>
      <c r="K48" s="105">
        <v>2</v>
      </c>
      <c r="L48" s="107">
        <f>E47/2</f>
        <v>1.1825000000000001</v>
      </c>
      <c r="M48" s="107">
        <f>L48+(2*0.38)</f>
        <v>1.9425000000000001</v>
      </c>
      <c r="N48" s="108">
        <f>J48*J48/162</f>
        <v>1.5802469135802468</v>
      </c>
      <c r="O48" s="108">
        <f>M48*K48*N48</f>
        <v>6.1392592592592594</v>
      </c>
      <c r="P48" s="109">
        <f t="shared" ref="P48:P49" si="34">O48*D48</f>
        <v>6.1392592592592594</v>
      </c>
      <c r="Q48" s="107">
        <f>E47/2</f>
        <v>1.1825000000000001</v>
      </c>
      <c r="R48" s="107">
        <f>(2*(F47-0.025))+(2*(G47-0.035))+(2*10*0.008)</f>
        <v>1.9999999999999998</v>
      </c>
      <c r="S48" s="108">
        <v>0.15</v>
      </c>
      <c r="T48" s="110">
        <v>8</v>
      </c>
      <c r="U48" s="111">
        <f>ROUND(IF(S48=0.1,Q48/S48,0),0)</f>
        <v>0</v>
      </c>
      <c r="V48" s="111">
        <f>ROUND(IF(S48=0.125,Q48/S48,0),0)</f>
        <v>0</v>
      </c>
      <c r="W48" s="111">
        <f>ROUND(IF(S48=0.15,Q48/S48,0),0)</f>
        <v>8</v>
      </c>
      <c r="X48" s="111">
        <f t="shared" si="33"/>
        <v>0</v>
      </c>
      <c r="Y48" s="111">
        <f>ROUND(IF(S48=0.2,Q48/S48,0),0)</f>
        <v>0</v>
      </c>
      <c r="Z48" s="111">
        <f>ROUND(IF(S48=0.23,Q48/S48,0),0)</f>
        <v>0</v>
      </c>
      <c r="AA48" s="108">
        <f>((T48*T48)/162)*D48</f>
        <v>0.39506172839506171</v>
      </c>
      <c r="AB48" s="109">
        <f>AA48*R48*(U48+V48+W48+X48+Y48+Z48)*D48</f>
        <v>6.3209876543209864</v>
      </c>
      <c r="AC48" s="108">
        <f>(IF(J48=8,P48,0))+((IF(T48=8,AB48,0)))</f>
        <v>6.3209876543209864</v>
      </c>
      <c r="AD48" s="108">
        <f>(IF(J48=10,P48,0))+((IF(T48=10,AB48,0)))</f>
        <v>0</v>
      </c>
      <c r="AE48" s="108">
        <f>IF(J48=12,P48,0)</f>
        <v>0</v>
      </c>
      <c r="AF48" s="108">
        <f>IF(J48=16,P48,0)</f>
        <v>6.1392592592592594</v>
      </c>
      <c r="AG48" s="108">
        <f>IF(J48=20,P48,0)</f>
        <v>0</v>
      </c>
      <c r="AH48" s="108">
        <f>IF(J48=25,P48,0)</f>
        <v>0</v>
      </c>
      <c r="AI48" s="108">
        <f>IF(J48=32,P48,0)</f>
        <v>0</v>
      </c>
    </row>
    <row r="49" spans="1:35" x14ac:dyDescent="0.3">
      <c r="A49" s="104"/>
      <c r="B49" s="105"/>
      <c r="C49" s="105"/>
      <c r="D49" s="104">
        <v>1</v>
      </c>
      <c r="E49" s="105"/>
      <c r="F49" s="105"/>
      <c r="G49" s="105"/>
      <c r="H49" s="103"/>
      <c r="I49" s="105"/>
      <c r="J49" s="105">
        <v>16</v>
      </c>
      <c r="K49" s="105">
        <v>8</v>
      </c>
      <c r="L49" s="107">
        <f>(E47/4)+0.6</f>
        <v>1.1912500000000001</v>
      </c>
      <c r="M49" s="107">
        <f>L49+(G47-0.07)</f>
        <v>1.8712500000000001</v>
      </c>
      <c r="N49" s="108">
        <f t="shared" ref="N49" si="35">J49*J49/162</f>
        <v>1.5802469135802468</v>
      </c>
      <c r="O49" s="108">
        <f>M49*K49*N49</f>
        <v>23.656296296296297</v>
      </c>
      <c r="P49" s="109">
        <f t="shared" si="34"/>
        <v>23.656296296296297</v>
      </c>
      <c r="Q49" s="108"/>
      <c r="R49" s="108"/>
      <c r="S49" s="108"/>
      <c r="T49" s="110"/>
      <c r="U49" s="111"/>
      <c r="V49" s="111"/>
      <c r="W49" s="111"/>
      <c r="X49" s="111"/>
      <c r="Y49" s="111"/>
      <c r="Z49" s="111"/>
      <c r="AA49" s="108"/>
      <c r="AB49" s="109"/>
      <c r="AC49" s="108">
        <f>(IF(J49=8,P49,0))+((IF(T49=8,AB49,0)))</f>
        <v>0</v>
      </c>
      <c r="AD49" s="108">
        <f>(IF(J49=10,P49,0))+((IF(T49=10,AB49,0)))</f>
        <v>0</v>
      </c>
      <c r="AE49" s="108">
        <f>IF(J49=12,P49,0)</f>
        <v>0</v>
      </c>
      <c r="AF49" s="108">
        <f>IF(J49=16,P49,0)</f>
        <v>23.656296296296297</v>
      </c>
      <c r="AG49" s="108">
        <f>IF(J49=20,P49,0)</f>
        <v>0</v>
      </c>
      <c r="AH49" s="108">
        <f>IF(J49=25,P49,0)</f>
        <v>0</v>
      </c>
      <c r="AI49" s="108">
        <f>IF(J49=32,P49,0)</f>
        <v>0</v>
      </c>
    </row>
    <row r="50" spans="1:35" x14ac:dyDescent="0.3">
      <c r="A50" s="104"/>
      <c r="B50" s="105"/>
      <c r="C50" s="105"/>
      <c r="D50" s="104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</row>
    <row r="51" spans="1:35" x14ac:dyDescent="0.3">
      <c r="A51" s="114"/>
      <c r="B51" s="115"/>
      <c r="C51" s="115"/>
      <c r="D51" s="114"/>
      <c r="E51" s="115"/>
      <c r="F51" s="115"/>
      <c r="G51" s="115"/>
      <c r="H51" s="116"/>
      <c r="I51" s="115"/>
      <c r="J51" s="115"/>
      <c r="K51" s="115"/>
      <c r="L51" s="117"/>
      <c r="M51" s="117"/>
      <c r="N51" s="118"/>
      <c r="O51" s="118"/>
      <c r="P51" s="119"/>
      <c r="Q51" s="117"/>
      <c r="R51" s="117"/>
      <c r="S51" s="118"/>
      <c r="T51" s="120"/>
      <c r="U51" s="121"/>
      <c r="V51" s="121"/>
      <c r="W51" s="121"/>
      <c r="X51" s="121"/>
      <c r="Y51" s="121"/>
      <c r="Z51" s="121"/>
      <c r="AA51" s="118"/>
      <c r="AB51" s="119"/>
      <c r="AC51" s="118"/>
      <c r="AD51" s="118"/>
      <c r="AE51" s="118"/>
      <c r="AF51" s="118"/>
      <c r="AG51" s="118"/>
      <c r="AH51" s="118"/>
      <c r="AI51" s="118"/>
    </row>
    <row r="52" spans="1:35" x14ac:dyDescent="0.3">
      <c r="A52" s="104">
        <v>1</v>
      </c>
      <c r="B52" s="659" t="s">
        <v>138</v>
      </c>
      <c r="C52" s="105"/>
      <c r="D52" s="104">
        <v>1</v>
      </c>
      <c r="E52" s="105">
        <v>8.58</v>
      </c>
      <c r="F52" s="105">
        <v>0.45</v>
      </c>
      <c r="G52" s="105">
        <v>0.75</v>
      </c>
      <c r="H52" s="106">
        <f>G52*F52*E52*D52</f>
        <v>2.89575</v>
      </c>
      <c r="I52" s="105" t="s">
        <v>127</v>
      </c>
      <c r="J52" s="105">
        <v>25</v>
      </c>
      <c r="K52" s="105">
        <v>6</v>
      </c>
      <c r="L52" s="105">
        <f>E52</f>
        <v>8.58</v>
      </c>
      <c r="M52" s="107">
        <f>L52+(2*(G52-0.07))</f>
        <v>9.94</v>
      </c>
      <c r="N52" s="108">
        <f t="shared" ref="N52" si="36">J52*J52/162</f>
        <v>3.8580246913580245</v>
      </c>
      <c r="O52" s="108">
        <f>M52*K52*N52</f>
        <v>230.09259259259258</v>
      </c>
      <c r="P52" s="109">
        <f>O52*D52</f>
        <v>230.09259259259258</v>
      </c>
      <c r="Q52" s="107">
        <f>E52/2</f>
        <v>4.29</v>
      </c>
      <c r="R52" s="107">
        <f>((2*((F52/2)-0.0125))+(2*(G52-0.035))+(2*10*0.008))*2</f>
        <v>4.03</v>
      </c>
      <c r="S52" s="107">
        <v>0.125</v>
      </c>
      <c r="T52" s="110">
        <v>8</v>
      </c>
      <c r="U52" s="111">
        <f>ROUND(IF(S52=0.1,Q52/S52,0),0)</f>
        <v>0</v>
      </c>
      <c r="V52" s="111">
        <f>ROUND(IF(S52=0.125,Q52/S52,0),0)</f>
        <v>34</v>
      </c>
      <c r="W52" s="111">
        <f>ROUND(IF(S52=0.15,Q52/S52,0),0)</f>
        <v>0</v>
      </c>
      <c r="X52" s="111">
        <f t="shared" ref="X52:X53" si="37">ROUND(IF(S52=0.18,Q52/S52,0),0)</f>
        <v>0</v>
      </c>
      <c r="Y52" s="111">
        <f>ROUND(IF(S52=0.2,Q52/S52,0),0)</f>
        <v>0</v>
      </c>
      <c r="Z52" s="111">
        <f>ROUND(IF(S52=0.23,Q52/S52,0),0)</f>
        <v>0</v>
      </c>
      <c r="AA52" s="108">
        <f>((T52*T52)/162)*D52</f>
        <v>0.39506172839506171</v>
      </c>
      <c r="AB52" s="109">
        <f>AA52*R52*(U52+V52+W52+X52+Y52+Z52)*D52</f>
        <v>54.131358024691359</v>
      </c>
      <c r="AC52" s="108">
        <f>(IF(J52=8,P52,0))+((IF(T52=8,AB52,0)))</f>
        <v>54.131358024691359</v>
      </c>
      <c r="AD52" s="108">
        <f>(IF(J52=10,P52,0))+((IF(T52=10,AB52,0)))</f>
        <v>0</v>
      </c>
      <c r="AE52" s="108">
        <f>IF(J52=12,P52,0)</f>
        <v>0</v>
      </c>
      <c r="AF52" s="108">
        <f>IF(J52=16,P52,0)</f>
        <v>0</v>
      </c>
      <c r="AG52" s="108">
        <f>IF(J52=20,P52,0)</f>
        <v>0</v>
      </c>
      <c r="AH52" s="108">
        <f>IF(J52=25,P52,0)</f>
        <v>230.09259259259258</v>
      </c>
      <c r="AI52" s="108">
        <f>IF(J52=32,P52,0)</f>
        <v>0</v>
      </c>
    </row>
    <row r="53" spans="1:35" x14ac:dyDescent="0.3">
      <c r="A53" s="104"/>
      <c r="B53" s="105"/>
      <c r="C53" s="105"/>
      <c r="D53" s="104">
        <v>1</v>
      </c>
      <c r="E53" s="105"/>
      <c r="F53" s="105"/>
      <c r="G53" s="105"/>
      <c r="H53" s="103"/>
      <c r="I53" s="105" t="s">
        <v>128</v>
      </c>
      <c r="J53" s="105">
        <v>16</v>
      </c>
      <c r="K53" s="105">
        <v>4</v>
      </c>
      <c r="L53" s="107">
        <f>E52/2</f>
        <v>4.29</v>
      </c>
      <c r="M53" s="107">
        <f>L53+(2*0.38)</f>
        <v>5.05</v>
      </c>
      <c r="N53" s="108">
        <f>J53*J53/162</f>
        <v>1.5802469135802468</v>
      </c>
      <c r="O53" s="108">
        <f>M53*K53*N53</f>
        <v>31.920987654320985</v>
      </c>
      <c r="P53" s="109">
        <f t="shared" ref="P53:P56" si="38">O53*D53</f>
        <v>31.920987654320985</v>
      </c>
      <c r="Q53" s="107">
        <f>E52/2</f>
        <v>4.29</v>
      </c>
      <c r="R53" s="107">
        <f>((2*((F52/2)-0.0125))+(2*(G52-0.035))+(2*10*0.008))*2</f>
        <v>4.03</v>
      </c>
      <c r="S53" s="107">
        <v>0.18</v>
      </c>
      <c r="T53" s="110">
        <v>8</v>
      </c>
      <c r="U53" s="111">
        <f>ROUND(IF(S53=0.1,Q53/S53,0),0)</f>
        <v>0</v>
      </c>
      <c r="V53" s="111">
        <f>ROUND(IF(S53=0.125,Q53/S53,0),0)</f>
        <v>0</v>
      </c>
      <c r="W53" s="111">
        <f>ROUND(IF(S53=0.15,Q53/S53,0),0)</f>
        <v>0</v>
      </c>
      <c r="X53" s="111">
        <f t="shared" si="37"/>
        <v>24</v>
      </c>
      <c r="Y53" s="111">
        <f>ROUND(IF(S53=0.2,Q53/S53,0),0)</f>
        <v>0</v>
      </c>
      <c r="Z53" s="111">
        <f>ROUND(IF(S53=0.23,Q53/S53,0),0)</f>
        <v>0</v>
      </c>
      <c r="AA53" s="108">
        <f>((T53*T53)/162)*D53</f>
        <v>0.39506172839506171</v>
      </c>
      <c r="AB53" s="109">
        <f>AA53*R53*(U53+V53+W53+X53+Y53+Z53)*D53</f>
        <v>38.21037037037037</v>
      </c>
      <c r="AC53" s="108">
        <f>(IF(J53=8,P53,0))+((IF(T53=8,AB53,0)))</f>
        <v>38.21037037037037</v>
      </c>
      <c r="AD53" s="108">
        <f>(IF(J53=10,P53,0))+((IF(T53=10,AB53,0)))</f>
        <v>0</v>
      </c>
      <c r="AE53" s="108">
        <f>IF(J53=12,P53,0)</f>
        <v>0</v>
      </c>
      <c r="AF53" s="108">
        <f>IF(J53=16,P53,0)</f>
        <v>31.920987654320985</v>
      </c>
      <c r="AG53" s="108">
        <f>IF(J53=20,P53,0)</f>
        <v>0</v>
      </c>
      <c r="AH53" s="108">
        <f>IF(J53=25,P53,0)</f>
        <v>0</v>
      </c>
      <c r="AI53" s="108">
        <f>IF(J53=32,P53,0)</f>
        <v>0</v>
      </c>
    </row>
    <row r="54" spans="1:35" x14ac:dyDescent="0.3">
      <c r="A54" s="104"/>
      <c r="B54" s="105"/>
      <c r="C54" s="105"/>
      <c r="D54" s="104">
        <v>1</v>
      </c>
      <c r="E54" s="105"/>
      <c r="F54" s="105"/>
      <c r="G54" s="105"/>
      <c r="H54" s="103"/>
      <c r="I54" s="105"/>
      <c r="J54" s="105">
        <v>25</v>
      </c>
      <c r="K54" s="105">
        <v>7</v>
      </c>
      <c r="L54" s="107">
        <f>(E52/4)+0.6</f>
        <v>2.7450000000000001</v>
      </c>
      <c r="M54" s="107">
        <f>L54+(G52-0.07)</f>
        <v>3.4249999999999998</v>
      </c>
      <c r="N54" s="108">
        <f t="shared" ref="N54:N56" si="39">J54*J54/162</f>
        <v>3.8580246913580245</v>
      </c>
      <c r="O54" s="108">
        <f>M54*K54*N54</f>
        <v>92.496141975308632</v>
      </c>
      <c r="P54" s="109">
        <f t="shared" si="38"/>
        <v>92.496141975308632</v>
      </c>
      <c r="Q54" s="108"/>
      <c r="R54" s="108"/>
      <c r="S54" s="108"/>
      <c r="T54" s="110"/>
      <c r="U54" s="111"/>
      <c r="V54" s="111"/>
      <c r="W54" s="111"/>
      <c r="X54" s="111"/>
      <c r="Y54" s="111"/>
      <c r="Z54" s="111"/>
      <c r="AA54" s="108"/>
      <c r="AB54" s="109"/>
      <c r="AC54" s="108">
        <f>(IF(J54=8,P54,0))+((IF(T54=8,AB54,0)))</f>
        <v>0</v>
      </c>
      <c r="AD54" s="108">
        <f>(IF(J54=10,P54,0))+((IF(T54=10,AB54,0)))</f>
        <v>0</v>
      </c>
      <c r="AE54" s="108">
        <f>IF(J54=12,P54,0)</f>
        <v>0</v>
      </c>
      <c r="AF54" s="108">
        <f>IF(J54=16,P54,0)</f>
        <v>0</v>
      </c>
      <c r="AG54" s="108">
        <f>IF(J54=20,P54,0)</f>
        <v>0</v>
      </c>
      <c r="AH54" s="108">
        <f>IF(J54=25,P54,0)</f>
        <v>92.496141975308632</v>
      </c>
      <c r="AI54" s="108">
        <f>IF(J54=32,P54,0)</f>
        <v>0</v>
      </c>
    </row>
    <row r="55" spans="1:35" x14ac:dyDescent="0.3">
      <c r="A55" s="104"/>
      <c r="B55" s="105"/>
      <c r="C55" s="105"/>
      <c r="D55" s="104">
        <v>1</v>
      </c>
      <c r="E55" s="105"/>
      <c r="F55" s="105"/>
      <c r="G55" s="105"/>
      <c r="H55" s="105"/>
      <c r="I55" s="105"/>
      <c r="J55" s="112">
        <v>16</v>
      </c>
      <c r="K55" s="112">
        <v>4</v>
      </c>
      <c r="L55" s="107">
        <f>(E52/4)+0.6</f>
        <v>2.7450000000000001</v>
      </c>
      <c r="M55" s="107">
        <f>L55+(G52-0.07)</f>
        <v>3.4249999999999998</v>
      </c>
      <c r="N55" s="113">
        <f t="shared" si="39"/>
        <v>1.5802469135802468</v>
      </c>
      <c r="O55" s="113">
        <f>M55*K55*N55</f>
        <v>21.649382716049381</v>
      </c>
      <c r="P55" s="109">
        <f t="shared" si="38"/>
        <v>21.649382716049381</v>
      </c>
      <c r="Q55" s="108"/>
      <c r="R55" s="108"/>
      <c r="S55" s="108"/>
      <c r="T55" s="110"/>
      <c r="U55" s="111"/>
      <c r="V55" s="111"/>
      <c r="W55" s="111"/>
      <c r="X55" s="111"/>
      <c r="Y55" s="111"/>
      <c r="Z55" s="111"/>
      <c r="AA55" s="108"/>
      <c r="AB55" s="109"/>
      <c r="AC55" s="108">
        <f>(IF(J55=8,P55,0))+((IF(T55=8,AB55,0)))</f>
        <v>0</v>
      </c>
      <c r="AD55" s="108">
        <f>(IF(J55=10,P55,0))+((IF(T55=10,AB55,0)))</f>
        <v>0</v>
      </c>
      <c r="AE55" s="108">
        <f>IF(J55=12,P55,0)</f>
        <v>0</v>
      </c>
      <c r="AF55" s="108">
        <f>IF(J55=16,P55,0)</f>
        <v>21.649382716049381</v>
      </c>
      <c r="AG55" s="108">
        <f>IF(J55=20,P55,0)</f>
        <v>0</v>
      </c>
      <c r="AH55" s="108">
        <f>IF(J55=25,P55,0)</f>
        <v>0</v>
      </c>
      <c r="AI55" s="108">
        <f>IF(J55=32,P55,0)</f>
        <v>0</v>
      </c>
    </row>
    <row r="56" spans="1:35" x14ac:dyDescent="0.3">
      <c r="A56" s="104"/>
      <c r="B56" s="105"/>
      <c r="C56" s="105"/>
      <c r="D56" s="104">
        <v>1</v>
      </c>
      <c r="E56" s="105"/>
      <c r="F56" s="105"/>
      <c r="G56" s="105"/>
      <c r="H56" s="105"/>
      <c r="I56" s="105"/>
      <c r="J56" s="105">
        <v>25</v>
      </c>
      <c r="K56" s="105">
        <v>2</v>
      </c>
      <c r="L56" s="107">
        <f>(E52/4)+0.6</f>
        <v>2.7450000000000001</v>
      </c>
      <c r="M56" s="107">
        <f>L56+(G52-0.07)</f>
        <v>3.4249999999999998</v>
      </c>
      <c r="N56" s="105">
        <f t="shared" si="39"/>
        <v>3.8580246913580245</v>
      </c>
      <c r="O56" s="113">
        <f>M56*K56*N56</f>
        <v>26.427469135802468</v>
      </c>
      <c r="P56" s="109">
        <f t="shared" si="38"/>
        <v>26.427469135802468</v>
      </c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</row>
    <row r="58" spans="1:35" x14ac:dyDescent="0.3">
      <c r="A58" s="104">
        <v>1</v>
      </c>
      <c r="B58" s="659" t="s">
        <v>139</v>
      </c>
      <c r="C58" s="105"/>
      <c r="D58" s="104">
        <v>1</v>
      </c>
      <c r="E58" s="105">
        <v>5.8</v>
      </c>
      <c r="F58" s="105">
        <v>0.23</v>
      </c>
      <c r="G58" s="105">
        <v>0.75</v>
      </c>
      <c r="H58" s="106">
        <f>G58*F58*E58*D58</f>
        <v>1.0004999999999999</v>
      </c>
      <c r="I58" s="105" t="s">
        <v>127</v>
      </c>
      <c r="J58" s="105">
        <v>25</v>
      </c>
      <c r="K58" s="105">
        <v>4</v>
      </c>
      <c r="L58" s="105">
        <f>E58</f>
        <v>5.8</v>
      </c>
      <c r="M58" s="107">
        <f>L58+(2*(G58-0.07))</f>
        <v>7.16</v>
      </c>
      <c r="N58" s="108">
        <f t="shared" ref="N58" si="40">J58*J58/162</f>
        <v>3.8580246913580245</v>
      </c>
      <c r="O58" s="108">
        <f>M58*K58*N58</f>
        <v>110.49382716049382</v>
      </c>
      <c r="P58" s="109">
        <f>O58*D58</f>
        <v>110.49382716049382</v>
      </c>
      <c r="Q58" s="107">
        <f>E58/2</f>
        <v>2.9</v>
      </c>
      <c r="R58" s="107">
        <f>(2*(F58-0.025))+(2*(G58-0.035))+(2*10*0.008)</f>
        <v>1.9999999999999998</v>
      </c>
      <c r="S58" s="107">
        <v>0.1</v>
      </c>
      <c r="T58" s="110">
        <v>8</v>
      </c>
      <c r="U58" s="111">
        <f>ROUND(IF(S58=0.1,Q58/S58,0),0)</f>
        <v>29</v>
      </c>
      <c r="V58" s="111">
        <f>ROUND(IF(S58=0.125,Q58/S58,0),0)</f>
        <v>0</v>
      </c>
      <c r="W58" s="111">
        <f>ROUND(IF(S58=0.15,Q58/S58,0),0)</f>
        <v>0</v>
      </c>
      <c r="X58" s="111">
        <f t="shared" ref="X58:X59" si="41">ROUND(IF(S58=0.18,Q58/S58,0),0)</f>
        <v>0</v>
      </c>
      <c r="Y58" s="111">
        <f>ROUND(IF(S58=0.2,Q58/S58,0),0)</f>
        <v>0</v>
      </c>
      <c r="Z58" s="111">
        <f>ROUND(IF(S58=0.23,Q58/S58,0),0)</f>
        <v>0</v>
      </c>
      <c r="AA58" s="108">
        <f>((T58*T58)/162)*D58</f>
        <v>0.39506172839506171</v>
      </c>
      <c r="AB58" s="109">
        <f>AA58*R58*(U58+V58+W58+X58+Y58+Z58)*D58</f>
        <v>22.913580246913575</v>
      </c>
      <c r="AC58" s="108">
        <f>(IF(J58=8,P58,0))+((IF(T58=8,AB58,0)))</f>
        <v>22.913580246913575</v>
      </c>
      <c r="AD58" s="108">
        <f>(IF(J58=10,P58,0))+((IF(T58=10,AB58,0)))</f>
        <v>0</v>
      </c>
      <c r="AE58" s="108">
        <f>IF(J58=12,P58,0)</f>
        <v>0</v>
      </c>
      <c r="AF58" s="108">
        <f>IF(J58=16,P58,0)</f>
        <v>0</v>
      </c>
      <c r="AG58" s="108">
        <f>IF(J58=20,P58,0)</f>
        <v>0</v>
      </c>
      <c r="AH58" s="108">
        <f>IF(J58=25,P58,0)</f>
        <v>110.49382716049382</v>
      </c>
      <c r="AI58" s="108">
        <f>IF(J58=32,P58,0)</f>
        <v>0</v>
      </c>
    </row>
    <row r="59" spans="1:35" x14ac:dyDescent="0.3">
      <c r="A59" s="104"/>
      <c r="B59" s="105"/>
      <c r="C59" s="105"/>
      <c r="D59" s="104">
        <v>1</v>
      </c>
      <c r="E59" s="105"/>
      <c r="F59" s="105"/>
      <c r="G59" s="105"/>
      <c r="H59" s="103"/>
      <c r="I59" s="105" t="s">
        <v>128</v>
      </c>
      <c r="J59" s="105">
        <v>25</v>
      </c>
      <c r="K59" s="105">
        <v>4</v>
      </c>
      <c r="L59" s="107">
        <f>E58/2</f>
        <v>2.9</v>
      </c>
      <c r="M59" s="107">
        <f>L59+(2*0.38)</f>
        <v>3.66</v>
      </c>
      <c r="N59" s="108">
        <f>J59*J59/162</f>
        <v>3.8580246913580245</v>
      </c>
      <c r="O59" s="108">
        <f>M59*K59*N59</f>
        <v>56.481481481481481</v>
      </c>
      <c r="P59" s="109">
        <f t="shared" ref="P59:P60" si="42">O59*D59</f>
        <v>56.481481481481481</v>
      </c>
      <c r="Q59" s="107">
        <f>E58/2</f>
        <v>2.9</v>
      </c>
      <c r="R59" s="107">
        <f>(2*(F58-0.025))+(2*(G58-0.035))+(2*10*0.008)</f>
        <v>1.9999999999999998</v>
      </c>
      <c r="S59" s="108">
        <v>0.1</v>
      </c>
      <c r="T59" s="110">
        <v>10</v>
      </c>
      <c r="U59" s="111">
        <f>ROUND(IF(S59=0.1,Q59/S59,0),0)</f>
        <v>29</v>
      </c>
      <c r="V59" s="111">
        <f>ROUND(IF(S59=0.125,Q59/S59,0),0)</f>
        <v>0</v>
      </c>
      <c r="W59" s="111">
        <f>ROUND(IF(S59=0.15,Q59/S59,0),0)</f>
        <v>0</v>
      </c>
      <c r="X59" s="111">
        <f t="shared" si="41"/>
        <v>0</v>
      </c>
      <c r="Y59" s="111">
        <f>ROUND(IF(S59=0.2,Q59/S59,0),0)</f>
        <v>0</v>
      </c>
      <c r="Z59" s="111">
        <f>ROUND(IF(S59=0.23,Q59/S59,0),0)</f>
        <v>0</v>
      </c>
      <c r="AA59" s="108">
        <f>((T59*T59)/162)*D59</f>
        <v>0.61728395061728392</v>
      </c>
      <c r="AB59" s="109">
        <f>AA59*R59*(U59+V59+W59+X59+Y59+Z59)*D59</f>
        <v>35.802469135802461</v>
      </c>
      <c r="AC59" s="108">
        <f>(IF(J59=8,P59,0))+((IF(T59=8,AB59,0)))</f>
        <v>0</v>
      </c>
      <c r="AD59" s="108">
        <f>(IF(J59=10,P59,0))+((IF(T59=10,AB59,0)))</f>
        <v>35.802469135802461</v>
      </c>
      <c r="AE59" s="108">
        <f>IF(J59=12,P59,0)</f>
        <v>0</v>
      </c>
      <c r="AF59" s="108">
        <f>IF(J59=16,P59,0)</f>
        <v>0</v>
      </c>
      <c r="AG59" s="108">
        <f>IF(J59=20,P59,0)</f>
        <v>0</v>
      </c>
      <c r="AH59" s="108">
        <f>IF(J59=25,P59,0)</f>
        <v>56.481481481481481</v>
      </c>
      <c r="AI59" s="108">
        <f>IF(J59=32,P59,0)</f>
        <v>0</v>
      </c>
    </row>
    <row r="60" spans="1:35" x14ac:dyDescent="0.3">
      <c r="A60" s="104"/>
      <c r="B60" s="105"/>
      <c r="C60" s="105"/>
      <c r="D60" s="104">
        <v>1</v>
      </c>
      <c r="E60" s="105"/>
      <c r="F60" s="105"/>
      <c r="G60" s="105"/>
      <c r="H60" s="103"/>
      <c r="I60" s="105"/>
      <c r="J60" s="105">
        <v>25</v>
      </c>
      <c r="K60" s="105">
        <v>12</v>
      </c>
      <c r="L60" s="107">
        <f>(E58/4)+0.6</f>
        <v>2.0499999999999998</v>
      </c>
      <c r="M60" s="107">
        <f>L60+(G58-0.07)</f>
        <v>2.7299999999999995</v>
      </c>
      <c r="N60" s="108">
        <f t="shared" ref="N60" si="43">J60*J60/162</f>
        <v>3.8580246913580245</v>
      </c>
      <c r="O60" s="108">
        <f>M60*K60*N60</f>
        <v>126.38888888888884</v>
      </c>
      <c r="P60" s="109">
        <f t="shared" si="42"/>
        <v>126.38888888888884</v>
      </c>
      <c r="Q60" s="108"/>
      <c r="R60" s="108"/>
      <c r="S60" s="108"/>
      <c r="T60" s="110"/>
      <c r="U60" s="111"/>
      <c r="V60" s="111"/>
      <c r="W60" s="111"/>
      <c r="X60" s="111"/>
      <c r="Y60" s="111"/>
      <c r="Z60" s="111"/>
      <c r="AA60" s="108"/>
      <c r="AB60" s="109"/>
      <c r="AC60" s="108">
        <f>(IF(J60=8,P60,0))+((IF(T60=8,AB60,0)))</f>
        <v>0</v>
      </c>
      <c r="AD60" s="108">
        <f>(IF(J60=10,P60,0))+((IF(T60=10,AB60,0)))</f>
        <v>0</v>
      </c>
      <c r="AE60" s="108">
        <f>IF(J60=12,P60,0)</f>
        <v>0</v>
      </c>
      <c r="AF60" s="108">
        <f>IF(J60=16,P60,0)</f>
        <v>0</v>
      </c>
      <c r="AG60" s="108">
        <f>IF(J60=20,P60,0)</f>
        <v>0</v>
      </c>
      <c r="AH60" s="108">
        <f>IF(J60=25,P60,0)</f>
        <v>126.38888888888884</v>
      </c>
      <c r="AI60" s="108">
        <f>IF(J60=32,P60,0)</f>
        <v>0</v>
      </c>
    </row>
    <row r="61" spans="1:35" x14ac:dyDescent="0.3">
      <c r="A61" s="104"/>
      <c r="B61" s="105"/>
      <c r="C61" s="105"/>
      <c r="D61" s="104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</row>
    <row r="62" spans="1:35" x14ac:dyDescent="0.3">
      <c r="A62" s="104">
        <v>1</v>
      </c>
      <c r="B62" s="659" t="s">
        <v>140</v>
      </c>
      <c r="C62" s="105"/>
      <c r="D62" s="104">
        <v>1</v>
      </c>
      <c r="E62" s="105">
        <v>5.2</v>
      </c>
      <c r="F62" s="105">
        <v>0.23</v>
      </c>
      <c r="G62" s="105">
        <v>0.75</v>
      </c>
      <c r="H62" s="106">
        <f>G62*F62*E62*D62</f>
        <v>0.89700000000000013</v>
      </c>
      <c r="I62" s="105" t="s">
        <v>127</v>
      </c>
      <c r="J62" s="105">
        <v>25</v>
      </c>
      <c r="K62" s="105">
        <v>4</v>
      </c>
      <c r="L62" s="105">
        <f>E62</f>
        <v>5.2</v>
      </c>
      <c r="M62" s="107">
        <f>L62+(2*(G62-0.07))</f>
        <v>6.5600000000000005</v>
      </c>
      <c r="N62" s="108">
        <f t="shared" ref="N62" si="44">J62*J62/162</f>
        <v>3.8580246913580245</v>
      </c>
      <c r="O62" s="108">
        <f>M62*K62*N62</f>
        <v>101.23456790123457</v>
      </c>
      <c r="P62" s="109">
        <f>O62*D62</f>
        <v>101.23456790123457</v>
      </c>
      <c r="Q62" s="107">
        <f>E62/2</f>
        <v>2.6</v>
      </c>
      <c r="R62" s="107">
        <f>(2*(F62-0.025))+(2*(G62-0.035))+(2*10*0.008)</f>
        <v>1.9999999999999998</v>
      </c>
      <c r="S62" s="107">
        <v>0.1</v>
      </c>
      <c r="T62" s="110">
        <v>8</v>
      </c>
      <c r="U62" s="111">
        <f>ROUND(IF(S62=0.1,Q62/S62,0),0)</f>
        <v>26</v>
      </c>
      <c r="V62" s="111">
        <f>ROUND(IF(S62=0.125,Q62/S62,0),0)</f>
        <v>0</v>
      </c>
      <c r="W62" s="111">
        <f>ROUND(IF(S62=0.15,Q62/S62,0),0)</f>
        <v>0</v>
      </c>
      <c r="X62" s="111">
        <f t="shared" ref="X62:X63" si="45">ROUND(IF(S62=0.18,Q62/S62,0),0)</f>
        <v>0</v>
      </c>
      <c r="Y62" s="111">
        <f>ROUND(IF(S62=0.2,Q62/S62,0),0)</f>
        <v>0</v>
      </c>
      <c r="Z62" s="111">
        <f>ROUND(IF(S62=0.23,Q62/S62,0),0)</f>
        <v>0</v>
      </c>
      <c r="AA62" s="108">
        <f>((T62*T62)/162)*D62</f>
        <v>0.39506172839506171</v>
      </c>
      <c r="AB62" s="109">
        <f>AA62*R62*(U62+V62+W62+X62+Y62+Z62)*D62</f>
        <v>20.543209876543205</v>
      </c>
      <c r="AC62" s="108">
        <f>(IF(J62=8,P62,0))+((IF(T62=8,AB62,0)))</f>
        <v>20.543209876543205</v>
      </c>
      <c r="AD62" s="108">
        <f>(IF(J62=10,P62,0))+((IF(T62=10,AB62,0)))</f>
        <v>0</v>
      </c>
      <c r="AE62" s="108">
        <f>IF(J62=12,P62,0)</f>
        <v>0</v>
      </c>
      <c r="AF62" s="108">
        <f>IF(J62=16,P62,0)</f>
        <v>0</v>
      </c>
      <c r="AG62" s="108">
        <f>IF(J62=20,P62,0)</f>
        <v>0</v>
      </c>
      <c r="AH62" s="108">
        <f>IF(J62=25,P62,0)</f>
        <v>101.23456790123457</v>
      </c>
      <c r="AI62" s="108">
        <f>IF(J62=32,P62,0)</f>
        <v>0</v>
      </c>
    </row>
    <row r="63" spans="1:35" x14ac:dyDescent="0.3">
      <c r="A63" s="104"/>
      <c r="B63" s="105"/>
      <c r="C63" s="105"/>
      <c r="D63" s="104">
        <v>1</v>
      </c>
      <c r="E63" s="105"/>
      <c r="F63" s="105"/>
      <c r="G63" s="105"/>
      <c r="H63" s="103"/>
      <c r="I63" s="105" t="s">
        <v>128</v>
      </c>
      <c r="J63" s="105">
        <v>25</v>
      </c>
      <c r="K63" s="105">
        <v>4</v>
      </c>
      <c r="L63" s="107">
        <f>E62/2</f>
        <v>2.6</v>
      </c>
      <c r="M63" s="107">
        <f>L63+(2*0.38)</f>
        <v>3.3600000000000003</v>
      </c>
      <c r="N63" s="108">
        <f>J63*J63/162</f>
        <v>3.8580246913580245</v>
      </c>
      <c r="O63" s="108">
        <f>M63*K63*N63</f>
        <v>51.851851851851855</v>
      </c>
      <c r="P63" s="109">
        <f t="shared" ref="P63:P64" si="46">O63*D63</f>
        <v>51.851851851851855</v>
      </c>
      <c r="Q63" s="107">
        <f>E62/2</f>
        <v>2.6</v>
      </c>
      <c r="R63" s="107">
        <f>(2*(F62-0.025))+(2*(G62-0.035))+(2*10*0.008)</f>
        <v>1.9999999999999998</v>
      </c>
      <c r="S63" s="108">
        <v>0.1</v>
      </c>
      <c r="T63" s="110">
        <v>10</v>
      </c>
      <c r="U63" s="111">
        <f>ROUND(IF(S63=0.1,Q63/S63,0),0)</f>
        <v>26</v>
      </c>
      <c r="V63" s="111">
        <f>ROUND(IF(S63=0.125,Q63/S63,0),0)</f>
        <v>0</v>
      </c>
      <c r="W63" s="111">
        <f>ROUND(IF(S63=0.15,Q63/S63,0),0)</f>
        <v>0</v>
      </c>
      <c r="X63" s="111">
        <f t="shared" si="45"/>
        <v>0</v>
      </c>
      <c r="Y63" s="111">
        <f>ROUND(IF(S63=0.2,Q63/S63,0),0)</f>
        <v>0</v>
      </c>
      <c r="Z63" s="111">
        <f>ROUND(IF(S63=0.23,Q63/S63,0),0)</f>
        <v>0</v>
      </c>
      <c r="AA63" s="108">
        <f>((T63*T63)/162)*D63</f>
        <v>0.61728395061728392</v>
      </c>
      <c r="AB63" s="109">
        <f>AA63*R63*(U63+V63+W63+X63+Y63+Z63)*D63</f>
        <v>32.098765432098759</v>
      </c>
      <c r="AC63" s="108">
        <f>(IF(J63=8,P63,0))+((IF(T63=8,AB63,0)))</f>
        <v>0</v>
      </c>
      <c r="AD63" s="108">
        <f>(IF(J63=10,P63,0))+((IF(T63=10,AB63,0)))</f>
        <v>32.098765432098759</v>
      </c>
      <c r="AE63" s="108">
        <f>IF(J63=12,P63,0)</f>
        <v>0</v>
      </c>
      <c r="AF63" s="108">
        <f>IF(J63=16,P63,0)</f>
        <v>0</v>
      </c>
      <c r="AG63" s="108">
        <f>IF(J63=20,P63,0)</f>
        <v>0</v>
      </c>
      <c r="AH63" s="108">
        <f>IF(J63=25,P63,0)</f>
        <v>51.851851851851855</v>
      </c>
      <c r="AI63" s="108">
        <f>IF(J63=32,P63,0)</f>
        <v>0</v>
      </c>
    </row>
    <row r="64" spans="1:35" x14ac:dyDescent="0.3">
      <c r="A64" s="104"/>
      <c r="B64" s="105"/>
      <c r="C64" s="105"/>
      <c r="D64" s="104">
        <v>1</v>
      </c>
      <c r="E64" s="105"/>
      <c r="F64" s="105"/>
      <c r="G64" s="105"/>
      <c r="H64" s="103"/>
      <c r="I64" s="105"/>
      <c r="J64" s="105">
        <v>25</v>
      </c>
      <c r="K64" s="105">
        <v>12</v>
      </c>
      <c r="L64" s="107">
        <f>(E62/4)+0.6</f>
        <v>1.9</v>
      </c>
      <c r="M64" s="107">
        <f>L64+(G62-0.07)</f>
        <v>2.58</v>
      </c>
      <c r="N64" s="108">
        <f t="shared" ref="N64" si="47">J64*J64/162</f>
        <v>3.8580246913580245</v>
      </c>
      <c r="O64" s="108">
        <f>M64*K64*N64</f>
        <v>119.44444444444444</v>
      </c>
      <c r="P64" s="109">
        <f t="shared" si="46"/>
        <v>119.44444444444444</v>
      </c>
      <c r="Q64" s="108"/>
      <c r="R64" s="108"/>
      <c r="S64" s="108"/>
      <c r="T64" s="110"/>
      <c r="U64" s="111"/>
      <c r="V64" s="111"/>
      <c r="W64" s="111"/>
      <c r="X64" s="111"/>
      <c r="Y64" s="111"/>
      <c r="Z64" s="111"/>
      <c r="AA64" s="108"/>
      <c r="AB64" s="109"/>
      <c r="AC64" s="108">
        <f>(IF(J64=8,P64,0))+((IF(T64=8,AB64,0)))</f>
        <v>0</v>
      </c>
      <c r="AD64" s="108">
        <f>(IF(J64=10,P64,0))+((IF(T64=10,AB64,0)))</f>
        <v>0</v>
      </c>
      <c r="AE64" s="108">
        <f>IF(J64=12,P64,0)</f>
        <v>0</v>
      </c>
      <c r="AF64" s="108">
        <f>IF(J64=16,P64,0)</f>
        <v>0</v>
      </c>
      <c r="AG64" s="108">
        <f>IF(J64=20,P64,0)</f>
        <v>0</v>
      </c>
      <c r="AH64" s="108">
        <f>IF(J64=25,P64,0)</f>
        <v>119.44444444444444</v>
      </c>
      <c r="AI64" s="108">
        <f>IF(J64=32,P64,0)</f>
        <v>0</v>
      </c>
    </row>
    <row r="65" spans="1:35" x14ac:dyDescent="0.3">
      <c r="A65" s="104"/>
      <c r="B65" s="105"/>
      <c r="C65" s="105"/>
      <c r="D65" s="104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</row>
    <row r="66" spans="1:35" x14ac:dyDescent="0.3">
      <c r="A66" s="104">
        <v>1</v>
      </c>
      <c r="B66" s="659" t="s">
        <v>141</v>
      </c>
      <c r="C66" s="105"/>
      <c r="D66" s="104">
        <v>1</v>
      </c>
      <c r="E66" s="105">
        <v>8.14</v>
      </c>
      <c r="F66" s="105">
        <v>0.38</v>
      </c>
      <c r="G66" s="105">
        <v>0.75</v>
      </c>
      <c r="H66" s="106">
        <f>G66*F66*E66*D66</f>
        <v>2.3199000000000005</v>
      </c>
      <c r="I66" s="105" t="s">
        <v>127</v>
      </c>
      <c r="J66" s="105">
        <v>25</v>
      </c>
      <c r="K66" s="105">
        <v>5</v>
      </c>
      <c r="L66" s="105">
        <f>E66</f>
        <v>8.14</v>
      </c>
      <c r="M66" s="107">
        <f>L66+(2*(G66-0.07))</f>
        <v>9.5</v>
      </c>
      <c r="N66" s="108">
        <f t="shared" ref="N66" si="48">J66*J66/162</f>
        <v>3.8580246913580245</v>
      </c>
      <c r="O66" s="108">
        <f>M66*K66*N66</f>
        <v>183.25617283950618</v>
      </c>
      <c r="P66" s="109">
        <f>O66*D66</f>
        <v>183.25617283950618</v>
      </c>
      <c r="Q66" s="107">
        <f>E66/2</f>
        <v>4.07</v>
      </c>
      <c r="R66" s="107">
        <f>((2*((F66/2)-0.0125))+(2*(G66-0.035))+(2*10*0.008))*2</f>
        <v>3.8899999999999997</v>
      </c>
      <c r="S66" s="107">
        <v>0.125</v>
      </c>
      <c r="T66" s="110">
        <v>8</v>
      </c>
      <c r="U66" s="111">
        <f>ROUND(IF(S66=0.1,Q66/S66,0),0)</f>
        <v>0</v>
      </c>
      <c r="V66" s="111">
        <f>ROUND(IF(S66=0.125,Q66/S66,0),0)</f>
        <v>33</v>
      </c>
      <c r="W66" s="111">
        <f>ROUND(IF(S66=0.15,Q66/S66,0),0)</f>
        <v>0</v>
      </c>
      <c r="X66" s="111">
        <f t="shared" ref="X66:X67" si="49">ROUND(IF(S66=0.18,Q66/S66,0),0)</f>
        <v>0</v>
      </c>
      <c r="Y66" s="111">
        <f>ROUND(IF(S66=0.2,Q66/S66,0),0)</f>
        <v>0</v>
      </c>
      <c r="Z66" s="111">
        <f>ROUND(IF(S66=0.23,Q66/S66,0),0)</f>
        <v>0</v>
      </c>
      <c r="AA66" s="108">
        <f>((T66*T66)/162)*D66</f>
        <v>0.39506172839506171</v>
      </c>
      <c r="AB66" s="109">
        <f>AA66*R66*(U66+V66+W66+X66+Y66+Z66)*D66</f>
        <v>50.71407407407407</v>
      </c>
      <c r="AC66" s="108">
        <f>(IF(J66=8,P66,0))+((IF(T66=8,AB66,0)))</f>
        <v>50.71407407407407</v>
      </c>
      <c r="AD66" s="108">
        <f>(IF(J66=10,P66,0))+((IF(T66=10,AB66,0)))</f>
        <v>0</v>
      </c>
      <c r="AE66" s="108">
        <f>IF(J66=12,P66,0)</f>
        <v>0</v>
      </c>
      <c r="AF66" s="108">
        <f>IF(J66=16,P66,0)</f>
        <v>0</v>
      </c>
      <c r="AG66" s="108">
        <f>IF(J66=20,P66,0)</f>
        <v>0</v>
      </c>
      <c r="AH66" s="108">
        <f>IF(J66=25,P66,0)</f>
        <v>183.25617283950618</v>
      </c>
      <c r="AI66" s="108">
        <f>IF(J66=32,P66,0)</f>
        <v>0</v>
      </c>
    </row>
    <row r="67" spans="1:35" x14ac:dyDescent="0.3">
      <c r="A67" s="104"/>
      <c r="B67" s="105"/>
      <c r="C67" s="105"/>
      <c r="D67" s="104">
        <v>1</v>
      </c>
      <c r="E67" s="105"/>
      <c r="F67" s="105"/>
      <c r="G67" s="105"/>
      <c r="H67" s="103"/>
      <c r="I67" s="105" t="s">
        <v>128</v>
      </c>
      <c r="J67" s="105">
        <v>16</v>
      </c>
      <c r="K67" s="105">
        <v>4</v>
      </c>
      <c r="L67" s="107">
        <f>E66/2</f>
        <v>4.07</v>
      </c>
      <c r="M67" s="107">
        <f>L67+(2*0.38)</f>
        <v>4.83</v>
      </c>
      <c r="N67" s="108">
        <f>J67*J67/162</f>
        <v>1.5802469135802468</v>
      </c>
      <c r="O67" s="108">
        <f>M67*K67*N67</f>
        <v>30.53037037037037</v>
      </c>
      <c r="P67" s="109">
        <f t="shared" ref="P67:P68" si="50">O67*D67</f>
        <v>30.53037037037037</v>
      </c>
      <c r="Q67" s="107">
        <f>E66/2</f>
        <v>4.07</v>
      </c>
      <c r="R67" s="107">
        <f>((2*((F66/2)-0.0125))+(2*(G66-0.035))+(2*10*0.008))*2</f>
        <v>3.8899999999999997</v>
      </c>
      <c r="S67" s="108">
        <v>0.18</v>
      </c>
      <c r="T67" s="110">
        <v>8</v>
      </c>
      <c r="U67" s="111">
        <f>ROUND(IF(S67=0.1,Q67/S67,0),0)</f>
        <v>0</v>
      </c>
      <c r="V67" s="111">
        <f>ROUND(IF(S67=0.125,Q67/S67,0),0)</f>
        <v>0</v>
      </c>
      <c r="W67" s="111">
        <f>ROUND(IF(S67=0.15,Q67/S67,0),0)</f>
        <v>0</v>
      </c>
      <c r="X67" s="111">
        <f t="shared" si="49"/>
        <v>23</v>
      </c>
      <c r="Y67" s="111">
        <f>ROUND(IF(S67=0.2,Q67/S67,0),0)</f>
        <v>0</v>
      </c>
      <c r="Z67" s="111">
        <f>ROUND(IF(S67=0.23,Q67/S67,0),0)</f>
        <v>0</v>
      </c>
      <c r="AA67" s="108">
        <f>((T67*T67)/162)*D67</f>
        <v>0.39506172839506171</v>
      </c>
      <c r="AB67" s="109">
        <f>AA67*R67*(U67+V67+W67+X67+Y67+Z67)*D67</f>
        <v>35.346172839506167</v>
      </c>
      <c r="AC67" s="108">
        <f>(IF(J67=8,P67,0))+((IF(T67=8,AB67,0)))</f>
        <v>35.346172839506167</v>
      </c>
      <c r="AD67" s="108">
        <f>(IF(J67=10,P67,0))+((IF(T67=10,AB67,0)))</f>
        <v>0</v>
      </c>
      <c r="AE67" s="108">
        <f>IF(J67=12,P67,0)</f>
        <v>0</v>
      </c>
      <c r="AF67" s="108">
        <f>IF(J67=16,P67,0)</f>
        <v>30.53037037037037</v>
      </c>
      <c r="AG67" s="108">
        <f>IF(J67=20,P67,0)</f>
        <v>0</v>
      </c>
      <c r="AH67" s="108">
        <f>IF(J67=25,P67,0)</f>
        <v>0</v>
      </c>
      <c r="AI67" s="108">
        <f>IF(J67=32,P67,0)</f>
        <v>0</v>
      </c>
    </row>
    <row r="68" spans="1:35" x14ac:dyDescent="0.3">
      <c r="A68" s="104"/>
      <c r="B68" s="105"/>
      <c r="C68" s="105"/>
      <c r="D68" s="104">
        <v>1</v>
      </c>
      <c r="E68" s="105"/>
      <c r="F68" s="105"/>
      <c r="G68" s="105"/>
      <c r="H68" s="103"/>
      <c r="I68" s="105"/>
      <c r="J68" s="105">
        <v>25</v>
      </c>
      <c r="K68" s="105">
        <v>12</v>
      </c>
      <c r="L68" s="107">
        <f>(E66/4)+0.6</f>
        <v>2.6350000000000002</v>
      </c>
      <c r="M68" s="107">
        <f>L68+(G66-0.07)</f>
        <v>3.3150000000000004</v>
      </c>
      <c r="N68" s="108">
        <f t="shared" ref="N68" si="51">J68*J68/162</f>
        <v>3.8580246913580245</v>
      </c>
      <c r="O68" s="108">
        <f>M68*K68*N68</f>
        <v>153.47222222222223</v>
      </c>
      <c r="P68" s="109">
        <f t="shared" si="50"/>
        <v>153.47222222222223</v>
      </c>
      <c r="Q68" s="108"/>
      <c r="R68" s="108"/>
      <c r="S68" s="108"/>
      <c r="T68" s="110"/>
      <c r="U68" s="111"/>
      <c r="V68" s="111"/>
      <c r="W68" s="111"/>
      <c r="X68" s="111"/>
      <c r="Y68" s="111"/>
      <c r="Z68" s="111"/>
      <c r="AA68" s="108"/>
      <c r="AB68" s="109"/>
      <c r="AC68" s="108">
        <f>(IF(J68=8,P68,0))+((IF(T68=8,AB68,0)))</f>
        <v>0</v>
      </c>
      <c r="AD68" s="108">
        <f>(IF(J68=10,P68,0))+((IF(T68=10,AB68,0)))</f>
        <v>0</v>
      </c>
      <c r="AE68" s="108">
        <f>IF(J68=12,P68,0)</f>
        <v>0</v>
      </c>
      <c r="AF68" s="108">
        <f>IF(J68=16,P68,0)</f>
        <v>0</v>
      </c>
      <c r="AG68" s="108">
        <f>IF(J68=20,P68,0)</f>
        <v>0</v>
      </c>
      <c r="AH68" s="108">
        <f>IF(J68=25,P68,0)</f>
        <v>153.47222222222223</v>
      </c>
      <c r="AI68" s="108">
        <f>IF(J68=32,P68,0)</f>
        <v>0</v>
      </c>
    </row>
    <row r="69" spans="1:35" x14ac:dyDescent="0.3">
      <c r="A69" s="104"/>
      <c r="B69" s="105"/>
      <c r="C69" s="105"/>
      <c r="D69" s="104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</row>
    <row r="70" spans="1:35" x14ac:dyDescent="0.3">
      <c r="A70" s="104">
        <v>1</v>
      </c>
      <c r="B70" s="659" t="s">
        <v>142</v>
      </c>
      <c r="C70" s="105"/>
      <c r="D70" s="104">
        <v>1</v>
      </c>
      <c r="E70" s="105">
        <v>4.33</v>
      </c>
      <c r="F70" s="105">
        <v>0.38</v>
      </c>
      <c r="G70" s="105">
        <v>0.75</v>
      </c>
      <c r="H70" s="106">
        <f>G70*F70*E70*D70</f>
        <v>1.2340500000000001</v>
      </c>
      <c r="I70" s="105" t="s">
        <v>127</v>
      </c>
      <c r="J70" s="105">
        <v>16</v>
      </c>
      <c r="K70" s="105">
        <v>4</v>
      </c>
      <c r="L70" s="105">
        <f>E70</f>
        <v>4.33</v>
      </c>
      <c r="M70" s="107">
        <f>L70+(2*(G70-0.07))</f>
        <v>5.6899999999999995</v>
      </c>
      <c r="N70" s="108">
        <f t="shared" ref="N70" si="52">J70*J70/162</f>
        <v>1.5802469135802468</v>
      </c>
      <c r="O70" s="108">
        <f>M70*K70*N70</f>
        <v>35.966419753086413</v>
      </c>
      <c r="P70" s="109">
        <f>O70*D70</f>
        <v>35.966419753086413</v>
      </c>
      <c r="Q70" s="107">
        <f>E70/2</f>
        <v>2.165</v>
      </c>
      <c r="R70" s="107">
        <f>(2*(F70-0.025))+(2*(G70-0.035))+(2*10*0.008)</f>
        <v>2.2999999999999998</v>
      </c>
      <c r="S70" s="107">
        <v>0.1</v>
      </c>
      <c r="T70" s="110">
        <v>10</v>
      </c>
      <c r="U70" s="111">
        <f>ROUND(IF(S70=0.1,Q70/S70,0),0)</f>
        <v>22</v>
      </c>
      <c r="V70" s="111">
        <f>ROUND(IF(S70=0.125,Q70/S70,0),0)</f>
        <v>0</v>
      </c>
      <c r="W70" s="111">
        <f>ROUND(IF(S70=0.15,Q70/S70,0),0)</f>
        <v>0</v>
      </c>
      <c r="X70" s="111">
        <f t="shared" ref="X70:X71" si="53">ROUND(IF(S70=0.18,Q70/S70,0),0)</f>
        <v>0</v>
      </c>
      <c r="Y70" s="111">
        <f>ROUND(IF(S70=0.2,Q70/S70,0),0)</f>
        <v>0</v>
      </c>
      <c r="Z70" s="111">
        <f>ROUND(IF(S70=0.23,Q70/S70,0),0)</f>
        <v>0</v>
      </c>
      <c r="AA70" s="108">
        <f>((T70*T70)/162)*D70</f>
        <v>0.61728395061728392</v>
      </c>
      <c r="AB70" s="109">
        <f>AA70*R70*(U70+V70+W70+X70+Y70+Z70)*D70</f>
        <v>31.234567901234566</v>
      </c>
      <c r="AC70" s="108">
        <f>(IF(J70=8,P70,0))+((IF(T70=8,AB70,0)))</f>
        <v>0</v>
      </c>
      <c r="AD70" s="108">
        <f>(IF(J70=10,P70,0))+((IF(T70=10,AB70,0)))</f>
        <v>31.234567901234566</v>
      </c>
      <c r="AE70" s="108">
        <f>IF(J70=12,P70,0)</f>
        <v>0</v>
      </c>
      <c r="AF70" s="108">
        <f>IF(J70=16,P70,0)</f>
        <v>35.966419753086413</v>
      </c>
      <c r="AG70" s="108">
        <f>IF(J70=20,P70,0)</f>
        <v>0</v>
      </c>
      <c r="AH70" s="108">
        <f>IF(J70=25,P70,0)</f>
        <v>0</v>
      </c>
      <c r="AI70" s="108">
        <f>IF(J70=32,P70,0)</f>
        <v>0</v>
      </c>
    </row>
    <row r="71" spans="1:35" x14ac:dyDescent="0.3">
      <c r="A71" s="104"/>
      <c r="B71" s="105"/>
      <c r="C71" s="105"/>
      <c r="D71" s="104">
        <v>1</v>
      </c>
      <c r="E71" s="105"/>
      <c r="F71" s="105"/>
      <c r="G71" s="105"/>
      <c r="H71" s="103"/>
      <c r="I71" s="105" t="s">
        <v>128</v>
      </c>
      <c r="J71" s="105">
        <v>16</v>
      </c>
      <c r="K71" s="105">
        <v>4</v>
      </c>
      <c r="L71" s="107">
        <f>E70/2</f>
        <v>2.165</v>
      </c>
      <c r="M71" s="107">
        <f>L71+(2*0.38)</f>
        <v>2.9249999999999998</v>
      </c>
      <c r="N71" s="108">
        <f>J71*J71/162</f>
        <v>1.5802469135802468</v>
      </c>
      <c r="O71" s="108">
        <f>M71*K71*N71</f>
        <v>18.488888888888887</v>
      </c>
      <c r="P71" s="109">
        <f t="shared" ref="P71:P73" si="54">O71*D71</f>
        <v>18.488888888888887</v>
      </c>
      <c r="Q71" s="107">
        <f>E70/2</f>
        <v>2.165</v>
      </c>
      <c r="R71" s="107">
        <f>(2*(F70-0.025))+(2*(G70-0.035))+(2*10*0.008)</f>
        <v>2.2999999999999998</v>
      </c>
      <c r="S71" s="107">
        <v>0.1</v>
      </c>
      <c r="T71" s="110">
        <v>8</v>
      </c>
      <c r="U71" s="111">
        <f>ROUND(IF(S71=0.1,Q71/S71,0),0)</f>
        <v>22</v>
      </c>
      <c r="V71" s="111">
        <f>ROUND(IF(S71=0.125,Q71/S71,0),0)</f>
        <v>0</v>
      </c>
      <c r="W71" s="111">
        <f>ROUND(IF(S71=0.15,Q71/S71,0),0)</f>
        <v>0</v>
      </c>
      <c r="X71" s="111">
        <f t="shared" si="53"/>
        <v>0</v>
      </c>
      <c r="Y71" s="111">
        <f>ROUND(IF(S71=0.2,Q71/S71,0),0)</f>
        <v>0</v>
      </c>
      <c r="Z71" s="111">
        <f>ROUND(IF(S71=0.23,Q71/S71,0),0)</f>
        <v>0</v>
      </c>
      <c r="AA71" s="108">
        <f>((T71*T71)/162)*D71</f>
        <v>0.39506172839506171</v>
      </c>
      <c r="AB71" s="109">
        <f>AA71*R71*(U71+V71+W71+X71+Y71+Z71)*D71</f>
        <v>19.990123456790123</v>
      </c>
      <c r="AC71" s="108">
        <f>(IF(J71=8,P71,0))+((IF(T71=8,AB71,0)))</f>
        <v>19.990123456790123</v>
      </c>
      <c r="AD71" s="108">
        <f>(IF(J71=10,P71,0))+((IF(T71=10,AB71,0)))</f>
        <v>0</v>
      </c>
      <c r="AE71" s="108">
        <f>IF(J71=12,P71,0)</f>
        <v>0</v>
      </c>
      <c r="AF71" s="108">
        <f>IF(J71=16,P71,0)</f>
        <v>18.488888888888887</v>
      </c>
      <c r="AG71" s="108">
        <f>IF(J71=20,P71,0)</f>
        <v>0</v>
      </c>
      <c r="AH71" s="108">
        <f>IF(J71=25,P71,0)</f>
        <v>0</v>
      </c>
      <c r="AI71" s="108">
        <f>IF(J71=32,P71,0)</f>
        <v>0</v>
      </c>
    </row>
    <row r="72" spans="1:35" x14ac:dyDescent="0.3">
      <c r="A72" s="104"/>
      <c r="B72" s="105"/>
      <c r="C72" s="105"/>
      <c r="D72" s="104">
        <v>1</v>
      </c>
      <c r="E72" s="105"/>
      <c r="F72" s="105"/>
      <c r="G72" s="105"/>
      <c r="H72" s="103"/>
      <c r="I72" s="105"/>
      <c r="J72" s="105">
        <v>25</v>
      </c>
      <c r="K72" s="105">
        <v>6</v>
      </c>
      <c r="L72" s="107">
        <f>(E70/4)+0.6</f>
        <v>1.6825000000000001</v>
      </c>
      <c r="M72" s="107">
        <f>L72+(G70-0.07)</f>
        <v>2.3624999999999998</v>
      </c>
      <c r="N72" s="108">
        <f t="shared" ref="N72:N75" si="55">J72*J72/162</f>
        <v>3.8580246913580245</v>
      </c>
      <c r="O72" s="108">
        <f>M72*K72*N72</f>
        <v>54.687499999999993</v>
      </c>
      <c r="P72" s="109">
        <f t="shared" si="54"/>
        <v>54.687499999999993</v>
      </c>
      <c r="Q72" s="108"/>
      <c r="R72" s="108"/>
      <c r="S72" s="108"/>
      <c r="T72" s="110"/>
      <c r="U72" s="111"/>
      <c r="V72" s="111"/>
      <c r="W72" s="111"/>
      <c r="X72" s="111"/>
      <c r="Y72" s="111"/>
      <c r="Z72" s="111"/>
      <c r="AA72" s="108"/>
      <c r="AB72" s="109"/>
      <c r="AC72" s="108">
        <f>(IF(J72=8,P72,0))+((IF(T72=8,AB72,0)))</f>
        <v>0</v>
      </c>
      <c r="AD72" s="108">
        <f>(IF(J72=10,P72,0))+((IF(T72=10,AB72,0)))</f>
        <v>0</v>
      </c>
      <c r="AE72" s="108">
        <f>IF(J72=12,P72,0)</f>
        <v>0</v>
      </c>
      <c r="AF72" s="108">
        <f>IF(J72=16,P72,0)</f>
        <v>0</v>
      </c>
      <c r="AG72" s="108">
        <f>IF(J72=20,P72,0)</f>
        <v>0</v>
      </c>
      <c r="AH72" s="108">
        <f>IF(J72=25,P72,0)</f>
        <v>54.687499999999993</v>
      </c>
      <c r="AI72" s="108">
        <f>IF(J72=32,P72,0)</f>
        <v>0</v>
      </c>
    </row>
    <row r="73" spans="1:35" x14ac:dyDescent="0.3">
      <c r="A73" s="104"/>
      <c r="B73" s="105"/>
      <c r="C73" s="105"/>
      <c r="D73" s="104">
        <v>1</v>
      </c>
      <c r="E73" s="105"/>
      <c r="F73" s="105"/>
      <c r="G73" s="105"/>
      <c r="H73" s="105"/>
      <c r="I73" s="105"/>
      <c r="J73" s="112">
        <v>16</v>
      </c>
      <c r="K73" s="112">
        <v>5</v>
      </c>
      <c r="L73" s="107">
        <f>(E70/4)+0.6</f>
        <v>1.6825000000000001</v>
      </c>
      <c r="M73" s="107">
        <f>L73+(G70-0.07)</f>
        <v>2.3624999999999998</v>
      </c>
      <c r="N73" s="113">
        <f t="shared" si="55"/>
        <v>1.5802469135802468</v>
      </c>
      <c r="O73" s="113">
        <f>M73*K73*N73</f>
        <v>18.666666666666664</v>
      </c>
      <c r="P73" s="109">
        <f t="shared" si="54"/>
        <v>18.666666666666664</v>
      </c>
      <c r="Q73" s="108"/>
      <c r="R73" s="108"/>
      <c r="S73" s="108"/>
      <c r="T73" s="110"/>
      <c r="U73" s="111"/>
      <c r="V73" s="111"/>
      <c r="W73" s="111"/>
      <c r="X73" s="111"/>
      <c r="Y73" s="111"/>
      <c r="Z73" s="111"/>
      <c r="AA73" s="108"/>
      <c r="AB73" s="109"/>
      <c r="AC73" s="108">
        <f>(IF(J73=8,P73,0))+((IF(T73=8,AB73,0)))</f>
        <v>0</v>
      </c>
      <c r="AD73" s="108">
        <f>(IF(J73=10,P73,0))+((IF(T73=10,AB73,0)))</f>
        <v>0</v>
      </c>
      <c r="AE73" s="108">
        <f>IF(J73=12,P73,0)</f>
        <v>0</v>
      </c>
      <c r="AF73" s="108">
        <f>IF(J73=16,P73,0)</f>
        <v>18.666666666666664</v>
      </c>
      <c r="AG73" s="108">
        <f>IF(J73=20,P73,0)</f>
        <v>0</v>
      </c>
      <c r="AH73" s="108">
        <f>IF(J73=25,P73,0)</f>
        <v>0</v>
      </c>
      <c r="AI73" s="108">
        <f>IF(J73=32,P73,0)</f>
        <v>0</v>
      </c>
    </row>
    <row r="74" spans="1:35" x14ac:dyDescent="0.3">
      <c r="A74" s="104"/>
      <c r="B74" s="105"/>
      <c r="C74" s="105"/>
      <c r="D74" s="104"/>
      <c r="E74" s="105"/>
      <c r="F74" s="105"/>
      <c r="G74" s="105"/>
      <c r="H74" s="105"/>
      <c r="I74" s="105"/>
      <c r="J74" s="112"/>
      <c r="K74" s="112"/>
      <c r="L74" s="107"/>
      <c r="M74" s="107"/>
      <c r="N74" s="113"/>
      <c r="O74" s="113"/>
      <c r="P74" s="109"/>
      <c r="Q74" s="108"/>
      <c r="R74" s="108"/>
      <c r="S74" s="108"/>
      <c r="T74" s="110"/>
      <c r="U74" s="111"/>
      <c r="V74" s="111"/>
      <c r="W74" s="111"/>
      <c r="X74" s="111"/>
      <c r="Y74" s="111"/>
      <c r="Z74" s="111"/>
      <c r="AA74" s="108"/>
      <c r="AB74" s="109"/>
      <c r="AC74" s="108"/>
      <c r="AD74" s="108"/>
      <c r="AE74" s="108"/>
      <c r="AF74" s="108"/>
      <c r="AG74" s="108"/>
      <c r="AH74" s="108"/>
      <c r="AI74" s="108"/>
    </row>
    <row r="75" spans="1:35" x14ac:dyDescent="0.3">
      <c r="A75" s="104">
        <v>1</v>
      </c>
      <c r="B75" s="659" t="s">
        <v>143</v>
      </c>
      <c r="C75" s="105"/>
      <c r="D75" s="104">
        <v>1</v>
      </c>
      <c r="E75" s="105">
        <v>3.73</v>
      </c>
      <c r="F75" s="105">
        <v>0.38</v>
      </c>
      <c r="G75" s="105">
        <v>0.75</v>
      </c>
      <c r="H75" s="106">
        <f>G75*F75*E75*D75</f>
        <v>1.0630500000000001</v>
      </c>
      <c r="I75" s="105" t="s">
        <v>127</v>
      </c>
      <c r="J75" s="105">
        <v>16</v>
      </c>
      <c r="K75" s="105">
        <v>4</v>
      </c>
      <c r="L75" s="105">
        <f>E75</f>
        <v>3.73</v>
      </c>
      <c r="M75" s="107">
        <f>L75+(2*(G75-0.07))</f>
        <v>5.09</v>
      </c>
      <c r="N75" s="108">
        <f t="shared" si="55"/>
        <v>1.5802469135802468</v>
      </c>
      <c r="O75" s="108">
        <f>M75*K75*N75</f>
        <v>32.173827160493822</v>
      </c>
      <c r="P75" s="109">
        <f>O75*D75</f>
        <v>32.173827160493822</v>
      </c>
      <c r="Q75" s="107">
        <f>E75/2</f>
        <v>1.865</v>
      </c>
      <c r="R75" s="107">
        <f>(2*(F75-0.025))+(2*(G75-0.035))+(2*10*0.008)</f>
        <v>2.2999999999999998</v>
      </c>
      <c r="S75" s="107">
        <v>0.1</v>
      </c>
      <c r="T75" s="110">
        <v>10</v>
      </c>
      <c r="U75" s="111">
        <f>ROUND(IF(S75=0.1,Q75/S75,0),0)</f>
        <v>19</v>
      </c>
      <c r="V75" s="111">
        <f>ROUND(IF(S75=0.125,Q75/S75,0),0)</f>
        <v>0</v>
      </c>
      <c r="W75" s="111">
        <f>ROUND(IF(S75=0.15,Q75/S75,0),0)</f>
        <v>0</v>
      </c>
      <c r="X75" s="111">
        <f t="shared" ref="X75:X76" si="56">ROUND(IF(S75=0.18,Q75/S75,0),0)</f>
        <v>0</v>
      </c>
      <c r="Y75" s="111">
        <f>ROUND(IF(S75=0.2,Q75/S75,0),0)</f>
        <v>0</v>
      </c>
      <c r="Z75" s="111">
        <f>ROUND(IF(S75=0.23,Q75/S75,0),0)</f>
        <v>0</v>
      </c>
      <c r="AA75" s="108">
        <f>((T75*T75)/162)*D75</f>
        <v>0.61728395061728392</v>
      </c>
      <c r="AB75" s="109">
        <f>AA75*R75*(U75+V75+W75+X75+Y75+Z75)*D75</f>
        <v>26.975308641975307</v>
      </c>
      <c r="AC75" s="108">
        <f>(IF(J75=8,P75,0))+((IF(T75=8,AB75,0)))</f>
        <v>0</v>
      </c>
      <c r="AD75" s="108">
        <f>(IF(J75=10,P75,0))+((IF(T75=10,AB75,0)))</f>
        <v>26.975308641975307</v>
      </c>
      <c r="AE75" s="108">
        <f>IF(J75=12,P75,0)</f>
        <v>0</v>
      </c>
      <c r="AF75" s="108">
        <f>IF(J75=16,P75,0)</f>
        <v>32.173827160493822</v>
      </c>
      <c r="AG75" s="108">
        <f>IF(J75=20,P75,0)</f>
        <v>0</v>
      </c>
      <c r="AH75" s="108">
        <f>IF(J75=25,P75,0)</f>
        <v>0</v>
      </c>
      <c r="AI75" s="108">
        <f>IF(J75=32,P75,0)</f>
        <v>0</v>
      </c>
    </row>
    <row r="76" spans="1:35" x14ac:dyDescent="0.3">
      <c r="A76" s="104"/>
      <c r="B76" s="105"/>
      <c r="C76" s="105"/>
      <c r="D76" s="104">
        <v>1</v>
      </c>
      <c r="E76" s="105"/>
      <c r="F76" s="105"/>
      <c r="G76" s="105"/>
      <c r="H76" s="103"/>
      <c r="I76" s="105" t="s">
        <v>128</v>
      </c>
      <c r="J76" s="105">
        <v>16</v>
      </c>
      <c r="K76" s="105">
        <v>4</v>
      </c>
      <c r="L76" s="107">
        <f>E75/2</f>
        <v>1.865</v>
      </c>
      <c r="M76" s="107">
        <f>L76+(2*0.38)</f>
        <v>2.625</v>
      </c>
      <c r="N76" s="108">
        <f>J76*J76/162</f>
        <v>1.5802469135802468</v>
      </c>
      <c r="O76" s="108">
        <f>M76*K76*N76</f>
        <v>16.592592592592592</v>
      </c>
      <c r="P76" s="109">
        <f t="shared" ref="P76:P78" si="57">O76*D76</f>
        <v>16.592592592592592</v>
      </c>
      <c r="Q76" s="107">
        <f>E75/2</f>
        <v>1.865</v>
      </c>
      <c r="R76" s="107">
        <f>(2*(F75-0.025))+(2*(G75-0.035))+(2*10*0.008)</f>
        <v>2.2999999999999998</v>
      </c>
      <c r="S76" s="107">
        <v>0.1</v>
      </c>
      <c r="T76" s="110">
        <v>8</v>
      </c>
      <c r="U76" s="111">
        <f>ROUND(IF(S76=0.1,Q76/S76,0),0)</f>
        <v>19</v>
      </c>
      <c r="V76" s="111">
        <f>ROUND(IF(S76=0.125,Q76/S76,0),0)</f>
        <v>0</v>
      </c>
      <c r="W76" s="111">
        <f>ROUND(IF(S76=0.15,Q76/S76,0),0)</f>
        <v>0</v>
      </c>
      <c r="X76" s="111">
        <f t="shared" si="56"/>
        <v>0</v>
      </c>
      <c r="Y76" s="111">
        <f>ROUND(IF(S76=0.2,Q76/S76,0),0)</f>
        <v>0</v>
      </c>
      <c r="Z76" s="111">
        <f>ROUND(IF(S76=0.23,Q76/S76,0),0)</f>
        <v>0</v>
      </c>
      <c r="AA76" s="108">
        <f>((T76*T76)/162)*D76</f>
        <v>0.39506172839506171</v>
      </c>
      <c r="AB76" s="109">
        <f>AA76*R76*(U76+V76+W76+X76+Y76+Z76)*D76</f>
        <v>17.264197530864195</v>
      </c>
      <c r="AC76" s="108">
        <f>(IF(J76=8,P76,0))+((IF(T76=8,AB76,0)))</f>
        <v>17.264197530864195</v>
      </c>
      <c r="AD76" s="108">
        <f>(IF(J76=10,P76,0))+((IF(T76=10,AB76,0)))</f>
        <v>0</v>
      </c>
      <c r="AE76" s="108">
        <f>IF(J76=12,P76,0)</f>
        <v>0</v>
      </c>
      <c r="AF76" s="108">
        <f>IF(J76=16,P76,0)</f>
        <v>16.592592592592592</v>
      </c>
      <c r="AG76" s="108">
        <f>IF(J76=20,P76,0)</f>
        <v>0</v>
      </c>
      <c r="AH76" s="108">
        <f>IF(J76=25,P76,0)</f>
        <v>0</v>
      </c>
      <c r="AI76" s="108">
        <f>IF(J76=32,P76,0)</f>
        <v>0</v>
      </c>
    </row>
    <row r="77" spans="1:35" x14ac:dyDescent="0.3">
      <c r="A77" s="104"/>
      <c r="B77" s="105"/>
      <c r="C77" s="105"/>
      <c r="D77" s="104">
        <v>1</v>
      </c>
      <c r="E77" s="105"/>
      <c r="F77" s="105"/>
      <c r="G77" s="105"/>
      <c r="H77" s="103"/>
      <c r="I77" s="105"/>
      <c r="J77" s="105">
        <v>25</v>
      </c>
      <c r="K77" s="105">
        <v>6</v>
      </c>
      <c r="L77" s="107">
        <f>(E75/4)+0.6</f>
        <v>1.5325</v>
      </c>
      <c r="M77" s="107">
        <f>L77+(G75-0.07)</f>
        <v>2.2124999999999999</v>
      </c>
      <c r="N77" s="108">
        <f t="shared" ref="N77:N78" si="58">J77*J77/162</f>
        <v>3.8580246913580245</v>
      </c>
      <c r="O77" s="108">
        <f>M77*K77*N77</f>
        <v>51.215277777777771</v>
      </c>
      <c r="P77" s="109">
        <f t="shared" si="57"/>
        <v>51.215277777777771</v>
      </c>
      <c r="Q77" s="108"/>
      <c r="R77" s="108"/>
      <c r="S77" s="108"/>
      <c r="T77" s="110"/>
      <c r="U77" s="111"/>
      <c r="V77" s="111"/>
      <c r="W77" s="111"/>
      <c r="X77" s="111"/>
      <c r="Y77" s="111"/>
      <c r="Z77" s="111"/>
      <c r="AA77" s="108"/>
      <c r="AB77" s="109"/>
      <c r="AC77" s="108">
        <f>(IF(J77=8,P77,0))+((IF(T77=8,AB77,0)))</f>
        <v>0</v>
      </c>
      <c r="AD77" s="108">
        <f>(IF(J77=10,P77,0))+((IF(T77=10,AB77,0)))</f>
        <v>0</v>
      </c>
      <c r="AE77" s="108">
        <f>IF(J77=12,P77,0)</f>
        <v>0</v>
      </c>
      <c r="AF77" s="108">
        <f>IF(J77=16,P77,0)</f>
        <v>0</v>
      </c>
      <c r="AG77" s="108">
        <f>IF(J77=20,P77,0)</f>
        <v>0</v>
      </c>
      <c r="AH77" s="108">
        <f>IF(J77=25,P77,0)</f>
        <v>51.215277777777771</v>
      </c>
      <c r="AI77" s="108">
        <f>IF(J77=32,P77,0)</f>
        <v>0</v>
      </c>
    </row>
    <row r="78" spans="1:35" x14ac:dyDescent="0.3">
      <c r="A78" s="104"/>
      <c r="B78" s="105"/>
      <c r="C78" s="105"/>
      <c r="D78" s="104">
        <v>1</v>
      </c>
      <c r="E78" s="105"/>
      <c r="F78" s="105"/>
      <c r="G78" s="105"/>
      <c r="H78" s="105"/>
      <c r="I78" s="105"/>
      <c r="J78" s="112">
        <v>16</v>
      </c>
      <c r="K78" s="112">
        <v>5</v>
      </c>
      <c r="L78" s="107">
        <f>(E75/4)+0.6</f>
        <v>1.5325</v>
      </c>
      <c r="M78" s="107">
        <f>L78+(G75-0.07)</f>
        <v>2.2124999999999999</v>
      </c>
      <c r="N78" s="113">
        <f t="shared" si="58"/>
        <v>1.5802469135802468</v>
      </c>
      <c r="O78" s="113">
        <f>M78*K78*N78</f>
        <v>17.481481481481481</v>
      </c>
      <c r="P78" s="109">
        <f t="shared" si="57"/>
        <v>17.481481481481481</v>
      </c>
      <c r="Q78" s="108"/>
      <c r="R78" s="108"/>
      <c r="S78" s="108"/>
      <c r="T78" s="110"/>
      <c r="U78" s="111"/>
      <c r="V78" s="111"/>
      <c r="W78" s="111"/>
      <c r="X78" s="111"/>
      <c r="Y78" s="111"/>
      <c r="Z78" s="111"/>
      <c r="AA78" s="108"/>
      <c r="AB78" s="109"/>
      <c r="AC78" s="108">
        <f>(IF(J78=8,P78,0))+((IF(T78=8,AB78,0)))</f>
        <v>0</v>
      </c>
      <c r="AD78" s="108">
        <f>(IF(J78=10,P78,0))+((IF(T78=10,AB78,0)))</f>
        <v>0</v>
      </c>
      <c r="AE78" s="108">
        <f>IF(J78=12,P78,0)</f>
        <v>0</v>
      </c>
      <c r="AF78" s="108">
        <f>IF(J78=16,P78,0)</f>
        <v>17.481481481481481</v>
      </c>
      <c r="AG78" s="108">
        <f>IF(J78=20,P78,0)</f>
        <v>0</v>
      </c>
      <c r="AH78" s="108">
        <f>IF(J78=25,P78,0)</f>
        <v>0</v>
      </c>
      <c r="AI78" s="108">
        <f>IF(J78=32,P78,0)</f>
        <v>0</v>
      </c>
    </row>
    <row r="80" spans="1:35" x14ac:dyDescent="0.3">
      <c r="A80" s="104">
        <v>1</v>
      </c>
      <c r="B80" s="659" t="s">
        <v>144</v>
      </c>
      <c r="C80" s="105"/>
      <c r="D80" s="104">
        <v>1</v>
      </c>
      <c r="E80" s="105">
        <v>4.33</v>
      </c>
      <c r="F80" s="105">
        <v>0.38</v>
      </c>
      <c r="G80" s="105">
        <v>0.75</v>
      </c>
      <c r="H80" s="106">
        <f>G80*F80*E80*D80</f>
        <v>1.2340500000000001</v>
      </c>
      <c r="I80" s="105" t="s">
        <v>127</v>
      </c>
      <c r="J80" s="105">
        <v>16</v>
      </c>
      <c r="K80" s="105">
        <v>4</v>
      </c>
      <c r="L80" s="105">
        <f>E80</f>
        <v>4.33</v>
      </c>
      <c r="M80" s="107">
        <f>L80+(2*(G80-0.07))</f>
        <v>5.6899999999999995</v>
      </c>
      <c r="N80" s="108">
        <f t="shared" ref="N80" si="59">J80*J80/162</f>
        <v>1.5802469135802468</v>
      </c>
      <c r="O80" s="108">
        <f>M80*K80*N80</f>
        <v>35.966419753086413</v>
      </c>
      <c r="P80" s="109">
        <f>O80*D80</f>
        <v>35.966419753086413</v>
      </c>
      <c r="Q80" s="107">
        <f>E80/2</f>
        <v>2.165</v>
      </c>
      <c r="R80" s="107">
        <f>(2*(F80-0.025))+(2*(G80-0.035))+(2*10*0.008)</f>
        <v>2.2999999999999998</v>
      </c>
      <c r="S80" s="107">
        <v>0.1</v>
      </c>
      <c r="T80" s="110">
        <v>10</v>
      </c>
      <c r="U80" s="111">
        <f>ROUND(IF(S80=0.1,Q80/S80,0),0)</f>
        <v>22</v>
      </c>
      <c r="V80" s="111">
        <f>ROUND(IF(S80=0.125,Q80/S80,0),0)</f>
        <v>0</v>
      </c>
      <c r="W80" s="111">
        <f>ROUND(IF(S80=0.15,Q80/S80,0),0)</f>
        <v>0</v>
      </c>
      <c r="X80" s="111">
        <f t="shared" ref="X80:X81" si="60">ROUND(IF(S80=0.18,Q80/S80,0),0)</f>
        <v>0</v>
      </c>
      <c r="Y80" s="111">
        <f>ROUND(IF(S80=0.2,Q80/S80,0),0)</f>
        <v>0</v>
      </c>
      <c r="Z80" s="111">
        <f>ROUND(IF(S80=0.23,Q80/S80,0),0)</f>
        <v>0</v>
      </c>
      <c r="AA80" s="108">
        <f>((T80*T80)/162)*D80</f>
        <v>0.61728395061728392</v>
      </c>
      <c r="AB80" s="109">
        <f>AA80*R80*(U80+V80+W80+X80+Y80+Z80)*D80</f>
        <v>31.234567901234566</v>
      </c>
      <c r="AC80" s="108">
        <f>(IF(J80=8,P80,0))+((IF(T80=8,AB80,0)))</f>
        <v>0</v>
      </c>
      <c r="AD80" s="108">
        <f>(IF(J80=10,P80,0))+((IF(T80=10,AB80,0)))</f>
        <v>31.234567901234566</v>
      </c>
      <c r="AE80" s="108">
        <f>IF(J80=12,P80,0)</f>
        <v>0</v>
      </c>
      <c r="AF80" s="108">
        <f>IF(J80=16,P80,0)</f>
        <v>35.966419753086413</v>
      </c>
      <c r="AG80" s="108">
        <f>IF(J80=20,P80,0)</f>
        <v>0</v>
      </c>
      <c r="AH80" s="108">
        <f>IF(J80=25,P80,0)</f>
        <v>0</v>
      </c>
      <c r="AI80" s="108">
        <f>IF(J80=32,P80,0)</f>
        <v>0</v>
      </c>
    </row>
    <row r="81" spans="1:35" x14ac:dyDescent="0.3">
      <c r="A81" s="104"/>
      <c r="B81" s="105"/>
      <c r="C81" s="105"/>
      <c r="D81" s="104">
        <v>1</v>
      </c>
      <c r="E81" s="105"/>
      <c r="F81" s="105"/>
      <c r="G81" s="105"/>
      <c r="H81" s="103"/>
      <c r="I81" s="105" t="s">
        <v>128</v>
      </c>
      <c r="J81" s="105">
        <v>16</v>
      </c>
      <c r="K81" s="105">
        <v>4</v>
      </c>
      <c r="L81" s="107">
        <f>E80/2</f>
        <v>2.165</v>
      </c>
      <c r="M81" s="107">
        <f>L81+(2*0.38)</f>
        <v>2.9249999999999998</v>
      </c>
      <c r="N81" s="108">
        <f>J81*J81/162</f>
        <v>1.5802469135802468</v>
      </c>
      <c r="O81" s="108">
        <f>M81*K81*N81</f>
        <v>18.488888888888887</v>
      </c>
      <c r="P81" s="109">
        <f t="shared" ref="P81:P83" si="61">O81*D81</f>
        <v>18.488888888888887</v>
      </c>
      <c r="Q81" s="107">
        <f>E80/2</f>
        <v>2.165</v>
      </c>
      <c r="R81" s="107">
        <f>(2*(F80-0.025))+(2*(G80-0.035))+(2*10*0.008)</f>
        <v>2.2999999999999998</v>
      </c>
      <c r="S81" s="107">
        <v>0.1</v>
      </c>
      <c r="T81" s="110">
        <v>8</v>
      </c>
      <c r="U81" s="111">
        <f>ROUND(IF(S81=0.1,Q81/S81,0),0)</f>
        <v>22</v>
      </c>
      <c r="V81" s="111">
        <f>ROUND(IF(S81=0.125,Q81/S81,0),0)</f>
        <v>0</v>
      </c>
      <c r="W81" s="111">
        <f>ROUND(IF(S81=0.15,Q81/S81,0),0)</f>
        <v>0</v>
      </c>
      <c r="X81" s="111">
        <f t="shared" si="60"/>
        <v>0</v>
      </c>
      <c r="Y81" s="111">
        <f>ROUND(IF(S81=0.2,Q81/S81,0),0)</f>
        <v>0</v>
      </c>
      <c r="Z81" s="111">
        <f>ROUND(IF(S81=0.23,Q81/S81,0),0)</f>
        <v>0</v>
      </c>
      <c r="AA81" s="108">
        <f>((T81*T81)/162)*D81</f>
        <v>0.39506172839506171</v>
      </c>
      <c r="AB81" s="109">
        <f>AA81*R81*(U81+V81+W81+X81+Y81+Z81)*D81</f>
        <v>19.990123456790123</v>
      </c>
      <c r="AC81" s="108">
        <f>(IF(J81=8,P81,0))+((IF(T81=8,AB81,0)))</f>
        <v>19.990123456790123</v>
      </c>
      <c r="AD81" s="108">
        <f>(IF(J81=10,P81,0))+((IF(T81=10,AB81,0)))</f>
        <v>0</v>
      </c>
      <c r="AE81" s="108">
        <f>IF(J81=12,P81,0)</f>
        <v>0</v>
      </c>
      <c r="AF81" s="108">
        <f>IF(J81=16,P81,0)</f>
        <v>18.488888888888887</v>
      </c>
      <c r="AG81" s="108">
        <f>IF(J81=20,P81,0)</f>
        <v>0</v>
      </c>
      <c r="AH81" s="108">
        <f>IF(J81=25,P81,0)</f>
        <v>0</v>
      </c>
      <c r="AI81" s="108">
        <f>IF(J81=32,P81,0)</f>
        <v>0</v>
      </c>
    </row>
    <row r="82" spans="1:35" x14ac:dyDescent="0.3">
      <c r="A82" s="104"/>
      <c r="B82" s="105"/>
      <c r="C82" s="105"/>
      <c r="D82" s="104">
        <v>1</v>
      </c>
      <c r="E82" s="105"/>
      <c r="F82" s="105"/>
      <c r="G82" s="105"/>
      <c r="H82" s="103"/>
      <c r="I82" s="105"/>
      <c r="J82" s="105">
        <v>25</v>
      </c>
      <c r="K82" s="105">
        <v>6</v>
      </c>
      <c r="L82" s="107">
        <f>(E80/4)+0.6</f>
        <v>1.6825000000000001</v>
      </c>
      <c r="M82" s="107">
        <f>L82+(G80-0.07)</f>
        <v>2.3624999999999998</v>
      </c>
      <c r="N82" s="108">
        <f t="shared" ref="N82:N83" si="62">J82*J82/162</f>
        <v>3.8580246913580245</v>
      </c>
      <c r="O82" s="108">
        <f>M82*K82*N82</f>
        <v>54.687499999999993</v>
      </c>
      <c r="P82" s="109">
        <f t="shared" si="61"/>
        <v>54.687499999999993</v>
      </c>
      <c r="Q82" s="108"/>
      <c r="R82" s="108"/>
      <c r="S82" s="108"/>
      <c r="T82" s="110"/>
      <c r="U82" s="111"/>
      <c r="V82" s="111"/>
      <c r="W82" s="111"/>
      <c r="X82" s="111"/>
      <c r="Y82" s="111"/>
      <c r="Z82" s="111"/>
      <c r="AA82" s="108"/>
      <c r="AB82" s="109"/>
      <c r="AC82" s="108">
        <f>(IF(J82=8,P82,0))+((IF(T82=8,AB82,0)))</f>
        <v>0</v>
      </c>
      <c r="AD82" s="108">
        <f>(IF(J82=10,P82,0))+((IF(T82=10,AB82,0)))</f>
        <v>0</v>
      </c>
      <c r="AE82" s="108">
        <f>IF(J82=12,P82,0)</f>
        <v>0</v>
      </c>
      <c r="AF82" s="108">
        <f>IF(J82=16,P82,0)</f>
        <v>0</v>
      </c>
      <c r="AG82" s="108">
        <f>IF(J82=20,P82,0)</f>
        <v>0</v>
      </c>
      <c r="AH82" s="108">
        <f>IF(J82=25,P82,0)</f>
        <v>54.687499999999993</v>
      </c>
      <c r="AI82" s="108">
        <f>IF(J82=32,P82,0)</f>
        <v>0</v>
      </c>
    </row>
    <row r="83" spans="1:35" x14ac:dyDescent="0.3">
      <c r="A83" s="104"/>
      <c r="B83" s="105"/>
      <c r="C83" s="105"/>
      <c r="D83" s="104">
        <v>1</v>
      </c>
      <c r="E83" s="105"/>
      <c r="F83" s="105"/>
      <c r="G83" s="105"/>
      <c r="H83" s="105"/>
      <c r="I83" s="105"/>
      <c r="J83" s="112">
        <v>16</v>
      </c>
      <c r="K83" s="112">
        <v>5</v>
      </c>
      <c r="L83" s="107">
        <f>(E80/4)+0.6</f>
        <v>1.6825000000000001</v>
      </c>
      <c r="M83" s="107">
        <f>L83+(G80-0.07)</f>
        <v>2.3624999999999998</v>
      </c>
      <c r="N83" s="113">
        <f t="shared" si="62"/>
        <v>1.5802469135802468</v>
      </c>
      <c r="O83" s="113">
        <f>M83*K83*N83</f>
        <v>18.666666666666664</v>
      </c>
      <c r="P83" s="109">
        <f t="shared" si="61"/>
        <v>18.666666666666664</v>
      </c>
      <c r="Q83" s="108"/>
      <c r="R83" s="108"/>
      <c r="S83" s="108"/>
      <c r="T83" s="110"/>
      <c r="U83" s="111"/>
      <c r="V83" s="111"/>
      <c r="W83" s="111"/>
      <c r="X83" s="111"/>
      <c r="Y83" s="111"/>
      <c r="Z83" s="111"/>
      <c r="AA83" s="108"/>
      <c r="AB83" s="109"/>
      <c r="AC83" s="108">
        <f>(IF(J83=8,P83,0))+((IF(T83=8,AB83,0)))</f>
        <v>0</v>
      </c>
      <c r="AD83" s="108">
        <f>(IF(J83=10,P83,0))+((IF(T83=10,AB83,0)))</f>
        <v>0</v>
      </c>
      <c r="AE83" s="108">
        <f>IF(J83=12,P83,0)</f>
        <v>0</v>
      </c>
      <c r="AF83" s="108">
        <f>IF(J83=16,P83,0)</f>
        <v>18.666666666666664</v>
      </c>
      <c r="AG83" s="108">
        <f>IF(J83=20,P83,0)</f>
        <v>0</v>
      </c>
      <c r="AH83" s="108">
        <f>IF(J83=25,P83,0)</f>
        <v>0</v>
      </c>
      <c r="AI83" s="108">
        <f>IF(J83=32,P83,0)</f>
        <v>0</v>
      </c>
    </row>
    <row r="85" spans="1:35" x14ac:dyDescent="0.3">
      <c r="A85" s="104">
        <v>1</v>
      </c>
      <c r="B85" s="659" t="s">
        <v>145</v>
      </c>
      <c r="C85" s="105"/>
      <c r="D85" s="104">
        <v>1</v>
      </c>
      <c r="E85" s="105">
        <v>6.15</v>
      </c>
      <c r="F85" s="105">
        <v>0.38</v>
      </c>
      <c r="G85" s="105">
        <v>0.75</v>
      </c>
      <c r="H85" s="106">
        <f>G85*F85*E85*D85</f>
        <v>1.7527500000000003</v>
      </c>
      <c r="I85" s="105" t="s">
        <v>127</v>
      </c>
      <c r="J85" s="105">
        <v>25</v>
      </c>
      <c r="K85" s="105">
        <v>4</v>
      </c>
      <c r="L85" s="105">
        <f>E85</f>
        <v>6.15</v>
      </c>
      <c r="M85" s="107">
        <f>L85+(2*(G85-0.07))</f>
        <v>7.51</v>
      </c>
      <c r="N85" s="108">
        <f t="shared" ref="N85" si="63">J85*J85/162</f>
        <v>3.8580246913580245</v>
      </c>
      <c r="O85" s="108">
        <f>M85*K85*N85</f>
        <v>115.89506172839505</v>
      </c>
      <c r="P85" s="109">
        <f>O85*D85</f>
        <v>115.89506172839505</v>
      </c>
      <c r="Q85" s="107">
        <f>E85/2</f>
        <v>3.0750000000000002</v>
      </c>
      <c r="R85" s="107">
        <f>(2*(F85-0.025))+(2*(G85-0.035))+(2*10*0.008)</f>
        <v>2.2999999999999998</v>
      </c>
      <c r="S85" s="107">
        <v>0.1</v>
      </c>
      <c r="T85" s="110">
        <v>10</v>
      </c>
      <c r="U85" s="111">
        <f>ROUND(IF(S85=0.1,Q85/S85,0),0)</f>
        <v>31</v>
      </c>
      <c r="V85" s="111">
        <f>ROUND(IF(S85=0.125,Q85/S85,0),0)</f>
        <v>0</v>
      </c>
      <c r="W85" s="111">
        <f>ROUND(IF(S85=0.15,Q85/S85,0),0)</f>
        <v>0</v>
      </c>
      <c r="X85" s="111">
        <f t="shared" ref="X85:X86" si="64">ROUND(IF(S85=0.18,Q85/S85,0),0)</f>
        <v>0</v>
      </c>
      <c r="Y85" s="111">
        <f>ROUND(IF(S85=0.2,Q85/S85,0),0)</f>
        <v>0</v>
      </c>
      <c r="Z85" s="111">
        <f>ROUND(IF(S85=0.23,Q85/S85,0),0)</f>
        <v>0</v>
      </c>
      <c r="AA85" s="108">
        <f>((T85*T85)/162)*D85</f>
        <v>0.61728395061728392</v>
      </c>
      <c r="AB85" s="109">
        <f>AA85*R85*(U85+V85+W85+X85+Y85+Z85)*D85</f>
        <v>44.012345679012341</v>
      </c>
      <c r="AC85" s="108">
        <f>(IF(J85=8,P85,0))+((IF(T85=8,AB85,0)))</f>
        <v>0</v>
      </c>
      <c r="AD85" s="108">
        <f>(IF(J85=10,P85,0))+((IF(T85=10,AB85,0)))</f>
        <v>44.012345679012341</v>
      </c>
      <c r="AE85" s="108">
        <f>IF(J85=12,P85,0)</f>
        <v>0</v>
      </c>
      <c r="AF85" s="108">
        <f>IF(J85=16,P85,0)</f>
        <v>0</v>
      </c>
      <c r="AG85" s="108">
        <f>IF(J85=20,P85,0)</f>
        <v>0</v>
      </c>
      <c r="AH85" s="108">
        <f>IF(J85=25,P85,0)</f>
        <v>115.89506172839505</v>
      </c>
      <c r="AI85" s="108">
        <f>IF(J85=32,P85,0)</f>
        <v>0</v>
      </c>
    </row>
    <row r="86" spans="1:35" x14ac:dyDescent="0.3">
      <c r="A86" s="104"/>
      <c r="B86" s="105"/>
      <c r="C86" s="105"/>
      <c r="D86" s="104">
        <v>1</v>
      </c>
      <c r="E86" s="105"/>
      <c r="F86" s="105"/>
      <c r="G86" s="105"/>
      <c r="H86" s="103"/>
      <c r="I86" s="105" t="s">
        <v>128</v>
      </c>
      <c r="J86" s="105">
        <v>16</v>
      </c>
      <c r="K86" s="105">
        <v>4</v>
      </c>
      <c r="L86" s="107">
        <f>E85/2</f>
        <v>3.0750000000000002</v>
      </c>
      <c r="M86" s="107">
        <f>L86+(2*0.38)</f>
        <v>3.835</v>
      </c>
      <c r="N86" s="108">
        <f>J86*J86/162</f>
        <v>1.5802469135802468</v>
      </c>
      <c r="O86" s="108">
        <f>M86*K86*N86</f>
        <v>24.240987654320985</v>
      </c>
      <c r="P86" s="109">
        <f t="shared" ref="P86:P89" si="65">O86*D86</f>
        <v>24.240987654320985</v>
      </c>
      <c r="Q86" s="107">
        <f>E85/2</f>
        <v>3.0750000000000002</v>
      </c>
      <c r="R86" s="107">
        <f>(2*(F85-0.025))+(2*(G85-0.035))+(2*10*0.008)</f>
        <v>2.2999999999999998</v>
      </c>
      <c r="S86" s="107">
        <v>0.15</v>
      </c>
      <c r="T86" s="110">
        <v>8</v>
      </c>
      <c r="U86" s="111">
        <f>ROUND(IF(S86=0.1,Q86/S86,0),0)</f>
        <v>0</v>
      </c>
      <c r="V86" s="111">
        <f>ROUND(IF(S86=0.125,Q86/S86,0),0)</f>
        <v>0</v>
      </c>
      <c r="W86" s="111">
        <f>ROUND(IF(S86=0.15,Q86/S86,0),0)</f>
        <v>21</v>
      </c>
      <c r="X86" s="111">
        <f t="shared" si="64"/>
        <v>0</v>
      </c>
      <c r="Y86" s="111">
        <f>ROUND(IF(S86=0.2,Q86/S86,0),0)</f>
        <v>0</v>
      </c>
      <c r="Z86" s="111">
        <f>ROUND(IF(S86=0.23,Q86/S86,0),0)</f>
        <v>0</v>
      </c>
      <c r="AA86" s="108">
        <f>((T86*T86)/162)*D86</f>
        <v>0.39506172839506171</v>
      </c>
      <c r="AB86" s="109">
        <f>AA86*R86*(U86+V86+W86+X86+Y86+Z86)*D86</f>
        <v>19.081481481481479</v>
      </c>
      <c r="AC86" s="108">
        <f>(IF(J86=8,P86,0))+((IF(T86=8,AB86,0)))</f>
        <v>19.081481481481479</v>
      </c>
      <c r="AD86" s="108">
        <f>(IF(J86=10,P86,0))+((IF(T86=10,AB86,0)))</f>
        <v>0</v>
      </c>
      <c r="AE86" s="108">
        <f>IF(J86=12,P86,0)</f>
        <v>0</v>
      </c>
      <c r="AF86" s="108">
        <f>IF(J86=16,P86,0)</f>
        <v>24.240987654320985</v>
      </c>
      <c r="AG86" s="108">
        <f>IF(J86=20,P86,0)</f>
        <v>0</v>
      </c>
      <c r="AH86" s="108">
        <f>IF(J86=25,P86,0)</f>
        <v>0</v>
      </c>
      <c r="AI86" s="108">
        <f>IF(J86=32,P86,0)</f>
        <v>0</v>
      </c>
    </row>
    <row r="87" spans="1:35" x14ac:dyDescent="0.3">
      <c r="A87" s="104"/>
      <c r="B87" s="105"/>
      <c r="C87" s="105"/>
      <c r="D87" s="104">
        <v>1</v>
      </c>
      <c r="E87" s="105"/>
      <c r="F87" s="105"/>
      <c r="G87" s="105"/>
      <c r="H87" s="103"/>
      <c r="I87" s="105"/>
      <c r="J87" s="105">
        <v>25</v>
      </c>
      <c r="K87" s="105">
        <v>6</v>
      </c>
      <c r="L87" s="107">
        <f>(E85/4)+0.6</f>
        <v>2.1375000000000002</v>
      </c>
      <c r="M87" s="107">
        <f>L87+(G85-0.07)</f>
        <v>2.8174999999999999</v>
      </c>
      <c r="N87" s="108">
        <f t="shared" ref="N87:N89" si="66">J87*J87/162</f>
        <v>3.8580246913580245</v>
      </c>
      <c r="O87" s="108">
        <f>M87*K87*N87</f>
        <v>65.219907407407405</v>
      </c>
      <c r="P87" s="109">
        <f t="shared" si="65"/>
        <v>65.219907407407405</v>
      </c>
      <c r="Q87" s="108"/>
      <c r="R87" s="108"/>
      <c r="S87" s="108"/>
      <c r="T87" s="110"/>
      <c r="U87" s="111"/>
      <c r="V87" s="111"/>
      <c r="W87" s="111"/>
      <c r="X87" s="111"/>
      <c r="Y87" s="111"/>
      <c r="Z87" s="111"/>
      <c r="AA87" s="108"/>
      <c r="AB87" s="109"/>
      <c r="AC87" s="108">
        <f>(IF(J87=8,P87,0))+((IF(T87=8,AB87,0)))</f>
        <v>0</v>
      </c>
      <c r="AD87" s="108">
        <f>(IF(J87=10,P87,0))+((IF(T87=10,AB87,0)))</f>
        <v>0</v>
      </c>
      <c r="AE87" s="108">
        <f>IF(J87=12,P87,0)</f>
        <v>0</v>
      </c>
      <c r="AF87" s="108">
        <f>IF(J87=16,P87,0)</f>
        <v>0</v>
      </c>
      <c r="AG87" s="108">
        <f>IF(J87=20,P87,0)</f>
        <v>0</v>
      </c>
      <c r="AH87" s="108">
        <f>IF(J87=25,P87,0)</f>
        <v>65.219907407407405</v>
      </c>
      <c r="AI87" s="108">
        <f>IF(J87=32,P87,0)</f>
        <v>0</v>
      </c>
    </row>
    <row r="88" spans="1:35" x14ac:dyDescent="0.3">
      <c r="A88" s="104"/>
      <c r="B88" s="105"/>
      <c r="C88" s="105"/>
      <c r="D88" s="104">
        <v>1</v>
      </c>
      <c r="E88" s="105"/>
      <c r="F88" s="105"/>
      <c r="G88" s="105"/>
      <c r="H88" s="105"/>
      <c r="I88" s="105"/>
      <c r="J88" s="112">
        <v>16</v>
      </c>
      <c r="K88" s="112">
        <v>4</v>
      </c>
      <c r="L88" s="107">
        <f>(E85/4)+0.6</f>
        <v>2.1375000000000002</v>
      </c>
      <c r="M88" s="107">
        <f>L88+(G85-0.07)</f>
        <v>2.8174999999999999</v>
      </c>
      <c r="N88" s="113">
        <f t="shared" si="66"/>
        <v>1.5802469135802468</v>
      </c>
      <c r="O88" s="113">
        <f>M88*K88*N88</f>
        <v>17.809382716049381</v>
      </c>
      <c r="P88" s="109">
        <f t="shared" si="65"/>
        <v>17.809382716049381</v>
      </c>
      <c r="Q88" s="108"/>
      <c r="R88" s="108"/>
      <c r="S88" s="108"/>
      <c r="T88" s="110"/>
      <c r="U88" s="111"/>
      <c r="V88" s="111"/>
      <c r="W88" s="111"/>
      <c r="X88" s="111"/>
      <c r="Y88" s="111"/>
      <c r="Z88" s="111"/>
      <c r="AA88" s="108"/>
      <c r="AB88" s="109"/>
      <c r="AC88" s="108">
        <f>(IF(J88=8,P88,0))+((IF(T88=8,AB88,0)))</f>
        <v>0</v>
      </c>
      <c r="AD88" s="108">
        <f>(IF(J88=10,P88,0))+((IF(T88=10,AB88,0)))</f>
        <v>0</v>
      </c>
      <c r="AE88" s="108">
        <f>IF(J88=12,P88,0)</f>
        <v>0</v>
      </c>
      <c r="AF88" s="108">
        <f>IF(J88=16,P88,0)</f>
        <v>17.809382716049381</v>
      </c>
      <c r="AG88" s="108">
        <f>IF(J88=20,P88,0)</f>
        <v>0</v>
      </c>
      <c r="AH88" s="108">
        <f>IF(J88=25,P88,0)</f>
        <v>0</v>
      </c>
      <c r="AI88" s="108">
        <f>IF(J88=32,P88,0)</f>
        <v>0</v>
      </c>
    </row>
    <row r="89" spans="1:35" x14ac:dyDescent="0.3">
      <c r="A89" s="104"/>
      <c r="B89" s="105"/>
      <c r="C89" s="105"/>
      <c r="D89" s="104">
        <v>1</v>
      </c>
      <c r="E89" s="105"/>
      <c r="F89" s="105"/>
      <c r="G89" s="105"/>
      <c r="H89" s="105"/>
      <c r="I89" s="105"/>
      <c r="J89" s="105">
        <v>25</v>
      </c>
      <c r="K89" s="105">
        <v>2</v>
      </c>
      <c r="L89" s="107">
        <f>(E85/4)+0.6</f>
        <v>2.1375000000000002</v>
      </c>
      <c r="M89" s="107">
        <f>L89+(G85-0.07)</f>
        <v>2.8174999999999999</v>
      </c>
      <c r="N89" s="105">
        <f t="shared" si="66"/>
        <v>3.8580246913580245</v>
      </c>
      <c r="O89" s="113">
        <f>M89*K89*N89</f>
        <v>21.739969135802468</v>
      </c>
      <c r="P89" s="109">
        <f t="shared" si="65"/>
        <v>21.739969135802468</v>
      </c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</row>
    <row r="91" spans="1:35" x14ac:dyDescent="0.3">
      <c r="A91" s="104">
        <v>1</v>
      </c>
      <c r="B91" s="659" t="s">
        <v>146</v>
      </c>
      <c r="C91" s="105"/>
      <c r="D91" s="104">
        <v>1</v>
      </c>
      <c r="E91" s="105">
        <v>5.56</v>
      </c>
      <c r="F91" s="105">
        <v>0.38</v>
      </c>
      <c r="G91" s="105">
        <v>0.75</v>
      </c>
      <c r="H91" s="106">
        <f>G91*F91*E91*D91</f>
        <v>1.5846</v>
      </c>
      <c r="I91" s="105" t="s">
        <v>127</v>
      </c>
      <c r="J91" s="105">
        <v>25</v>
      </c>
      <c r="K91" s="105">
        <v>4</v>
      </c>
      <c r="L91" s="105">
        <f>E91</f>
        <v>5.56</v>
      </c>
      <c r="M91" s="107">
        <f>L91+(2*(G91-0.07))</f>
        <v>6.92</v>
      </c>
      <c r="N91" s="108">
        <f t="shared" ref="N91" si="67">J91*J91/162</f>
        <v>3.8580246913580245</v>
      </c>
      <c r="O91" s="108">
        <f>M91*K91*N91</f>
        <v>106.79012345679011</v>
      </c>
      <c r="P91" s="109">
        <f>O91*D91</f>
        <v>106.79012345679011</v>
      </c>
      <c r="Q91" s="107">
        <f>E91/2</f>
        <v>2.78</v>
      </c>
      <c r="R91" s="107">
        <f>(2*(F91-0.025))+(2*(G91-0.035))+(2*10*0.008)</f>
        <v>2.2999999999999998</v>
      </c>
      <c r="S91" s="107">
        <v>0.1</v>
      </c>
      <c r="T91" s="110">
        <v>10</v>
      </c>
      <c r="U91" s="111">
        <f>ROUND(IF(S91=0.1,Q91/S91,0),0)</f>
        <v>28</v>
      </c>
      <c r="V91" s="111">
        <f>ROUND(IF(S91=0.125,Q91/S91,0),0)</f>
        <v>0</v>
      </c>
      <c r="W91" s="111">
        <f>ROUND(IF(S91=0.15,Q91/S91,0),0)</f>
        <v>0</v>
      </c>
      <c r="X91" s="111">
        <f t="shared" ref="X91:X92" si="68">ROUND(IF(S91=0.18,Q91/S91,0),0)</f>
        <v>0</v>
      </c>
      <c r="Y91" s="111">
        <f>ROUND(IF(S91=0.2,Q91/S91,0),0)</f>
        <v>0</v>
      </c>
      <c r="Z91" s="111">
        <f>ROUND(IF(S91=0.23,Q91/S91,0),0)</f>
        <v>0</v>
      </c>
      <c r="AA91" s="108">
        <f>((T91*T91)/162)*D91</f>
        <v>0.61728395061728392</v>
      </c>
      <c r="AB91" s="109">
        <f>AA91*R91*(U91+V91+W91+X91+Y91+Z91)*D91</f>
        <v>39.753086419753082</v>
      </c>
      <c r="AC91" s="108">
        <f>(IF(J91=8,P91,0))+((IF(T91=8,AB91,0)))</f>
        <v>0</v>
      </c>
      <c r="AD91" s="108">
        <f>(IF(J91=10,P91,0))+((IF(T91=10,AB91,0)))</f>
        <v>39.753086419753082</v>
      </c>
      <c r="AE91" s="108">
        <f>IF(J91=12,P91,0)</f>
        <v>0</v>
      </c>
      <c r="AF91" s="108">
        <f>IF(J91=16,P91,0)</f>
        <v>0</v>
      </c>
      <c r="AG91" s="108">
        <f>IF(J91=20,P91,0)</f>
        <v>0</v>
      </c>
      <c r="AH91" s="108">
        <f>IF(J91=25,P91,0)</f>
        <v>106.79012345679011</v>
      </c>
      <c r="AI91" s="108">
        <f>IF(J91=32,P91,0)</f>
        <v>0</v>
      </c>
    </row>
    <row r="92" spans="1:35" x14ac:dyDescent="0.3">
      <c r="A92" s="104"/>
      <c r="B92" s="105"/>
      <c r="C92" s="105"/>
      <c r="D92" s="104">
        <v>1</v>
      </c>
      <c r="E92" s="105"/>
      <c r="F92" s="105"/>
      <c r="G92" s="105"/>
      <c r="H92" s="103"/>
      <c r="I92" s="105" t="s">
        <v>128</v>
      </c>
      <c r="J92" s="105">
        <v>16</v>
      </c>
      <c r="K92" s="105">
        <v>4</v>
      </c>
      <c r="L92" s="107">
        <f>E91/2</f>
        <v>2.78</v>
      </c>
      <c r="M92" s="107">
        <f>L92+(2*0.38)</f>
        <v>3.54</v>
      </c>
      <c r="N92" s="108">
        <f>J92*J92/162</f>
        <v>1.5802469135802468</v>
      </c>
      <c r="O92" s="108">
        <f>M92*K92*N92</f>
        <v>22.376296296296296</v>
      </c>
      <c r="P92" s="109">
        <f t="shared" ref="P92:P95" si="69">O92*D92</f>
        <v>22.376296296296296</v>
      </c>
      <c r="Q92" s="107">
        <f>E91/2</f>
        <v>2.78</v>
      </c>
      <c r="R92" s="107">
        <f>(2*(F91-0.025))+(2*(G91-0.035))+(2*10*0.008)</f>
        <v>2.2999999999999998</v>
      </c>
      <c r="S92" s="107">
        <v>0.15</v>
      </c>
      <c r="T92" s="110">
        <v>8</v>
      </c>
      <c r="U92" s="111">
        <f>ROUND(IF(S92=0.1,Q92/S92,0),0)</f>
        <v>0</v>
      </c>
      <c r="V92" s="111">
        <f>ROUND(IF(S92=0.125,Q92/S92,0),0)</f>
        <v>0</v>
      </c>
      <c r="W92" s="111">
        <f>ROUND(IF(S92=0.15,Q92/S92,0),0)</f>
        <v>19</v>
      </c>
      <c r="X92" s="111">
        <f t="shared" si="68"/>
        <v>0</v>
      </c>
      <c r="Y92" s="111">
        <f>ROUND(IF(S92=0.2,Q92/S92,0),0)</f>
        <v>0</v>
      </c>
      <c r="Z92" s="111">
        <f>ROUND(IF(S92=0.23,Q92/S92,0),0)</f>
        <v>0</v>
      </c>
      <c r="AA92" s="108">
        <f>((T92*T92)/162)*D92</f>
        <v>0.39506172839506171</v>
      </c>
      <c r="AB92" s="109">
        <f>AA92*R92*(U92+V92+W92+X92+Y92+Z92)*D92</f>
        <v>17.264197530864195</v>
      </c>
      <c r="AC92" s="108">
        <f>(IF(J92=8,P92,0))+((IF(T92=8,AB92,0)))</f>
        <v>17.264197530864195</v>
      </c>
      <c r="AD92" s="108">
        <f>(IF(J92=10,P92,0))+((IF(T92=10,AB92,0)))</f>
        <v>0</v>
      </c>
      <c r="AE92" s="108">
        <f>IF(J92=12,P92,0)</f>
        <v>0</v>
      </c>
      <c r="AF92" s="108">
        <f>IF(J92=16,P92,0)</f>
        <v>22.376296296296296</v>
      </c>
      <c r="AG92" s="108">
        <f>IF(J92=20,P92,0)</f>
        <v>0</v>
      </c>
      <c r="AH92" s="108">
        <f>IF(J92=25,P92,0)</f>
        <v>0</v>
      </c>
      <c r="AI92" s="108">
        <f>IF(J92=32,P92,0)</f>
        <v>0</v>
      </c>
    </row>
    <row r="93" spans="1:35" x14ac:dyDescent="0.3">
      <c r="A93" s="104"/>
      <c r="B93" s="105"/>
      <c r="C93" s="105"/>
      <c r="D93" s="104">
        <v>1</v>
      </c>
      <c r="E93" s="105"/>
      <c r="F93" s="105"/>
      <c r="G93" s="105"/>
      <c r="H93" s="103"/>
      <c r="I93" s="105"/>
      <c r="J93" s="105">
        <v>25</v>
      </c>
      <c r="K93" s="105">
        <v>6</v>
      </c>
      <c r="L93" s="107">
        <f>(E91/4)+0.6</f>
        <v>1.9899999999999998</v>
      </c>
      <c r="M93" s="107">
        <f>L93+(G91-0.07)</f>
        <v>2.67</v>
      </c>
      <c r="N93" s="108">
        <f t="shared" ref="N93:N95" si="70">J93*J93/162</f>
        <v>3.8580246913580245</v>
      </c>
      <c r="O93" s="108">
        <f>M93*K93*N93</f>
        <v>61.80555555555555</v>
      </c>
      <c r="P93" s="109">
        <f t="shared" si="69"/>
        <v>61.80555555555555</v>
      </c>
      <c r="Q93" s="108"/>
      <c r="R93" s="108"/>
      <c r="S93" s="108"/>
      <c r="T93" s="110"/>
      <c r="U93" s="111"/>
      <c r="V93" s="111"/>
      <c r="W93" s="111"/>
      <c r="X93" s="111"/>
      <c r="Y93" s="111"/>
      <c r="Z93" s="111"/>
      <c r="AA93" s="108"/>
      <c r="AB93" s="109"/>
      <c r="AC93" s="108">
        <f>(IF(J93=8,P93,0))+((IF(T93=8,AB93,0)))</f>
        <v>0</v>
      </c>
      <c r="AD93" s="108">
        <f>(IF(J93=10,P93,0))+((IF(T93=10,AB93,0)))</f>
        <v>0</v>
      </c>
      <c r="AE93" s="108">
        <f>IF(J93=12,P93,0)</f>
        <v>0</v>
      </c>
      <c r="AF93" s="108">
        <f>IF(J93=16,P93,0)</f>
        <v>0</v>
      </c>
      <c r="AG93" s="108">
        <f>IF(J93=20,P93,0)</f>
        <v>0</v>
      </c>
      <c r="AH93" s="108">
        <f>IF(J93=25,P93,0)</f>
        <v>61.80555555555555</v>
      </c>
      <c r="AI93" s="108">
        <f>IF(J93=32,P93,0)</f>
        <v>0</v>
      </c>
    </row>
    <row r="94" spans="1:35" x14ac:dyDescent="0.3">
      <c r="A94" s="104"/>
      <c r="B94" s="105"/>
      <c r="C94" s="105"/>
      <c r="D94" s="104">
        <v>1</v>
      </c>
      <c r="E94" s="105"/>
      <c r="F94" s="105"/>
      <c r="G94" s="105"/>
      <c r="H94" s="105"/>
      <c r="I94" s="105"/>
      <c r="J94" s="112">
        <v>16</v>
      </c>
      <c r="K94" s="112">
        <v>4</v>
      </c>
      <c r="L94" s="107">
        <f>(E91/4)+0.6</f>
        <v>1.9899999999999998</v>
      </c>
      <c r="M94" s="107">
        <f>L94+(G91-0.07)</f>
        <v>2.67</v>
      </c>
      <c r="N94" s="113">
        <f t="shared" si="70"/>
        <v>1.5802469135802468</v>
      </c>
      <c r="O94" s="113">
        <f>M94*K94*N94</f>
        <v>16.877037037037034</v>
      </c>
      <c r="P94" s="109">
        <f t="shared" si="69"/>
        <v>16.877037037037034</v>
      </c>
      <c r="Q94" s="108"/>
      <c r="R94" s="108"/>
      <c r="S94" s="108"/>
      <c r="T94" s="110"/>
      <c r="U94" s="111"/>
      <c r="V94" s="111"/>
      <c r="W94" s="111"/>
      <c r="X94" s="111"/>
      <c r="Y94" s="111"/>
      <c r="Z94" s="111"/>
      <c r="AA94" s="108"/>
      <c r="AB94" s="109"/>
      <c r="AC94" s="108">
        <f>(IF(J94=8,P94,0))+((IF(T94=8,AB94,0)))</f>
        <v>0</v>
      </c>
      <c r="AD94" s="108">
        <f>(IF(J94=10,P94,0))+((IF(T94=10,AB94,0)))</f>
        <v>0</v>
      </c>
      <c r="AE94" s="108">
        <f>IF(J94=12,P94,0)</f>
        <v>0</v>
      </c>
      <c r="AF94" s="108">
        <f>IF(J94=16,P94,0)</f>
        <v>16.877037037037034</v>
      </c>
      <c r="AG94" s="108">
        <f>IF(J94=20,P94,0)</f>
        <v>0</v>
      </c>
      <c r="AH94" s="108">
        <f>IF(J94=25,P94,0)</f>
        <v>0</v>
      </c>
      <c r="AI94" s="108">
        <f>IF(J94=32,P94,0)</f>
        <v>0</v>
      </c>
    </row>
    <row r="95" spans="1:35" x14ac:dyDescent="0.3">
      <c r="A95" s="104"/>
      <c r="B95" s="105"/>
      <c r="C95" s="105"/>
      <c r="D95" s="104">
        <v>1</v>
      </c>
      <c r="E95" s="105"/>
      <c r="F95" s="105"/>
      <c r="G95" s="105"/>
      <c r="H95" s="105"/>
      <c r="I95" s="105"/>
      <c r="J95" s="105">
        <v>25</v>
      </c>
      <c r="K95" s="105">
        <v>2</v>
      </c>
      <c r="L95" s="107">
        <f>(E91/4)+0.6</f>
        <v>1.9899999999999998</v>
      </c>
      <c r="M95" s="107">
        <f>L95+(G91-0.07)</f>
        <v>2.67</v>
      </c>
      <c r="N95" s="105">
        <f t="shared" si="70"/>
        <v>3.8580246913580245</v>
      </c>
      <c r="O95" s="113">
        <f>M95*K95*N95</f>
        <v>20.601851851851851</v>
      </c>
      <c r="P95" s="109">
        <f t="shared" si="69"/>
        <v>20.601851851851851</v>
      </c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</row>
    <row r="96" spans="1:35" x14ac:dyDescent="0.3">
      <c r="A96" s="104"/>
      <c r="B96" s="105"/>
      <c r="C96" s="105"/>
      <c r="D96" s="104"/>
      <c r="E96" s="105"/>
      <c r="F96" s="105"/>
      <c r="G96" s="105"/>
      <c r="H96" s="105"/>
      <c r="I96" s="105"/>
      <c r="J96" s="105"/>
      <c r="K96" s="105"/>
      <c r="L96" s="107"/>
      <c r="M96" s="107"/>
      <c r="N96" s="105"/>
      <c r="O96" s="113"/>
      <c r="P96" s="109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</row>
    <row r="97" spans="1:35" x14ac:dyDescent="0.3">
      <c r="A97" s="104"/>
      <c r="B97" s="105"/>
      <c r="C97" s="105"/>
      <c r="D97" s="104"/>
      <c r="E97" s="105"/>
      <c r="F97" s="105"/>
      <c r="G97" s="105"/>
      <c r="H97" s="105"/>
      <c r="I97" s="105"/>
      <c r="J97" s="105"/>
      <c r="K97" s="105"/>
      <c r="L97" s="107"/>
      <c r="M97" s="107"/>
      <c r="N97" s="105"/>
      <c r="O97" s="113"/>
      <c r="P97" s="109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</row>
    <row r="99" spans="1:35" x14ac:dyDescent="0.3">
      <c r="A99" s="114"/>
      <c r="B99" s="115"/>
      <c r="C99" s="115"/>
      <c r="D99" s="114"/>
      <c r="E99" s="115"/>
      <c r="F99" s="115"/>
      <c r="G99" s="115"/>
      <c r="H99" s="116"/>
      <c r="I99" s="115"/>
      <c r="J99" s="115"/>
      <c r="K99" s="115"/>
      <c r="L99" s="117"/>
      <c r="M99" s="117"/>
      <c r="N99" s="118"/>
      <c r="O99" s="118"/>
      <c r="P99" s="119"/>
      <c r="Q99" s="117"/>
      <c r="R99" s="117"/>
      <c r="S99" s="118"/>
      <c r="T99" s="120"/>
      <c r="U99" s="121"/>
      <c r="V99" s="121"/>
      <c r="W99" s="121"/>
      <c r="X99" s="121"/>
      <c r="Y99" s="121"/>
      <c r="Z99" s="121"/>
      <c r="AA99" s="118"/>
      <c r="AB99" s="119"/>
      <c r="AC99" s="118"/>
      <c r="AD99" s="118"/>
      <c r="AE99" s="118"/>
      <c r="AF99" s="118"/>
      <c r="AG99" s="118"/>
      <c r="AH99" s="118"/>
      <c r="AI99" s="118"/>
    </row>
    <row r="100" spans="1:35" x14ac:dyDescent="0.3">
      <c r="A100" s="104">
        <v>1</v>
      </c>
      <c r="B100" s="659" t="s">
        <v>147</v>
      </c>
      <c r="C100" s="105"/>
      <c r="D100" s="104">
        <v>1</v>
      </c>
      <c r="E100" s="105">
        <v>5.45</v>
      </c>
      <c r="F100" s="105">
        <v>0.38</v>
      </c>
      <c r="G100" s="105">
        <v>0.75</v>
      </c>
      <c r="H100" s="106">
        <f>G100*F100*E100*D100</f>
        <v>1.5532500000000002</v>
      </c>
      <c r="I100" s="105" t="s">
        <v>127</v>
      </c>
      <c r="J100" s="105">
        <v>25</v>
      </c>
      <c r="K100" s="105">
        <v>4</v>
      </c>
      <c r="L100" s="105">
        <f>E100</f>
        <v>5.45</v>
      </c>
      <c r="M100" s="107">
        <f>L100+(2*(G100-0.07))</f>
        <v>6.8100000000000005</v>
      </c>
      <c r="N100" s="108">
        <f t="shared" ref="N100" si="71">J100*J100/162</f>
        <v>3.8580246913580245</v>
      </c>
      <c r="O100" s="108">
        <f>M100*K100*N100</f>
        <v>105.0925925925926</v>
      </c>
      <c r="P100" s="109">
        <f>O100*D100</f>
        <v>105.0925925925926</v>
      </c>
      <c r="Q100" s="107">
        <f>E100/2</f>
        <v>2.7250000000000001</v>
      </c>
      <c r="R100" s="107">
        <f>(2*(F100-0.025))+(2*(G100-0.035))+(2*10*0.008)</f>
        <v>2.2999999999999998</v>
      </c>
      <c r="S100" s="107">
        <v>0.125</v>
      </c>
      <c r="T100" s="110">
        <v>10</v>
      </c>
      <c r="U100" s="111">
        <f>ROUND(IF(S100=0.1,Q100/S100,0),0)</f>
        <v>0</v>
      </c>
      <c r="V100" s="111">
        <f>ROUND(IF(S100=0.125,Q100/S100,0),0)</f>
        <v>22</v>
      </c>
      <c r="W100" s="111">
        <f>ROUND(IF(S100=0.15,Q100/S100,0),0)</f>
        <v>0</v>
      </c>
      <c r="X100" s="111">
        <f t="shared" ref="X100:X101" si="72">ROUND(IF(S100=0.18,Q100/S100,0),0)</f>
        <v>0</v>
      </c>
      <c r="Y100" s="111">
        <f>ROUND(IF(S100=0.2,Q100/S100,0),0)</f>
        <v>0</v>
      </c>
      <c r="Z100" s="111">
        <f>ROUND(IF(S100=0.23,Q100/S100,0),0)</f>
        <v>0</v>
      </c>
      <c r="AA100" s="108">
        <f>((T100*T100)/162)*D100</f>
        <v>0.61728395061728392</v>
      </c>
      <c r="AB100" s="109">
        <f>AA100*R100*(U100+V100+W100+X100+Y100+Z100)*D100</f>
        <v>31.234567901234566</v>
      </c>
      <c r="AC100" s="108">
        <f>(IF(J100=8,P100,0))+((IF(T100=8,AB100,0)))</f>
        <v>0</v>
      </c>
      <c r="AD100" s="108">
        <f>(IF(J100=10,P100,0))+((IF(T100=10,AB100,0)))</f>
        <v>31.234567901234566</v>
      </c>
      <c r="AE100" s="108">
        <f>IF(J100=12,P100,0)</f>
        <v>0</v>
      </c>
      <c r="AF100" s="108">
        <f>IF(J100=16,P100,0)</f>
        <v>0</v>
      </c>
      <c r="AG100" s="108">
        <f>IF(J100=20,P100,0)</f>
        <v>0</v>
      </c>
      <c r="AH100" s="108">
        <f>IF(J100=25,P100,0)</f>
        <v>105.0925925925926</v>
      </c>
      <c r="AI100" s="108">
        <f>IF(J100=32,P100,0)</f>
        <v>0</v>
      </c>
    </row>
    <row r="101" spans="1:35" x14ac:dyDescent="0.3">
      <c r="A101" s="104"/>
      <c r="B101" s="105"/>
      <c r="C101" s="105"/>
      <c r="D101" s="104">
        <v>1</v>
      </c>
      <c r="E101" s="105"/>
      <c r="F101" s="105"/>
      <c r="G101" s="105"/>
      <c r="H101" s="103"/>
      <c r="I101" s="105" t="s">
        <v>128</v>
      </c>
      <c r="J101" s="105">
        <v>16</v>
      </c>
      <c r="K101" s="105">
        <v>4</v>
      </c>
      <c r="L101" s="107">
        <f>E100/2</f>
        <v>2.7250000000000001</v>
      </c>
      <c r="M101" s="107">
        <f>L101+(2*0.38)</f>
        <v>3.4850000000000003</v>
      </c>
      <c r="N101" s="108">
        <f>J101*J101/162</f>
        <v>1.5802469135802468</v>
      </c>
      <c r="O101" s="108">
        <f>M101*K101*N101</f>
        <v>22.028641975308641</v>
      </c>
      <c r="P101" s="109">
        <f t="shared" ref="P101:P104" si="73">O101*D101</f>
        <v>22.028641975308641</v>
      </c>
      <c r="Q101" s="107">
        <f>E100/2</f>
        <v>2.7250000000000001</v>
      </c>
      <c r="R101" s="107">
        <f>(2*(F100-0.025))+(2*(G100-0.035))+(2*10*0.008)</f>
        <v>2.2999999999999998</v>
      </c>
      <c r="S101" s="107">
        <v>0.1</v>
      </c>
      <c r="T101" s="110">
        <v>8</v>
      </c>
      <c r="U101" s="111">
        <f>ROUND(IF(S101=0.1,Q101/S101,0),0)</f>
        <v>27</v>
      </c>
      <c r="V101" s="111">
        <f>ROUND(IF(S101=0.125,Q101/S101,0),0)</f>
        <v>0</v>
      </c>
      <c r="W101" s="111">
        <f>ROUND(IF(S101=0.15,Q101/S101,0),0)</f>
        <v>0</v>
      </c>
      <c r="X101" s="111">
        <f t="shared" si="72"/>
        <v>0</v>
      </c>
      <c r="Y101" s="111">
        <f>ROUND(IF(S101=0.2,Q101/S101,0),0)</f>
        <v>0</v>
      </c>
      <c r="Z101" s="111">
        <f>ROUND(IF(S101=0.23,Q101/S101,0),0)</f>
        <v>0</v>
      </c>
      <c r="AA101" s="108">
        <f>((T101*T101)/162)*D101</f>
        <v>0.39506172839506171</v>
      </c>
      <c r="AB101" s="109">
        <f>AA101*R101*(U101+V101+W101+X101+Y101+Z101)*D101</f>
        <v>24.533333333333331</v>
      </c>
      <c r="AC101" s="108">
        <f>(IF(J101=8,P101,0))+((IF(T101=8,AB101,0)))</f>
        <v>24.533333333333331</v>
      </c>
      <c r="AD101" s="108">
        <f>(IF(J101=10,P101,0))+((IF(T101=10,AB101,0)))</f>
        <v>0</v>
      </c>
      <c r="AE101" s="108">
        <f>IF(J101=12,P101,0)</f>
        <v>0</v>
      </c>
      <c r="AF101" s="108">
        <f>IF(J101=16,P101,0)</f>
        <v>22.028641975308641</v>
      </c>
      <c r="AG101" s="108">
        <f>IF(J101=20,P101,0)</f>
        <v>0</v>
      </c>
      <c r="AH101" s="108">
        <f>IF(J101=25,P101,0)</f>
        <v>0</v>
      </c>
      <c r="AI101" s="108">
        <f>IF(J101=32,P101,0)</f>
        <v>0</v>
      </c>
    </row>
    <row r="102" spans="1:35" x14ac:dyDescent="0.3">
      <c r="A102" s="104"/>
      <c r="B102" s="105"/>
      <c r="C102" s="105"/>
      <c r="D102" s="104">
        <v>1</v>
      </c>
      <c r="E102" s="105"/>
      <c r="F102" s="105"/>
      <c r="G102" s="105"/>
      <c r="H102" s="103"/>
      <c r="I102" s="105"/>
      <c r="J102" s="105">
        <v>25</v>
      </c>
      <c r="K102" s="105">
        <v>6</v>
      </c>
      <c r="L102" s="107">
        <f>(E100/4)+0.6</f>
        <v>1.9624999999999999</v>
      </c>
      <c r="M102" s="107">
        <f>L102+(G100-0.07)</f>
        <v>2.6425000000000001</v>
      </c>
      <c r="N102" s="108">
        <f t="shared" ref="N102:N104" si="74">J102*J102/162</f>
        <v>3.8580246913580245</v>
      </c>
      <c r="O102" s="108">
        <f>M102*K102*N102</f>
        <v>61.168981481481481</v>
      </c>
      <c r="P102" s="109">
        <f t="shared" si="73"/>
        <v>61.168981481481481</v>
      </c>
      <c r="Q102" s="108"/>
      <c r="R102" s="108"/>
      <c r="S102" s="108"/>
      <c r="T102" s="110"/>
      <c r="U102" s="111"/>
      <c r="V102" s="111"/>
      <c r="W102" s="111"/>
      <c r="X102" s="111"/>
      <c r="Y102" s="111"/>
      <c r="Z102" s="111"/>
      <c r="AA102" s="108"/>
      <c r="AB102" s="109"/>
      <c r="AC102" s="108">
        <f>(IF(J102=8,P102,0))+((IF(T102=8,AB102,0)))</f>
        <v>0</v>
      </c>
      <c r="AD102" s="108">
        <f>(IF(J102=10,P102,0))+((IF(T102=10,AB102,0)))</f>
        <v>0</v>
      </c>
      <c r="AE102" s="108">
        <f>IF(J102=12,P102,0)</f>
        <v>0</v>
      </c>
      <c r="AF102" s="108">
        <f>IF(J102=16,P102,0)</f>
        <v>0</v>
      </c>
      <c r="AG102" s="108">
        <f>IF(J102=20,P102,0)</f>
        <v>0</v>
      </c>
      <c r="AH102" s="108">
        <f>IF(J102=25,P102,0)</f>
        <v>61.168981481481481</v>
      </c>
      <c r="AI102" s="108">
        <f>IF(J102=32,P102,0)</f>
        <v>0</v>
      </c>
    </row>
    <row r="103" spans="1:35" x14ac:dyDescent="0.3">
      <c r="A103" s="104"/>
      <c r="B103" s="105"/>
      <c r="C103" s="105"/>
      <c r="D103" s="104">
        <v>1</v>
      </c>
      <c r="E103" s="105"/>
      <c r="F103" s="105"/>
      <c r="G103" s="105"/>
      <c r="H103" s="105"/>
      <c r="I103" s="105"/>
      <c r="J103" s="112">
        <v>16</v>
      </c>
      <c r="K103" s="112">
        <v>4</v>
      </c>
      <c r="L103" s="107">
        <f>(E100/4)+0.6</f>
        <v>1.9624999999999999</v>
      </c>
      <c r="M103" s="107">
        <f>L103+(G100-0.07)</f>
        <v>2.6425000000000001</v>
      </c>
      <c r="N103" s="113">
        <f t="shared" si="74"/>
        <v>1.5802469135802468</v>
      </c>
      <c r="O103" s="113">
        <f>M103*K103*N103</f>
        <v>16.703209876543209</v>
      </c>
      <c r="P103" s="109">
        <f t="shared" si="73"/>
        <v>16.703209876543209</v>
      </c>
      <c r="Q103" s="108"/>
      <c r="R103" s="108"/>
      <c r="S103" s="108"/>
      <c r="T103" s="110"/>
      <c r="U103" s="111"/>
      <c r="V103" s="111"/>
      <c r="W103" s="111"/>
      <c r="X103" s="111"/>
      <c r="Y103" s="111"/>
      <c r="Z103" s="111"/>
      <c r="AA103" s="108"/>
      <c r="AB103" s="109"/>
      <c r="AC103" s="108">
        <f>(IF(J103=8,P103,0))+((IF(T103=8,AB103,0)))</f>
        <v>0</v>
      </c>
      <c r="AD103" s="108">
        <f>(IF(J103=10,P103,0))+((IF(T103=10,AB103,0)))</f>
        <v>0</v>
      </c>
      <c r="AE103" s="108">
        <f>IF(J103=12,P103,0)</f>
        <v>0</v>
      </c>
      <c r="AF103" s="108">
        <f>IF(J103=16,P103,0)</f>
        <v>16.703209876543209</v>
      </c>
      <c r="AG103" s="108">
        <f>IF(J103=20,P103,0)</f>
        <v>0</v>
      </c>
      <c r="AH103" s="108">
        <f>IF(J103=25,P103,0)</f>
        <v>0</v>
      </c>
      <c r="AI103" s="108">
        <f>IF(J103=32,P103,0)</f>
        <v>0</v>
      </c>
    </row>
    <row r="104" spans="1:35" x14ac:dyDescent="0.3">
      <c r="A104" s="104"/>
      <c r="B104" s="105"/>
      <c r="C104" s="105"/>
      <c r="D104" s="104">
        <v>1</v>
      </c>
      <c r="E104" s="105"/>
      <c r="F104" s="105"/>
      <c r="G104" s="105"/>
      <c r="H104" s="105"/>
      <c r="I104" s="105"/>
      <c r="J104" s="105">
        <v>25</v>
      </c>
      <c r="K104" s="105">
        <v>2</v>
      </c>
      <c r="L104" s="107">
        <f>(E100/4)+0.6</f>
        <v>1.9624999999999999</v>
      </c>
      <c r="M104" s="107">
        <f>L104+(G100-0.07)</f>
        <v>2.6425000000000001</v>
      </c>
      <c r="N104" s="105">
        <f t="shared" si="74"/>
        <v>3.8580246913580245</v>
      </c>
      <c r="O104" s="113">
        <f>M104*K104*N104</f>
        <v>20.389660493827162</v>
      </c>
      <c r="P104" s="109">
        <f t="shared" si="73"/>
        <v>20.389660493827162</v>
      </c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</row>
    <row r="105" spans="1:35" x14ac:dyDescent="0.3">
      <c r="A105" s="104"/>
      <c r="B105" s="105"/>
      <c r="C105" s="105"/>
      <c r="D105" s="104"/>
      <c r="E105" s="105"/>
      <c r="F105" s="105"/>
      <c r="G105" s="105"/>
      <c r="H105" s="105"/>
      <c r="I105" s="105"/>
      <c r="J105" s="105"/>
      <c r="K105" s="105"/>
      <c r="L105" s="107"/>
      <c r="M105" s="107"/>
      <c r="N105" s="105"/>
      <c r="O105" s="113"/>
      <c r="P105" s="109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</row>
    <row r="107" spans="1:35" x14ac:dyDescent="0.3">
      <c r="A107" s="104">
        <v>1</v>
      </c>
      <c r="B107" s="659" t="s">
        <v>148</v>
      </c>
      <c r="C107" s="105"/>
      <c r="D107" s="104">
        <v>1</v>
      </c>
      <c r="E107" s="105">
        <v>5.85</v>
      </c>
      <c r="F107" s="105">
        <v>0.38</v>
      </c>
      <c r="G107" s="105">
        <v>0.75</v>
      </c>
      <c r="H107" s="106">
        <f>G107*F107*E107*D107</f>
        <v>1.6672500000000001</v>
      </c>
      <c r="I107" s="105" t="s">
        <v>127</v>
      </c>
      <c r="J107" s="105">
        <v>25</v>
      </c>
      <c r="K107" s="105">
        <v>4</v>
      </c>
      <c r="L107" s="105">
        <f>E107</f>
        <v>5.85</v>
      </c>
      <c r="M107" s="107">
        <f>L107+(2*(G107-0.07))</f>
        <v>7.2099999999999991</v>
      </c>
      <c r="N107" s="108">
        <f t="shared" ref="N107" si="75">J107*J107/162</f>
        <v>3.8580246913580245</v>
      </c>
      <c r="O107" s="108">
        <f>M107*K107*N107</f>
        <v>111.26543209876542</v>
      </c>
      <c r="P107" s="109">
        <f>O107*D107</f>
        <v>111.26543209876542</v>
      </c>
      <c r="Q107" s="107">
        <f>E107/2</f>
        <v>2.9249999999999998</v>
      </c>
      <c r="R107" s="107">
        <f>(2*(F107-0.025))+(2*(G107-0.035))+(2*10*0.008)</f>
        <v>2.2999999999999998</v>
      </c>
      <c r="S107" s="107">
        <v>0.1</v>
      </c>
      <c r="T107" s="110">
        <v>8</v>
      </c>
      <c r="U107" s="111">
        <f>ROUND(IF(S107=0.1,Q107/S107,0),0)</f>
        <v>29</v>
      </c>
      <c r="V107" s="111">
        <f>ROUND(IF(S107=0.125,Q107/S107,0),0)</f>
        <v>0</v>
      </c>
      <c r="W107" s="111">
        <f>ROUND(IF(S107=0.15,Q107/S107,0),0)</f>
        <v>0</v>
      </c>
      <c r="X107" s="111">
        <f t="shared" ref="X107:X108" si="76">ROUND(IF(S107=0.18,Q107/S107,0),0)</f>
        <v>0</v>
      </c>
      <c r="Y107" s="111">
        <f>ROUND(IF(S107=0.2,Q107/S107,0),0)</f>
        <v>0</v>
      </c>
      <c r="Z107" s="111">
        <f>ROUND(IF(S107=0.23,Q107/S107,0),0)</f>
        <v>0</v>
      </c>
      <c r="AA107" s="108">
        <f>((T107*T107)/162)*D107</f>
        <v>0.39506172839506171</v>
      </c>
      <c r="AB107" s="109">
        <f>AA107*R107*(U107+V107+W107+X107+Y107+Z107)*D107</f>
        <v>26.350617283950616</v>
      </c>
      <c r="AC107" s="108">
        <f>(IF(J107=8,P107,0))+((IF(T107=8,AB107,0)))</f>
        <v>26.350617283950616</v>
      </c>
      <c r="AD107" s="108">
        <f>(IF(J107=10,P107,0))+((IF(T107=10,AB107,0)))</f>
        <v>0</v>
      </c>
      <c r="AE107" s="108">
        <f>IF(J107=12,P107,0)</f>
        <v>0</v>
      </c>
      <c r="AF107" s="108">
        <f>IF(J107=16,P107,0)</f>
        <v>0</v>
      </c>
      <c r="AG107" s="108">
        <f>IF(J107=20,P107,0)</f>
        <v>0</v>
      </c>
      <c r="AH107" s="108">
        <f>IF(J107=25,P107,0)</f>
        <v>111.26543209876542</v>
      </c>
      <c r="AI107" s="108">
        <f>IF(J107=32,P107,0)</f>
        <v>0</v>
      </c>
    </row>
    <row r="108" spans="1:35" x14ac:dyDescent="0.3">
      <c r="A108" s="104"/>
      <c r="B108" s="105"/>
      <c r="C108" s="105"/>
      <c r="D108" s="104">
        <v>1</v>
      </c>
      <c r="E108" s="105"/>
      <c r="F108" s="105"/>
      <c r="G108" s="105"/>
      <c r="H108" s="103"/>
      <c r="I108" s="105" t="s">
        <v>128</v>
      </c>
      <c r="J108" s="105">
        <v>16</v>
      </c>
      <c r="K108" s="105">
        <v>4</v>
      </c>
      <c r="L108" s="107">
        <f>E107/2</f>
        <v>2.9249999999999998</v>
      </c>
      <c r="M108" s="107">
        <f>L108+(2*0.38)</f>
        <v>3.6849999999999996</v>
      </c>
      <c r="N108" s="108">
        <f>J108*J108/162</f>
        <v>1.5802469135802468</v>
      </c>
      <c r="O108" s="108">
        <f>M108*K108*N108</f>
        <v>23.292839506172836</v>
      </c>
      <c r="P108" s="109">
        <f t="shared" ref="P108:P110" si="77">O108*D108</f>
        <v>23.292839506172836</v>
      </c>
      <c r="Q108" s="107">
        <f>E107/2</f>
        <v>2.9249999999999998</v>
      </c>
      <c r="R108" s="107">
        <f>(2*(F107-0.025))+(2*(G107-0.035))+(2*10*0.008)</f>
        <v>2.2999999999999998</v>
      </c>
      <c r="S108" s="107">
        <v>0.1</v>
      </c>
      <c r="T108" s="110">
        <v>10</v>
      </c>
      <c r="U108" s="111">
        <f>ROUND(IF(S108=0.1,Q108/S108,0),0)</f>
        <v>29</v>
      </c>
      <c r="V108" s="111">
        <f>ROUND(IF(S108=0.125,Q108/S108,0),0)</f>
        <v>0</v>
      </c>
      <c r="W108" s="111">
        <f>ROUND(IF(S108=0.15,Q108/S108,0),0)</f>
        <v>0</v>
      </c>
      <c r="X108" s="111">
        <f t="shared" si="76"/>
        <v>0</v>
      </c>
      <c r="Y108" s="111">
        <f>ROUND(IF(S108=0.2,Q108/S108,0),0)</f>
        <v>0</v>
      </c>
      <c r="Z108" s="111">
        <f>ROUND(IF(S108=0.23,Q108/S108,0),0)</f>
        <v>0</v>
      </c>
      <c r="AA108" s="108">
        <f>((T108*T108)/162)*D108</f>
        <v>0.61728395061728392</v>
      </c>
      <c r="AB108" s="109">
        <f>AA108*R108*(U108+V108+W108+X108+Y108+Z108)*D108</f>
        <v>41.172839506172835</v>
      </c>
      <c r="AC108" s="108">
        <f>(IF(J108=8,P108,0))+((IF(T108=8,AB108,0)))</f>
        <v>0</v>
      </c>
      <c r="AD108" s="108">
        <f>(IF(J108=10,P108,0))+((IF(T108=10,AB108,0)))</f>
        <v>41.172839506172835</v>
      </c>
      <c r="AE108" s="108">
        <f>IF(J108=12,P108,0)</f>
        <v>0</v>
      </c>
      <c r="AF108" s="108">
        <f>IF(J108=16,P108,0)</f>
        <v>23.292839506172836</v>
      </c>
      <c r="AG108" s="108">
        <f>IF(J108=20,P108,0)</f>
        <v>0</v>
      </c>
      <c r="AH108" s="108">
        <f>IF(J108=25,P108,0)</f>
        <v>0</v>
      </c>
      <c r="AI108" s="108">
        <f>IF(J108=32,P108,0)</f>
        <v>0</v>
      </c>
    </row>
    <row r="109" spans="1:35" x14ac:dyDescent="0.3">
      <c r="A109" s="104"/>
      <c r="B109" s="105"/>
      <c r="C109" s="105"/>
      <c r="D109" s="104">
        <v>1</v>
      </c>
      <c r="E109" s="105"/>
      <c r="F109" s="105"/>
      <c r="G109" s="105"/>
      <c r="H109" s="103"/>
      <c r="I109" s="105"/>
      <c r="J109" s="105">
        <v>16</v>
      </c>
      <c r="K109" s="105">
        <v>4</v>
      </c>
      <c r="L109" s="107">
        <f>(E107/4)+0.6</f>
        <v>2.0625</v>
      </c>
      <c r="M109" s="107">
        <f>L109+(G107-0.07)</f>
        <v>2.7424999999999997</v>
      </c>
      <c r="N109" s="108">
        <f t="shared" ref="N109:N110" si="78">J109*J109/162</f>
        <v>1.5802469135802468</v>
      </c>
      <c r="O109" s="108">
        <f>M109*K109*N109</f>
        <v>17.335308641975306</v>
      </c>
      <c r="P109" s="109">
        <f t="shared" si="77"/>
        <v>17.335308641975306</v>
      </c>
      <c r="Q109" s="108"/>
      <c r="R109" s="108"/>
      <c r="S109" s="108"/>
      <c r="T109" s="110"/>
      <c r="U109" s="111"/>
      <c r="V109" s="111"/>
      <c r="W109" s="111"/>
      <c r="X109" s="111"/>
      <c r="Y109" s="111"/>
      <c r="Z109" s="111"/>
      <c r="AA109" s="108"/>
      <c r="AB109" s="109"/>
      <c r="AC109" s="108">
        <f>(IF(J109=8,P109,0))+((IF(T109=8,AB109,0)))</f>
        <v>0</v>
      </c>
      <c r="AD109" s="108">
        <f>(IF(J109=10,P109,0))+((IF(T109=10,AB109,0)))</f>
        <v>0</v>
      </c>
      <c r="AE109" s="108">
        <f>IF(J109=12,P109,0)</f>
        <v>0</v>
      </c>
      <c r="AF109" s="108">
        <f>IF(J109=16,P109,0)</f>
        <v>17.335308641975306</v>
      </c>
      <c r="AG109" s="108">
        <f>IF(J109=20,P109,0)</f>
        <v>0</v>
      </c>
      <c r="AH109" s="108">
        <f>IF(J109=25,P109,0)</f>
        <v>0</v>
      </c>
      <c r="AI109" s="108">
        <f>IF(J109=32,P109,0)</f>
        <v>0</v>
      </c>
    </row>
    <row r="110" spans="1:35" x14ac:dyDescent="0.3">
      <c r="A110" s="104"/>
      <c r="B110" s="105"/>
      <c r="C110" s="105"/>
      <c r="D110" s="104">
        <v>1</v>
      </c>
      <c r="E110" s="105"/>
      <c r="F110" s="105"/>
      <c r="G110" s="105"/>
      <c r="H110" s="105"/>
      <c r="I110" s="105"/>
      <c r="J110" s="112">
        <v>25</v>
      </c>
      <c r="K110" s="112">
        <v>2</v>
      </c>
      <c r="L110" s="107">
        <f>(E107/4)+0.6</f>
        <v>2.0625</v>
      </c>
      <c r="M110" s="107">
        <f>L110+(G107-0.07)</f>
        <v>2.7424999999999997</v>
      </c>
      <c r="N110" s="113">
        <f t="shared" si="78"/>
        <v>3.8580246913580245</v>
      </c>
      <c r="O110" s="113">
        <f>M110*K110*N110</f>
        <v>21.161265432098762</v>
      </c>
      <c r="P110" s="109">
        <f t="shared" si="77"/>
        <v>21.161265432098762</v>
      </c>
      <c r="Q110" s="108"/>
      <c r="R110" s="108"/>
      <c r="S110" s="108"/>
      <c r="T110" s="110"/>
      <c r="U110" s="111"/>
      <c r="V110" s="111"/>
      <c r="W110" s="111"/>
      <c r="X110" s="111"/>
      <c r="Y110" s="111"/>
      <c r="Z110" s="111"/>
      <c r="AA110" s="108"/>
      <c r="AB110" s="109"/>
      <c r="AC110" s="108">
        <f>(IF(J110=8,P110,0))+((IF(T110=8,AB110,0)))</f>
        <v>0</v>
      </c>
      <c r="AD110" s="108">
        <f>(IF(J110=10,P110,0))+((IF(T110=10,AB110,0)))</f>
        <v>0</v>
      </c>
      <c r="AE110" s="108">
        <f>IF(J110=12,P110,0)</f>
        <v>0</v>
      </c>
      <c r="AF110" s="108">
        <f>IF(J110=16,P110,0)</f>
        <v>0</v>
      </c>
      <c r="AG110" s="108">
        <f>IF(J110=20,P110,0)</f>
        <v>0</v>
      </c>
      <c r="AH110" s="108">
        <f>IF(J110=25,P110,0)</f>
        <v>21.161265432098762</v>
      </c>
      <c r="AI110" s="108">
        <f>IF(J110=32,P110,0)</f>
        <v>0</v>
      </c>
    </row>
    <row r="111" spans="1:35" x14ac:dyDescent="0.3">
      <c r="A111" s="104"/>
      <c r="B111" s="105"/>
      <c r="C111" s="105"/>
      <c r="D111" s="104"/>
      <c r="E111" s="105"/>
      <c r="F111" s="105"/>
      <c r="G111" s="105"/>
      <c r="H111" s="105"/>
      <c r="I111" s="105"/>
      <c r="J111" s="105"/>
      <c r="K111" s="105"/>
      <c r="L111" s="107"/>
      <c r="M111" s="107"/>
      <c r="N111" s="105"/>
      <c r="O111" s="113"/>
      <c r="P111" s="109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</row>
    <row r="112" spans="1:35" x14ac:dyDescent="0.3">
      <c r="A112" s="114"/>
      <c r="B112" s="115"/>
      <c r="C112" s="115"/>
      <c r="D112" s="114"/>
      <c r="E112" s="115"/>
      <c r="F112" s="115"/>
      <c r="G112" s="115"/>
      <c r="H112" s="116"/>
      <c r="I112" s="115"/>
      <c r="J112" s="115"/>
      <c r="K112" s="115"/>
      <c r="L112" s="117"/>
      <c r="M112" s="117"/>
      <c r="N112" s="118"/>
      <c r="O112" s="118"/>
      <c r="P112" s="119"/>
      <c r="Q112" s="117"/>
      <c r="R112" s="117"/>
      <c r="S112" s="118"/>
      <c r="T112" s="120"/>
      <c r="U112" s="121"/>
      <c r="V112" s="121"/>
      <c r="W112" s="121"/>
      <c r="X112" s="121"/>
      <c r="Y112" s="121"/>
      <c r="Z112" s="121"/>
      <c r="AA112" s="118"/>
      <c r="AB112" s="119"/>
      <c r="AC112" s="118"/>
      <c r="AD112" s="118"/>
      <c r="AE112" s="118"/>
      <c r="AF112" s="118"/>
      <c r="AG112" s="118"/>
      <c r="AH112" s="118"/>
      <c r="AI112" s="118"/>
    </row>
    <row r="113" spans="1:35" x14ac:dyDescent="0.3">
      <c r="A113" s="104">
        <v>1</v>
      </c>
      <c r="B113" s="659" t="s">
        <v>149</v>
      </c>
      <c r="C113" s="105"/>
      <c r="D113" s="104">
        <v>0.75</v>
      </c>
      <c r="E113" s="105">
        <v>5.45</v>
      </c>
      <c r="F113" s="105">
        <v>0.3</v>
      </c>
      <c r="G113" s="105">
        <v>0.75</v>
      </c>
      <c r="H113" s="106">
        <f>G113*F113*E113*D113</f>
        <v>0.91968749999999988</v>
      </c>
      <c r="I113" s="105" t="s">
        <v>127</v>
      </c>
      <c r="J113" s="105">
        <v>25</v>
      </c>
      <c r="K113" s="105">
        <v>3</v>
      </c>
      <c r="L113" s="105">
        <f>E113</f>
        <v>5.45</v>
      </c>
      <c r="M113" s="107">
        <f>L113+(2*(G113-0.07))</f>
        <v>6.8100000000000005</v>
      </c>
      <c r="N113" s="108">
        <f t="shared" ref="N113" si="79">J113*J113/162</f>
        <v>3.8580246913580245</v>
      </c>
      <c r="O113" s="108">
        <f>M113*K113*N113</f>
        <v>78.819444444444443</v>
      </c>
      <c r="P113" s="109">
        <f>O113*D113</f>
        <v>59.114583333333329</v>
      </c>
      <c r="Q113" s="107">
        <f>E113/2</f>
        <v>2.7250000000000001</v>
      </c>
      <c r="R113" s="107">
        <f>(2*(F113-0.025))+(2*(G113-0.035))+(2*10*0.008)</f>
        <v>2.14</v>
      </c>
      <c r="S113" s="107">
        <v>0.1</v>
      </c>
      <c r="T113" s="110">
        <v>8</v>
      </c>
      <c r="U113" s="111">
        <f>ROUND(IF(S113=0.1,Q113/S113,0),0)</f>
        <v>27</v>
      </c>
      <c r="V113" s="111">
        <f>ROUND(IF(S113=0.125,Q113/S113,0),0)</f>
        <v>0</v>
      </c>
      <c r="W113" s="111">
        <f>ROUND(IF(S113=0.15,Q113/S113,0),0)</f>
        <v>0</v>
      </c>
      <c r="X113" s="111">
        <f t="shared" ref="X113:X114" si="80">ROUND(IF(S113=0.18,Q113/S113,0),0)</f>
        <v>0</v>
      </c>
      <c r="Y113" s="111">
        <f>ROUND(IF(S113=0.2,Q113/S113,0),0)</f>
        <v>0</v>
      </c>
      <c r="Z113" s="111">
        <f>ROUND(IF(S113=0.23,Q113/S113,0),0)</f>
        <v>0</v>
      </c>
      <c r="AA113" s="108">
        <f>((T113*T113)/162)*D113</f>
        <v>0.29629629629629628</v>
      </c>
      <c r="AB113" s="109">
        <f>AA113*R113*(U113+V113+W113+X113+Y113+Z113)*D113</f>
        <v>12.84</v>
      </c>
      <c r="AC113" s="108">
        <f>(IF(J113=8,P113,0))+((IF(T113=8,AB113,0)))</f>
        <v>12.84</v>
      </c>
      <c r="AD113" s="108">
        <f>(IF(J113=10,P113,0))+((IF(T113=10,AB113,0)))</f>
        <v>0</v>
      </c>
      <c r="AE113" s="108">
        <f>IF(J113=12,P113,0)</f>
        <v>0</v>
      </c>
      <c r="AF113" s="108">
        <f>IF(J113=16,P113,0)</f>
        <v>0</v>
      </c>
      <c r="AG113" s="108">
        <f>IF(J113=20,P113,0)</f>
        <v>0</v>
      </c>
      <c r="AH113" s="108">
        <f>IF(J113=25,P113,0)</f>
        <v>59.114583333333329</v>
      </c>
      <c r="AI113" s="108">
        <f>IF(J113=32,P113,0)</f>
        <v>0</v>
      </c>
    </row>
    <row r="114" spans="1:35" x14ac:dyDescent="0.3">
      <c r="A114" s="104"/>
      <c r="B114" s="105"/>
      <c r="C114" s="105"/>
      <c r="D114" s="104">
        <v>1</v>
      </c>
      <c r="E114" s="105"/>
      <c r="F114" s="105"/>
      <c r="G114" s="105"/>
      <c r="H114" s="103"/>
      <c r="I114" s="105" t="s">
        <v>128</v>
      </c>
      <c r="J114" s="105">
        <v>16</v>
      </c>
      <c r="K114" s="105">
        <v>3</v>
      </c>
      <c r="L114" s="107">
        <f>E113/2</f>
        <v>2.7250000000000001</v>
      </c>
      <c r="M114" s="107">
        <f>L114+(2*0.38)</f>
        <v>3.4850000000000003</v>
      </c>
      <c r="N114" s="108">
        <f>J114*J114/162</f>
        <v>1.5802469135802468</v>
      </c>
      <c r="O114" s="108">
        <f>M114*K114*N114</f>
        <v>16.521481481481484</v>
      </c>
      <c r="P114" s="109">
        <f t="shared" ref="P114:P115" si="81">O114*D114</f>
        <v>16.521481481481484</v>
      </c>
      <c r="Q114" s="107">
        <f>E113/2</f>
        <v>2.7250000000000001</v>
      </c>
      <c r="R114" s="107">
        <f>(2*(F113-0.025))+(2*(G113-0.035))+(2*10*0.008)</f>
        <v>2.14</v>
      </c>
      <c r="S114" s="107">
        <v>0.15</v>
      </c>
      <c r="T114" s="110">
        <v>8</v>
      </c>
      <c r="U114" s="111">
        <f>ROUND(IF(S114=0.1,Q114/S114,0),0)</f>
        <v>0</v>
      </c>
      <c r="V114" s="111">
        <f>ROUND(IF(S114=0.125,Q114/S114,0),0)</f>
        <v>0</v>
      </c>
      <c r="W114" s="111">
        <f>ROUND(IF(S114=0.15,Q114/S114,0),0)</f>
        <v>18</v>
      </c>
      <c r="X114" s="111">
        <f t="shared" si="80"/>
        <v>0</v>
      </c>
      <c r="Y114" s="111">
        <f>ROUND(IF(S114=0.2,Q114/S114,0),0)</f>
        <v>0</v>
      </c>
      <c r="Z114" s="111">
        <f>ROUND(IF(S114=0.23,Q114/S114,0),0)</f>
        <v>0</v>
      </c>
      <c r="AA114" s="108">
        <f>((T114*T114)/162)*D114</f>
        <v>0.39506172839506171</v>
      </c>
      <c r="AB114" s="109">
        <f>AA114*R114*(U114+V114+W114+X114+Y114+Z114)*D114</f>
        <v>15.217777777777778</v>
      </c>
      <c r="AC114" s="108">
        <f>(IF(J114=8,P114,0))+((IF(T114=8,AB114,0)))</f>
        <v>15.217777777777778</v>
      </c>
      <c r="AD114" s="108">
        <f>(IF(J114=10,P114,0))+((IF(T114=10,AB114,0)))</f>
        <v>0</v>
      </c>
      <c r="AE114" s="108">
        <f>IF(J114=12,P114,0)</f>
        <v>0</v>
      </c>
      <c r="AF114" s="108">
        <f>IF(J114=16,P114,0)</f>
        <v>16.521481481481484</v>
      </c>
      <c r="AG114" s="108">
        <f>IF(J114=20,P114,0)</f>
        <v>0</v>
      </c>
      <c r="AH114" s="108">
        <f>IF(J114=25,P114,0)</f>
        <v>0</v>
      </c>
      <c r="AI114" s="108">
        <f>IF(J114=32,P114,0)</f>
        <v>0</v>
      </c>
    </row>
    <row r="115" spans="1:35" x14ac:dyDescent="0.3">
      <c r="A115" s="104"/>
      <c r="B115" s="105"/>
      <c r="C115" s="105"/>
      <c r="D115" s="104">
        <v>1</v>
      </c>
      <c r="E115" s="105"/>
      <c r="F115" s="105"/>
      <c r="G115" s="105"/>
      <c r="H115" s="103"/>
      <c r="I115" s="105"/>
      <c r="J115" s="105">
        <v>25</v>
      </c>
      <c r="K115" s="105">
        <v>8</v>
      </c>
      <c r="L115" s="107">
        <f>(E113/4)+0.6</f>
        <v>1.9624999999999999</v>
      </c>
      <c r="M115" s="107">
        <f>L115+(G113-0.07)</f>
        <v>2.6425000000000001</v>
      </c>
      <c r="N115" s="108">
        <f t="shared" ref="N115" si="82">J115*J115/162</f>
        <v>3.8580246913580245</v>
      </c>
      <c r="O115" s="108">
        <f>M115*K115*N115</f>
        <v>81.558641975308646</v>
      </c>
      <c r="P115" s="109">
        <f t="shared" si="81"/>
        <v>81.558641975308646</v>
      </c>
      <c r="Q115" s="108"/>
      <c r="R115" s="108"/>
      <c r="S115" s="108"/>
      <c r="T115" s="110"/>
      <c r="U115" s="111"/>
      <c r="V115" s="111"/>
      <c r="W115" s="111"/>
      <c r="X115" s="111"/>
      <c r="Y115" s="111"/>
      <c r="Z115" s="111"/>
      <c r="AA115" s="108"/>
      <c r="AB115" s="109"/>
      <c r="AC115" s="108">
        <f>(IF(J115=8,P115,0))+((IF(T115=8,AB115,0)))</f>
        <v>0</v>
      </c>
      <c r="AD115" s="108">
        <f>(IF(J115=10,P115,0))+((IF(T115=10,AB115,0)))</f>
        <v>0</v>
      </c>
      <c r="AE115" s="108">
        <f>IF(J115=12,P115,0)</f>
        <v>0</v>
      </c>
      <c r="AF115" s="108">
        <f>IF(J115=16,P115,0)</f>
        <v>0</v>
      </c>
      <c r="AG115" s="108">
        <f>IF(J115=20,P115,0)</f>
        <v>0</v>
      </c>
      <c r="AH115" s="108">
        <f>IF(J115=25,P115,0)</f>
        <v>81.558641975308646</v>
      </c>
      <c r="AI115" s="108">
        <f>IF(J115=32,P115,0)</f>
        <v>0</v>
      </c>
    </row>
    <row r="116" spans="1:35" x14ac:dyDescent="0.3">
      <c r="A116" s="104"/>
      <c r="B116" s="105"/>
      <c r="C116" s="105"/>
      <c r="D116" s="104"/>
      <c r="E116" s="105"/>
      <c r="F116" s="105"/>
      <c r="G116" s="105"/>
      <c r="H116" s="105"/>
      <c r="I116" s="105"/>
      <c r="J116" s="105"/>
      <c r="K116" s="105"/>
      <c r="L116" s="107"/>
      <c r="M116" s="107"/>
      <c r="N116" s="105"/>
      <c r="O116" s="113"/>
      <c r="P116" s="109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</row>
    <row r="117" spans="1:35" x14ac:dyDescent="0.3">
      <c r="A117" s="114"/>
      <c r="B117" s="115"/>
      <c r="C117" s="115"/>
      <c r="D117" s="114"/>
      <c r="E117" s="115"/>
      <c r="F117" s="115"/>
      <c r="G117" s="115"/>
      <c r="H117" s="116"/>
      <c r="I117" s="115"/>
      <c r="J117" s="115"/>
      <c r="K117" s="115"/>
      <c r="L117" s="117"/>
      <c r="M117" s="117"/>
      <c r="N117" s="118"/>
      <c r="O117" s="118"/>
      <c r="P117" s="119"/>
      <c r="Q117" s="117"/>
      <c r="R117" s="117"/>
      <c r="S117" s="118"/>
      <c r="T117" s="120"/>
      <c r="U117" s="121"/>
      <c r="V117" s="121"/>
      <c r="W117" s="121"/>
      <c r="X117" s="121"/>
      <c r="Y117" s="121"/>
      <c r="Z117" s="121"/>
      <c r="AA117" s="118"/>
      <c r="AB117" s="119"/>
      <c r="AC117" s="118"/>
      <c r="AD117" s="118"/>
      <c r="AE117" s="118"/>
      <c r="AF117" s="118"/>
      <c r="AG117" s="118"/>
      <c r="AH117" s="118"/>
      <c r="AI117" s="118"/>
    </row>
    <row r="118" spans="1:35" x14ac:dyDescent="0.3">
      <c r="A118" s="104">
        <v>2</v>
      </c>
      <c r="B118" s="659" t="s">
        <v>150</v>
      </c>
      <c r="C118" s="105"/>
      <c r="D118" s="104">
        <v>2</v>
      </c>
      <c r="E118" s="105">
        <v>5.55</v>
      </c>
      <c r="F118" s="105">
        <v>0.3</v>
      </c>
      <c r="G118" s="105">
        <v>0.75</v>
      </c>
      <c r="H118" s="106">
        <f>G118*F118*E118*D118</f>
        <v>2.4974999999999996</v>
      </c>
      <c r="I118" s="105" t="s">
        <v>127</v>
      </c>
      <c r="J118" s="105">
        <v>25</v>
      </c>
      <c r="K118" s="105">
        <v>3</v>
      </c>
      <c r="L118" s="105">
        <f>E118</f>
        <v>5.55</v>
      </c>
      <c r="M118" s="107">
        <f>L118+(2*(G118-0.07))</f>
        <v>6.91</v>
      </c>
      <c r="N118" s="108">
        <f t="shared" ref="N118" si="83">J118*J118/162</f>
        <v>3.8580246913580245</v>
      </c>
      <c r="O118" s="108">
        <f>M118*K118*N118</f>
        <v>79.976851851851848</v>
      </c>
      <c r="P118" s="109">
        <f>O118*D118</f>
        <v>159.9537037037037</v>
      </c>
      <c r="Q118" s="107">
        <f>E118/2</f>
        <v>2.7749999999999999</v>
      </c>
      <c r="R118" s="107">
        <f>(2*(F118-0.025))+(2*(G118-0.035))+(2*10*0.008)</f>
        <v>2.14</v>
      </c>
      <c r="S118" s="107">
        <v>0.1</v>
      </c>
      <c r="T118" s="110">
        <v>8</v>
      </c>
      <c r="U118" s="111">
        <f>ROUND(IF(S118=0.1,Q118/S118,0),0)</f>
        <v>28</v>
      </c>
      <c r="V118" s="111">
        <f>ROUND(IF(S118=0.125,Q118/S118,0),0)</f>
        <v>0</v>
      </c>
      <c r="W118" s="111">
        <f>ROUND(IF(S118=0.15,Q118/S118,0),0)</f>
        <v>0</v>
      </c>
      <c r="X118" s="111">
        <f t="shared" ref="X118:X119" si="84">ROUND(IF(S118=0.18,Q118/S118,0),0)</f>
        <v>0</v>
      </c>
      <c r="Y118" s="111">
        <f>ROUND(IF(S118=0.2,Q118/S118,0),0)</f>
        <v>0</v>
      </c>
      <c r="Z118" s="111">
        <f>ROUND(IF(S118=0.23,Q118/S118,0),0)</f>
        <v>0</v>
      </c>
      <c r="AA118" s="108">
        <f>((T118*T118)/162)*D118</f>
        <v>0.79012345679012341</v>
      </c>
      <c r="AB118" s="109">
        <f>AA118*R118*(U118+V118+W118+X118+Y118+Z118)*D118</f>
        <v>94.6883950617284</v>
      </c>
      <c r="AC118" s="108">
        <f>(IF(J118=8,P118,0))+((IF(T118=8,AB118,0)))</f>
        <v>94.6883950617284</v>
      </c>
      <c r="AD118" s="108">
        <f>(IF(J118=10,P118,0))+((IF(T118=10,AB118,0)))</f>
        <v>0</v>
      </c>
      <c r="AE118" s="108">
        <f>IF(J118=12,P118,0)</f>
        <v>0</v>
      </c>
      <c r="AF118" s="108">
        <f>IF(J118=16,P118,0)</f>
        <v>0</v>
      </c>
      <c r="AG118" s="108">
        <f>IF(J118=20,P118,0)</f>
        <v>0</v>
      </c>
      <c r="AH118" s="108">
        <f>IF(J118=25,P118,0)</f>
        <v>159.9537037037037</v>
      </c>
      <c r="AI118" s="108">
        <f>IF(J118=32,P118,0)</f>
        <v>0</v>
      </c>
    </row>
    <row r="119" spans="1:35" x14ac:dyDescent="0.3">
      <c r="A119" s="104"/>
      <c r="B119" s="105"/>
      <c r="C119" s="105"/>
      <c r="D119" s="104">
        <v>2</v>
      </c>
      <c r="E119" s="105"/>
      <c r="F119" s="105"/>
      <c r="G119" s="105"/>
      <c r="H119" s="103"/>
      <c r="I119" s="105" t="s">
        <v>128</v>
      </c>
      <c r="J119" s="105">
        <v>16</v>
      </c>
      <c r="K119" s="105">
        <v>3</v>
      </c>
      <c r="L119" s="107">
        <f>E118/2</f>
        <v>2.7749999999999999</v>
      </c>
      <c r="M119" s="107">
        <f>L119+(2*0.38)</f>
        <v>3.5350000000000001</v>
      </c>
      <c r="N119" s="108">
        <f>J119*J119/162</f>
        <v>1.5802469135802468</v>
      </c>
      <c r="O119" s="108">
        <f>M119*K119*N119</f>
        <v>16.758518518518517</v>
      </c>
      <c r="P119" s="109">
        <f t="shared" ref="P119:P120" si="85">O119*D119</f>
        <v>33.517037037037035</v>
      </c>
      <c r="Q119" s="107">
        <f>E118/2</f>
        <v>2.7749999999999999</v>
      </c>
      <c r="R119" s="107">
        <f>(2*(F118-0.025))+(2*(G118-0.035))+(2*10*0.008)</f>
        <v>2.14</v>
      </c>
      <c r="S119" s="107">
        <v>0.15</v>
      </c>
      <c r="T119" s="110">
        <v>8</v>
      </c>
      <c r="U119" s="111">
        <f>ROUND(IF(S119=0.1,Q119/S119,0),0)</f>
        <v>0</v>
      </c>
      <c r="V119" s="111">
        <f>ROUND(IF(S119=0.125,Q119/S119,0),0)</f>
        <v>0</v>
      </c>
      <c r="W119" s="111">
        <f>ROUND(IF(S119=0.15,Q119/S119,0),0)</f>
        <v>19</v>
      </c>
      <c r="X119" s="111">
        <f t="shared" si="84"/>
        <v>0</v>
      </c>
      <c r="Y119" s="111">
        <f>ROUND(IF(S119=0.2,Q119/S119,0),0)</f>
        <v>0</v>
      </c>
      <c r="Z119" s="111">
        <f>ROUND(IF(S119=0.23,Q119/S119,0),0)</f>
        <v>0</v>
      </c>
      <c r="AA119" s="108">
        <f>((T119*T119)/162)*D119</f>
        <v>0.79012345679012341</v>
      </c>
      <c r="AB119" s="109">
        <f>AA119*R119*(U119+V119+W119+X119+Y119+Z119)*D119</f>
        <v>64.252839506172847</v>
      </c>
      <c r="AC119" s="108">
        <f>(IF(J119=8,P119,0))+((IF(T119=8,AB119,0)))</f>
        <v>64.252839506172847</v>
      </c>
      <c r="AD119" s="108">
        <f>(IF(J119=10,P119,0))+((IF(T119=10,AB119,0)))</f>
        <v>0</v>
      </c>
      <c r="AE119" s="108">
        <f>IF(J119=12,P119,0)</f>
        <v>0</v>
      </c>
      <c r="AF119" s="108">
        <f>IF(J119=16,P119,0)</f>
        <v>33.517037037037035</v>
      </c>
      <c r="AG119" s="108">
        <f>IF(J119=20,P119,0)</f>
        <v>0</v>
      </c>
      <c r="AH119" s="108">
        <f>IF(J119=25,P119,0)</f>
        <v>0</v>
      </c>
      <c r="AI119" s="108">
        <f>IF(J119=32,P119,0)</f>
        <v>0</v>
      </c>
    </row>
    <row r="120" spans="1:35" x14ac:dyDescent="0.3">
      <c r="A120" s="104"/>
      <c r="B120" s="105"/>
      <c r="C120" s="105"/>
      <c r="D120" s="104">
        <v>2</v>
      </c>
      <c r="E120" s="105"/>
      <c r="F120" s="105"/>
      <c r="G120" s="105"/>
      <c r="H120" s="103"/>
      <c r="I120" s="105"/>
      <c r="J120" s="105">
        <v>25</v>
      </c>
      <c r="K120" s="105">
        <v>8</v>
      </c>
      <c r="L120" s="107">
        <f>(E118/4)+0.6</f>
        <v>1.9874999999999998</v>
      </c>
      <c r="M120" s="107">
        <f>L120+(G118-0.07)</f>
        <v>2.6674999999999995</v>
      </c>
      <c r="N120" s="108">
        <f t="shared" ref="N120" si="86">J120*J120/162</f>
        <v>3.8580246913580245</v>
      </c>
      <c r="O120" s="108">
        <f>M120*K120*N120</f>
        <v>82.330246913580226</v>
      </c>
      <c r="P120" s="109">
        <f t="shared" si="85"/>
        <v>164.66049382716045</v>
      </c>
      <c r="Q120" s="108"/>
      <c r="R120" s="108"/>
      <c r="S120" s="108"/>
      <c r="T120" s="110"/>
      <c r="U120" s="111"/>
      <c r="V120" s="111"/>
      <c r="W120" s="111"/>
      <c r="X120" s="111"/>
      <c r="Y120" s="111"/>
      <c r="Z120" s="111"/>
      <c r="AA120" s="108"/>
      <c r="AB120" s="109"/>
      <c r="AC120" s="108">
        <f>(IF(J120=8,P120,0))+((IF(T120=8,AB120,0)))</f>
        <v>0</v>
      </c>
      <c r="AD120" s="108">
        <f>(IF(J120=10,P120,0))+((IF(T120=10,AB120,0)))</f>
        <v>0</v>
      </c>
      <c r="AE120" s="108">
        <f>IF(J120=12,P120,0)</f>
        <v>0</v>
      </c>
      <c r="AF120" s="108">
        <f>IF(J120=16,P120,0)</f>
        <v>0</v>
      </c>
      <c r="AG120" s="108">
        <f>IF(J120=20,P120,0)</f>
        <v>0</v>
      </c>
      <c r="AH120" s="108">
        <f>IF(J120=25,P120,0)</f>
        <v>164.66049382716045</v>
      </c>
      <c r="AI120" s="108">
        <f>IF(J120=32,P120,0)</f>
        <v>0</v>
      </c>
    </row>
    <row r="121" spans="1:35" x14ac:dyDescent="0.3">
      <c r="A121" s="104"/>
      <c r="B121" s="105"/>
      <c r="C121" s="105"/>
      <c r="D121" s="104"/>
      <c r="E121" s="105"/>
      <c r="F121" s="105"/>
      <c r="G121" s="105"/>
      <c r="H121" s="105"/>
      <c r="I121" s="105"/>
      <c r="J121" s="105"/>
      <c r="K121" s="105"/>
      <c r="L121" s="107"/>
      <c r="M121" s="107"/>
      <c r="N121" s="105"/>
      <c r="O121" s="113"/>
      <c r="P121" s="109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</row>
    <row r="122" spans="1:35" x14ac:dyDescent="0.3">
      <c r="A122" s="114"/>
      <c r="B122" s="115"/>
      <c r="C122" s="115"/>
      <c r="D122" s="114"/>
      <c r="E122" s="115"/>
      <c r="F122" s="115"/>
      <c r="G122" s="115"/>
      <c r="H122" s="116"/>
      <c r="I122" s="115"/>
      <c r="J122" s="115"/>
      <c r="K122" s="115"/>
      <c r="L122" s="117"/>
      <c r="M122" s="117"/>
      <c r="N122" s="118"/>
      <c r="O122" s="118"/>
      <c r="P122" s="119"/>
      <c r="Q122" s="117"/>
      <c r="R122" s="117"/>
      <c r="S122" s="118"/>
      <c r="T122" s="120"/>
      <c r="U122" s="121"/>
      <c r="V122" s="121"/>
      <c r="W122" s="121"/>
      <c r="X122" s="121"/>
      <c r="Y122" s="121"/>
      <c r="Z122" s="121"/>
      <c r="AA122" s="118"/>
      <c r="AB122" s="119"/>
      <c r="AC122" s="118"/>
      <c r="AD122" s="118"/>
      <c r="AE122" s="118"/>
      <c r="AF122" s="118"/>
      <c r="AG122" s="118"/>
      <c r="AH122" s="118"/>
      <c r="AI122" s="118"/>
    </row>
    <row r="123" spans="1:35" x14ac:dyDescent="0.3">
      <c r="A123" s="104">
        <v>1</v>
      </c>
      <c r="B123" s="659" t="s">
        <v>151</v>
      </c>
      <c r="C123" s="105"/>
      <c r="D123" s="104">
        <v>0.75</v>
      </c>
      <c r="E123" s="105">
        <v>5.55</v>
      </c>
      <c r="F123" s="105">
        <v>0.3</v>
      </c>
      <c r="G123" s="105">
        <v>0.75</v>
      </c>
      <c r="H123" s="106">
        <f>G123*F123*E123*D123</f>
        <v>0.93656249999999985</v>
      </c>
      <c r="I123" s="105" t="s">
        <v>127</v>
      </c>
      <c r="J123" s="105">
        <v>25</v>
      </c>
      <c r="K123" s="105">
        <v>3</v>
      </c>
      <c r="L123" s="105">
        <f>E123</f>
        <v>5.55</v>
      </c>
      <c r="M123" s="107">
        <f>L123+(2*(G123-0.07))</f>
        <v>6.91</v>
      </c>
      <c r="N123" s="108">
        <f t="shared" ref="N123" si="87">J123*J123/162</f>
        <v>3.8580246913580245</v>
      </c>
      <c r="O123" s="108">
        <f>M123*K123*N123</f>
        <v>79.976851851851848</v>
      </c>
      <c r="P123" s="109">
        <f>O123*D123</f>
        <v>59.982638888888886</v>
      </c>
      <c r="Q123" s="107">
        <f>E123/2</f>
        <v>2.7749999999999999</v>
      </c>
      <c r="R123" s="107">
        <f>(2*(F123-0.025))+(2*(G123-0.035))+(2*10*0.008)</f>
        <v>2.14</v>
      </c>
      <c r="S123" s="107">
        <v>0.1</v>
      </c>
      <c r="T123" s="110">
        <v>8</v>
      </c>
      <c r="U123" s="111">
        <f>ROUND(IF(S123=0.1,Q123/S123,0),0)</f>
        <v>28</v>
      </c>
      <c r="V123" s="111">
        <f>ROUND(IF(S123=0.125,Q123/S123,0),0)</f>
        <v>0</v>
      </c>
      <c r="W123" s="111">
        <f>ROUND(IF(S123=0.15,Q123/S123,0),0)</f>
        <v>0</v>
      </c>
      <c r="X123" s="111">
        <f t="shared" ref="X123:X124" si="88">ROUND(IF(S123=0.18,Q123/S123,0),0)</f>
        <v>0</v>
      </c>
      <c r="Y123" s="111">
        <f>ROUND(IF(S123=0.2,Q123/S123,0),0)</f>
        <v>0</v>
      </c>
      <c r="Z123" s="111">
        <f>ROUND(IF(S123=0.23,Q123/S123,0),0)</f>
        <v>0</v>
      </c>
      <c r="AA123" s="108">
        <f>((T123*T123)/162)*D123</f>
        <v>0.29629629629629628</v>
      </c>
      <c r="AB123" s="109">
        <f>AA123*R123*(U123+V123+W123+X123+Y123+Z123)*D123</f>
        <v>13.315555555555557</v>
      </c>
      <c r="AC123" s="108">
        <f>(IF(J123=8,P123,0))+((IF(T123=8,AB123,0)))</f>
        <v>13.315555555555557</v>
      </c>
      <c r="AD123" s="108">
        <f>(IF(J123=10,P123,0))+((IF(T123=10,AB123,0)))</f>
        <v>0</v>
      </c>
      <c r="AE123" s="108">
        <f>IF(J123=12,P123,0)</f>
        <v>0</v>
      </c>
      <c r="AF123" s="108">
        <f>IF(J123=16,P123,0)</f>
        <v>0</v>
      </c>
      <c r="AG123" s="108">
        <f>IF(J123=20,P123,0)</f>
        <v>0</v>
      </c>
      <c r="AH123" s="108">
        <f>IF(J123=25,P123,0)</f>
        <v>59.982638888888886</v>
      </c>
      <c r="AI123" s="108">
        <f>IF(J123=32,P123,0)</f>
        <v>0</v>
      </c>
    </row>
    <row r="124" spans="1:35" x14ac:dyDescent="0.3">
      <c r="A124" s="104"/>
      <c r="B124" s="105"/>
      <c r="C124" s="105"/>
      <c r="D124" s="104">
        <v>1</v>
      </c>
      <c r="E124" s="105"/>
      <c r="F124" s="105"/>
      <c r="G124" s="105"/>
      <c r="H124" s="103"/>
      <c r="I124" s="105" t="s">
        <v>128</v>
      </c>
      <c r="J124" s="105">
        <v>16</v>
      </c>
      <c r="K124" s="105">
        <v>3</v>
      </c>
      <c r="L124" s="107">
        <f>E123/2</f>
        <v>2.7749999999999999</v>
      </c>
      <c r="M124" s="107">
        <f>L124+(2*0.38)</f>
        <v>3.5350000000000001</v>
      </c>
      <c r="N124" s="108">
        <f>J124*J124/162</f>
        <v>1.5802469135802468</v>
      </c>
      <c r="O124" s="108">
        <f>M124*K124*N124</f>
        <v>16.758518518518517</v>
      </c>
      <c r="P124" s="109">
        <f t="shared" ref="P124:P125" si="89">O124*D124</f>
        <v>16.758518518518517</v>
      </c>
      <c r="Q124" s="107">
        <f>E123/2</f>
        <v>2.7749999999999999</v>
      </c>
      <c r="R124" s="107">
        <f>(2*(F123-0.025))+(2*(G123-0.035))+(2*10*0.008)</f>
        <v>2.14</v>
      </c>
      <c r="S124" s="107">
        <v>0.15</v>
      </c>
      <c r="T124" s="110">
        <v>8</v>
      </c>
      <c r="U124" s="111">
        <f>ROUND(IF(S124=0.1,Q124/S124,0),0)</f>
        <v>0</v>
      </c>
      <c r="V124" s="111">
        <f>ROUND(IF(S124=0.125,Q124/S124,0),0)</f>
        <v>0</v>
      </c>
      <c r="W124" s="111">
        <f>ROUND(IF(S124=0.15,Q124/S124,0),0)</f>
        <v>19</v>
      </c>
      <c r="X124" s="111">
        <f t="shared" si="88"/>
        <v>0</v>
      </c>
      <c r="Y124" s="111">
        <f>ROUND(IF(S124=0.2,Q124/S124,0),0)</f>
        <v>0</v>
      </c>
      <c r="Z124" s="111">
        <f>ROUND(IF(S124=0.23,Q124/S124,0),0)</f>
        <v>0</v>
      </c>
      <c r="AA124" s="108">
        <f>((T124*T124)/162)*D124</f>
        <v>0.39506172839506171</v>
      </c>
      <c r="AB124" s="109">
        <f>AA124*R124*(U124+V124+W124+X124+Y124+Z124)*D124</f>
        <v>16.063209876543212</v>
      </c>
      <c r="AC124" s="108">
        <f>(IF(J124=8,P124,0))+((IF(T124=8,AB124,0)))</f>
        <v>16.063209876543212</v>
      </c>
      <c r="AD124" s="108">
        <f>(IF(J124=10,P124,0))+((IF(T124=10,AB124,0)))</f>
        <v>0</v>
      </c>
      <c r="AE124" s="108">
        <f>IF(J124=12,P124,0)</f>
        <v>0</v>
      </c>
      <c r="AF124" s="108">
        <f>IF(J124=16,P124,0)</f>
        <v>16.758518518518517</v>
      </c>
      <c r="AG124" s="108">
        <f>IF(J124=20,P124,0)</f>
        <v>0</v>
      </c>
      <c r="AH124" s="108">
        <f>IF(J124=25,P124,0)</f>
        <v>0</v>
      </c>
      <c r="AI124" s="108">
        <f>IF(J124=32,P124,0)</f>
        <v>0</v>
      </c>
    </row>
    <row r="125" spans="1:35" x14ac:dyDescent="0.3">
      <c r="A125" s="104"/>
      <c r="B125" s="105"/>
      <c r="C125" s="105"/>
      <c r="D125" s="104">
        <v>1</v>
      </c>
      <c r="E125" s="105"/>
      <c r="F125" s="105"/>
      <c r="G125" s="105"/>
      <c r="H125" s="103"/>
      <c r="I125" s="105"/>
      <c r="J125" s="105">
        <v>25</v>
      </c>
      <c r="K125" s="105">
        <v>8</v>
      </c>
      <c r="L125" s="107">
        <f>(E123/4)+0.6</f>
        <v>1.9874999999999998</v>
      </c>
      <c r="M125" s="107">
        <f>L125+(G123-0.07)</f>
        <v>2.6674999999999995</v>
      </c>
      <c r="N125" s="108">
        <f t="shared" ref="N125" si="90">J125*J125/162</f>
        <v>3.8580246913580245</v>
      </c>
      <c r="O125" s="108">
        <f>M125*K125*N125</f>
        <v>82.330246913580226</v>
      </c>
      <c r="P125" s="109">
        <f t="shared" si="89"/>
        <v>82.330246913580226</v>
      </c>
      <c r="Q125" s="108"/>
      <c r="R125" s="108"/>
      <c r="S125" s="108"/>
      <c r="T125" s="110"/>
      <c r="U125" s="111"/>
      <c r="V125" s="111"/>
      <c r="W125" s="111"/>
      <c r="X125" s="111"/>
      <c r="Y125" s="111"/>
      <c r="Z125" s="111"/>
      <c r="AA125" s="108"/>
      <c r="AB125" s="109"/>
      <c r="AC125" s="108">
        <f>(IF(J125=8,P125,0))+((IF(T125=8,AB125,0)))</f>
        <v>0</v>
      </c>
      <c r="AD125" s="108">
        <f>(IF(J125=10,P125,0))+((IF(T125=10,AB125,0)))</f>
        <v>0</v>
      </c>
      <c r="AE125" s="108">
        <f>IF(J125=12,P125,0)</f>
        <v>0</v>
      </c>
      <c r="AF125" s="108">
        <f>IF(J125=16,P125,0)</f>
        <v>0</v>
      </c>
      <c r="AG125" s="108">
        <f>IF(J125=20,P125,0)</f>
        <v>0</v>
      </c>
      <c r="AH125" s="108">
        <f>IF(J125=25,P125,0)</f>
        <v>82.330246913580226</v>
      </c>
      <c r="AI125" s="108">
        <f>IF(J125=32,P125,0)</f>
        <v>0</v>
      </c>
    </row>
    <row r="126" spans="1:35" x14ac:dyDescent="0.3">
      <c r="A126" s="104"/>
      <c r="B126" s="105"/>
      <c r="C126" s="105"/>
      <c r="D126" s="104"/>
      <c r="E126" s="105"/>
      <c r="F126" s="105"/>
      <c r="G126" s="105"/>
      <c r="H126" s="105"/>
      <c r="I126" s="105"/>
      <c r="J126" s="105"/>
      <c r="K126" s="105"/>
      <c r="L126" s="107"/>
      <c r="M126" s="107"/>
      <c r="N126" s="105"/>
      <c r="O126" s="113"/>
      <c r="P126" s="109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</row>
    <row r="127" spans="1:35" x14ac:dyDescent="0.3">
      <c r="A127" s="104"/>
      <c r="B127" s="105"/>
      <c r="C127" s="105"/>
      <c r="D127" s="104"/>
      <c r="E127" s="105"/>
      <c r="F127" s="105"/>
      <c r="G127" s="105"/>
      <c r="H127" s="105"/>
      <c r="I127" s="105"/>
      <c r="J127" s="105"/>
      <c r="K127" s="105"/>
      <c r="L127" s="107"/>
      <c r="M127" s="107"/>
      <c r="N127" s="105"/>
      <c r="O127" s="113"/>
      <c r="P127" s="109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</row>
    <row r="128" spans="1:35" x14ac:dyDescent="0.3">
      <c r="A128" s="104">
        <v>1</v>
      </c>
      <c r="B128" s="659" t="s">
        <v>152</v>
      </c>
      <c r="C128" s="105"/>
      <c r="D128" s="104">
        <v>1</v>
      </c>
      <c r="E128" s="105">
        <v>5.85</v>
      </c>
      <c r="F128" s="105">
        <v>0.3</v>
      </c>
      <c r="G128" s="105">
        <v>0.75</v>
      </c>
      <c r="H128" s="106">
        <f>G128*F128*E128*D128</f>
        <v>1.3162499999999997</v>
      </c>
      <c r="I128" s="105" t="s">
        <v>127</v>
      </c>
      <c r="J128" s="105">
        <v>25</v>
      </c>
      <c r="K128" s="105">
        <v>3</v>
      </c>
      <c r="L128" s="105">
        <f>E128</f>
        <v>5.85</v>
      </c>
      <c r="M128" s="107">
        <f>L128+(2*(G128-0.07))</f>
        <v>7.2099999999999991</v>
      </c>
      <c r="N128" s="108">
        <f t="shared" ref="N128" si="91">J128*J128/162</f>
        <v>3.8580246913580245</v>
      </c>
      <c r="O128" s="108">
        <f>M128*K128*N128</f>
        <v>83.449074074074048</v>
      </c>
      <c r="P128" s="109">
        <f>O128*D128</f>
        <v>83.449074074074048</v>
      </c>
      <c r="Q128" s="107">
        <f>E128/2</f>
        <v>2.9249999999999998</v>
      </c>
      <c r="R128" s="107">
        <f>(2*(F128-0.025))+(2*(G128-0.035))+(2*10*0.008)</f>
        <v>2.14</v>
      </c>
      <c r="S128" s="107">
        <v>0.125</v>
      </c>
      <c r="T128" s="110">
        <v>10</v>
      </c>
      <c r="U128" s="111">
        <f>ROUND(IF(S128=0.1,Q128/S128,0),0)</f>
        <v>0</v>
      </c>
      <c r="V128" s="111">
        <f>ROUND(IF(S128=0.125,Q128/S128,0),0)</f>
        <v>23</v>
      </c>
      <c r="W128" s="111">
        <f>ROUND(IF(S128=0.15,Q128/S128,0),0)</f>
        <v>0</v>
      </c>
      <c r="X128" s="111">
        <f t="shared" ref="X128:X129" si="92">ROUND(IF(S128=0.18,Q128/S128,0),0)</f>
        <v>0</v>
      </c>
      <c r="Y128" s="111">
        <f>ROUND(IF(S128=0.2,Q128/S128,0),0)</f>
        <v>0</v>
      </c>
      <c r="Z128" s="111">
        <f>ROUND(IF(S128=0.23,Q128/S128,0),0)</f>
        <v>0</v>
      </c>
      <c r="AA128" s="108">
        <f>((T128*T128)/162)*D128</f>
        <v>0.61728395061728392</v>
      </c>
      <c r="AB128" s="109">
        <f>AA128*R128*(U128+V128+W128+X128+Y128+Z128)*D128</f>
        <v>30.382716049382719</v>
      </c>
      <c r="AC128" s="108">
        <f>(IF(J128=8,P128,0))+((IF(T128=8,AB128,0)))</f>
        <v>0</v>
      </c>
      <c r="AD128" s="108">
        <f>(IF(J128=10,P128,0))+((IF(T128=10,AB128,0)))</f>
        <v>30.382716049382719</v>
      </c>
      <c r="AE128" s="108">
        <f>IF(J128=12,P128,0)</f>
        <v>0</v>
      </c>
      <c r="AF128" s="108">
        <f>IF(J128=16,P128,0)</f>
        <v>0</v>
      </c>
      <c r="AG128" s="108">
        <f>IF(J128=20,P128,0)</f>
        <v>0</v>
      </c>
      <c r="AH128" s="108">
        <f>IF(J128=25,P128,0)</f>
        <v>83.449074074074048</v>
      </c>
      <c r="AI128" s="108">
        <f>IF(J128=32,P128,0)</f>
        <v>0</v>
      </c>
    </row>
    <row r="129" spans="1:35" x14ac:dyDescent="0.3">
      <c r="A129" s="104"/>
      <c r="B129" s="105"/>
      <c r="C129" s="105"/>
      <c r="D129" s="104">
        <v>1</v>
      </c>
      <c r="E129" s="105"/>
      <c r="F129" s="105"/>
      <c r="G129" s="105"/>
      <c r="H129" s="103"/>
      <c r="I129" s="105" t="s">
        <v>128</v>
      </c>
      <c r="J129" s="105">
        <v>16</v>
      </c>
      <c r="K129" s="105">
        <v>3</v>
      </c>
      <c r="L129" s="107">
        <f>E128/2</f>
        <v>2.9249999999999998</v>
      </c>
      <c r="M129" s="107">
        <f>L129+(2*0.38)</f>
        <v>3.6849999999999996</v>
      </c>
      <c r="N129" s="108">
        <f>J129*J129/162</f>
        <v>1.5802469135802468</v>
      </c>
      <c r="O129" s="108">
        <f>M129*K129*N129</f>
        <v>17.46962962962963</v>
      </c>
      <c r="P129" s="109">
        <f t="shared" ref="P129:P130" si="93">O129*D129</f>
        <v>17.46962962962963</v>
      </c>
      <c r="Q129" s="107">
        <f>E128/2</f>
        <v>2.9249999999999998</v>
      </c>
      <c r="R129" s="107">
        <f>(2*(F128-0.025))+(2*(G128-0.035))+(2*10*0.008)</f>
        <v>2.14</v>
      </c>
      <c r="S129" s="107">
        <v>0.15</v>
      </c>
      <c r="T129" s="110">
        <v>8</v>
      </c>
      <c r="U129" s="111">
        <f>ROUND(IF(S129=0.1,Q129/S129,0),0)</f>
        <v>0</v>
      </c>
      <c r="V129" s="111">
        <f>ROUND(IF(S129=0.125,Q129/S129,0),0)</f>
        <v>0</v>
      </c>
      <c r="W129" s="111">
        <f>ROUND(IF(S129=0.15,Q129/S129,0),0)</f>
        <v>20</v>
      </c>
      <c r="X129" s="111">
        <f t="shared" si="92"/>
        <v>0</v>
      </c>
      <c r="Y129" s="111">
        <f>ROUND(IF(S129=0.2,Q129/S129,0),0)</f>
        <v>0</v>
      </c>
      <c r="Z129" s="111">
        <f>ROUND(IF(S129=0.23,Q129/S129,0),0)</f>
        <v>0</v>
      </c>
      <c r="AA129" s="108">
        <f>((T129*T129)/162)*D129</f>
        <v>0.39506172839506171</v>
      </c>
      <c r="AB129" s="109">
        <f>AA129*R129*(U129+V129+W129+X129+Y129+Z129)*D129</f>
        <v>16.908641975308644</v>
      </c>
      <c r="AC129" s="108">
        <f>(IF(J129=8,P129,0))+((IF(T129=8,AB129,0)))</f>
        <v>16.908641975308644</v>
      </c>
      <c r="AD129" s="108">
        <f>(IF(J129=10,P129,0))+((IF(T129=10,AB129,0)))</f>
        <v>0</v>
      </c>
      <c r="AE129" s="108">
        <f>IF(J129=12,P129,0)</f>
        <v>0</v>
      </c>
      <c r="AF129" s="108">
        <f>IF(J129=16,P129,0)</f>
        <v>17.46962962962963</v>
      </c>
      <c r="AG129" s="108">
        <f>IF(J129=20,P129,0)</f>
        <v>0</v>
      </c>
      <c r="AH129" s="108">
        <f>IF(J129=25,P129,0)</f>
        <v>0</v>
      </c>
      <c r="AI129" s="108">
        <f>IF(J129=32,P129,0)</f>
        <v>0</v>
      </c>
    </row>
    <row r="130" spans="1:35" x14ac:dyDescent="0.3">
      <c r="A130" s="104"/>
      <c r="B130" s="105"/>
      <c r="C130" s="105"/>
      <c r="D130" s="104">
        <v>1</v>
      </c>
      <c r="E130" s="105"/>
      <c r="F130" s="105"/>
      <c r="G130" s="105"/>
      <c r="H130" s="103"/>
      <c r="I130" s="105"/>
      <c r="J130" s="105">
        <v>25</v>
      </c>
      <c r="K130" s="105">
        <v>4</v>
      </c>
      <c r="L130" s="107">
        <f>(E128/4)+0.6</f>
        <v>2.0625</v>
      </c>
      <c r="M130" s="107">
        <f>L130+(G128-0.07)</f>
        <v>2.7424999999999997</v>
      </c>
      <c r="N130" s="108">
        <f t="shared" ref="N130" si="94">J130*J130/162</f>
        <v>3.8580246913580245</v>
      </c>
      <c r="O130" s="108">
        <f>M130*K130*N130</f>
        <v>42.322530864197525</v>
      </c>
      <c r="P130" s="109">
        <f t="shared" si="93"/>
        <v>42.322530864197525</v>
      </c>
      <c r="Q130" s="108"/>
      <c r="R130" s="108"/>
      <c r="S130" s="108"/>
      <c r="T130" s="110"/>
      <c r="U130" s="111"/>
      <c r="V130" s="111"/>
      <c r="W130" s="111"/>
      <c r="X130" s="111"/>
      <c r="Y130" s="111"/>
      <c r="Z130" s="111"/>
      <c r="AA130" s="108"/>
      <c r="AB130" s="109"/>
      <c r="AC130" s="108">
        <f>(IF(J130=8,P130,0))+((IF(T130=8,AB130,0)))</f>
        <v>0</v>
      </c>
      <c r="AD130" s="108">
        <f>(IF(J130=10,P130,0))+((IF(T130=10,AB130,0)))</f>
        <v>0</v>
      </c>
      <c r="AE130" s="108">
        <f>IF(J130=12,P130,0)</f>
        <v>0</v>
      </c>
      <c r="AF130" s="108">
        <f>IF(J130=16,P130,0)</f>
        <v>0</v>
      </c>
      <c r="AG130" s="108">
        <f>IF(J130=20,P130,0)</f>
        <v>0</v>
      </c>
      <c r="AH130" s="108">
        <f>IF(J130=25,P130,0)</f>
        <v>42.322530864197525</v>
      </c>
      <c r="AI130" s="108">
        <f>IF(J130=32,P130,0)</f>
        <v>0</v>
      </c>
    </row>
    <row r="131" spans="1:35" x14ac:dyDescent="0.3">
      <c r="A131" s="104"/>
      <c r="B131" s="105"/>
      <c r="C131" s="105"/>
      <c r="D131" s="104"/>
      <c r="E131" s="105"/>
      <c r="F131" s="105"/>
      <c r="G131" s="105"/>
      <c r="H131" s="105"/>
      <c r="I131" s="105"/>
      <c r="J131" s="105"/>
      <c r="K131" s="105"/>
      <c r="L131" s="107"/>
      <c r="M131" s="107"/>
      <c r="N131" s="105"/>
      <c r="O131" s="113"/>
      <c r="P131" s="109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</row>
    <row r="132" spans="1:35" x14ac:dyDescent="0.3">
      <c r="A132" s="104">
        <v>1</v>
      </c>
      <c r="B132" s="659" t="s">
        <v>153</v>
      </c>
      <c r="C132" s="105"/>
      <c r="D132" s="104">
        <v>1</v>
      </c>
      <c r="E132" s="105">
        <v>4.8</v>
      </c>
      <c r="F132" s="105">
        <v>0.3</v>
      </c>
      <c r="G132" s="105">
        <v>0.75</v>
      </c>
      <c r="H132" s="106">
        <f>G132*F132*E132*D132</f>
        <v>1.0799999999999998</v>
      </c>
      <c r="I132" s="105" t="s">
        <v>127</v>
      </c>
      <c r="J132" s="105">
        <v>25</v>
      </c>
      <c r="K132" s="105">
        <v>3</v>
      </c>
      <c r="L132" s="105">
        <f>E132</f>
        <v>4.8</v>
      </c>
      <c r="M132" s="107">
        <f>L132+(2*(G132-0.07))</f>
        <v>6.16</v>
      </c>
      <c r="N132" s="108">
        <f t="shared" ref="N132" si="95">J132*J132/162</f>
        <v>3.8580246913580245</v>
      </c>
      <c r="O132" s="108">
        <f>M132*K132*N132</f>
        <v>71.296296296296291</v>
      </c>
      <c r="P132" s="109">
        <f>O132*D132</f>
        <v>71.296296296296291</v>
      </c>
      <c r="Q132" s="107">
        <f>E132/2</f>
        <v>2.4</v>
      </c>
      <c r="R132" s="107">
        <f>(2*(F132-0.025))+(2*(G132-0.035))+(2*10*0.008)</f>
        <v>2.14</v>
      </c>
      <c r="S132" s="107">
        <v>0.1</v>
      </c>
      <c r="T132" s="110">
        <v>8</v>
      </c>
      <c r="U132" s="111">
        <f>ROUND(IF(S132=0.1,Q132/S132,0),0)</f>
        <v>24</v>
      </c>
      <c r="V132" s="111">
        <f>ROUND(IF(S132=0.125,Q132/S132,0),0)</f>
        <v>0</v>
      </c>
      <c r="W132" s="111">
        <f>ROUND(IF(S132=0.15,Q132/S132,0),0)</f>
        <v>0</v>
      </c>
      <c r="X132" s="111">
        <f t="shared" ref="X132:X133" si="96">ROUND(IF(S132=0.18,Q132/S132,0),0)</f>
        <v>0</v>
      </c>
      <c r="Y132" s="111">
        <f>ROUND(IF(S132=0.2,Q132/S132,0),0)</f>
        <v>0</v>
      </c>
      <c r="Z132" s="111">
        <f>ROUND(IF(S132=0.23,Q132/S132,0),0)</f>
        <v>0</v>
      </c>
      <c r="AA132" s="108">
        <f>((T132*T132)/162)*D132</f>
        <v>0.39506172839506171</v>
      </c>
      <c r="AB132" s="109">
        <f>AA132*R132*(U132+V132+W132+X132+Y132+Z132)*D132</f>
        <v>20.290370370370372</v>
      </c>
      <c r="AC132" s="108">
        <f>(IF(J132=8,P132,0))+((IF(T132=8,AB132,0)))</f>
        <v>20.290370370370372</v>
      </c>
      <c r="AD132" s="108">
        <f>(IF(J132=10,P132,0))+((IF(T132=10,AB132,0)))</f>
        <v>0</v>
      </c>
      <c r="AE132" s="108">
        <f>IF(J132=12,P132,0)</f>
        <v>0</v>
      </c>
      <c r="AF132" s="108">
        <f>IF(J132=16,P132,0)</f>
        <v>0</v>
      </c>
      <c r="AG132" s="108">
        <f>IF(J132=20,P132,0)</f>
        <v>0</v>
      </c>
      <c r="AH132" s="108">
        <f>IF(J132=25,P132,0)</f>
        <v>71.296296296296291</v>
      </c>
      <c r="AI132" s="108">
        <f>IF(J132=32,P132,0)</f>
        <v>0</v>
      </c>
    </row>
    <row r="133" spans="1:35" x14ac:dyDescent="0.3">
      <c r="A133" s="104"/>
      <c r="B133" s="105"/>
      <c r="C133" s="105"/>
      <c r="D133" s="104">
        <v>1</v>
      </c>
      <c r="E133" s="105"/>
      <c r="F133" s="105"/>
      <c r="G133" s="105"/>
      <c r="H133" s="103"/>
      <c r="I133" s="105" t="s">
        <v>128</v>
      </c>
      <c r="J133" s="105">
        <v>16</v>
      </c>
      <c r="K133" s="105">
        <v>3</v>
      </c>
      <c r="L133" s="107">
        <f>E132/2</f>
        <v>2.4</v>
      </c>
      <c r="M133" s="107">
        <f>L133+(2*0.38)</f>
        <v>3.16</v>
      </c>
      <c r="N133" s="108">
        <f>J133*J133/162</f>
        <v>1.5802469135802468</v>
      </c>
      <c r="O133" s="108">
        <f>M133*K133*N133</f>
        <v>14.980740740740741</v>
      </c>
      <c r="P133" s="109">
        <f t="shared" ref="P133:P134" si="97">O133*D133</f>
        <v>14.980740740740741</v>
      </c>
      <c r="Q133" s="107">
        <f>E132/2</f>
        <v>2.4</v>
      </c>
      <c r="R133" s="107">
        <f>(2*(F132-0.025))+(2*(G132-0.035))+(2*10*0.008)</f>
        <v>2.14</v>
      </c>
      <c r="S133" s="107">
        <v>0.15</v>
      </c>
      <c r="T133" s="110">
        <v>8</v>
      </c>
      <c r="U133" s="111">
        <f>ROUND(IF(S133=0.1,Q133/S133,0),0)</f>
        <v>0</v>
      </c>
      <c r="V133" s="111">
        <f>ROUND(IF(S133=0.125,Q133/S133,0),0)</f>
        <v>0</v>
      </c>
      <c r="W133" s="111">
        <f>ROUND(IF(S133=0.15,Q133/S133,0),0)</f>
        <v>16</v>
      </c>
      <c r="X133" s="111">
        <f t="shared" si="96"/>
        <v>0</v>
      </c>
      <c r="Y133" s="111">
        <f>ROUND(IF(S133=0.2,Q133/S133,0),0)</f>
        <v>0</v>
      </c>
      <c r="Z133" s="111">
        <f>ROUND(IF(S133=0.23,Q133/S133,0),0)</f>
        <v>0</v>
      </c>
      <c r="AA133" s="108">
        <f>((T133*T133)/162)*D133</f>
        <v>0.39506172839506171</v>
      </c>
      <c r="AB133" s="109">
        <f>AA133*R133*(U133+V133+W133+X133+Y133+Z133)*D133</f>
        <v>13.526913580246914</v>
      </c>
      <c r="AC133" s="108">
        <f>(IF(J133=8,P133,0))+((IF(T133=8,AB133,0)))</f>
        <v>13.526913580246914</v>
      </c>
      <c r="AD133" s="108">
        <f>(IF(J133=10,P133,0))+((IF(T133=10,AB133,0)))</f>
        <v>0</v>
      </c>
      <c r="AE133" s="108">
        <f>IF(J133=12,P133,0)</f>
        <v>0</v>
      </c>
      <c r="AF133" s="108">
        <f>IF(J133=16,P133,0)</f>
        <v>14.980740740740741</v>
      </c>
      <c r="AG133" s="108">
        <f>IF(J133=20,P133,0)</f>
        <v>0</v>
      </c>
      <c r="AH133" s="108">
        <f>IF(J133=25,P133,0)</f>
        <v>0</v>
      </c>
      <c r="AI133" s="108">
        <f>IF(J133=32,P133,0)</f>
        <v>0</v>
      </c>
    </row>
    <row r="134" spans="1:35" x14ac:dyDescent="0.3">
      <c r="A134" s="104"/>
      <c r="B134" s="105"/>
      <c r="C134" s="105"/>
      <c r="D134" s="104">
        <v>1</v>
      </c>
      <c r="E134" s="105"/>
      <c r="F134" s="105"/>
      <c r="G134" s="105"/>
      <c r="H134" s="103"/>
      <c r="I134" s="105"/>
      <c r="J134" s="105">
        <v>25</v>
      </c>
      <c r="K134" s="105">
        <v>8</v>
      </c>
      <c r="L134" s="107">
        <f>(E132/4)+0.6</f>
        <v>1.7999999999999998</v>
      </c>
      <c r="M134" s="107">
        <f>L134+(G132-0.07)</f>
        <v>2.4799999999999995</v>
      </c>
      <c r="N134" s="108">
        <f t="shared" ref="N134" si="98">J134*J134/162</f>
        <v>3.8580246913580245</v>
      </c>
      <c r="O134" s="108">
        <f>M134*K134*N134</f>
        <v>76.543209876543187</v>
      </c>
      <c r="P134" s="109">
        <f t="shared" si="97"/>
        <v>76.543209876543187</v>
      </c>
      <c r="Q134" s="108"/>
      <c r="R134" s="108"/>
      <c r="S134" s="108"/>
      <c r="T134" s="110"/>
      <c r="U134" s="111"/>
      <c r="V134" s="111"/>
      <c r="W134" s="111"/>
      <c r="X134" s="111"/>
      <c r="Y134" s="111"/>
      <c r="Z134" s="111"/>
      <c r="AA134" s="108"/>
      <c r="AB134" s="109"/>
      <c r="AC134" s="108">
        <f>(IF(J134=8,P134,0))+((IF(T134=8,AB134,0)))</f>
        <v>0</v>
      </c>
      <c r="AD134" s="108">
        <f>(IF(J134=10,P134,0))+((IF(T134=10,AB134,0)))</f>
        <v>0</v>
      </c>
      <c r="AE134" s="108">
        <f>IF(J134=12,P134,0)</f>
        <v>0</v>
      </c>
      <c r="AF134" s="108">
        <f>IF(J134=16,P134,0)</f>
        <v>0</v>
      </c>
      <c r="AG134" s="108">
        <f>IF(J134=20,P134,0)</f>
        <v>0</v>
      </c>
      <c r="AH134" s="108">
        <f>IF(J134=25,P134,0)</f>
        <v>76.543209876543187</v>
      </c>
      <c r="AI134" s="108">
        <f>IF(J134=32,P134,0)</f>
        <v>0</v>
      </c>
    </row>
    <row r="135" spans="1:35" x14ac:dyDescent="0.3">
      <c r="A135" s="104"/>
      <c r="B135" s="105"/>
      <c r="C135" s="105"/>
      <c r="D135" s="104"/>
      <c r="E135" s="105"/>
      <c r="F135" s="105"/>
      <c r="G135" s="105"/>
      <c r="H135" s="105"/>
      <c r="I135" s="105"/>
      <c r="J135" s="105"/>
      <c r="K135" s="105"/>
      <c r="L135" s="107"/>
      <c r="M135" s="107"/>
      <c r="N135" s="105"/>
      <c r="O135" s="113"/>
      <c r="P135" s="109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</row>
    <row r="136" spans="1:35" x14ac:dyDescent="0.3">
      <c r="A136" s="104">
        <v>1</v>
      </c>
      <c r="B136" s="659" t="s">
        <v>154</v>
      </c>
      <c r="C136" s="105"/>
      <c r="D136" s="104">
        <v>1</v>
      </c>
      <c r="E136" s="105">
        <v>2.3414999999999999</v>
      </c>
      <c r="F136" s="105">
        <v>0.3</v>
      </c>
      <c r="G136" s="105">
        <v>0.4</v>
      </c>
      <c r="H136" s="106">
        <f>G136*F136*E136*D136</f>
        <v>0.28097999999999995</v>
      </c>
      <c r="I136" s="105" t="s">
        <v>127</v>
      </c>
      <c r="J136" s="105">
        <v>25</v>
      </c>
      <c r="K136" s="105">
        <v>3</v>
      </c>
      <c r="L136" s="105">
        <f>E136</f>
        <v>2.3414999999999999</v>
      </c>
      <c r="M136" s="107">
        <f>L136+(2*(G136-0.07))</f>
        <v>3.0015000000000001</v>
      </c>
      <c r="N136" s="108">
        <f t="shared" ref="N136" si="99">J136*J136/162</f>
        <v>3.8580246913580245</v>
      </c>
      <c r="O136" s="108">
        <f>M136*K136*N136</f>
        <v>34.739583333333336</v>
      </c>
      <c r="P136" s="109">
        <f>O136*D136</f>
        <v>34.739583333333336</v>
      </c>
      <c r="Q136" s="107">
        <f>E136/2</f>
        <v>1.17075</v>
      </c>
      <c r="R136" s="107">
        <f>(2*(F136-0.025))+(2*(G136-0.035))+(2*10*0.008)</f>
        <v>1.4399999999999997</v>
      </c>
      <c r="S136" s="107">
        <v>0.1</v>
      </c>
      <c r="T136" s="110">
        <v>8</v>
      </c>
      <c r="U136" s="111">
        <f>ROUND(IF(S136=0.1,Q136/S136,0),0)</f>
        <v>12</v>
      </c>
      <c r="V136" s="111">
        <f>ROUND(IF(S136=0.125,Q136/S136,0),0)</f>
        <v>0</v>
      </c>
      <c r="W136" s="111">
        <f>ROUND(IF(S136=0.15,Q136/S136,0),0)</f>
        <v>0</v>
      </c>
      <c r="X136" s="111">
        <f t="shared" ref="X136:X137" si="100">ROUND(IF(S136=0.18,Q136/S136,0),0)</f>
        <v>0</v>
      </c>
      <c r="Y136" s="111">
        <f>ROUND(IF(S136=0.2,Q136/S136,0),0)</f>
        <v>0</v>
      </c>
      <c r="Z136" s="111">
        <f>ROUND(IF(S136=0.23,Q136/S136,0),0)</f>
        <v>0</v>
      </c>
      <c r="AA136" s="108">
        <f>((T136*T136)/162)*D136</f>
        <v>0.39506172839506171</v>
      </c>
      <c r="AB136" s="109">
        <f>AA136*R136*(U136+V136+W136+X136+Y136+Z136)*D136</f>
        <v>6.8266666666666653</v>
      </c>
      <c r="AC136" s="108">
        <f>(IF(J136=8,P136,0))+((IF(T136=8,AB136,0)))</f>
        <v>6.8266666666666653</v>
      </c>
      <c r="AD136" s="108">
        <f>(IF(J136=10,P136,0))+((IF(T136=10,AB136,0)))</f>
        <v>0</v>
      </c>
      <c r="AE136" s="108">
        <f>IF(J136=12,P136,0)</f>
        <v>0</v>
      </c>
      <c r="AF136" s="108">
        <f>IF(J136=16,P136,0)</f>
        <v>0</v>
      </c>
      <c r="AG136" s="108">
        <f>IF(J136=20,P136,0)</f>
        <v>0</v>
      </c>
      <c r="AH136" s="108">
        <f>IF(J136=25,P136,0)</f>
        <v>34.739583333333336</v>
      </c>
      <c r="AI136" s="108">
        <f>IF(J136=32,P136,0)</f>
        <v>0</v>
      </c>
    </row>
    <row r="137" spans="1:35" x14ac:dyDescent="0.3">
      <c r="A137" s="104"/>
      <c r="B137" s="105"/>
      <c r="C137" s="105"/>
      <c r="D137" s="104">
        <v>1</v>
      </c>
      <c r="E137" s="105"/>
      <c r="F137" s="105"/>
      <c r="G137" s="105"/>
      <c r="H137" s="103"/>
      <c r="I137" s="105" t="s">
        <v>128</v>
      </c>
      <c r="J137" s="105">
        <v>25</v>
      </c>
      <c r="K137" s="105">
        <v>4</v>
      </c>
      <c r="L137" s="107">
        <f>E136/2</f>
        <v>1.17075</v>
      </c>
      <c r="M137" s="107">
        <f>L137+(2*0.38)</f>
        <v>1.93075</v>
      </c>
      <c r="N137" s="108">
        <f>J137*J137/162</f>
        <v>3.8580246913580245</v>
      </c>
      <c r="O137" s="108">
        <f>M137*K137*N137</f>
        <v>29.795524691358022</v>
      </c>
      <c r="P137" s="109">
        <f t="shared" ref="P137:P138" si="101">O137*D137</f>
        <v>29.795524691358022</v>
      </c>
      <c r="Q137" s="107">
        <f>E136/2</f>
        <v>1.17075</v>
      </c>
      <c r="R137" s="107">
        <f>(2*(F136-0.025))+(2*(G136-0.035))+(2*10*0.008)</f>
        <v>1.4399999999999997</v>
      </c>
      <c r="S137" s="107">
        <v>0.15</v>
      </c>
      <c r="T137" s="110">
        <v>8</v>
      </c>
      <c r="U137" s="111">
        <f>ROUND(IF(S137=0.1,Q137/S137,0),0)</f>
        <v>0</v>
      </c>
      <c r="V137" s="111">
        <f>ROUND(IF(S137=0.125,Q137/S137,0),0)</f>
        <v>0</v>
      </c>
      <c r="W137" s="111">
        <f>ROUND(IF(S137=0.15,Q137/S137,0),0)</f>
        <v>8</v>
      </c>
      <c r="X137" s="111">
        <f t="shared" si="100"/>
        <v>0</v>
      </c>
      <c r="Y137" s="111">
        <f>ROUND(IF(S137=0.2,Q137/S137,0),0)</f>
        <v>0</v>
      </c>
      <c r="Z137" s="111">
        <f>ROUND(IF(S137=0.23,Q137/S137,0),0)</f>
        <v>0</v>
      </c>
      <c r="AA137" s="108">
        <f>((T137*T137)/162)*D137</f>
        <v>0.39506172839506171</v>
      </c>
      <c r="AB137" s="109">
        <f>AA137*R137*(U137+V137+W137+X137+Y137+Z137)*D137</f>
        <v>4.5511111111111102</v>
      </c>
      <c r="AC137" s="108">
        <f>(IF(J137=8,P137,0))+((IF(T137=8,AB137,0)))</f>
        <v>4.5511111111111102</v>
      </c>
      <c r="AD137" s="108">
        <f>(IF(J137=10,P137,0))+((IF(T137=10,AB137,0)))</f>
        <v>0</v>
      </c>
      <c r="AE137" s="108">
        <f>IF(J137=12,P137,0)</f>
        <v>0</v>
      </c>
      <c r="AF137" s="108">
        <f>IF(J137=16,P137,0)</f>
        <v>0</v>
      </c>
      <c r="AG137" s="108">
        <f>IF(J137=20,P137,0)</f>
        <v>0</v>
      </c>
      <c r="AH137" s="108">
        <f>IF(J137=25,P137,0)</f>
        <v>29.795524691358022</v>
      </c>
      <c r="AI137" s="108">
        <f>IF(J137=32,P137,0)</f>
        <v>0</v>
      </c>
    </row>
    <row r="138" spans="1:35" x14ac:dyDescent="0.3">
      <c r="A138" s="104"/>
      <c r="B138" s="105"/>
      <c r="C138" s="105"/>
      <c r="D138" s="104">
        <v>1</v>
      </c>
      <c r="E138" s="105"/>
      <c r="F138" s="105"/>
      <c r="G138" s="105"/>
      <c r="H138" s="103"/>
      <c r="I138" s="105"/>
      <c r="J138" s="105">
        <v>25</v>
      </c>
      <c r="K138" s="105">
        <v>6</v>
      </c>
      <c r="L138" s="107">
        <f>(E136/4)+0.6</f>
        <v>1.1853750000000001</v>
      </c>
      <c r="M138" s="107">
        <f>L138+(G136-0.07)</f>
        <v>1.5153750000000001</v>
      </c>
      <c r="N138" s="108">
        <f t="shared" ref="N138" si="102">J138*J138/162</f>
        <v>3.8580246913580245</v>
      </c>
      <c r="O138" s="108">
        <f>M138*K138*N138</f>
        <v>35.078125</v>
      </c>
      <c r="P138" s="109">
        <f t="shared" si="101"/>
        <v>35.078125</v>
      </c>
      <c r="Q138" s="108"/>
      <c r="R138" s="108"/>
      <c r="S138" s="108"/>
      <c r="T138" s="110"/>
      <c r="U138" s="111"/>
      <c r="V138" s="111"/>
      <c r="W138" s="111"/>
      <c r="X138" s="111"/>
      <c r="Y138" s="111"/>
      <c r="Z138" s="111"/>
      <c r="AA138" s="108"/>
      <c r="AB138" s="109"/>
      <c r="AC138" s="108">
        <f>(IF(J138=8,P138,0))+((IF(T138=8,AB138,0)))</f>
        <v>0</v>
      </c>
      <c r="AD138" s="108">
        <f>(IF(J138=10,P138,0))+((IF(T138=10,AB138,0)))</f>
        <v>0</v>
      </c>
      <c r="AE138" s="108">
        <f>IF(J138=12,P138,0)</f>
        <v>0</v>
      </c>
      <c r="AF138" s="108">
        <f>IF(J138=16,P138,0)</f>
        <v>0</v>
      </c>
      <c r="AG138" s="108">
        <f>IF(J138=20,P138,0)</f>
        <v>0</v>
      </c>
      <c r="AH138" s="108">
        <f>IF(J138=25,P138,0)</f>
        <v>35.078125</v>
      </c>
      <c r="AI138" s="108">
        <f>IF(J138=32,P138,0)</f>
        <v>0</v>
      </c>
    </row>
    <row r="139" spans="1:35" x14ac:dyDescent="0.3">
      <c r="A139" s="104"/>
      <c r="B139" s="105"/>
      <c r="C139" s="105"/>
      <c r="D139" s="104"/>
      <c r="E139" s="105"/>
      <c r="F139" s="105"/>
      <c r="G139" s="105"/>
      <c r="H139" s="105"/>
      <c r="I139" s="105"/>
      <c r="J139" s="105"/>
      <c r="K139" s="105"/>
      <c r="L139" s="107"/>
      <c r="M139" s="107"/>
      <c r="N139" s="105"/>
      <c r="O139" s="113"/>
      <c r="P139" s="109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</row>
    <row r="140" spans="1:35" x14ac:dyDescent="0.3">
      <c r="A140" s="114"/>
      <c r="B140" s="115"/>
      <c r="C140" s="115"/>
      <c r="D140" s="114"/>
      <c r="E140" s="115"/>
      <c r="F140" s="115"/>
      <c r="G140" s="115"/>
      <c r="H140" s="116"/>
      <c r="I140" s="115"/>
      <c r="J140" s="115"/>
      <c r="K140" s="115"/>
      <c r="L140" s="117"/>
      <c r="M140" s="117"/>
      <c r="N140" s="118"/>
      <c r="O140" s="118"/>
      <c r="P140" s="119"/>
      <c r="Q140" s="117"/>
      <c r="R140" s="117"/>
      <c r="S140" s="118"/>
      <c r="T140" s="120"/>
      <c r="U140" s="121"/>
      <c r="V140" s="121"/>
      <c r="W140" s="121"/>
      <c r="X140" s="121"/>
      <c r="Y140" s="121"/>
      <c r="Z140" s="121"/>
      <c r="AA140" s="118"/>
      <c r="AB140" s="119"/>
      <c r="AC140" s="118"/>
      <c r="AD140" s="118"/>
      <c r="AE140" s="118"/>
      <c r="AF140" s="118"/>
      <c r="AG140" s="118"/>
      <c r="AH140" s="118"/>
      <c r="AI140" s="118"/>
    </row>
    <row r="141" spans="1:35" x14ac:dyDescent="0.3">
      <c r="A141" s="104">
        <v>1</v>
      </c>
      <c r="B141" s="659" t="s">
        <v>155</v>
      </c>
      <c r="C141" s="105"/>
      <c r="D141" s="104">
        <v>1</v>
      </c>
      <c r="E141" s="105">
        <v>5.55</v>
      </c>
      <c r="F141" s="105">
        <v>0.3</v>
      </c>
      <c r="G141" s="105">
        <v>0.75</v>
      </c>
      <c r="H141" s="106">
        <f>G141*F141*E141*D141</f>
        <v>1.2487499999999998</v>
      </c>
      <c r="I141" s="105" t="s">
        <v>127</v>
      </c>
      <c r="J141" s="105">
        <v>25</v>
      </c>
      <c r="K141" s="105">
        <v>3</v>
      </c>
      <c r="L141" s="105">
        <f>E141</f>
        <v>5.55</v>
      </c>
      <c r="M141" s="107">
        <f>L141+(2*(G141-0.07))</f>
        <v>6.91</v>
      </c>
      <c r="N141" s="108">
        <f t="shared" ref="N141" si="103">J141*J141/162</f>
        <v>3.8580246913580245</v>
      </c>
      <c r="O141" s="108">
        <f>M141*K141*N141</f>
        <v>79.976851851851848</v>
      </c>
      <c r="P141" s="109">
        <f>O141*D141</f>
        <v>79.976851851851848</v>
      </c>
      <c r="Q141" s="107">
        <f>E141/2</f>
        <v>2.7749999999999999</v>
      </c>
      <c r="R141" s="107">
        <f>(2*(F141-0.025))+(2*(G141-0.035))+(2*10*0.008)</f>
        <v>2.14</v>
      </c>
      <c r="S141" s="107">
        <v>0.1</v>
      </c>
      <c r="T141" s="110">
        <v>8</v>
      </c>
      <c r="U141" s="111">
        <f>ROUND(IF(S141=0.1,Q141/S141,0),0)</f>
        <v>28</v>
      </c>
      <c r="V141" s="111">
        <f>ROUND(IF(S141=0.125,Q141/S141,0),0)</f>
        <v>0</v>
      </c>
      <c r="W141" s="111">
        <f>ROUND(IF(S141=0.15,Q141/S141,0),0)</f>
        <v>0</v>
      </c>
      <c r="X141" s="111">
        <f t="shared" ref="X141:X142" si="104">ROUND(IF(S141=0.18,Q141/S141,0),0)</f>
        <v>0</v>
      </c>
      <c r="Y141" s="111">
        <f>ROUND(IF(S141=0.2,Q141/S141,0),0)</f>
        <v>0</v>
      </c>
      <c r="Z141" s="111">
        <f>ROUND(IF(S141=0.23,Q141/S141,0),0)</f>
        <v>0</v>
      </c>
      <c r="AA141" s="108">
        <f>((T141*T141)/162)*D141</f>
        <v>0.39506172839506171</v>
      </c>
      <c r="AB141" s="109">
        <f>AA141*R141*(U141+V141+W141+X141+Y141+Z141)*D141</f>
        <v>23.6720987654321</v>
      </c>
      <c r="AC141" s="108">
        <f>(IF(J141=8,P141,0))+((IF(T141=8,AB141,0)))</f>
        <v>23.6720987654321</v>
      </c>
      <c r="AD141" s="108">
        <f>(IF(J141=10,P141,0))+((IF(T141=10,AB141,0)))</f>
        <v>0</v>
      </c>
      <c r="AE141" s="108">
        <f>IF(J141=12,P141,0)</f>
        <v>0</v>
      </c>
      <c r="AF141" s="108">
        <f>IF(J141=16,P141,0)</f>
        <v>0</v>
      </c>
      <c r="AG141" s="108">
        <f>IF(J141=20,P141,0)</f>
        <v>0</v>
      </c>
      <c r="AH141" s="108">
        <f>IF(J141=25,P141,0)</f>
        <v>79.976851851851848</v>
      </c>
      <c r="AI141" s="108">
        <f>IF(J141=32,P141,0)</f>
        <v>0</v>
      </c>
    </row>
    <row r="142" spans="1:35" x14ac:dyDescent="0.3">
      <c r="A142" s="104"/>
      <c r="B142" s="105"/>
      <c r="C142" s="105"/>
      <c r="D142" s="104">
        <v>1</v>
      </c>
      <c r="E142" s="105"/>
      <c r="F142" s="105"/>
      <c r="G142" s="105"/>
      <c r="H142" s="103"/>
      <c r="I142" s="105" t="s">
        <v>128</v>
      </c>
      <c r="J142" s="105">
        <v>16</v>
      </c>
      <c r="K142" s="105">
        <v>3</v>
      </c>
      <c r="L142" s="107">
        <f>E141/2</f>
        <v>2.7749999999999999</v>
      </c>
      <c r="M142" s="107">
        <f>L142+(2*0.38)</f>
        <v>3.5350000000000001</v>
      </c>
      <c r="N142" s="108">
        <f>J142*J142/162</f>
        <v>1.5802469135802468</v>
      </c>
      <c r="O142" s="108">
        <f>M142*K142*N142</f>
        <v>16.758518518518517</v>
      </c>
      <c r="P142" s="109">
        <f t="shared" ref="P142:P143" si="105">O142*D142</f>
        <v>16.758518518518517</v>
      </c>
      <c r="Q142" s="107">
        <f>E141/2</f>
        <v>2.7749999999999999</v>
      </c>
      <c r="R142" s="107">
        <f>(2*(F141-0.025))+(2*(G141-0.035))+(2*10*0.008)</f>
        <v>2.14</v>
      </c>
      <c r="S142" s="107">
        <v>0.15</v>
      </c>
      <c r="T142" s="110">
        <v>8</v>
      </c>
      <c r="U142" s="111">
        <f>ROUND(IF(S142=0.1,Q142/S142,0),0)</f>
        <v>0</v>
      </c>
      <c r="V142" s="111">
        <f>ROUND(IF(S142=0.125,Q142/S142,0),0)</f>
        <v>0</v>
      </c>
      <c r="W142" s="111">
        <f>ROUND(IF(S142=0.15,Q142/S142,0),0)</f>
        <v>19</v>
      </c>
      <c r="X142" s="111">
        <f t="shared" si="104"/>
        <v>0</v>
      </c>
      <c r="Y142" s="111">
        <f>ROUND(IF(S142=0.2,Q142/S142,0),0)</f>
        <v>0</v>
      </c>
      <c r="Z142" s="111">
        <f>ROUND(IF(S142=0.23,Q142/S142,0),0)</f>
        <v>0</v>
      </c>
      <c r="AA142" s="108">
        <f>((T142*T142)/162)*D142</f>
        <v>0.39506172839506171</v>
      </c>
      <c r="AB142" s="109">
        <f>AA142*R142*(U142+V142+W142+X142+Y142+Z142)*D142</f>
        <v>16.063209876543212</v>
      </c>
      <c r="AC142" s="108">
        <f>(IF(J142=8,P142,0))+((IF(T142=8,AB142,0)))</f>
        <v>16.063209876543212</v>
      </c>
      <c r="AD142" s="108">
        <f>(IF(J142=10,P142,0))+((IF(T142=10,AB142,0)))</f>
        <v>0</v>
      </c>
      <c r="AE142" s="108">
        <f>IF(J142=12,P142,0)</f>
        <v>0</v>
      </c>
      <c r="AF142" s="108">
        <f>IF(J142=16,P142,0)</f>
        <v>16.758518518518517</v>
      </c>
      <c r="AG142" s="108">
        <f>IF(J142=20,P142,0)</f>
        <v>0</v>
      </c>
      <c r="AH142" s="108">
        <f>IF(J142=25,P142,0)</f>
        <v>0</v>
      </c>
      <c r="AI142" s="108">
        <f>IF(J142=32,P142,0)</f>
        <v>0</v>
      </c>
    </row>
    <row r="143" spans="1:35" x14ac:dyDescent="0.3">
      <c r="A143" s="104"/>
      <c r="B143" s="105"/>
      <c r="C143" s="105"/>
      <c r="D143" s="104">
        <v>1</v>
      </c>
      <c r="E143" s="105"/>
      <c r="F143" s="105"/>
      <c r="G143" s="105"/>
      <c r="H143" s="103"/>
      <c r="I143" s="105"/>
      <c r="J143" s="105">
        <v>25</v>
      </c>
      <c r="K143" s="105">
        <v>8</v>
      </c>
      <c r="L143" s="107">
        <f>(E141/4)+0.6</f>
        <v>1.9874999999999998</v>
      </c>
      <c r="M143" s="107">
        <f>L143+(G141-0.07)</f>
        <v>2.6674999999999995</v>
      </c>
      <c r="N143" s="108">
        <f t="shared" ref="N143" si="106">J143*J143/162</f>
        <v>3.8580246913580245</v>
      </c>
      <c r="O143" s="108">
        <f>M143*K143*N143</f>
        <v>82.330246913580226</v>
      </c>
      <c r="P143" s="109">
        <f t="shared" si="105"/>
        <v>82.330246913580226</v>
      </c>
      <c r="Q143" s="108"/>
      <c r="R143" s="108"/>
      <c r="S143" s="108"/>
      <c r="T143" s="110"/>
      <c r="U143" s="111"/>
      <c r="V143" s="111"/>
      <c r="W143" s="111"/>
      <c r="X143" s="111"/>
      <c r="Y143" s="111"/>
      <c r="Z143" s="111"/>
      <c r="AA143" s="108"/>
      <c r="AB143" s="109"/>
      <c r="AC143" s="108">
        <f>(IF(J143=8,P143,0))+((IF(T143=8,AB143,0)))</f>
        <v>0</v>
      </c>
      <c r="AD143" s="108">
        <f>(IF(J143=10,P143,0))+((IF(T143=10,AB143,0)))</f>
        <v>0</v>
      </c>
      <c r="AE143" s="108">
        <f>IF(J143=12,P143,0)</f>
        <v>0</v>
      </c>
      <c r="AF143" s="108">
        <f>IF(J143=16,P143,0)</f>
        <v>0</v>
      </c>
      <c r="AG143" s="108">
        <f>IF(J143=20,P143,0)</f>
        <v>0</v>
      </c>
      <c r="AH143" s="108">
        <f>IF(J143=25,P143,0)</f>
        <v>82.330246913580226</v>
      </c>
      <c r="AI143" s="108">
        <f>IF(J143=32,P143,0)</f>
        <v>0</v>
      </c>
    </row>
    <row r="144" spans="1:35" x14ac:dyDescent="0.3">
      <c r="A144" s="104"/>
      <c r="B144" s="105"/>
      <c r="C144" s="105"/>
      <c r="D144" s="104"/>
      <c r="E144" s="105"/>
      <c r="F144" s="105"/>
      <c r="G144" s="105"/>
      <c r="H144" s="105"/>
      <c r="I144" s="105"/>
      <c r="J144" s="105"/>
      <c r="K144" s="105"/>
      <c r="L144" s="107"/>
      <c r="M144" s="107"/>
      <c r="N144" s="105"/>
      <c r="O144" s="113"/>
      <c r="P144" s="109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</row>
    <row r="145" spans="1:35" x14ac:dyDescent="0.3">
      <c r="A145" s="104">
        <v>1</v>
      </c>
      <c r="B145" s="659" t="s">
        <v>156</v>
      </c>
      <c r="C145" s="105"/>
      <c r="D145" s="104">
        <v>1</v>
      </c>
      <c r="E145" s="105">
        <v>4.8</v>
      </c>
      <c r="F145" s="105">
        <v>0.3</v>
      </c>
      <c r="G145" s="105">
        <v>0.75</v>
      </c>
      <c r="H145" s="106">
        <f>G145*F145*E145*D145</f>
        <v>1.0799999999999998</v>
      </c>
      <c r="I145" s="105" t="s">
        <v>127</v>
      </c>
      <c r="J145" s="105">
        <v>25</v>
      </c>
      <c r="K145" s="105">
        <v>3</v>
      </c>
      <c r="L145" s="105">
        <f>E145</f>
        <v>4.8</v>
      </c>
      <c r="M145" s="107">
        <f>L145+(2*(G145-0.07))</f>
        <v>6.16</v>
      </c>
      <c r="N145" s="108">
        <f t="shared" ref="N145" si="107">J145*J145/162</f>
        <v>3.8580246913580245</v>
      </c>
      <c r="O145" s="108">
        <f>M145*K145*N145</f>
        <v>71.296296296296291</v>
      </c>
      <c r="P145" s="109">
        <f>O145*D145</f>
        <v>71.296296296296291</v>
      </c>
      <c r="Q145" s="107">
        <f>E145/2</f>
        <v>2.4</v>
      </c>
      <c r="R145" s="107">
        <f>(2*(F145-0.025))+(2*(G145-0.035))+(2*10*0.008)</f>
        <v>2.14</v>
      </c>
      <c r="S145" s="107">
        <v>0.1</v>
      </c>
      <c r="T145" s="110">
        <v>8</v>
      </c>
      <c r="U145" s="111">
        <f>ROUND(IF(S145=0.1,Q145/S145,0),0)</f>
        <v>24</v>
      </c>
      <c r="V145" s="111">
        <f>ROUND(IF(S145=0.125,Q145/S145,0),0)</f>
        <v>0</v>
      </c>
      <c r="W145" s="111">
        <f>ROUND(IF(S145=0.15,Q145/S145,0),0)</f>
        <v>0</v>
      </c>
      <c r="X145" s="111">
        <f t="shared" ref="X145:X146" si="108">ROUND(IF(S145=0.18,Q145/S145,0),0)</f>
        <v>0</v>
      </c>
      <c r="Y145" s="111">
        <f>ROUND(IF(S145=0.2,Q145/S145,0),0)</f>
        <v>0</v>
      </c>
      <c r="Z145" s="111">
        <f>ROUND(IF(S145=0.23,Q145/S145,0),0)</f>
        <v>0</v>
      </c>
      <c r="AA145" s="108">
        <f>((T145*T145)/162)*D145</f>
        <v>0.39506172839506171</v>
      </c>
      <c r="AB145" s="109">
        <f>AA145*R145*(U145+V145+W145+X145+Y145+Z145)*D145</f>
        <v>20.290370370370372</v>
      </c>
      <c r="AC145" s="108">
        <f>(IF(J145=8,P145,0))+((IF(T145=8,AB145,0)))</f>
        <v>20.290370370370372</v>
      </c>
      <c r="AD145" s="108">
        <f>(IF(J145=10,P145,0))+((IF(T145=10,AB145,0)))</f>
        <v>0</v>
      </c>
      <c r="AE145" s="108">
        <f>IF(J145=12,P145,0)</f>
        <v>0</v>
      </c>
      <c r="AF145" s="108">
        <f>IF(J145=16,P145,0)</f>
        <v>0</v>
      </c>
      <c r="AG145" s="108">
        <f>IF(J145=20,P145,0)</f>
        <v>0</v>
      </c>
      <c r="AH145" s="108">
        <f>IF(J145=25,P145,0)</f>
        <v>71.296296296296291</v>
      </c>
      <c r="AI145" s="108">
        <f>IF(J145=32,P145,0)</f>
        <v>0</v>
      </c>
    </row>
    <row r="146" spans="1:35" x14ac:dyDescent="0.3">
      <c r="A146" s="104"/>
      <c r="B146" s="105"/>
      <c r="C146" s="105"/>
      <c r="D146" s="104">
        <v>1</v>
      </c>
      <c r="E146" s="105"/>
      <c r="F146" s="105"/>
      <c r="G146" s="105"/>
      <c r="H146" s="103"/>
      <c r="I146" s="105" t="s">
        <v>128</v>
      </c>
      <c r="J146" s="105">
        <v>16</v>
      </c>
      <c r="K146" s="105">
        <v>3</v>
      </c>
      <c r="L146" s="107">
        <f>E145/2</f>
        <v>2.4</v>
      </c>
      <c r="M146" s="107">
        <f>L146+(2*0.38)</f>
        <v>3.16</v>
      </c>
      <c r="N146" s="108">
        <f>J146*J146/162</f>
        <v>1.5802469135802468</v>
      </c>
      <c r="O146" s="108">
        <f>M146*K146*N146</f>
        <v>14.980740740740741</v>
      </c>
      <c r="P146" s="109">
        <f t="shared" ref="P146:P147" si="109">O146*D146</f>
        <v>14.980740740740741</v>
      </c>
      <c r="Q146" s="107">
        <f>E145/2</f>
        <v>2.4</v>
      </c>
      <c r="R146" s="107">
        <f>(2*(F145-0.025))+(2*(G145-0.035))+(2*10*0.008)</f>
        <v>2.14</v>
      </c>
      <c r="S146" s="107">
        <v>0.15</v>
      </c>
      <c r="T146" s="110">
        <v>8</v>
      </c>
      <c r="U146" s="111">
        <f>ROUND(IF(S146=0.1,Q146/S146,0),0)</f>
        <v>0</v>
      </c>
      <c r="V146" s="111">
        <f>ROUND(IF(S146=0.125,Q146/S146,0),0)</f>
        <v>0</v>
      </c>
      <c r="W146" s="111">
        <f>ROUND(IF(S146=0.15,Q146/S146,0),0)</f>
        <v>16</v>
      </c>
      <c r="X146" s="111">
        <f t="shared" si="108"/>
        <v>0</v>
      </c>
      <c r="Y146" s="111">
        <f>ROUND(IF(S146=0.2,Q146/S146,0),0)</f>
        <v>0</v>
      </c>
      <c r="Z146" s="111">
        <f>ROUND(IF(S146=0.23,Q146/S146,0),0)</f>
        <v>0</v>
      </c>
      <c r="AA146" s="108">
        <f>((T146*T146)/162)*D146</f>
        <v>0.39506172839506171</v>
      </c>
      <c r="AB146" s="109">
        <f>AA146*R146*(U146+V146+W146+X146+Y146+Z146)*D146</f>
        <v>13.526913580246914</v>
      </c>
      <c r="AC146" s="108">
        <f>(IF(J146=8,P146,0))+((IF(T146=8,AB146,0)))</f>
        <v>13.526913580246914</v>
      </c>
      <c r="AD146" s="108">
        <f>(IF(J146=10,P146,0))+((IF(T146=10,AB146,0)))</f>
        <v>0</v>
      </c>
      <c r="AE146" s="108">
        <f>IF(J146=12,P146,0)</f>
        <v>0</v>
      </c>
      <c r="AF146" s="108">
        <f>IF(J146=16,P146,0)</f>
        <v>14.980740740740741</v>
      </c>
      <c r="AG146" s="108">
        <f>IF(J146=20,P146,0)</f>
        <v>0</v>
      </c>
      <c r="AH146" s="108">
        <f>IF(J146=25,P146,0)</f>
        <v>0</v>
      </c>
      <c r="AI146" s="108">
        <f>IF(J146=32,P146,0)</f>
        <v>0</v>
      </c>
    </row>
    <row r="147" spans="1:35" x14ac:dyDescent="0.3">
      <c r="A147" s="104"/>
      <c r="B147" s="105"/>
      <c r="C147" s="105"/>
      <c r="D147" s="104">
        <v>1</v>
      </c>
      <c r="E147" s="105"/>
      <c r="F147" s="105"/>
      <c r="G147" s="105"/>
      <c r="H147" s="103"/>
      <c r="I147" s="105"/>
      <c r="J147" s="105">
        <v>25</v>
      </c>
      <c r="K147" s="105">
        <v>8</v>
      </c>
      <c r="L147" s="107">
        <f>(E145/4)+0.6</f>
        <v>1.7999999999999998</v>
      </c>
      <c r="M147" s="107">
        <f>L147+(G145-0.07)</f>
        <v>2.4799999999999995</v>
      </c>
      <c r="N147" s="108">
        <f t="shared" ref="N147" si="110">J147*J147/162</f>
        <v>3.8580246913580245</v>
      </c>
      <c r="O147" s="108">
        <f>M147*K147*N147</f>
        <v>76.543209876543187</v>
      </c>
      <c r="P147" s="109">
        <f t="shared" si="109"/>
        <v>76.543209876543187</v>
      </c>
      <c r="Q147" s="108"/>
      <c r="R147" s="108"/>
      <c r="S147" s="108"/>
      <c r="T147" s="110"/>
      <c r="U147" s="111"/>
      <c r="V147" s="111"/>
      <c r="W147" s="111"/>
      <c r="X147" s="111"/>
      <c r="Y147" s="111"/>
      <c r="Z147" s="111"/>
      <c r="AA147" s="108"/>
      <c r="AB147" s="109"/>
      <c r="AC147" s="108">
        <f>(IF(J147=8,P147,0))+((IF(T147=8,AB147,0)))</f>
        <v>0</v>
      </c>
      <c r="AD147" s="108">
        <f>(IF(J147=10,P147,0))+((IF(T147=10,AB147,0)))</f>
        <v>0</v>
      </c>
      <c r="AE147" s="108">
        <f>IF(J147=12,P147,0)</f>
        <v>0</v>
      </c>
      <c r="AF147" s="108">
        <f>IF(J147=16,P147,0)</f>
        <v>0</v>
      </c>
      <c r="AG147" s="108">
        <f>IF(J147=20,P147,0)</f>
        <v>0</v>
      </c>
      <c r="AH147" s="108">
        <f>IF(J147=25,P147,0)</f>
        <v>76.543209876543187</v>
      </c>
      <c r="AI147" s="108">
        <f>IF(J147=32,P147,0)</f>
        <v>0</v>
      </c>
    </row>
    <row r="148" spans="1:35" x14ac:dyDescent="0.3">
      <c r="A148" s="104"/>
      <c r="B148" s="105"/>
      <c r="C148" s="105"/>
      <c r="D148" s="104"/>
      <c r="E148" s="105"/>
      <c r="F148" s="105"/>
      <c r="G148" s="105"/>
      <c r="H148" s="105"/>
      <c r="I148" s="105"/>
      <c r="J148" s="105"/>
      <c r="K148" s="105"/>
      <c r="L148" s="107"/>
      <c r="M148" s="107"/>
      <c r="N148" s="105"/>
      <c r="O148" s="113"/>
      <c r="P148" s="109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</row>
    <row r="149" spans="1:35" x14ac:dyDescent="0.3">
      <c r="A149" s="104">
        <v>1</v>
      </c>
      <c r="B149" s="659" t="s">
        <v>157</v>
      </c>
      <c r="C149" s="105"/>
      <c r="D149" s="104">
        <v>0.75</v>
      </c>
      <c r="E149" s="105">
        <v>6.423</v>
      </c>
      <c r="F149" s="105">
        <v>0.38</v>
      </c>
      <c r="G149" s="105">
        <v>0.75</v>
      </c>
      <c r="H149" s="106">
        <f>G149*F149*E149*D149</f>
        <v>1.3729162500000001</v>
      </c>
      <c r="I149" s="105" t="s">
        <v>127</v>
      </c>
      <c r="J149" s="105">
        <v>25</v>
      </c>
      <c r="K149" s="105">
        <v>5</v>
      </c>
      <c r="L149" s="105">
        <f>E149</f>
        <v>6.423</v>
      </c>
      <c r="M149" s="107">
        <f>L149+(2*(G149-0.07))</f>
        <v>7.7829999999999995</v>
      </c>
      <c r="N149" s="108">
        <f t="shared" ref="N149" si="111">J149*J149/162</f>
        <v>3.8580246913580245</v>
      </c>
      <c r="O149" s="108">
        <f>M149*K149*N149</f>
        <v>150.13503086419752</v>
      </c>
      <c r="P149" s="109">
        <f>O149*D149</f>
        <v>112.60127314814814</v>
      </c>
      <c r="Q149" s="107">
        <f>E149/2</f>
        <v>3.2115</v>
      </c>
      <c r="R149" s="107">
        <f>(2*(F149-0.025))+(2*(G149-0.035))+(2*10*0.008)</f>
        <v>2.2999999999999998</v>
      </c>
      <c r="S149" s="107">
        <v>0.1</v>
      </c>
      <c r="T149" s="110">
        <v>10</v>
      </c>
      <c r="U149" s="111">
        <f>ROUND(IF(S149=0.1,Q149/S149,0),0)</f>
        <v>32</v>
      </c>
      <c r="V149" s="111">
        <f>ROUND(IF(S149=0.125,Q149/S149,0),0)</f>
        <v>0</v>
      </c>
      <c r="W149" s="111">
        <f>ROUND(IF(S149=0.15,Q149/S149,0),0)</f>
        <v>0</v>
      </c>
      <c r="X149" s="111">
        <f t="shared" ref="X149:X150" si="112">ROUND(IF(S149=0.18,Q149/S149,0),0)</f>
        <v>0</v>
      </c>
      <c r="Y149" s="111">
        <f>ROUND(IF(S149=0.2,Q149/S149,0),0)</f>
        <v>0</v>
      </c>
      <c r="Z149" s="111">
        <f>ROUND(IF(S149=0.23,Q149/S149,0),0)</f>
        <v>0</v>
      </c>
      <c r="AA149" s="108">
        <f>((T149*T149)/162)*D149</f>
        <v>0.46296296296296291</v>
      </c>
      <c r="AB149" s="109">
        <f>AA149*R149*(U149+V149+W149+X149+Y149+Z149)*D149</f>
        <v>25.55555555555555</v>
      </c>
      <c r="AC149" s="108">
        <f>(IF(J149=8,P149,0))+((IF(T149=8,AB149,0)))</f>
        <v>0</v>
      </c>
      <c r="AD149" s="108">
        <f>(IF(J149=10,P149,0))+((IF(T149=10,AB149,0)))</f>
        <v>25.55555555555555</v>
      </c>
      <c r="AE149" s="108">
        <f>IF(J149=12,P149,0)</f>
        <v>0</v>
      </c>
      <c r="AF149" s="108">
        <f>IF(J149=16,P149,0)</f>
        <v>0</v>
      </c>
      <c r="AG149" s="108">
        <f>IF(J149=20,P149,0)</f>
        <v>0</v>
      </c>
      <c r="AH149" s="108">
        <f>IF(J149=25,P149,0)</f>
        <v>112.60127314814814</v>
      </c>
      <c r="AI149" s="108">
        <f>IF(J149=32,P149,0)</f>
        <v>0</v>
      </c>
    </row>
    <row r="150" spans="1:35" x14ac:dyDescent="0.3">
      <c r="A150" s="104"/>
      <c r="B150" s="105"/>
      <c r="C150" s="105"/>
      <c r="D150" s="104">
        <v>1</v>
      </c>
      <c r="E150" s="105"/>
      <c r="F150" s="105"/>
      <c r="G150" s="105"/>
      <c r="H150" s="103"/>
      <c r="I150" s="105" t="s">
        <v>128</v>
      </c>
      <c r="J150" s="105">
        <v>20</v>
      </c>
      <c r="K150" s="105">
        <v>4</v>
      </c>
      <c r="L150" s="107">
        <f>E149/2</f>
        <v>3.2115</v>
      </c>
      <c r="M150" s="107">
        <f>L150+(2*0.38)</f>
        <v>3.9714999999999998</v>
      </c>
      <c r="N150" s="108">
        <f>J150*J150/162</f>
        <v>2.4691358024691357</v>
      </c>
      <c r="O150" s="108">
        <f>M150*K150*N150</f>
        <v>39.224691358024685</v>
      </c>
      <c r="P150" s="109">
        <f t="shared" ref="P150:P151" si="113">O150*D150</f>
        <v>39.224691358024685</v>
      </c>
      <c r="Q150" s="107">
        <f>E149/2</f>
        <v>3.2115</v>
      </c>
      <c r="R150" s="107">
        <f>(2*(F149-0.025))+(2*(G149-0.035))+(2*10*0.008)</f>
        <v>2.2999999999999998</v>
      </c>
      <c r="S150" s="107">
        <v>0.1</v>
      </c>
      <c r="T150" s="110">
        <v>8</v>
      </c>
      <c r="U150" s="111">
        <f>ROUND(IF(S150=0.1,Q150/S150,0),0)</f>
        <v>32</v>
      </c>
      <c r="V150" s="111">
        <f>ROUND(IF(S150=0.125,Q150/S150,0),0)</f>
        <v>0</v>
      </c>
      <c r="W150" s="111">
        <f>ROUND(IF(S150=0.15,Q150/S150,0),0)</f>
        <v>0</v>
      </c>
      <c r="X150" s="111">
        <f t="shared" si="112"/>
        <v>0</v>
      </c>
      <c r="Y150" s="111">
        <f>ROUND(IF(S150=0.2,Q150/S150,0),0)</f>
        <v>0</v>
      </c>
      <c r="Z150" s="111">
        <f>ROUND(IF(S150=0.23,Q150/S150,0),0)</f>
        <v>0</v>
      </c>
      <c r="AA150" s="108">
        <f>((T150*T150)/162)*D150</f>
        <v>0.39506172839506171</v>
      </c>
      <c r="AB150" s="109">
        <f>AA150*R150*(U150+V150+W150+X150+Y150+Z150)*D150</f>
        <v>29.07654320987654</v>
      </c>
      <c r="AC150" s="108">
        <f>(IF(J150=8,P150,0))+((IF(T150=8,AB150,0)))</f>
        <v>29.07654320987654</v>
      </c>
      <c r="AD150" s="108">
        <f>(IF(J150=10,P150,0))+((IF(T150=10,AB150,0)))</f>
        <v>0</v>
      </c>
      <c r="AE150" s="108">
        <f>IF(J150=12,P150,0)</f>
        <v>0</v>
      </c>
      <c r="AF150" s="108">
        <f>IF(J150=16,P150,0)</f>
        <v>0</v>
      </c>
      <c r="AG150" s="108">
        <f>IF(J150=20,P150,0)</f>
        <v>39.224691358024685</v>
      </c>
      <c r="AH150" s="108">
        <f>IF(J150=25,P150,0)</f>
        <v>0</v>
      </c>
      <c r="AI150" s="108">
        <f>IF(J150=32,P150,0)</f>
        <v>0</v>
      </c>
    </row>
    <row r="151" spans="1:35" x14ac:dyDescent="0.3">
      <c r="A151" s="104"/>
      <c r="B151" s="105"/>
      <c r="C151" s="105"/>
      <c r="D151" s="104">
        <v>1</v>
      </c>
      <c r="E151" s="105"/>
      <c r="F151" s="105"/>
      <c r="G151" s="105"/>
      <c r="H151" s="103"/>
      <c r="I151" s="105"/>
      <c r="J151" s="105">
        <v>25</v>
      </c>
      <c r="K151" s="105">
        <v>10</v>
      </c>
      <c r="L151" s="107">
        <f>(E149/4)+0.6</f>
        <v>2.2057500000000001</v>
      </c>
      <c r="M151" s="107">
        <f>L151+(G149-0.07)</f>
        <v>2.8857499999999998</v>
      </c>
      <c r="N151" s="108">
        <f t="shared" ref="N151" si="114">J151*J151/162</f>
        <v>3.8580246913580245</v>
      </c>
      <c r="O151" s="108">
        <f>M151*K151*N151</f>
        <v>111.33294753086419</v>
      </c>
      <c r="P151" s="109">
        <f t="shared" si="113"/>
        <v>111.33294753086419</v>
      </c>
      <c r="Q151" s="108"/>
      <c r="R151" s="108"/>
      <c r="S151" s="108"/>
      <c r="T151" s="110"/>
      <c r="U151" s="111"/>
      <c r="V151" s="111"/>
      <c r="W151" s="111"/>
      <c r="X151" s="111"/>
      <c r="Y151" s="111"/>
      <c r="Z151" s="111"/>
      <c r="AA151" s="108"/>
      <c r="AB151" s="109"/>
      <c r="AC151" s="108">
        <f>(IF(J151=8,P151,0))+((IF(T151=8,AB151,0)))</f>
        <v>0</v>
      </c>
      <c r="AD151" s="108">
        <f>(IF(J151=10,P151,0))+((IF(T151=10,AB151,0)))</f>
        <v>0</v>
      </c>
      <c r="AE151" s="108">
        <f>IF(J151=12,P151,0)</f>
        <v>0</v>
      </c>
      <c r="AF151" s="108">
        <f>IF(J151=16,P151,0)</f>
        <v>0</v>
      </c>
      <c r="AG151" s="108">
        <f>IF(J151=20,P151,0)</f>
        <v>0</v>
      </c>
      <c r="AH151" s="108">
        <f>IF(J151=25,P151,0)</f>
        <v>111.33294753086419</v>
      </c>
      <c r="AI151" s="108">
        <f>IF(J151=32,P151,0)</f>
        <v>0</v>
      </c>
    </row>
    <row r="152" spans="1:35" x14ac:dyDescent="0.3">
      <c r="A152" s="104"/>
      <c r="B152" s="105"/>
      <c r="C152" s="105"/>
      <c r="D152" s="104"/>
      <c r="E152" s="105"/>
      <c r="F152" s="105"/>
      <c r="G152" s="105"/>
      <c r="H152" s="105"/>
      <c r="I152" s="105"/>
      <c r="J152" s="105"/>
      <c r="K152" s="105"/>
      <c r="L152" s="107"/>
      <c r="M152" s="107"/>
      <c r="N152" s="105"/>
      <c r="O152" s="113"/>
      <c r="P152" s="109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</row>
    <row r="153" spans="1:35" x14ac:dyDescent="0.3">
      <c r="A153" s="104">
        <v>1</v>
      </c>
      <c r="B153" s="659" t="s">
        <v>158</v>
      </c>
      <c r="C153" s="105"/>
      <c r="D153" s="104">
        <v>1</v>
      </c>
      <c r="E153" s="105">
        <v>5.85</v>
      </c>
      <c r="F153" s="105">
        <v>0.3</v>
      </c>
      <c r="G153" s="105">
        <v>0.75</v>
      </c>
      <c r="H153" s="106">
        <f>G153*F153*E153*D153</f>
        <v>1.3162499999999997</v>
      </c>
      <c r="I153" s="105" t="s">
        <v>127</v>
      </c>
      <c r="J153" s="105">
        <v>25</v>
      </c>
      <c r="K153" s="105">
        <v>3</v>
      </c>
      <c r="L153" s="105">
        <f>E153</f>
        <v>5.85</v>
      </c>
      <c r="M153" s="107">
        <f>L153+(2*(G153-0.07))</f>
        <v>7.2099999999999991</v>
      </c>
      <c r="N153" s="108">
        <f t="shared" ref="N153" si="115">J153*J153/162</f>
        <v>3.8580246913580245</v>
      </c>
      <c r="O153" s="108">
        <f>M153*K153*N153</f>
        <v>83.449074074074048</v>
      </c>
      <c r="P153" s="109">
        <f>O153*D153</f>
        <v>83.449074074074048</v>
      </c>
      <c r="Q153" s="107">
        <f>E153/2</f>
        <v>2.9249999999999998</v>
      </c>
      <c r="R153" s="107">
        <f>(2*(F153-0.025))+(2*(G153-0.035))+(2*10*0.008)</f>
        <v>2.14</v>
      </c>
      <c r="S153" s="107">
        <v>0.125</v>
      </c>
      <c r="T153" s="110">
        <v>10</v>
      </c>
      <c r="U153" s="111">
        <f>ROUND(IF(S153=0.1,Q153/S153,0),0)</f>
        <v>0</v>
      </c>
      <c r="V153" s="111">
        <f>ROUND(IF(S153=0.125,Q153/S153,0),0)</f>
        <v>23</v>
      </c>
      <c r="W153" s="111">
        <f>ROUND(IF(S153=0.15,Q153/S153,0),0)</f>
        <v>0</v>
      </c>
      <c r="X153" s="111">
        <f t="shared" ref="X153:X154" si="116">ROUND(IF(S153=0.18,Q153/S153,0),0)</f>
        <v>0</v>
      </c>
      <c r="Y153" s="111">
        <f>ROUND(IF(S153=0.2,Q153/S153,0),0)</f>
        <v>0</v>
      </c>
      <c r="Z153" s="111">
        <f>ROUND(IF(S153=0.23,Q153/S153,0),0)</f>
        <v>0</v>
      </c>
      <c r="AA153" s="108">
        <f>((T153*T153)/162)*D153</f>
        <v>0.61728395061728392</v>
      </c>
      <c r="AB153" s="109">
        <f>AA153*R153*(U153+V153+W153+X153+Y153+Z153)*D153</f>
        <v>30.382716049382719</v>
      </c>
      <c r="AC153" s="108">
        <f>(IF(J153=8,P153,0))+((IF(T153=8,AB153,0)))</f>
        <v>0</v>
      </c>
      <c r="AD153" s="108">
        <f>(IF(J153=10,P153,0))+((IF(T153=10,AB153,0)))</f>
        <v>30.382716049382719</v>
      </c>
      <c r="AE153" s="108">
        <f>IF(J153=12,P153,0)</f>
        <v>0</v>
      </c>
      <c r="AF153" s="108">
        <f>IF(J153=16,P153,0)</f>
        <v>0</v>
      </c>
      <c r="AG153" s="108">
        <f>IF(J153=20,P153,0)</f>
        <v>0</v>
      </c>
      <c r="AH153" s="108">
        <f>IF(J153=25,P153,0)</f>
        <v>83.449074074074048</v>
      </c>
      <c r="AI153" s="108">
        <f>IF(J153=32,P153,0)</f>
        <v>0</v>
      </c>
    </row>
    <row r="154" spans="1:35" x14ac:dyDescent="0.3">
      <c r="A154" s="104"/>
      <c r="B154" s="105"/>
      <c r="C154" s="105"/>
      <c r="D154" s="104">
        <v>1</v>
      </c>
      <c r="E154" s="105"/>
      <c r="F154" s="105"/>
      <c r="G154" s="105"/>
      <c r="H154" s="103"/>
      <c r="I154" s="105" t="s">
        <v>128</v>
      </c>
      <c r="J154" s="105">
        <v>16</v>
      </c>
      <c r="K154" s="105">
        <v>3</v>
      </c>
      <c r="L154" s="107">
        <f>E153/2</f>
        <v>2.9249999999999998</v>
      </c>
      <c r="M154" s="107">
        <f>L154+(2*0.38)</f>
        <v>3.6849999999999996</v>
      </c>
      <c r="N154" s="108">
        <f>J154*J154/162</f>
        <v>1.5802469135802468</v>
      </c>
      <c r="O154" s="108">
        <f>M154*K154*N154</f>
        <v>17.46962962962963</v>
      </c>
      <c r="P154" s="109">
        <f t="shared" ref="P154:P155" si="117">O154*D154</f>
        <v>17.46962962962963</v>
      </c>
      <c r="Q154" s="107">
        <f>E153/2</f>
        <v>2.9249999999999998</v>
      </c>
      <c r="R154" s="107">
        <f>(2*(F153-0.025))+(2*(G153-0.035))+(2*10*0.008)</f>
        <v>2.14</v>
      </c>
      <c r="S154" s="107">
        <v>0.15</v>
      </c>
      <c r="T154" s="110">
        <v>8</v>
      </c>
      <c r="U154" s="111">
        <f>ROUND(IF(S154=0.1,Q154/S154,0),0)</f>
        <v>0</v>
      </c>
      <c r="V154" s="111">
        <f>ROUND(IF(S154=0.125,Q154/S154,0),0)</f>
        <v>0</v>
      </c>
      <c r="W154" s="111">
        <f>ROUND(IF(S154=0.15,Q154/S154,0),0)</f>
        <v>20</v>
      </c>
      <c r="X154" s="111">
        <f t="shared" si="116"/>
        <v>0</v>
      </c>
      <c r="Y154" s="111">
        <f>ROUND(IF(S154=0.2,Q154/S154,0),0)</f>
        <v>0</v>
      </c>
      <c r="Z154" s="111">
        <f>ROUND(IF(S154=0.23,Q154/S154,0),0)</f>
        <v>0</v>
      </c>
      <c r="AA154" s="108">
        <f>((T154*T154)/162)*D154</f>
        <v>0.39506172839506171</v>
      </c>
      <c r="AB154" s="109">
        <f>AA154*R154*(U154+V154+W154+X154+Y154+Z154)*D154</f>
        <v>16.908641975308644</v>
      </c>
      <c r="AC154" s="108">
        <f>(IF(J154=8,P154,0))+((IF(T154=8,AB154,0)))</f>
        <v>16.908641975308644</v>
      </c>
      <c r="AD154" s="108">
        <f>(IF(J154=10,P154,0))+((IF(T154=10,AB154,0)))</f>
        <v>0</v>
      </c>
      <c r="AE154" s="108">
        <f>IF(J154=12,P154,0)</f>
        <v>0</v>
      </c>
      <c r="AF154" s="108">
        <f>IF(J154=16,P154,0)</f>
        <v>17.46962962962963</v>
      </c>
      <c r="AG154" s="108">
        <f>IF(J154=20,P154,0)</f>
        <v>0</v>
      </c>
      <c r="AH154" s="108">
        <f>IF(J154=25,P154,0)</f>
        <v>0</v>
      </c>
      <c r="AI154" s="108">
        <f>IF(J154=32,P154,0)</f>
        <v>0</v>
      </c>
    </row>
    <row r="155" spans="1:35" x14ac:dyDescent="0.3">
      <c r="A155" s="104"/>
      <c r="B155" s="105"/>
      <c r="C155" s="105"/>
      <c r="D155" s="104">
        <v>1</v>
      </c>
      <c r="E155" s="105"/>
      <c r="F155" s="105"/>
      <c r="G155" s="105"/>
      <c r="H155" s="103"/>
      <c r="I155" s="105"/>
      <c r="J155" s="105">
        <v>25</v>
      </c>
      <c r="K155" s="105">
        <v>4</v>
      </c>
      <c r="L155" s="107">
        <f>(E153/4)+0.6</f>
        <v>2.0625</v>
      </c>
      <c r="M155" s="107">
        <f>L155+(G153-0.07)</f>
        <v>2.7424999999999997</v>
      </c>
      <c r="N155" s="108">
        <f t="shared" ref="N155" si="118">J155*J155/162</f>
        <v>3.8580246913580245</v>
      </c>
      <c r="O155" s="108">
        <f>M155*K155*N155</f>
        <v>42.322530864197525</v>
      </c>
      <c r="P155" s="109">
        <f t="shared" si="117"/>
        <v>42.322530864197525</v>
      </c>
      <c r="Q155" s="108"/>
      <c r="R155" s="108"/>
      <c r="S155" s="108"/>
      <c r="T155" s="110"/>
      <c r="U155" s="111"/>
      <c r="V155" s="111"/>
      <c r="W155" s="111"/>
      <c r="X155" s="111"/>
      <c r="Y155" s="111"/>
      <c r="Z155" s="111"/>
      <c r="AA155" s="108"/>
      <c r="AB155" s="109"/>
      <c r="AC155" s="108">
        <f>(IF(J155=8,P155,0))+((IF(T155=8,AB155,0)))</f>
        <v>0</v>
      </c>
      <c r="AD155" s="108">
        <f>(IF(J155=10,P155,0))+((IF(T155=10,AB155,0)))</f>
        <v>0</v>
      </c>
      <c r="AE155" s="108">
        <f>IF(J155=12,P155,0)</f>
        <v>0</v>
      </c>
      <c r="AF155" s="108">
        <f>IF(J155=16,P155,0)</f>
        <v>0</v>
      </c>
      <c r="AG155" s="108">
        <f>IF(J155=20,P155,0)</f>
        <v>0</v>
      </c>
      <c r="AH155" s="108">
        <f>IF(J155=25,P155,0)</f>
        <v>42.322530864197525</v>
      </c>
      <c r="AI155" s="108">
        <f>IF(J155=32,P155,0)</f>
        <v>0</v>
      </c>
    </row>
    <row r="156" spans="1:35" x14ac:dyDescent="0.3">
      <c r="A156" s="104"/>
      <c r="B156" s="105"/>
      <c r="C156" s="105"/>
      <c r="D156" s="104"/>
      <c r="E156" s="105"/>
      <c r="F156" s="105"/>
      <c r="G156" s="105"/>
      <c r="H156" s="105"/>
      <c r="I156" s="105"/>
      <c r="J156" s="105"/>
      <c r="K156" s="105"/>
      <c r="L156" s="107"/>
      <c r="M156" s="107"/>
      <c r="N156" s="105"/>
      <c r="O156" s="113"/>
      <c r="P156" s="109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</row>
    <row r="157" spans="1:35" x14ac:dyDescent="0.3">
      <c r="A157" s="104">
        <v>1</v>
      </c>
      <c r="B157" s="659" t="s">
        <v>159</v>
      </c>
      <c r="C157" s="105"/>
      <c r="D157" s="104">
        <v>1</v>
      </c>
      <c r="E157" s="105">
        <v>4.8</v>
      </c>
      <c r="F157" s="105">
        <v>0.3</v>
      </c>
      <c r="G157" s="105">
        <v>0.75</v>
      </c>
      <c r="H157" s="106">
        <f>G157*F157*E157*D157</f>
        <v>1.0799999999999998</v>
      </c>
      <c r="I157" s="105" t="s">
        <v>127</v>
      </c>
      <c r="J157" s="105">
        <v>25</v>
      </c>
      <c r="K157" s="105">
        <v>3</v>
      </c>
      <c r="L157" s="105">
        <f>E157</f>
        <v>4.8</v>
      </c>
      <c r="M157" s="107">
        <f>L157+(2*(G157-0.07))</f>
        <v>6.16</v>
      </c>
      <c r="N157" s="108">
        <f t="shared" ref="N157" si="119">J157*J157/162</f>
        <v>3.8580246913580245</v>
      </c>
      <c r="O157" s="108">
        <f>M157*K157*N157</f>
        <v>71.296296296296291</v>
      </c>
      <c r="P157" s="109">
        <f>O157*D157</f>
        <v>71.296296296296291</v>
      </c>
      <c r="Q157" s="107">
        <f>E157/2</f>
        <v>2.4</v>
      </c>
      <c r="R157" s="107">
        <f>(2*(F157-0.025))+(2*(G157-0.035))+(2*10*0.008)</f>
        <v>2.14</v>
      </c>
      <c r="S157" s="107">
        <v>0.1</v>
      </c>
      <c r="T157" s="110">
        <v>8</v>
      </c>
      <c r="U157" s="111">
        <f>ROUND(IF(S157=0.1,Q157/S157,0),0)</f>
        <v>24</v>
      </c>
      <c r="V157" s="111">
        <f>ROUND(IF(S157=0.125,Q157/S157,0),0)</f>
        <v>0</v>
      </c>
      <c r="W157" s="111">
        <f>ROUND(IF(S157=0.15,Q157/S157,0),0)</f>
        <v>0</v>
      </c>
      <c r="X157" s="111">
        <f t="shared" ref="X157:X158" si="120">ROUND(IF(S157=0.18,Q157/S157,0),0)</f>
        <v>0</v>
      </c>
      <c r="Y157" s="111">
        <f>ROUND(IF(S157=0.2,Q157/S157,0),0)</f>
        <v>0</v>
      </c>
      <c r="Z157" s="111">
        <f>ROUND(IF(S157=0.23,Q157/S157,0),0)</f>
        <v>0</v>
      </c>
      <c r="AA157" s="108">
        <f>((T157*T157)/162)*D157</f>
        <v>0.39506172839506171</v>
      </c>
      <c r="AB157" s="109">
        <f>AA157*R157*(U157+V157+W157+X157+Y157+Z157)*D157</f>
        <v>20.290370370370372</v>
      </c>
      <c r="AC157" s="108">
        <f>(IF(J157=8,P157,0))+((IF(T157=8,AB157,0)))</f>
        <v>20.290370370370372</v>
      </c>
      <c r="AD157" s="108">
        <f>(IF(J157=10,P157,0))+((IF(T157=10,AB157,0)))</f>
        <v>0</v>
      </c>
      <c r="AE157" s="108">
        <f>IF(J157=12,P157,0)</f>
        <v>0</v>
      </c>
      <c r="AF157" s="108">
        <f>IF(J157=16,P157,0)</f>
        <v>0</v>
      </c>
      <c r="AG157" s="108">
        <f>IF(J157=20,P157,0)</f>
        <v>0</v>
      </c>
      <c r="AH157" s="108">
        <f>IF(J157=25,P157,0)</f>
        <v>71.296296296296291</v>
      </c>
      <c r="AI157" s="108">
        <f>IF(J157=32,P157,0)</f>
        <v>0</v>
      </c>
    </row>
    <row r="158" spans="1:35" x14ac:dyDescent="0.3">
      <c r="A158" s="104"/>
      <c r="B158" s="105"/>
      <c r="C158" s="105"/>
      <c r="D158" s="104">
        <v>1</v>
      </c>
      <c r="E158" s="105"/>
      <c r="F158" s="105"/>
      <c r="G158" s="105"/>
      <c r="H158" s="103"/>
      <c r="I158" s="105" t="s">
        <v>128</v>
      </c>
      <c r="J158" s="105">
        <v>16</v>
      </c>
      <c r="K158" s="105">
        <v>3</v>
      </c>
      <c r="L158" s="107">
        <f>E157/2</f>
        <v>2.4</v>
      </c>
      <c r="M158" s="107">
        <f>L158+(2*0.38)</f>
        <v>3.16</v>
      </c>
      <c r="N158" s="108">
        <f>J158*J158/162</f>
        <v>1.5802469135802468</v>
      </c>
      <c r="O158" s="108">
        <f>M158*K158*N158</f>
        <v>14.980740740740741</v>
      </c>
      <c r="P158" s="109">
        <f t="shared" ref="P158:P159" si="121">O158*D158</f>
        <v>14.980740740740741</v>
      </c>
      <c r="Q158" s="107">
        <f>E157/2</f>
        <v>2.4</v>
      </c>
      <c r="R158" s="107">
        <f>(2*(F157-0.025))+(2*(G157-0.035))+(2*10*0.008)</f>
        <v>2.14</v>
      </c>
      <c r="S158" s="107">
        <v>0.15</v>
      </c>
      <c r="T158" s="110">
        <v>8</v>
      </c>
      <c r="U158" s="111">
        <f>ROUND(IF(S158=0.1,Q158/S158,0),0)</f>
        <v>0</v>
      </c>
      <c r="V158" s="111">
        <f>ROUND(IF(S158=0.125,Q158/S158,0),0)</f>
        <v>0</v>
      </c>
      <c r="W158" s="111">
        <f>ROUND(IF(S158=0.15,Q158/S158,0),0)</f>
        <v>16</v>
      </c>
      <c r="X158" s="111">
        <f t="shared" si="120"/>
        <v>0</v>
      </c>
      <c r="Y158" s="111">
        <f>ROUND(IF(S158=0.2,Q158/S158,0),0)</f>
        <v>0</v>
      </c>
      <c r="Z158" s="111">
        <f>ROUND(IF(S158=0.23,Q158/S158,0),0)</f>
        <v>0</v>
      </c>
      <c r="AA158" s="108">
        <f>((T158*T158)/162)*D158</f>
        <v>0.39506172839506171</v>
      </c>
      <c r="AB158" s="109">
        <f>AA158*R158*(U158+V158+W158+X158+Y158+Z158)*D158</f>
        <v>13.526913580246914</v>
      </c>
      <c r="AC158" s="108">
        <f>(IF(J158=8,P158,0))+((IF(T158=8,AB158,0)))</f>
        <v>13.526913580246914</v>
      </c>
      <c r="AD158" s="108">
        <f>(IF(J158=10,P158,0))+((IF(T158=10,AB158,0)))</f>
        <v>0</v>
      </c>
      <c r="AE158" s="108">
        <f>IF(J158=12,P158,0)</f>
        <v>0</v>
      </c>
      <c r="AF158" s="108">
        <f>IF(J158=16,P158,0)</f>
        <v>14.980740740740741</v>
      </c>
      <c r="AG158" s="108">
        <f>IF(J158=20,P158,0)</f>
        <v>0</v>
      </c>
      <c r="AH158" s="108">
        <f>IF(J158=25,P158,0)</f>
        <v>0</v>
      </c>
      <c r="AI158" s="108">
        <f>IF(J158=32,P158,0)</f>
        <v>0</v>
      </c>
    </row>
    <row r="159" spans="1:35" x14ac:dyDescent="0.3">
      <c r="A159" s="104"/>
      <c r="B159" s="105"/>
      <c r="C159" s="105"/>
      <c r="D159" s="104">
        <v>1</v>
      </c>
      <c r="E159" s="105"/>
      <c r="F159" s="105"/>
      <c r="G159" s="105"/>
      <c r="H159" s="103"/>
      <c r="I159" s="105"/>
      <c r="J159" s="105">
        <v>25</v>
      </c>
      <c r="K159" s="105">
        <v>8</v>
      </c>
      <c r="L159" s="107">
        <f>(E157/4)+0.6</f>
        <v>1.7999999999999998</v>
      </c>
      <c r="M159" s="107">
        <f>L159+(G157-0.07)</f>
        <v>2.4799999999999995</v>
      </c>
      <c r="N159" s="108">
        <f t="shared" ref="N159" si="122">J159*J159/162</f>
        <v>3.8580246913580245</v>
      </c>
      <c r="O159" s="108">
        <f>M159*K159*N159</f>
        <v>76.543209876543187</v>
      </c>
      <c r="P159" s="109">
        <f t="shared" si="121"/>
        <v>76.543209876543187</v>
      </c>
      <c r="Q159" s="108"/>
      <c r="R159" s="108"/>
      <c r="S159" s="108"/>
      <c r="T159" s="110"/>
      <c r="U159" s="111"/>
      <c r="V159" s="111"/>
      <c r="W159" s="111"/>
      <c r="X159" s="111"/>
      <c r="Y159" s="111"/>
      <c r="Z159" s="111"/>
      <c r="AA159" s="108"/>
      <c r="AB159" s="109"/>
      <c r="AC159" s="108">
        <f>(IF(J159=8,P159,0))+((IF(T159=8,AB159,0)))</f>
        <v>0</v>
      </c>
      <c r="AD159" s="108">
        <f>(IF(J159=10,P159,0))+((IF(T159=10,AB159,0)))</f>
        <v>0</v>
      </c>
      <c r="AE159" s="108">
        <f>IF(J159=12,P159,0)</f>
        <v>0</v>
      </c>
      <c r="AF159" s="108">
        <f>IF(J159=16,P159,0)</f>
        <v>0</v>
      </c>
      <c r="AG159" s="108">
        <f>IF(J159=20,P159,0)</f>
        <v>0</v>
      </c>
      <c r="AH159" s="108">
        <f>IF(J159=25,P159,0)</f>
        <v>76.543209876543187</v>
      </c>
      <c r="AI159" s="108">
        <f>IF(J159=32,P159,0)</f>
        <v>0</v>
      </c>
    </row>
    <row r="160" spans="1:35" x14ac:dyDescent="0.3">
      <c r="A160" s="104"/>
      <c r="B160" s="105"/>
      <c r="C160" s="105"/>
      <c r="D160" s="104"/>
      <c r="E160" s="105"/>
      <c r="F160" s="105"/>
      <c r="G160" s="105"/>
      <c r="H160" s="105"/>
      <c r="I160" s="105"/>
      <c r="J160" s="105"/>
      <c r="K160" s="105"/>
      <c r="L160" s="107"/>
      <c r="M160" s="107"/>
      <c r="N160" s="105"/>
      <c r="O160" s="113"/>
      <c r="P160" s="109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</row>
    <row r="161" spans="1:35" x14ac:dyDescent="0.3">
      <c r="A161" s="104">
        <v>1</v>
      </c>
      <c r="B161" s="659" t="s">
        <v>160</v>
      </c>
      <c r="C161" s="105"/>
      <c r="D161" s="104">
        <v>0.75</v>
      </c>
      <c r="E161" s="105">
        <v>6.5330000000000004</v>
      </c>
      <c r="F161" s="105">
        <v>0.38</v>
      </c>
      <c r="G161" s="105">
        <v>0.75</v>
      </c>
      <c r="H161" s="106">
        <f>G161*F161*E161*D161</f>
        <v>1.3964287500000003</v>
      </c>
      <c r="I161" s="105" t="s">
        <v>127</v>
      </c>
      <c r="J161" s="105">
        <v>25</v>
      </c>
      <c r="K161" s="105">
        <v>4</v>
      </c>
      <c r="L161" s="105">
        <f>E161</f>
        <v>6.5330000000000004</v>
      </c>
      <c r="M161" s="107">
        <f>L161+(2*(G161-0.07))</f>
        <v>7.8930000000000007</v>
      </c>
      <c r="N161" s="108">
        <f t="shared" ref="N161" si="123">J161*J161/162</f>
        <v>3.8580246913580245</v>
      </c>
      <c r="O161" s="108">
        <f>M161*K161*N161</f>
        <v>121.80555555555556</v>
      </c>
      <c r="P161" s="109">
        <f>O161*D161</f>
        <v>91.354166666666671</v>
      </c>
      <c r="Q161" s="107">
        <f>E161/2</f>
        <v>3.2665000000000002</v>
      </c>
      <c r="R161" s="107">
        <f>(2*(F161-0.025))+(2*(G161-0.035))+(2*10*0.008)</f>
        <v>2.2999999999999998</v>
      </c>
      <c r="S161" s="107">
        <v>0.1</v>
      </c>
      <c r="T161" s="110">
        <v>10</v>
      </c>
      <c r="U161" s="111">
        <f>ROUND(IF(S161=0.1,Q161/S161,0),0)</f>
        <v>33</v>
      </c>
      <c r="V161" s="111">
        <f>ROUND(IF(S161=0.125,Q161/S161,0),0)</f>
        <v>0</v>
      </c>
      <c r="W161" s="111">
        <f>ROUND(IF(S161=0.15,Q161/S161,0),0)</f>
        <v>0</v>
      </c>
      <c r="X161" s="111">
        <f t="shared" ref="X161:X162" si="124">ROUND(IF(S161=0.18,Q161/S161,0),0)</f>
        <v>0</v>
      </c>
      <c r="Y161" s="111">
        <f>ROUND(IF(S161=0.2,Q161/S161,0),0)</f>
        <v>0</v>
      </c>
      <c r="Z161" s="111">
        <f>ROUND(IF(S161=0.23,Q161/S161,0),0)</f>
        <v>0</v>
      </c>
      <c r="AA161" s="108">
        <f>((T161*T161)/162)*D161</f>
        <v>0.46296296296296291</v>
      </c>
      <c r="AB161" s="109">
        <f>AA161*R161*(U161+V161+W161+X161+Y161+Z161)*D161</f>
        <v>26.354166666666664</v>
      </c>
      <c r="AC161" s="108">
        <f>(IF(J161=8,P161,0))+((IF(T161=8,AB161,0)))</f>
        <v>0</v>
      </c>
      <c r="AD161" s="108">
        <f>(IF(J161=10,P161,0))+((IF(T161=10,AB161,0)))</f>
        <v>26.354166666666664</v>
      </c>
      <c r="AE161" s="108">
        <f>IF(J161=12,P161,0)</f>
        <v>0</v>
      </c>
      <c r="AF161" s="108">
        <f>IF(J161=16,P161,0)</f>
        <v>0</v>
      </c>
      <c r="AG161" s="108">
        <f>IF(J161=20,P161,0)</f>
        <v>0</v>
      </c>
      <c r="AH161" s="108">
        <f>IF(J161=25,P161,0)</f>
        <v>91.354166666666671</v>
      </c>
      <c r="AI161" s="108">
        <f>IF(J161=32,P161,0)</f>
        <v>0</v>
      </c>
    </row>
    <row r="162" spans="1:35" x14ac:dyDescent="0.3">
      <c r="A162" s="104"/>
      <c r="B162" s="105"/>
      <c r="C162" s="105"/>
      <c r="D162" s="104">
        <v>1</v>
      </c>
      <c r="E162" s="105"/>
      <c r="F162" s="105"/>
      <c r="G162" s="105"/>
      <c r="H162" s="103"/>
      <c r="I162" s="105" t="s">
        <v>128</v>
      </c>
      <c r="J162" s="105">
        <v>16</v>
      </c>
      <c r="K162" s="105">
        <v>4</v>
      </c>
      <c r="L162" s="107">
        <f>E161/2</f>
        <v>3.2665000000000002</v>
      </c>
      <c r="M162" s="107">
        <f>L162+(2*0.38)</f>
        <v>4.0265000000000004</v>
      </c>
      <c r="N162" s="108">
        <f>J162*J162/162</f>
        <v>1.5802469135802468</v>
      </c>
      <c r="O162" s="108">
        <f>M162*K162*N162</f>
        <v>25.451456790123459</v>
      </c>
      <c r="P162" s="109">
        <f t="shared" ref="P162:P163" si="125">O162*D162</f>
        <v>25.451456790123459</v>
      </c>
      <c r="Q162" s="107">
        <f>E161/2</f>
        <v>3.2665000000000002</v>
      </c>
      <c r="R162" s="107">
        <f>(2*(F161-0.025))+(2*(G161-0.035))+(2*10*0.008)</f>
        <v>2.2999999999999998</v>
      </c>
      <c r="S162" s="107">
        <v>0.1</v>
      </c>
      <c r="T162" s="110">
        <v>8</v>
      </c>
      <c r="U162" s="111">
        <f>ROUND(IF(S162=0.1,Q162/S162,0),0)</f>
        <v>33</v>
      </c>
      <c r="V162" s="111">
        <f>ROUND(IF(S162=0.125,Q162/S162,0),0)</f>
        <v>0</v>
      </c>
      <c r="W162" s="111">
        <f>ROUND(IF(S162=0.15,Q162/S162,0),0)</f>
        <v>0</v>
      </c>
      <c r="X162" s="111">
        <f t="shared" si="124"/>
        <v>0</v>
      </c>
      <c r="Y162" s="111">
        <f>ROUND(IF(S162=0.2,Q162/S162,0),0)</f>
        <v>0</v>
      </c>
      <c r="Z162" s="111">
        <f>ROUND(IF(S162=0.23,Q162/S162,0),0)</f>
        <v>0</v>
      </c>
      <c r="AA162" s="108">
        <f>((T162*T162)/162)*D162</f>
        <v>0.39506172839506171</v>
      </c>
      <c r="AB162" s="109">
        <f>AA162*R162*(U162+V162+W162+X162+Y162+Z162)*D162</f>
        <v>29.985185185185181</v>
      </c>
      <c r="AC162" s="108">
        <f>(IF(J162=8,P162,0))+((IF(T162=8,AB162,0)))</f>
        <v>29.985185185185181</v>
      </c>
      <c r="AD162" s="108">
        <f>(IF(J162=10,P162,0))+((IF(T162=10,AB162,0)))</f>
        <v>0</v>
      </c>
      <c r="AE162" s="108">
        <f>IF(J162=12,P162,0)</f>
        <v>0</v>
      </c>
      <c r="AF162" s="108">
        <f>IF(J162=16,P162,0)</f>
        <v>25.451456790123459</v>
      </c>
      <c r="AG162" s="108">
        <f>IF(J162=20,P162,0)</f>
        <v>0</v>
      </c>
      <c r="AH162" s="108">
        <f>IF(J162=25,P162,0)</f>
        <v>0</v>
      </c>
      <c r="AI162" s="108">
        <f>IF(J162=32,P162,0)</f>
        <v>0</v>
      </c>
    </row>
    <row r="163" spans="1:35" x14ac:dyDescent="0.3">
      <c r="A163" s="104"/>
      <c r="B163" s="105"/>
      <c r="C163" s="105"/>
      <c r="D163" s="104">
        <v>1</v>
      </c>
      <c r="E163" s="105"/>
      <c r="F163" s="105"/>
      <c r="G163" s="105"/>
      <c r="H163" s="103"/>
      <c r="I163" s="105"/>
      <c r="J163" s="105">
        <v>25</v>
      </c>
      <c r="K163" s="105">
        <v>8</v>
      </c>
      <c r="L163" s="107">
        <f>(E161/4)+0.6</f>
        <v>2.23325</v>
      </c>
      <c r="M163" s="107">
        <f>L163+(G161-0.07)</f>
        <v>2.9132499999999997</v>
      </c>
      <c r="N163" s="108">
        <f t="shared" ref="N163" si="126">J163*J163/162</f>
        <v>3.8580246913580245</v>
      </c>
      <c r="O163" s="108">
        <f>M163*K163*N163</f>
        <v>89.915123456790113</v>
      </c>
      <c r="P163" s="109">
        <f t="shared" si="125"/>
        <v>89.915123456790113</v>
      </c>
      <c r="Q163" s="108"/>
      <c r="R163" s="108"/>
      <c r="S163" s="108"/>
      <c r="T163" s="110"/>
      <c r="U163" s="111"/>
      <c r="V163" s="111"/>
      <c r="W163" s="111"/>
      <c r="X163" s="111"/>
      <c r="Y163" s="111"/>
      <c r="Z163" s="111"/>
      <c r="AA163" s="108"/>
      <c r="AB163" s="109"/>
      <c r="AC163" s="108">
        <f>(IF(J163=8,P163,0))+((IF(T163=8,AB163,0)))</f>
        <v>0</v>
      </c>
      <c r="AD163" s="108">
        <f>(IF(J163=10,P163,0))+((IF(T163=10,AB163,0)))</f>
        <v>0</v>
      </c>
      <c r="AE163" s="108">
        <f>IF(J163=12,P163,0)</f>
        <v>0</v>
      </c>
      <c r="AF163" s="108">
        <f>IF(J163=16,P163,0)</f>
        <v>0</v>
      </c>
      <c r="AG163" s="108">
        <f>IF(J163=20,P163,0)</f>
        <v>0</v>
      </c>
      <c r="AH163" s="108">
        <f>IF(J163=25,P163,0)</f>
        <v>89.915123456790113</v>
      </c>
      <c r="AI163" s="108">
        <f>IF(J163=32,P163,0)</f>
        <v>0</v>
      </c>
    </row>
    <row r="164" spans="1:35" x14ac:dyDescent="0.3">
      <c r="A164" s="104"/>
      <c r="B164" s="105"/>
      <c r="C164" s="105"/>
      <c r="D164" s="104"/>
      <c r="E164" s="105"/>
      <c r="F164" s="105"/>
      <c r="G164" s="105"/>
      <c r="H164" s="105"/>
      <c r="I164" s="105"/>
      <c r="J164" s="105"/>
      <c r="K164" s="105"/>
      <c r="L164" s="107"/>
      <c r="M164" s="107"/>
      <c r="N164" s="105"/>
      <c r="O164" s="113"/>
      <c r="P164" s="109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</row>
    <row r="165" spans="1:35" x14ac:dyDescent="0.3">
      <c r="A165" s="114"/>
      <c r="B165" s="115"/>
      <c r="C165" s="115"/>
      <c r="D165" s="114"/>
      <c r="E165" s="115"/>
      <c r="F165" s="115"/>
      <c r="G165" s="115"/>
      <c r="H165" s="116"/>
      <c r="I165" s="115"/>
      <c r="J165" s="115"/>
      <c r="K165" s="115"/>
      <c r="L165" s="117"/>
      <c r="M165" s="117"/>
      <c r="N165" s="118"/>
      <c r="O165" s="118"/>
      <c r="P165" s="119"/>
      <c r="Q165" s="117"/>
      <c r="R165" s="117"/>
      <c r="S165" s="118"/>
      <c r="T165" s="120"/>
      <c r="U165" s="121"/>
      <c r="V165" s="121"/>
      <c r="W165" s="121"/>
      <c r="X165" s="121"/>
      <c r="Y165" s="121"/>
      <c r="Z165" s="121"/>
      <c r="AA165" s="118"/>
      <c r="AB165" s="119"/>
      <c r="AC165" s="118"/>
      <c r="AD165" s="118"/>
      <c r="AE165" s="118"/>
      <c r="AF165" s="118"/>
      <c r="AG165" s="118"/>
      <c r="AH165" s="118"/>
      <c r="AI165" s="118"/>
    </row>
    <row r="166" spans="1:35" x14ac:dyDescent="0.3">
      <c r="A166" s="104">
        <v>1</v>
      </c>
      <c r="B166" s="659" t="s">
        <v>161</v>
      </c>
      <c r="C166" s="105"/>
      <c r="D166" s="104">
        <v>1</v>
      </c>
      <c r="E166" s="105">
        <v>5.5</v>
      </c>
      <c r="F166" s="105">
        <v>0.3</v>
      </c>
      <c r="G166" s="105">
        <v>0.75</v>
      </c>
      <c r="H166" s="106">
        <f>G166*F166*E166*D166</f>
        <v>1.2374999999999998</v>
      </c>
      <c r="I166" s="105" t="s">
        <v>127</v>
      </c>
      <c r="J166" s="105">
        <v>20</v>
      </c>
      <c r="K166" s="105">
        <v>3</v>
      </c>
      <c r="L166" s="105">
        <f>E166</f>
        <v>5.5</v>
      </c>
      <c r="M166" s="107">
        <f>L166+(2*(G166-0.07))</f>
        <v>6.8599999999999994</v>
      </c>
      <c r="N166" s="108">
        <f t="shared" ref="N166" si="127">J166*J166/162</f>
        <v>2.4691358024691357</v>
      </c>
      <c r="O166" s="108">
        <f>M166*K166*N166</f>
        <v>50.81481481481481</v>
      </c>
      <c r="P166" s="109">
        <f>O166*D166</f>
        <v>50.81481481481481</v>
      </c>
      <c r="Q166" s="107">
        <f>E166/2</f>
        <v>2.75</v>
      </c>
      <c r="R166" s="107">
        <f>((2*((F166/2)-0.0125))+(2*(G166-0.035))+(2*10*0.008))*2</f>
        <v>3.7299999999999995</v>
      </c>
      <c r="S166" s="107">
        <v>0.1</v>
      </c>
      <c r="T166" s="110">
        <v>8</v>
      </c>
      <c r="U166" s="111">
        <f>ROUND(IF(S166=0.1,Q166/S166,0),0)</f>
        <v>28</v>
      </c>
      <c r="V166" s="111">
        <f>ROUND(IF(S166=0.125,Q166/S166,0),0)</f>
        <v>0</v>
      </c>
      <c r="W166" s="111">
        <f>ROUND(IF(S166=0.15,Q166/S166,0),0)</f>
        <v>0</v>
      </c>
      <c r="X166" s="111">
        <f t="shared" ref="X166:X167" si="128">ROUND(IF(S166=0.18,Q166/S166,0),0)</f>
        <v>0</v>
      </c>
      <c r="Y166" s="111">
        <f>ROUND(IF(S166=0.2,Q166/S166,0),0)</f>
        <v>0</v>
      </c>
      <c r="Z166" s="111">
        <f>ROUND(IF(S166=0.23,Q166/S166,0),0)</f>
        <v>0</v>
      </c>
      <c r="AA166" s="108">
        <f>((T166*T166)/162)*D166</f>
        <v>0.39506172839506171</v>
      </c>
      <c r="AB166" s="109">
        <f>AA166*R166*(U166+V166+W166+X166+Y166+Z166)*D166</f>
        <v>41.260246913580239</v>
      </c>
      <c r="AC166" s="108">
        <f>(IF(J166=8,P166,0))+((IF(T166=8,AB166,0)))</f>
        <v>41.260246913580239</v>
      </c>
      <c r="AD166" s="108">
        <f>(IF(J166=10,P166,0))+((IF(T166=10,AB166,0)))</f>
        <v>0</v>
      </c>
      <c r="AE166" s="108">
        <f>IF(J166=12,P166,0)</f>
        <v>0</v>
      </c>
      <c r="AF166" s="108">
        <f>IF(J166=16,P166,0)</f>
        <v>0</v>
      </c>
      <c r="AG166" s="108">
        <f>IF(J166=20,P166,0)</f>
        <v>50.81481481481481</v>
      </c>
      <c r="AH166" s="108">
        <f>IF(J166=25,P166,0)</f>
        <v>0</v>
      </c>
      <c r="AI166" s="108">
        <f>IF(J166=32,P166,0)</f>
        <v>0</v>
      </c>
    </row>
    <row r="167" spans="1:35" x14ac:dyDescent="0.3">
      <c r="A167" s="104"/>
      <c r="B167" s="105"/>
      <c r="C167" s="105"/>
      <c r="D167" s="104">
        <v>1</v>
      </c>
      <c r="E167" s="105"/>
      <c r="F167" s="105"/>
      <c r="G167" s="105"/>
      <c r="H167" s="103"/>
      <c r="I167" s="105" t="s">
        <v>128</v>
      </c>
      <c r="J167" s="105">
        <v>12</v>
      </c>
      <c r="K167" s="105">
        <v>3</v>
      </c>
      <c r="L167" s="107">
        <f>E166/2</f>
        <v>2.75</v>
      </c>
      <c r="M167" s="107">
        <f>L167+(2*0.38)</f>
        <v>3.51</v>
      </c>
      <c r="N167" s="108">
        <f>J167*J167/162</f>
        <v>0.88888888888888884</v>
      </c>
      <c r="O167" s="108">
        <f>M167*K167*N167</f>
        <v>9.36</v>
      </c>
      <c r="P167" s="109">
        <f t="shared" ref="P167:P168" si="129">O167*D167</f>
        <v>9.36</v>
      </c>
      <c r="Q167" s="107">
        <f>E166/2</f>
        <v>2.75</v>
      </c>
      <c r="R167" s="107">
        <f>((2*((F166/2)-0.0125))+(2*(G166-0.035))+(2*10*0.008))*2</f>
        <v>3.7299999999999995</v>
      </c>
      <c r="S167" s="107">
        <v>0.15</v>
      </c>
      <c r="T167" s="110">
        <v>8</v>
      </c>
      <c r="U167" s="111">
        <f>ROUND(IF(S167=0.1,Q167/S167,0),0)</f>
        <v>0</v>
      </c>
      <c r="V167" s="111">
        <f>ROUND(IF(S167=0.125,Q167/S167,0),0)</f>
        <v>0</v>
      </c>
      <c r="W167" s="111">
        <f>ROUND(IF(S167=0.15,Q167/S167,0),0)</f>
        <v>18</v>
      </c>
      <c r="X167" s="111">
        <f t="shared" si="128"/>
        <v>0</v>
      </c>
      <c r="Y167" s="111">
        <f>ROUND(IF(S167=0.2,Q167/S167,0),0)</f>
        <v>0</v>
      </c>
      <c r="Z167" s="111">
        <f>ROUND(IF(S167=0.23,Q167/S167,0),0)</f>
        <v>0</v>
      </c>
      <c r="AA167" s="108">
        <f>((T167*T167)/162)*D167</f>
        <v>0.39506172839506171</v>
      </c>
      <c r="AB167" s="109">
        <f>AA167*R167*(U167+V167+W167+X167+Y167+Z167)*D167</f>
        <v>26.524444444444438</v>
      </c>
      <c r="AC167" s="108">
        <f>(IF(J167=8,P167,0))+((IF(T167=8,AB167,0)))</f>
        <v>26.524444444444438</v>
      </c>
      <c r="AD167" s="108">
        <f>(IF(J167=10,P167,0))+((IF(T167=10,AB167,0)))</f>
        <v>0</v>
      </c>
      <c r="AE167" s="108">
        <f>IF(J167=12,P167,0)</f>
        <v>9.36</v>
      </c>
      <c r="AF167" s="108">
        <f>IF(J167=16,P167,0)</f>
        <v>0</v>
      </c>
      <c r="AG167" s="108">
        <f>IF(J167=20,P167,0)</f>
        <v>0</v>
      </c>
      <c r="AH167" s="108">
        <f>IF(J167=25,P167,0)</f>
        <v>0</v>
      </c>
      <c r="AI167" s="108">
        <f>IF(J167=32,P167,0)</f>
        <v>0</v>
      </c>
    </row>
    <row r="168" spans="1:35" x14ac:dyDescent="0.3">
      <c r="A168" s="104"/>
      <c r="B168" s="105"/>
      <c r="C168" s="105"/>
      <c r="D168" s="104">
        <v>1</v>
      </c>
      <c r="E168" s="105"/>
      <c r="F168" s="105"/>
      <c r="G168" s="105"/>
      <c r="H168" s="103"/>
      <c r="I168" s="105"/>
      <c r="J168" s="105">
        <v>20</v>
      </c>
      <c r="K168" s="105">
        <v>8</v>
      </c>
      <c r="L168" s="107">
        <f>(E166/4)+0.6</f>
        <v>1.9750000000000001</v>
      </c>
      <c r="M168" s="107">
        <f>L168+(G166-0.07)</f>
        <v>2.6550000000000002</v>
      </c>
      <c r="N168" s="108">
        <f t="shared" ref="N168" si="130">J168*J168/162</f>
        <v>2.4691358024691357</v>
      </c>
      <c r="O168" s="108">
        <f>M168*K168*N168</f>
        <v>52.44444444444445</v>
      </c>
      <c r="P168" s="109">
        <f t="shared" si="129"/>
        <v>52.44444444444445</v>
      </c>
      <c r="Q168" s="108"/>
      <c r="R168" s="108"/>
      <c r="S168" s="108"/>
      <c r="T168" s="110"/>
      <c r="U168" s="111"/>
      <c r="V168" s="111"/>
      <c r="W168" s="111"/>
      <c r="X168" s="111"/>
      <c r="Y168" s="111"/>
      <c r="Z168" s="111"/>
      <c r="AA168" s="108"/>
      <c r="AB168" s="109"/>
      <c r="AC168" s="108">
        <f>(IF(J168=8,P168,0))+((IF(T168=8,AB168,0)))</f>
        <v>0</v>
      </c>
      <c r="AD168" s="108">
        <f>(IF(J168=10,P168,0))+((IF(T168=10,AB168,0)))</f>
        <v>0</v>
      </c>
      <c r="AE168" s="108">
        <f>IF(J168=12,P168,0)</f>
        <v>0</v>
      </c>
      <c r="AF168" s="108">
        <f>IF(J168=16,P168,0)</f>
        <v>0</v>
      </c>
      <c r="AG168" s="108">
        <f>IF(J168=20,P168,0)</f>
        <v>52.44444444444445</v>
      </c>
      <c r="AH168" s="108">
        <f>IF(J168=25,P168,0)</f>
        <v>0</v>
      </c>
      <c r="AI168" s="108">
        <f>IF(J168=32,P168,0)</f>
        <v>0</v>
      </c>
    </row>
    <row r="170" spans="1:35" x14ac:dyDescent="0.3">
      <c r="A170" s="104">
        <v>1</v>
      </c>
      <c r="B170" s="659" t="s">
        <v>162</v>
      </c>
      <c r="C170" s="105"/>
      <c r="D170" s="104">
        <v>1</v>
      </c>
      <c r="E170" s="105">
        <v>5</v>
      </c>
      <c r="F170" s="105">
        <v>0.3</v>
      </c>
      <c r="G170" s="105">
        <v>0.75</v>
      </c>
      <c r="H170" s="106">
        <f>G170*F170*E170*D170</f>
        <v>1.125</v>
      </c>
      <c r="I170" s="105" t="s">
        <v>127</v>
      </c>
      <c r="J170" s="105">
        <v>20</v>
      </c>
      <c r="K170" s="105">
        <v>3</v>
      </c>
      <c r="L170" s="105">
        <f>E170</f>
        <v>5</v>
      </c>
      <c r="M170" s="107">
        <f>L170+(2*(G170-0.07))</f>
        <v>6.3599999999999994</v>
      </c>
      <c r="N170" s="108">
        <f t="shared" ref="N170" si="131">J170*J170/162</f>
        <v>2.4691358024691357</v>
      </c>
      <c r="O170" s="108">
        <f>M170*K170*N170</f>
        <v>47.111111111111107</v>
      </c>
      <c r="P170" s="109">
        <f>O170*D170</f>
        <v>47.111111111111107</v>
      </c>
      <c r="Q170" s="107">
        <f>E170/2</f>
        <v>2.5</v>
      </c>
      <c r="R170" s="107">
        <f>((2*((F170/2)-0.0125))+(2*(G170-0.035))+(2*10*0.008))*2</f>
        <v>3.7299999999999995</v>
      </c>
      <c r="S170" s="107">
        <v>0.1</v>
      </c>
      <c r="T170" s="110">
        <v>8</v>
      </c>
      <c r="U170" s="111">
        <f>ROUND(IF(S170=0.1,Q170/S170,0),0)</f>
        <v>25</v>
      </c>
      <c r="V170" s="111">
        <f>ROUND(IF(S170=0.125,Q170/S170,0),0)</f>
        <v>0</v>
      </c>
      <c r="W170" s="111">
        <f>ROUND(IF(S170=0.15,Q170/S170,0),0)</f>
        <v>0</v>
      </c>
      <c r="X170" s="111">
        <f t="shared" ref="X170:X171" si="132">ROUND(IF(S170=0.18,Q170/S170,0),0)</f>
        <v>0</v>
      </c>
      <c r="Y170" s="111">
        <f>ROUND(IF(S170=0.2,Q170/S170,0),0)</f>
        <v>0</v>
      </c>
      <c r="Z170" s="111">
        <f>ROUND(IF(S170=0.23,Q170/S170,0),0)</f>
        <v>0</v>
      </c>
      <c r="AA170" s="108">
        <f>((T170*T170)/162)*D170</f>
        <v>0.39506172839506171</v>
      </c>
      <c r="AB170" s="109">
        <f>AA170*R170*(U170+V170+W170+X170+Y170+Z170)*D170</f>
        <v>36.839506172839499</v>
      </c>
      <c r="AC170" s="108">
        <f>(IF(J170=8,P170,0))+((IF(T170=8,AB170,0)))</f>
        <v>36.839506172839499</v>
      </c>
      <c r="AD170" s="108">
        <f>(IF(J170=10,P170,0))+((IF(T170=10,AB170,0)))</f>
        <v>0</v>
      </c>
      <c r="AE170" s="108">
        <f>IF(J170=12,P170,0)</f>
        <v>0</v>
      </c>
      <c r="AF170" s="108">
        <f>IF(J170=16,P170,0)</f>
        <v>0</v>
      </c>
      <c r="AG170" s="108">
        <f>IF(J170=20,P170,0)</f>
        <v>47.111111111111107</v>
      </c>
      <c r="AH170" s="108">
        <f>IF(J170=25,P170,0)</f>
        <v>0</v>
      </c>
      <c r="AI170" s="108">
        <f>IF(J170=32,P170,0)</f>
        <v>0</v>
      </c>
    </row>
    <row r="171" spans="1:35" x14ac:dyDescent="0.3">
      <c r="A171" s="104"/>
      <c r="B171" s="105"/>
      <c r="C171" s="105"/>
      <c r="D171" s="104">
        <v>1</v>
      </c>
      <c r="E171" s="105"/>
      <c r="F171" s="105"/>
      <c r="G171" s="105"/>
      <c r="H171" s="103"/>
      <c r="I171" s="105" t="s">
        <v>128</v>
      </c>
      <c r="J171" s="105">
        <v>12</v>
      </c>
      <c r="K171" s="105">
        <v>3</v>
      </c>
      <c r="L171" s="107">
        <f>E170/2</f>
        <v>2.5</v>
      </c>
      <c r="M171" s="107">
        <f>L171+(2*0.38)</f>
        <v>3.26</v>
      </c>
      <c r="N171" s="108">
        <f>J171*J171/162</f>
        <v>0.88888888888888884</v>
      </c>
      <c r="O171" s="108">
        <f>M171*K171*N171</f>
        <v>8.6933333333333316</v>
      </c>
      <c r="P171" s="109">
        <f t="shared" ref="P171:P172" si="133">O171*D171</f>
        <v>8.6933333333333316</v>
      </c>
      <c r="Q171" s="107">
        <f>E170/2</f>
        <v>2.5</v>
      </c>
      <c r="R171" s="107">
        <f>((2*((F170/2)-0.0125))+(2*(G170-0.035))+(2*10*0.008))*2</f>
        <v>3.7299999999999995</v>
      </c>
      <c r="S171" s="107">
        <v>0.15</v>
      </c>
      <c r="T171" s="110">
        <v>8</v>
      </c>
      <c r="U171" s="111">
        <f>ROUND(IF(S171=0.1,Q171/S171,0),0)</f>
        <v>0</v>
      </c>
      <c r="V171" s="111">
        <f>ROUND(IF(S171=0.125,Q171/S171,0),0)</f>
        <v>0</v>
      </c>
      <c r="W171" s="111">
        <f>ROUND(IF(S171=0.15,Q171/S171,0),0)</f>
        <v>17</v>
      </c>
      <c r="X171" s="111">
        <f t="shared" si="132"/>
        <v>0</v>
      </c>
      <c r="Y171" s="111">
        <f>ROUND(IF(S171=0.2,Q171/S171,0),0)</f>
        <v>0</v>
      </c>
      <c r="Z171" s="111">
        <f>ROUND(IF(S171=0.23,Q171/S171,0),0)</f>
        <v>0</v>
      </c>
      <c r="AA171" s="108">
        <f>((T171*T171)/162)*D171</f>
        <v>0.39506172839506171</v>
      </c>
      <c r="AB171" s="109">
        <f>AA171*R171*(U171+V171+W171+X171+Y171+Z171)*D171</f>
        <v>25.05086419753086</v>
      </c>
      <c r="AC171" s="108">
        <f>(IF(J171=8,P171,0))+((IF(T171=8,AB171,0)))</f>
        <v>25.05086419753086</v>
      </c>
      <c r="AD171" s="108">
        <f>(IF(J171=10,P171,0))+((IF(T171=10,AB171,0)))</f>
        <v>0</v>
      </c>
      <c r="AE171" s="108">
        <f>IF(J171=12,P171,0)</f>
        <v>8.6933333333333316</v>
      </c>
      <c r="AF171" s="108">
        <f>IF(J171=16,P171,0)</f>
        <v>0</v>
      </c>
      <c r="AG171" s="108">
        <f>IF(J171=20,P171,0)</f>
        <v>0</v>
      </c>
      <c r="AH171" s="108">
        <f>IF(J171=25,P171,0)</f>
        <v>0</v>
      </c>
      <c r="AI171" s="108">
        <f>IF(J171=32,P171,0)</f>
        <v>0</v>
      </c>
    </row>
    <row r="172" spans="1:35" x14ac:dyDescent="0.3">
      <c r="A172" s="104"/>
      <c r="B172" s="105"/>
      <c r="C172" s="105"/>
      <c r="D172" s="104">
        <v>1</v>
      </c>
      <c r="E172" s="105"/>
      <c r="F172" s="105"/>
      <c r="G172" s="105"/>
      <c r="H172" s="103"/>
      <c r="I172" s="105"/>
      <c r="J172" s="105">
        <v>20</v>
      </c>
      <c r="K172" s="105">
        <v>8</v>
      </c>
      <c r="L172" s="107">
        <f>(E170/4)+0.6</f>
        <v>1.85</v>
      </c>
      <c r="M172" s="107">
        <f>L172+(G170-0.07)</f>
        <v>2.5300000000000002</v>
      </c>
      <c r="N172" s="108">
        <f t="shared" ref="N172" si="134">J172*J172/162</f>
        <v>2.4691358024691357</v>
      </c>
      <c r="O172" s="108">
        <f>M172*K172*N172</f>
        <v>49.97530864197531</v>
      </c>
      <c r="P172" s="109">
        <f t="shared" si="133"/>
        <v>49.97530864197531</v>
      </c>
      <c r="Q172" s="108"/>
      <c r="R172" s="108"/>
      <c r="S172" s="108"/>
      <c r="T172" s="110"/>
      <c r="U172" s="111"/>
      <c r="V172" s="111"/>
      <c r="W172" s="111"/>
      <c r="X172" s="111"/>
      <c r="Y172" s="111"/>
      <c r="Z172" s="111"/>
      <c r="AA172" s="108"/>
      <c r="AB172" s="109"/>
      <c r="AC172" s="108">
        <f>(IF(J172=8,P172,0))+((IF(T172=8,AB172,0)))</f>
        <v>0</v>
      </c>
      <c r="AD172" s="108">
        <f>(IF(J172=10,P172,0))+((IF(T172=10,AB172,0)))</f>
        <v>0</v>
      </c>
      <c r="AE172" s="108">
        <f>IF(J172=12,P172,0)</f>
        <v>0</v>
      </c>
      <c r="AF172" s="108">
        <f>IF(J172=16,P172,0)</f>
        <v>0</v>
      </c>
      <c r="AG172" s="108">
        <f>IF(J172=20,P172,0)</f>
        <v>49.97530864197531</v>
      </c>
      <c r="AH172" s="108">
        <f>IF(J172=25,P172,0)</f>
        <v>0</v>
      </c>
      <c r="AI172" s="108">
        <f>IF(J172=32,P172,0)</f>
        <v>0</v>
      </c>
    </row>
    <row r="174" spans="1:35" x14ac:dyDescent="0.3">
      <c r="A174" s="104">
        <v>1</v>
      </c>
      <c r="B174" s="659" t="s">
        <v>163</v>
      </c>
      <c r="C174" s="105"/>
      <c r="D174" s="104">
        <v>0.75</v>
      </c>
      <c r="E174" s="105">
        <v>7.48</v>
      </c>
      <c r="F174" s="105">
        <v>0.3</v>
      </c>
      <c r="G174" s="105">
        <v>0.75</v>
      </c>
      <c r="H174" s="106">
        <f>G174*F174*E174*D174</f>
        <v>1.2622499999999999</v>
      </c>
      <c r="I174" s="105" t="s">
        <v>127</v>
      </c>
      <c r="J174" s="105">
        <v>20</v>
      </c>
      <c r="K174" s="105">
        <v>3</v>
      </c>
      <c r="L174" s="105">
        <f>E174</f>
        <v>7.48</v>
      </c>
      <c r="M174" s="107">
        <f>L174+(2*(G174-0.07))</f>
        <v>8.84</v>
      </c>
      <c r="N174" s="108">
        <f t="shared" ref="N174" si="135">J174*J174/162</f>
        <v>2.4691358024691357</v>
      </c>
      <c r="O174" s="108">
        <f t="shared" ref="O174:O176" si="136">M174*K174*N174</f>
        <v>65.481481481481481</v>
      </c>
      <c r="P174" s="109">
        <f>O174*D174</f>
        <v>49.111111111111114</v>
      </c>
      <c r="Q174" s="107">
        <f>E174/2</f>
        <v>3.74</v>
      </c>
      <c r="R174" s="107">
        <f>((2*((F174/2)-0.0125))+(2*(G174-0.035))+(2*10*0.008))*2</f>
        <v>3.7299999999999995</v>
      </c>
      <c r="S174" s="107">
        <v>0.1</v>
      </c>
      <c r="T174" s="110">
        <v>8</v>
      </c>
      <c r="U174" s="111">
        <f>ROUND(IF(S174=0.1,Q174/S174,0),0)</f>
        <v>37</v>
      </c>
      <c r="V174" s="111">
        <f>ROUND(IF(S174=0.125,Q174/S174,0),0)</f>
        <v>0</v>
      </c>
      <c r="W174" s="111">
        <f>ROUND(IF(S174=0.15,Q174/S174,0),0)</f>
        <v>0</v>
      </c>
      <c r="X174" s="111">
        <f t="shared" ref="X174:X175" si="137">ROUND(IF(S174=0.18,Q174/S174,0),0)</f>
        <v>0</v>
      </c>
      <c r="Y174" s="111">
        <f>ROUND(IF(S174=0.2,Q174/S174,0),0)</f>
        <v>0</v>
      </c>
      <c r="Z174" s="111">
        <f>ROUND(IF(S174=0.23,Q174/S174,0),0)</f>
        <v>0</v>
      </c>
      <c r="AA174" s="108">
        <f>((T174*T174)/162)*D174</f>
        <v>0.29629629629629628</v>
      </c>
      <c r="AB174" s="109">
        <f>AA174*R174*(U174+V174+W174+X174+Y174+Z174)*D174</f>
        <v>30.668888888888887</v>
      </c>
      <c r="AC174" s="108">
        <f t="shared" ref="AC174:AC176" si="138">(IF(J174=8,P174,0))+((IF(T174=8,AB174,0)))</f>
        <v>30.668888888888887</v>
      </c>
      <c r="AD174" s="108">
        <f t="shared" ref="AD174:AD176" si="139">(IF(J174=10,P174,0))+((IF(T174=10,AB174,0)))</f>
        <v>0</v>
      </c>
      <c r="AE174" s="108">
        <f t="shared" ref="AE174:AE176" si="140">IF(J174=12,P174,0)</f>
        <v>0</v>
      </c>
      <c r="AF174" s="108">
        <f t="shared" ref="AF174:AF176" si="141">IF(J174=16,P174,0)</f>
        <v>0</v>
      </c>
      <c r="AG174" s="108">
        <f t="shared" ref="AG174:AG176" si="142">IF(J174=20,P174,0)</f>
        <v>49.111111111111114</v>
      </c>
      <c r="AH174" s="108">
        <f t="shared" ref="AH174:AH176" si="143">IF(J174=25,P174,0)</f>
        <v>0</v>
      </c>
      <c r="AI174" s="108">
        <f t="shared" ref="AI174:AI176" si="144">IF(J174=32,P174,0)</f>
        <v>0</v>
      </c>
    </row>
    <row r="175" spans="1:35" x14ac:dyDescent="0.3">
      <c r="A175" s="104"/>
      <c r="B175" s="105"/>
      <c r="C175" s="105"/>
      <c r="D175" s="104">
        <v>1</v>
      </c>
      <c r="E175" s="105"/>
      <c r="F175" s="105"/>
      <c r="G175" s="105"/>
      <c r="H175" s="103"/>
      <c r="I175" s="105" t="s">
        <v>128</v>
      </c>
      <c r="J175" s="105">
        <v>12</v>
      </c>
      <c r="K175" s="105">
        <v>3</v>
      </c>
      <c r="L175" s="107">
        <f>E174/2</f>
        <v>3.74</v>
      </c>
      <c r="M175" s="107">
        <f>L175+(2*0.38)</f>
        <v>4.5</v>
      </c>
      <c r="N175" s="108">
        <f>J175*J175/162</f>
        <v>0.88888888888888884</v>
      </c>
      <c r="O175" s="108">
        <f t="shared" si="136"/>
        <v>12</v>
      </c>
      <c r="P175" s="109">
        <f t="shared" ref="P175:P176" si="145">O175*D175</f>
        <v>12</v>
      </c>
      <c r="Q175" s="107">
        <f>E174/2</f>
        <v>3.74</v>
      </c>
      <c r="R175" s="107">
        <f>((2*((F174/2)-0.0125))+(2*(G174-0.035))+(2*10*0.008))*2</f>
        <v>3.7299999999999995</v>
      </c>
      <c r="S175" s="107">
        <v>0.15</v>
      </c>
      <c r="T175" s="110">
        <v>8</v>
      </c>
      <c r="U175" s="111">
        <f>ROUND(IF(S175=0.1,Q175/S175,0),0)</f>
        <v>0</v>
      </c>
      <c r="V175" s="111">
        <f>ROUND(IF(S175=0.125,Q175/S175,0),0)</f>
        <v>0</v>
      </c>
      <c r="W175" s="111">
        <f>ROUND(IF(S175=0.15,Q175/S175,0),0)</f>
        <v>25</v>
      </c>
      <c r="X175" s="111">
        <f t="shared" si="137"/>
        <v>0</v>
      </c>
      <c r="Y175" s="111">
        <f>ROUND(IF(S175=0.2,Q175/S175,0),0)</f>
        <v>0</v>
      </c>
      <c r="Z175" s="111">
        <f>ROUND(IF(S175=0.23,Q175/S175,0),0)</f>
        <v>0</v>
      </c>
      <c r="AA175" s="108">
        <f>((T175*T175)/162)*D175</f>
        <v>0.39506172839506171</v>
      </c>
      <c r="AB175" s="109">
        <f>AA175*R175*(U175+V175+W175+X175+Y175+Z175)*D175</f>
        <v>36.839506172839499</v>
      </c>
      <c r="AC175" s="108">
        <f t="shared" si="138"/>
        <v>36.839506172839499</v>
      </c>
      <c r="AD175" s="108">
        <f t="shared" si="139"/>
        <v>0</v>
      </c>
      <c r="AE175" s="108">
        <f t="shared" si="140"/>
        <v>12</v>
      </c>
      <c r="AF175" s="108">
        <f t="shared" si="141"/>
        <v>0</v>
      </c>
      <c r="AG175" s="108">
        <f t="shared" si="142"/>
        <v>0</v>
      </c>
      <c r="AH175" s="108">
        <f t="shared" si="143"/>
        <v>0</v>
      </c>
      <c r="AI175" s="108">
        <f t="shared" si="144"/>
        <v>0</v>
      </c>
    </row>
    <row r="176" spans="1:35" x14ac:dyDescent="0.3">
      <c r="A176" s="104"/>
      <c r="B176" s="105"/>
      <c r="C176" s="105"/>
      <c r="D176" s="104">
        <v>1</v>
      </c>
      <c r="E176" s="105"/>
      <c r="F176" s="105"/>
      <c r="G176" s="105"/>
      <c r="H176" s="103"/>
      <c r="I176" s="105"/>
      <c r="J176" s="105">
        <v>20</v>
      </c>
      <c r="K176" s="105">
        <v>8</v>
      </c>
      <c r="L176" s="107">
        <f>(E174/4)+0.6</f>
        <v>2.4700000000000002</v>
      </c>
      <c r="M176" s="107">
        <f>L176+(G174-0.07)</f>
        <v>3.1500000000000004</v>
      </c>
      <c r="N176" s="108">
        <f t="shared" ref="N176" si="146">J176*J176/162</f>
        <v>2.4691358024691357</v>
      </c>
      <c r="O176" s="108">
        <f t="shared" si="136"/>
        <v>62.222222222222229</v>
      </c>
      <c r="P176" s="109">
        <f t="shared" si="145"/>
        <v>62.222222222222229</v>
      </c>
      <c r="Q176" s="108"/>
      <c r="R176" s="108"/>
      <c r="S176" s="108"/>
      <c r="T176" s="110"/>
      <c r="U176" s="111"/>
      <c r="V176" s="111"/>
      <c r="W176" s="111"/>
      <c r="X176" s="111"/>
      <c r="Y176" s="111"/>
      <c r="Z176" s="111"/>
      <c r="AA176" s="108"/>
      <c r="AB176" s="109"/>
      <c r="AC176" s="108">
        <f t="shared" si="138"/>
        <v>0</v>
      </c>
      <c r="AD176" s="108">
        <f t="shared" si="139"/>
        <v>0</v>
      </c>
      <c r="AE176" s="108">
        <f t="shared" si="140"/>
        <v>0</v>
      </c>
      <c r="AF176" s="108">
        <f t="shared" si="141"/>
        <v>0</v>
      </c>
      <c r="AG176" s="108">
        <f t="shared" si="142"/>
        <v>62.222222222222229</v>
      </c>
      <c r="AH176" s="108">
        <f t="shared" si="143"/>
        <v>0</v>
      </c>
      <c r="AI176" s="108">
        <f t="shared" si="144"/>
        <v>0</v>
      </c>
    </row>
    <row r="177" spans="1:35" x14ac:dyDescent="0.3">
      <c r="A177" s="104"/>
      <c r="B177" s="105"/>
      <c r="C177" s="105"/>
      <c r="D177" s="104"/>
      <c r="E177" s="105"/>
      <c r="F177" s="105"/>
      <c r="G177" s="105"/>
      <c r="H177" s="103"/>
      <c r="I177" s="105"/>
      <c r="J177" s="105"/>
      <c r="K177" s="105"/>
      <c r="L177" s="107"/>
      <c r="M177" s="107"/>
      <c r="N177" s="108"/>
      <c r="O177" s="108"/>
      <c r="P177" s="109"/>
      <c r="Q177" s="108"/>
      <c r="R177" s="108"/>
      <c r="S177" s="108"/>
      <c r="T177" s="110"/>
      <c r="U177" s="111"/>
      <c r="V177" s="111"/>
      <c r="W177" s="111"/>
      <c r="X177" s="111"/>
      <c r="Y177" s="111"/>
      <c r="Z177" s="111"/>
      <c r="AA177" s="108"/>
      <c r="AB177" s="109"/>
      <c r="AC177" s="108"/>
      <c r="AD177" s="108"/>
      <c r="AE177" s="108"/>
      <c r="AF177" s="108"/>
      <c r="AG177" s="108"/>
      <c r="AH177" s="108"/>
      <c r="AI177" s="108"/>
    </row>
    <row r="178" spans="1:35" x14ac:dyDescent="0.3">
      <c r="A178" s="104">
        <v>1</v>
      </c>
      <c r="B178" s="659" t="s">
        <v>682</v>
      </c>
      <c r="C178" s="105"/>
      <c r="D178" s="104">
        <v>0.75</v>
      </c>
      <c r="E178" s="105">
        <v>2.36</v>
      </c>
      <c r="F178" s="105">
        <v>0.3</v>
      </c>
      <c r="G178" s="105">
        <v>0.45</v>
      </c>
      <c r="H178" s="106">
        <f>G178*F178*E178*D178</f>
        <v>0.23895</v>
      </c>
      <c r="I178" s="105" t="s">
        <v>127</v>
      </c>
      <c r="J178" s="105">
        <v>20</v>
      </c>
      <c r="K178" s="105">
        <v>3</v>
      </c>
      <c r="L178" s="105">
        <f>E178</f>
        <v>2.36</v>
      </c>
      <c r="M178" s="107">
        <f>L178+(2*(G178-0.07))</f>
        <v>3.12</v>
      </c>
      <c r="N178" s="108">
        <f t="shared" ref="N178" si="147">J178*J178/162</f>
        <v>2.4691358024691357</v>
      </c>
      <c r="O178" s="108">
        <f>M178*K178*N178</f>
        <v>23.111111111111107</v>
      </c>
      <c r="P178" s="109">
        <f>O178*D178</f>
        <v>17.333333333333329</v>
      </c>
      <c r="Q178" s="107">
        <f>E178/2</f>
        <v>1.18</v>
      </c>
      <c r="R178" s="107">
        <f>((2*((F178/2)-0.0125))+(2*(G178-0.035))+(2*10*0.008))*2</f>
        <v>2.5299999999999998</v>
      </c>
      <c r="S178" s="107">
        <v>0.1</v>
      </c>
      <c r="T178" s="110">
        <v>8</v>
      </c>
      <c r="U178" s="111">
        <f>ROUND(IF(S178=0.1,Q178/S178,0),0)</f>
        <v>12</v>
      </c>
      <c r="V178" s="111">
        <f>ROUND(IF(S178=0.125,Q178/S178,0),0)</f>
        <v>0</v>
      </c>
      <c r="W178" s="111">
        <f>ROUND(IF(S178=0.15,Q178/S178,0),0)</f>
        <v>0</v>
      </c>
      <c r="X178" s="111">
        <f t="shared" ref="X178:X179" si="148">ROUND(IF(S178=0.18,Q178/S178,0),0)</f>
        <v>0</v>
      </c>
      <c r="Y178" s="111">
        <f>ROUND(IF(S178=0.2,Q178/S178,0),0)</f>
        <v>0</v>
      </c>
      <c r="Z178" s="111">
        <f>ROUND(IF(S178=0.23,Q178/S178,0),0)</f>
        <v>0</v>
      </c>
      <c r="AA178" s="108">
        <f>((T178*T178)/162)*D178</f>
        <v>0.29629629629629628</v>
      </c>
      <c r="AB178" s="109">
        <f>AA178*R178*(U178+V178+W178+X178+Y178+Z178)*D178</f>
        <v>6.7466666666666661</v>
      </c>
      <c r="AC178" s="108">
        <f>(IF(J178=8,P178,0))+((IF(T178=8,AB178,0)))</f>
        <v>6.7466666666666661</v>
      </c>
      <c r="AD178" s="108">
        <f>(IF(J178=10,P178,0))+((IF(T178=10,AB178,0)))</f>
        <v>0</v>
      </c>
      <c r="AE178" s="108">
        <f>IF(J178=12,P178,0)</f>
        <v>0</v>
      </c>
      <c r="AF178" s="108">
        <f>IF(J178=16,P178,0)</f>
        <v>0</v>
      </c>
      <c r="AG178" s="108">
        <f>IF(J178=20,P178,0)</f>
        <v>17.333333333333329</v>
      </c>
      <c r="AH178" s="108">
        <f>IF(J178=25,P178,0)</f>
        <v>0</v>
      </c>
      <c r="AI178" s="108">
        <f>IF(J178=32,P178,0)</f>
        <v>0</v>
      </c>
    </row>
    <row r="179" spans="1:35" x14ac:dyDescent="0.3">
      <c r="A179" s="104"/>
      <c r="B179" s="105"/>
      <c r="C179" s="105"/>
      <c r="D179" s="104">
        <v>1</v>
      </c>
      <c r="E179" s="105"/>
      <c r="F179" s="105"/>
      <c r="G179" s="105"/>
      <c r="H179" s="103"/>
      <c r="I179" s="105" t="s">
        <v>128</v>
      </c>
      <c r="J179" s="105">
        <v>12</v>
      </c>
      <c r="K179" s="105">
        <v>3</v>
      </c>
      <c r="L179" s="107">
        <f>E178/2</f>
        <v>1.18</v>
      </c>
      <c r="M179" s="107">
        <f>L179+(2*0.38)</f>
        <v>1.94</v>
      </c>
      <c r="N179" s="108">
        <f>J179*J179/162</f>
        <v>0.88888888888888884</v>
      </c>
      <c r="O179" s="108">
        <f>M179*K179*N179</f>
        <v>5.1733333333333329</v>
      </c>
      <c r="P179" s="109">
        <f t="shared" ref="P179:P180" si="149">O179*D179</f>
        <v>5.1733333333333329</v>
      </c>
      <c r="Q179" s="107">
        <f>E178/2</f>
        <v>1.18</v>
      </c>
      <c r="R179" s="107">
        <f>((2*((F178/2)-0.0125))+(2*(G178-0.035))+(2*10*0.008))*2</f>
        <v>2.5299999999999998</v>
      </c>
      <c r="S179" s="107">
        <v>0.15</v>
      </c>
      <c r="T179" s="110">
        <v>8</v>
      </c>
      <c r="U179" s="111">
        <f>ROUND(IF(S179=0.1,Q179/S179,0),0)</f>
        <v>0</v>
      </c>
      <c r="V179" s="111">
        <f>ROUND(IF(S179=0.125,Q179/S179,0),0)</f>
        <v>0</v>
      </c>
      <c r="W179" s="111">
        <f>ROUND(IF(S179=0.15,Q179/S179,0),0)</f>
        <v>8</v>
      </c>
      <c r="X179" s="111">
        <f t="shared" si="148"/>
        <v>0</v>
      </c>
      <c r="Y179" s="111">
        <f>ROUND(IF(S179=0.2,Q179/S179,0),0)</f>
        <v>0</v>
      </c>
      <c r="Z179" s="111">
        <f>ROUND(IF(S179=0.23,Q179/S179,0),0)</f>
        <v>0</v>
      </c>
      <c r="AA179" s="108">
        <f>((T179*T179)/162)*D179</f>
        <v>0.39506172839506171</v>
      </c>
      <c r="AB179" s="109">
        <f>AA179*R179*(U179+V179+W179+X179+Y179+Z179)*D179</f>
        <v>7.9960493827160484</v>
      </c>
      <c r="AC179" s="108">
        <f>(IF(J179=8,P179,0))+((IF(T179=8,AB179,0)))</f>
        <v>7.9960493827160484</v>
      </c>
      <c r="AD179" s="108">
        <f>(IF(J179=10,P179,0))+((IF(T179=10,AB179,0)))</f>
        <v>0</v>
      </c>
      <c r="AE179" s="108">
        <f>IF(J179=12,P179,0)</f>
        <v>5.1733333333333329</v>
      </c>
      <c r="AF179" s="108">
        <f>IF(J179=16,P179,0)</f>
        <v>0</v>
      </c>
      <c r="AG179" s="108">
        <f>IF(J179=20,P179,0)</f>
        <v>0</v>
      </c>
      <c r="AH179" s="108">
        <f>IF(J179=25,P179,0)</f>
        <v>0</v>
      </c>
      <c r="AI179" s="108">
        <f>IF(J179=32,P179,0)</f>
        <v>0</v>
      </c>
    </row>
    <row r="180" spans="1:35" x14ac:dyDescent="0.3">
      <c r="A180" s="104"/>
      <c r="B180" s="105"/>
      <c r="C180" s="105"/>
      <c r="D180" s="104">
        <v>1</v>
      </c>
      <c r="E180" s="105"/>
      <c r="F180" s="105"/>
      <c r="G180" s="105"/>
      <c r="H180" s="103"/>
      <c r="I180" s="105"/>
      <c r="J180" s="105">
        <v>20</v>
      </c>
      <c r="K180" s="105">
        <v>8</v>
      </c>
      <c r="L180" s="107">
        <f>(E178/4)+0.6</f>
        <v>1.19</v>
      </c>
      <c r="M180" s="107">
        <f>L180+(G178-0.07)</f>
        <v>1.5699999999999998</v>
      </c>
      <c r="N180" s="108">
        <f t="shared" ref="N180" si="150">J180*J180/162</f>
        <v>2.4691358024691357</v>
      </c>
      <c r="O180" s="108">
        <f>M180*K180*N180</f>
        <v>31.012345679012341</v>
      </c>
      <c r="P180" s="109">
        <f t="shared" si="149"/>
        <v>31.012345679012341</v>
      </c>
      <c r="Q180" s="108"/>
      <c r="R180" s="108"/>
      <c r="S180" s="108"/>
      <c r="T180" s="110"/>
      <c r="U180" s="111"/>
      <c r="V180" s="111"/>
      <c r="W180" s="111"/>
      <c r="X180" s="111"/>
      <c r="Y180" s="111"/>
      <c r="Z180" s="111"/>
      <c r="AA180" s="108"/>
      <c r="AB180" s="109"/>
      <c r="AC180" s="108">
        <f>(IF(J180=8,P180,0))+((IF(T180=8,AB180,0)))</f>
        <v>0</v>
      </c>
      <c r="AD180" s="108">
        <f>(IF(J180=10,P180,0))+((IF(T180=10,AB180,0)))</f>
        <v>0</v>
      </c>
      <c r="AE180" s="108">
        <f>IF(J180=12,P180,0)</f>
        <v>0</v>
      </c>
      <c r="AF180" s="108">
        <f>IF(J180=16,P180,0)</f>
        <v>0</v>
      </c>
      <c r="AG180" s="108">
        <f>IF(J180=20,P180,0)</f>
        <v>31.012345679012341</v>
      </c>
      <c r="AH180" s="108">
        <f>IF(J180=25,P180,0)</f>
        <v>0</v>
      </c>
      <c r="AI180" s="108">
        <f>IF(J180=32,P180,0)</f>
        <v>0</v>
      </c>
    </row>
    <row r="182" spans="1:35" x14ac:dyDescent="0.3">
      <c r="A182" s="104">
        <v>1</v>
      </c>
      <c r="B182" s="659" t="s">
        <v>683</v>
      </c>
      <c r="C182" s="105"/>
      <c r="D182" s="104">
        <v>0.75</v>
      </c>
      <c r="E182" s="105">
        <v>2.36</v>
      </c>
      <c r="F182" s="105">
        <v>0.3</v>
      </c>
      <c r="G182" s="105">
        <v>0.45</v>
      </c>
      <c r="H182" s="106">
        <f>G182*F182*E182*D182</f>
        <v>0.23895</v>
      </c>
      <c r="I182" s="105" t="s">
        <v>127</v>
      </c>
      <c r="J182" s="105">
        <v>20</v>
      </c>
      <c r="K182" s="105">
        <v>3</v>
      </c>
      <c r="L182" s="105">
        <f>E182</f>
        <v>2.36</v>
      </c>
      <c r="M182" s="107">
        <f>L182+(2*(G182-0.07))</f>
        <v>3.12</v>
      </c>
      <c r="N182" s="108">
        <f t="shared" ref="N182" si="151">J182*J182/162</f>
        <v>2.4691358024691357</v>
      </c>
      <c r="O182" s="108">
        <f t="shared" ref="O182:O184" si="152">M182*K182*N182</f>
        <v>23.111111111111107</v>
      </c>
      <c r="P182" s="109">
        <f>O182*D182</f>
        <v>17.333333333333329</v>
      </c>
      <c r="Q182" s="107">
        <f>E182/2</f>
        <v>1.18</v>
      </c>
      <c r="R182" s="107">
        <f>((2*((F182/2)-0.0125))+(2*(G182-0.035))+(2*10*0.008))*2</f>
        <v>2.5299999999999998</v>
      </c>
      <c r="S182" s="107">
        <v>0.1</v>
      </c>
      <c r="T182" s="110">
        <v>8</v>
      </c>
      <c r="U182" s="111">
        <f>ROUND(IF(S182=0.1,Q182/S182,0),0)</f>
        <v>12</v>
      </c>
      <c r="V182" s="111">
        <f>ROUND(IF(S182=0.125,Q182/S182,0),0)</f>
        <v>0</v>
      </c>
      <c r="W182" s="111">
        <f>ROUND(IF(S182=0.15,Q182/S182,0),0)</f>
        <v>0</v>
      </c>
      <c r="X182" s="111">
        <f t="shared" ref="X182:X183" si="153">ROUND(IF(S182=0.18,Q182/S182,0),0)</f>
        <v>0</v>
      </c>
      <c r="Y182" s="111">
        <f>ROUND(IF(S182=0.2,Q182/S182,0),0)</f>
        <v>0</v>
      </c>
      <c r="Z182" s="111">
        <f>ROUND(IF(S182=0.23,Q182/S182,0),0)</f>
        <v>0</v>
      </c>
      <c r="AA182" s="108">
        <f>((T182*T182)/162)*D182</f>
        <v>0.29629629629629628</v>
      </c>
      <c r="AB182" s="109">
        <f>AA182*R182*(U182+V182+W182+X182+Y182+Z182)*D182</f>
        <v>6.7466666666666661</v>
      </c>
      <c r="AC182" s="108">
        <f t="shared" ref="AC182:AC184" si="154">(IF(J182=8,P182,0))+((IF(T182=8,AB182,0)))</f>
        <v>6.7466666666666661</v>
      </c>
      <c r="AD182" s="108">
        <f t="shared" ref="AD182:AD184" si="155">(IF(J182=10,P182,0))+((IF(T182=10,AB182,0)))</f>
        <v>0</v>
      </c>
      <c r="AE182" s="108">
        <f t="shared" ref="AE182:AE184" si="156">IF(J182=12,P182,0)</f>
        <v>0</v>
      </c>
      <c r="AF182" s="108">
        <f t="shared" ref="AF182:AF184" si="157">IF(J182=16,P182,0)</f>
        <v>0</v>
      </c>
      <c r="AG182" s="108">
        <f t="shared" ref="AG182:AG184" si="158">IF(J182=20,P182,0)</f>
        <v>17.333333333333329</v>
      </c>
      <c r="AH182" s="108">
        <f t="shared" ref="AH182:AH184" si="159">IF(J182=25,P182,0)</f>
        <v>0</v>
      </c>
      <c r="AI182" s="108">
        <f t="shared" ref="AI182:AI184" si="160">IF(J182=32,P182,0)</f>
        <v>0</v>
      </c>
    </row>
    <row r="183" spans="1:35" x14ac:dyDescent="0.3">
      <c r="A183" s="104"/>
      <c r="B183" s="105"/>
      <c r="C183" s="105"/>
      <c r="D183" s="104">
        <v>1</v>
      </c>
      <c r="E183" s="105"/>
      <c r="F183" s="105"/>
      <c r="G183" s="105"/>
      <c r="H183" s="103"/>
      <c r="I183" s="105" t="s">
        <v>128</v>
      </c>
      <c r="J183" s="105">
        <v>12</v>
      </c>
      <c r="K183" s="105">
        <v>3</v>
      </c>
      <c r="L183" s="107">
        <f>E182/2</f>
        <v>1.18</v>
      </c>
      <c r="M183" s="107">
        <f>L183+(2*0.38)</f>
        <v>1.94</v>
      </c>
      <c r="N183" s="108">
        <f>J183*J183/162</f>
        <v>0.88888888888888884</v>
      </c>
      <c r="O183" s="108">
        <f t="shared" si="152"/>
        <v>5.1733333333333329</v>
      </c>
      <c r="P183" s="109">
        <f t="shared" ref="P183:P184" si="161">O183*D183</f>
        <v>5.1733333333333329</v>
      </c>
      <c r="Q183" s="107">
        <f>E182/2</f>
        <v>1.18</v>
      </c>
      <c r="R183" s="107">
        <f>((2*((F182/2)-0.0125))+(2*(G182-0.035))+(2*10*0.008))*2</f>
        <v>2.5299999999999998</v>
      </c>
      <c r="S183" s="107">
        <v>0.15</v>
      </c>
      <c r="T183" s="110">
        <v>8</v>
      </c>
      <c r="U183" s="111">
        <f>ROUND(IF(S183=0.1,Q183/S183,0),0)</f>
        <v>0</v>
      </c>
      <c r="V183" s="111">
        <f>ROUND(IF(S183=0.125,Q183/S183,0),0)</f>
        <v>0</v>
      </c>
      <c r="W183" s="111">
        <f>ROUND(IF(S183=0.15,Q183/S183,0),0)</f>
        <v>8</v>
      </c>
      <c r="X183" s="111">
        <f t="shared" si="153"/>
        <v>0</v>
      </c>
      <c r="Y183" s="111">
        <f>ROUND(IF(S183=0.2,Q183/S183,0),0)</f>
        <v>0</v>
      </c>
      <c r="Z183" s="111">
        <f>ROUND(IF(S183=0.23,Q183/S183,0),0)</f>
        <v>0</v>
      </c>
      <c r="AA183" s="108">
        <f>((T183*T183)/162)*D183</f>
        <v>0.39506172839506171</v>
      </c>
      <c r="AB183" s="109">
        <f>AA183*R183*(U183+V183+W183+X183+Y183+Z183)*D183</f>
        <v>7.9960493827160484</v>
      </c>
      <c r="AC183" s="108">
        <f t="shared" si="154"/>
        <v>7.9960493827160484</v>
      </c>
      <c r="AD183" s="108">
        <f t="shared" si="155"/>
        <v>0</v>
      </c>
      <c r="AE183" s="108">
        <f t="shared" si="156"/>
        <v>5.1733333333333329</v>
      </c>
      <c r="AF183" s="108">
        <f t="shared" si="157"/>
        <v>0</v>
      </c>
      <c r="AG183" s="108">
        <f t="shared" si="158"/>
        <v>0</v>
      </c>
      <c r="AH183" s="108">
        <f t="shared" si="159"/>
        <v>0</v>
      </c>
      <c r="AI183" s="108">
        <f t="shared" si="160"/>
        <v>0</v>
      </c>
    </row>
    <row r="184" spans="1:35" x14ac:dyDescent="0.3">
      <c r="A184" s="104"/>
      <c r="B184" s="105"/>
      <c r="C184" s="105"/>
      <c r="D184" s="104">
        <v>1</v>
      </c>
      <c r="E184" s="105"/>
      <c r="F184" s="105"/>
      <c r="G184" s="105"/>
      <c r="H184" s="103"/>
      <c r="I184" s="105"/>
      <c r="J184" s="105">
        <v>20</v>
      </c>
      <c r="K184" s="105">
        <v>8</v>
      </c>
      <c r="L184" s="107">
        <f>(E182/4)+0.6</f>
        <v>1.19</v>
      </c>
      <c r="M184" s="107">
        <f>L184+(G182-0.07)</f>
        <v>1.5699999999999998</v>
      </c>
      <c r="N184" s="108">
        <f t="shared" ref="N184" si="162">J184*J184/162</f>
        <v>2.4691358024691357</v>
      </c>
      <c r="O184" s="108">
        <f t="shared" si="152"/>
        <v>31.012345679012341</v>
      </c>
      <c r="P184" s="109">
        <f t="shared" si="161"/>
        <v>31.012345679012341</v>
      </c>
      <c r="Q184" s="108"/>
      <c r="R184" s="108"/>
      <c r="S184" s="108"/>
      <c r="T184" s="110"/>
      <c r="U184" s="111"/>
      <c r="V184" s="111"/>
      <c r="W184" s="111"/>
      <c r="X184" s="111"/>
      <c r="Y184" s="111"/>
      <c r="Z184" s="111"/>
      <c r="AA184" s="108"/>
      <c r="AB184" s="109"/>
      <c r="AC184" s="108">
        <f t="shared" si="154"/>
        <v>0</v>
      </c>
      <c r="AD184" s="108">
        <f t="shared" si="155"/>
        <v>0</v>
      </c>
      <c r="AE184" s="108">
        <f t="shared" si="156"/>
        <v>0</v>
      </c>
      <c r="AF184" s="108">
        <f t="shared" si="157"/>
        <v>0</v>
      </c>
      <c r="AG184" s="108">
        <f t="shared" si="158"/>
        <v>31.012345679012341</v>
      </c>
      <c r="AH184" s="108">
        <f t="shared" si="159"/>
        <v>0</v>
      </c>
      <c r="AI184" s="108">
        <f t="shared" si="160"/>
        <v>0</v>
      </c>
    </row>
    <row r="185" spans="1:35" x14ac:dyDescent="0.3">
      <c r="A185" s="104"/>
      <c r="B185" s="105"/>
      <c r="C185" s="105"/>
      <c r="D185" s="104"/>
      <c r="E185" s="105"/>
      <c r="F185" s="105"/>
      <c r="G185" s="105"/>
      <c r="H185" s="103"/>
      <c r="I185" s="105"/>
      <c r="J185" s="105"/>
      <c r="K185" s="105"/>
      <c r="L185" s="107"/>
      <c r="M185" s="107"/>
      <c r="N185" s="108"/>
      <c r="O185" s="108"/>
      <c r="P185" s="109"/>
      <c r="Q185" s="108"/>
      <c r="R185" s="108"/>
      <c r="S185" s="108"/>
      <c r="T185" s="110"/>
      <c r="U185" s="111"/>
      <c r="V185" s="111"/>
      <c r="W185" s="111"/>
      <c r="X185" s="111"/>
      <c r="Y185" s="111"/>
      <c r="Z185" s="111"/>
      <c r="AA185" s="108"/>
      <c r="AB185" s="109"/>
      <c r="AC185" s="108"/>
      <c r="AD185" s="108"/>
      <c r="AE185" s="108"/>
      <c r="AF185" s="108"/>
      <c r="AG185" s="108"/>
      <c r="AH185" s="108"/>
      <c r="AI185" s="108"/>
    </row>
    <row r="186" spans="1:35" x14ac:dyDescent="0.3">
      <c r="A186" s="104">
        <v>1</v>
      </c>
      <c r="B186" s="659" t="s">
        <v>684</v>
      </c>
      <c r="C186" s="105"/>
      <c r="D186" s="104">
        <v>0.75</v>
      </c>
      <c r="E186" s="105">
        <v>5.76</v>
      </c>
      <c r="F186" s="105">
        <v>0.4</v>
      </c>
      <c r="G186" s="105">
        <v>0.6</v>
      </c>
      <c r="H186" s="106">
        <f>G186*F186*E186*D186</f>
        <v>1.0367999999999999</v>
      </c>
      <c r="I186" s="105" t="s">
        <v>127</v>
      </c>
      <c r="J186" s="105">
        <v>20</v>
      </c>
      <c r="K186" s="105">
        <v>3</v>
      </c>
      <c r="L186" s="105">
        <f>E186</f>
        <v>5.76</v>
      </c>
      <c r="M186" s="107">
        <f>L186+(2*(G186-0.07))</f>
        <v>6.82</v>
      </c>
      <c r="N186" s="108">
        <f t="shared" ref="N186" si="163">J186*J186/162</f>
        <v>2.4691358024691357</v>
      </c>
      <c r="O186" s="108">
        <f t="shared" ref="O186:O188" si="164">M186*K186*N186</f>
        <v>50.518518518518519</v>
      </c>
      <c r="P186" s="109">
        <f>O186*D186</f>
        <v>37.888888888888886</v>
      </c>
      <c r="Q186" s="107">
        <f>E186/2</f>
        <v>2.88</v>
      </c>
      <c r="R186" s="107">
        <f>((2*((F186/2)-0.0125))+(2*(G186-0.035))+(2*10*0.008))*2</f>
        <v>3.3299999999999996</v>
      </c>
      <c r="S186" s="107">
        <v>0.1</v>
      </c>
      <c r="T186" s="110">
        <v>8</v>
      </c>
      <c r="U186" s="111">
        <f>ROUND(IF(S186=0.1,Q186/S186,0),0)</f>
        <v>29</v>
      </c>
      <c r="V186" s="111">
        <f>ROUND(IF(S186=0.125,Q186/S186,0),0)</f>
        <v>0</v>
      </c>
      <c r="W186" s="111">
        <f>ROUND(IF(S186=0.15,Q186/S186,0),0)</f>
        <v>0</v>
      </c>
      <c r="X186" s="111">
        <f t="shared" ref="X186:X187" si="165">ROUND(IF(S186=0.18,Q186/S186,0),0)</f>
        <v>0</v>
      </c>
      <c r="Y186" s="111">
        <f>ROUND(IF(S186=0.2,Q186/S186,0),0)</f>
        <v>0</v>
      </c>
      <c r="Z186" s="111">
        <f>ROUND(IF(S186=0.23,Q186/S186,0),0)</f>
        <v>0</v>
      </c>
      <c r="AA186" s="108">
        <f>((T186*T186)/162)*D186</f>
        <v>0.29629629629629628</v>
      </c>
      <c r="AB186" s="109">
        <f>AA186*R186*(U186+V186+W186+X186+Y186+Z186)*D186</f>
        <v>21.459999999999994</v>
      </c>
      <c r="AC186" s="108">
        <f t="shared" ref="AC186:AC188" si="166">(IF(J186=8,P186,0))+((IF(T186=8,AB186,0)))</f>
        <v>21.459999999999994</v>
      </c>
      <c r="AD186" s="108">
        <f t="shared" ref="AD186:AD188" si="167">(IF(J186=10,P186,0))+((IF(T186=10,AB186,0)))</f>
        <v>0</v>
      </c>
      <c r="AE186" s="108">
        <f t="shared" ref="AE186:AE188" si="168">IF(J186=12,P186,0)</f>
        <v>0</v>
      </c>
      <c r="AF186" s="108">
        <f t="shared" ref="AF186:AF188" si="169">IF(J186=16,P186,0)</f>
        <v>0</v>
      </c>
      <c r="AG186" s="108">
        <f t="shared" ref="AG186:AG188" si="170">IF(J186=20,P186,0)</f>
        <v>37.888888888888886</v>
      </c>
      <c r="AH186" s="108">
        <f t="shared" ref="AH186:AH188" si="171">IF(J186=25,P186,0)</f>
        <v>0</v>
      </c>
      <c r="AI186" s="108">
        <f t="shared" ref="AI186:AI188" si="172">IF(J186=32,P186,0)</f>
        <v>0</v>
      </c>
    </row>
    <row r="187" spans="1:35" x14ac:dyDescent="0.3">
      <c r="A187" s="104"/>
      <c r="B187" s="105"/>
      <c r="C187" s="105"/>
      <c r="D187" s="104">
        <v>1</v>
      </c>
      <c r="E187" s="105"/>
      <c r="F187" s="105"/>
      <c r="G187" s="105"/>
      <c r="H187" s="103"/>
      <c r="I187" s="105" t="s">
        <v>128</v>
      </c>
      <c r="J187" s="105">
        <v>12</v>
      </c>
      <c r="K187" s="105">
        <v>3</v>
      </c>
      <c r="L187" s="107">
        <f>E186/2</f>
        <v>2.88</v>
      </c>
      <c r="M187" s="107">
        <f>L187+(2*0.38)</f>
        <v>3.6399999999999997</v>
      </c>
      <c r="N187" s="108">
        <f>J187*J187/162</f>
        <v>0.88888888888888884</v>
      </c>
      <c r="O187" s="108">
        <f t="shared" si="164"/>
        <v>9.7066666666666652</v>
      </c>
      <c r="P187" s="109">
        <f t="shared" ref="P187:P188" si="173">O187*D187</f>
        <v>9.7066666666666652</v>
      </c>
      <c r="Q187" s="107">
        <f>E186/2</f>
        <v>2.88</v>
      </c>
      <c r="R187" s="107">
        <f>((2*((F186/2)-0.0125))+(2*(G186-0.035))+(2*10*0.008))*2</f>
        <v>3.3299999999999996</v>
      </c>
      <c r="S187" s="107">
        <v>0.15</v>
      </c>
      <c r="T187" s="110">
        <v>8</v>
      </c>
      <c r="U187" s="111">
        <f>ROUND(IF(S187=0.1,Q187/S187,0),0)</f>
        <v>0</v>
      </c>
      <c r="V187" s="111">
        <f>ROUND(IF(S187=0.125,Q187/S187,0),0)</f>
        <v>0</v>
      </c>
      <c r="W187" s="111">
        <f>ROUND(IF(S187=0.15,Q187/S187,0),0)</f>
        <v>19</v>
      </c>
      <c r="X187" s="111">
        <f t="shared" si="165"/>
        <v>0</v>
      </c>
      <c r="Y187" s="111">
        <f>ROUND(IF(S187=0.2,Q187/S187,0),0)</f>
        <v>0</v>
      </c>
      <c r="Z187" s="111">
        <f>ROUND(IF(S187=0.23,Q187/S187,0),0)</f>
        <v>0</v>
      </c>
      <c r="AA187" s="108">
        <f>((T187*T187)/162)*D187</f>
        <v>0.39506172839506171</v>
      </c>
      <c r="AB187" s="109">
        <f>AA187*R187*(U187+V187+W187+X187+Y187+Z187)*D187</f>
        <v>24.995555555555551</v>
      </c>
      <c r="AC187" s="108">
        <f t="shared" si="166"/>
        <v>24.995555555555551</v>
      </c>
      <c r="AD187" s="108">
        <f t="shared" si="167"/>
        <v>0</v>
      </c>
      <c r="AE187" s="108">
        <f t="shared" si="168"/>
        <v>9.7066666666666652</v>
      </c>
      <c r="AF187" s="108">
        <f t="shared" si="169"/>
        <v>0</v>
      </c>
      <c r="AG187" s="108">
        <f t="shared" si="170"/>
        <v>0</v>
      </c>
      <c r="AH187" s="108">
        <f t="shared" si="171"/>
        <v>0</v>
      </c>
      <c r="AI187" s="108">
        <f t="shared" si="172"/>
        <v>0</v>
      </c>
    </row>
    <row r="188" spans="1:35" x14ac:dyDescent="0.3">
      <c r="A188" s="104"/>
      <c r="B188" s="105"/>
      <c r="C188" s="105"/>
      <c r="D188" s="104">
        <v>1</v>
      </c>
      <c r="E188" s="105"/>
      <c r="F188" s="105"/>
      <c r="G188" s="105"/>
      <c r="H188" s="103"/>
      <c r="I188" s="105"/>
      <c r="J188" s="105">
        <v>20</v>
      </c>
      <c r="K188" s="105">
        <v>8</v>
      </c>
      <c r="L188" s="107">
        <f>(E186/4)+0.6</f>
        <v>2.04</v>
      </c>
      <c r="M188" s="107">
        <f>L188+(G186-0.07)</f>
        <v>2.5700000000000003</v>
      </c>
      <c r="N188" s="108">
        <f t="shared" ref="N188" si="174">J188*J188/162</f>
        <v>2.4691358024691357</v>
      </c>
      <c r="O188" s="108">
        <f t="shared" si="164"/>
        <v>50.765432098765437</v>
      </c>
      <c r="P188" s="109">
        <f t="shared" si="173"/>
        <v>50.765432098765437</v>
      </c>
      <c r="Q188" s="108"/>
      <c r="R188" s="108"/>
      <c r="S188" s="108"/>
      <c r="T188" s="110"/>
      <c r="U188" s="111"/>
      <c r="V188" s="111"/>
      <c r="W188" s="111"/>
      <c r="X188" s="111"/>
      <c r="Y188" s="111"/>
      <c r="Z188" s="111"/>
      <c r="AA188" s="108"/>
      <c r="AB188" s="109"/>
      <c r="AC188" s="108">
        <f t="shared" si="166"/>
        <v>0</v>
      </c>
      <c r="AD188" s="108">
        <f t="shared" si="167"/>
        <v>0</v>
      </c>
      <c r="AE188" s="108">
        <f t="shared" si="168"/>
        <v>0</v>
      </c>
      <c r="AF188" s="108">
        <f t="shared" si="169"/>
        <v>0</v>
      </c>
      <c r="AG188" s="108">
        <f t="shared" si="170"/>
        <v>50.765432098765437</v>
      </c>
      <c r="AH188" s="108">
        <f t="shared" si="171"/>
        <v>0</v>
      </c>
      <c r="AI188" s="108">
        <f t="shared" si="172"/>
        <v>0</v>
      </c>
    </row>
    <row r="189" spans="1:35" x14ac:dyDescent="0.3">
      <c r="A189" s="104"/>
      <c r="B189" s="105"/>
      <c r="C189" s="105"/>
      <c r="D189" s="104"/>
      <c r="E189" s="105"/>
      <c r="F189" s="105"/>
      <c r="G189" s="105"/>
      <c r="H189" s="103"/>
      <c r="I189" s="105"/>
      <c r="J189" s="105"/>
      <c r="K189" s="105"/>
      <c r="L189" s="107"/>
      <c r="M189" s="107"/>
      <c r="N189" s="108"/>
      <c r="O189" s="108"/>
      <c r="P189" s="109"/>
      <c r="Q189" s="108"/>
      <c r="R189" s="108"/>
      <c r="S189" s="108"/>
      <c r="T189" s="110"/>
      <c r="U189" s="111"/>
      <c r="V189" s="111"/>
      <c r="W189" s="111"/>
      <c r="X189" s="111"/>
      <c r="Y189" s="111"/>
      <c r="Z189" s="111"/>
      <c r="AA189" s="108"/>
      <c r="AB189" s="109"/>
      <c r="AC189" s="108"/>
      <c r="AD189" s="108"/>
      <c r="AE189" s="108"/>
      <c r="AF189" s="108"/>
      <c r="AG189" s="108"/>
      <c r="AH189" s="108"/>
      <c r="AI189" s="108"/>
    </row>
    <row r="190" spans="1:35" x14ac:dyDescent="0.3">
      <c r="A190" s="104"/>
      <c r="B190" s="105"/>
      <c r="C190" s="105"/>
      <c r="D190" s="104"/>
      <c r="E190" s="105"/>
      <c r="F190" s="105"/>
      <c r="G190" s="105"/>
      <c r="H190" s="103"/>
      <c r="I190" s="105"/>
      <c r="J190" s="105"/>
      <c r="K190" s="105"/>
      <c r="L190" s="107"/>
      <c r="M190" s="107"/>
      <c r="N190" s="108"/>
      <c r="O190" s="108"/>
      <c r="P190" s="109"/>
      <c r="Q190" s="108"/>
      <c r="R190" s="108"/>
      <c r="S190" s="108"/>
      <c r="T190" s="110"/>
      <c r="U190" s="111"/>
      <c r="V190" s="111"/>
      <c r="W190" s="111"/>
      <c r="X190" s="111"/>
      <c r="Y190" s="111"/>
      <c r="Z190" s="111"/>
      <c r="AA190" s="108"/>
      <c r="AB190" s="109"/>
      <c r="AC190" s="108"/>
      <c r="AD190" s="108"/>
      <c r="AE190" s="108"/>
      <c r="AF190" s="108"/>
      <c r="AG190" s="108"/>
      <c r="AH190" s="108"/>
      <c r="AI190" s="108"/>
    </row>
    <row r="191" spans="1:35" x14ac:dyDescent="0.3">
      <c r="A191" s="104"/>
      <c r="B191" s="105"/>
      <c r="C191" s="105"/>
      <c r="D191" s="104"/>
      <c r="E191" s="105"/>
      <c r="F191" s="105"/>
      <c r="G191" s="105"/>
      <c r="H191" s="660">
        <f>SUM(H10:H189)</f>
        <v>43.828678124999996</v>
      </c>
      <c r="I191" s="105"/>
      <c r="J191" s="105"/>
      <c r="K191" s="105"/>
      <c r="L191" s="107"/>
      <c r="M191" s="107"/>
      <c r="N191" s="105"/>
      <c r="O191" s="113"/>
      <c r="P191" s="109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</row>
    <row r="192" spans="1:35" x14ac:dyDescent="0.3">
      <c r="A192" s="98">
        <f>SUM(A9:A191)</f>
        <v>39</v>
      </c>
    </row>
    <row r="194" spans="1:77" x14ac:dyDescent="0.3">
      <c r="H194">
        <v>49.92</v>
      </c>
      <c r="P194" s="122">
        <f>SUM(P9:P193)</f>
        <v>6233.1990956790114</v>
      </c>
      <c r="AB194" s="122">
        <f t="shared" ref="AB194:AI194" si="175">SUM(AB9:AB193)</f>
        <v>1774.2692283950614</v>
      </c>
      <c r="AC194" s="122">
        <f t="shared" si="175"/>
        <v>1264.3101234567905</v>
      </c>
      <c r="AD194" s="122">
        <f t="shared" si="175"/>
        <v>509.95910493827165</v>
      </c>
      <c r="AE194" s="122">
        <f>SUM(AE9:AE193)</f>
        <v>50.106666666666662</v>
      </c>
      <c r="AF194" s="122">
        <f t="shared" si="175"/>
        <v>1083.6736790123457</v>
      </c>
      <c r="AG194" s="122">
        <f t="shared" si="175"/>
        <v>536.24938271604935</v>
      </c>
      <c r="AH194" s="122">
        <f t="shared" si="175"/>
        <v>4474.0104166666661</v>
      </c>
      <c r="AI194" s="122">
        <f t="shared" si="175"/>
        <v>0</v>
      </c>
    </row>
    <row r="195" spans="1:77" x14ac:dyDescent="0.3">
      <c r="H195" s="666">
        <f>H194+H191</f>
        <v>93.748678124999998</v>
      </c>
      <c r="AC195" s="123">
        <f>AC194/1000</f>
        <v>1.2643101234567906</v>
      </c>
      <c r="AD195" s="123">
        <f>AD194/1000</f>
        <v>0.50995910493827168</v>
      </c>
      <c r="AE195" s="124">
        <f>AE194/1000</f>
        <v>5.010666666666666E-2</v>
      </c>
      <c r="AF195" s="123">
        <f>AF194/1000</f>
        <v>1.0836736790123458</v>
      </c>
      <c r="AG195" s="123">
        <f>AG194/1000</f>
        <v>0.53624938271604938</v>
      </c>
      <c r="AH195" s="123">
        <f t="shared" ref="AH195:AI195" si="176">AH194/1000</f>
        <v>4.4740104166666663</v>
      </c>
      <c r="AI195" s="123">
        <f t="shared" si="176"/>
        <v>0</v>
      </c>
      <c r="AJ195" s="123">
        <f>SUM(AC195:AI195)</f>
        <v>7.9183093734567898</v>
      </c>
    </row>
    <row r="196" spans="1:77" s="126" customFormat="1" x14ac:dyDescent="0.3">
      <c r="A196" s="125" t="s">
        <v>164</v>
      </c>
      <c r="C196" s="127"/>
      <c r="D196" s="128"/>
      <c r="E196" s="128"/>
      <c r="F196" s="128"/>
      <c r="G196" s="128"/>
      <c r="M196" s="129"/>
      <c r="U196" s="129"/>
      <c r="AC196" s="129"/>
      <c r="AK196" s="129"/>
      <c r="AO196" s="130"/>
      <c r="AY196" s="131"/>
    </row>
    <row r="197" spans="1:77" s="126" customFormat="1" x14ac:dyDescent="0.3">
      <c r="A197" s="125" t="s">
        <v>165</v>
      </c>
      <c r="C197" s="127"/>
      <c r="D197" s="128"/>
      <c r="E197" s="128"/>
      <c r="F197" s="128"/>
      <c r="G197" s="128"/>
      <c r="M197" s="129"/>
      <c r="U197" s="129"/>
      <c r="AC197" s="129"/>
      <c r="AK197" s="129"/>
      <c r="AO197" s="130"/>
      <c r="AY197" s="131"/>
    </row>
    <row r="198" spans="1:77" s="126" customFormat="1" x14ac:dyDescent="0.3">
      <c r="A198" s="125" t="s">
        <v>166</v>
      </c>
      <c r="C198" s="127"/>
      <c r="D198" s="128"/>
      <c r="E198" s="128"/>
      <c r="F198" s="128"/>
      <c r="G198" s="128"/>
      <c r="M198" s="129"/>
      <c r="U198" s="129"/>
      <c r="AC198" s="129"/>
      <c r="AK198" s="129"/>
      <c r="AO198" s="130"/>
      <c r="AY198" s="131"/>
    </row>
    <row r="199" spans="1:77" s="126" customFormat="1" x14ac:dyDescent="0.3">
      <c r="A199" s="132" t="s">
        <v>167</v>
      </c>
      <c r="C199" s="127"/>
      <c r="D199" s="128"/>
      <c r="E199" s="128"/>
      <c r="F199" s="128"/>
      <c r="G199" s="128"/>
      <c r="M199" s="129"/>
      <c r="U199" s="129"/>
      <c r="AC199" s="129"/>
      <c r="AK199" s="129"/>
      <c r="AO199" s="130"/>
      <c r="AY199" s="131"/>
    </row>
    <row r="200" spans="1:77" s="126" customFormat="1" x14ac:dyDescent="0.3">
      <c r="C200" s="127"/>
      <c r="D200" s="128"/>
      <c r="E200" s="128"/>
      <c r="F200" s="128"/>
      <c r="G200" s="128"/>
      <c r="M200" s="129"/>
      <c r="U200" s="129"/>
      <c r="AC200" s="129"/>
      <c r="AK200" s="129"/>
      <c r="AO200" s="130"/>
      <c r="AY200" s="131"/>
    </row>
    <row r="201" spans="1:77" s="143" customFormat="1" x14ac:dyDescent="0.3">
      <c r="A201" s="133" t="s">
        <v>168</v>
      </c>
      <c r="B201" s="134"/>
      <c r="C201" s="135" t="s">
        <v>29</v>
      </c>
      <c r="D201" s="136"/>
      <c r="E201" s="136"/>
      <c r="F201" s="137"/>
      <c r="G201" s="134"/>
      <c r="H201" s="138"/>
      <c r="I201" s="139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40"/>
      <c r="X201" s="134"/>
      <c r="Y201" s="134"/>
      <c r="Z201" s="134"/>
      <c r="AA201" s="134"/>
      <c r="AB201" s="141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42"/>
      <c r="AP201" s="134"/>
      <c r="AQ201" s="134"/>
      <c r="AR201" s="134"/>
      <c r="AS201" s="134"/>
      <c r="AT201" s="134"/>
      <c r="AU201" s="134"/>
      <c r="AV201" s="134"/>
      <c r="AW201" s="134"/>
      <c r="AX201" s="134"/>
      <c r="AZ201" s="144"/>
      <c r="BA201" s="145"/>
    </row>
    <row r="202" spans="1:77" s="152" customFormat="1" ht="13.8" x14ac:dyDescent="0.3">
      <c r="A202" s="146" t="s">
        <v>169</v>
      </c>
      <c r="B202" s="147"/>
      <c r="C202" s="148"/>
      <c r="D202" s="149"/>
      <c r="E202" s="149"/>
      <c r="F202" s="150"/>
      <c r="G202" s="147"/>
      <c r="H202" s="146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  <c r="AO202" s="151"/>
      <c r="AP202" s="147"/>
      <c r="AQ202" s="147"/>
      <c r="AR202" s="147"/>
      <c r="AS202" s="147"/>
      <c r="AT202" s="147"/>
      <c r="AU202" s="147"/>
      <c r="AV202" s="147"/>
      <c r="AW202" s="147"/>
      <c r="AX202" s="147"/>
      <c r="AZ202" s="153"/>
      <c r="BA202" s="154"/>
    </row>
    <row r="203" spans="1:77" s="153" customFormat="1" ht="27" customHeight="1" x14ac:dyDescent="0.3">
      <c r="A203" s="1066" t="s">
        <v>170</v>
      </c>
      <c r="B203" s="1066" t="s">
        <v>171</v>
      </c>
      <c r="C203" s="1066" t="s">
        <v>51</v>
      </c>
      <c r="D203" s="155" t="s">
        <v>44</v>
      </c>
      <c r="E203" s="155" t="s">
        <v>45</v>
      </c>
      <c r="F203" s="156" t="s">
        <v>46</v>
      </c>
      <c r="G203" s="157" t="s">
        <v>95</v>
      </c>
      <c r="H203" s="157" t="s">
        <v>172</v>
      </c>
      <c r="I203" s="1068" t="s">
        <v>173</v>
      </c>
      <c r="J203" s="1069"/>
      <c r="K203" s="1069"/>
      <c r="L203" s="1069"/>
      <c r="M203" s="1069"/>
      <c r="N203" s="1069"/>
      <c r="O203" s="1069"/>
      <c r="P203" s="1070"/>
      <c r="Q203" s="1068" t="s">
        <v>174</v>
      </c>
      <c r="R203" s="1069"/>
      <c r="S203" s="1069"/>
      <c r="T203" s="1069"/>
      <c r="U203" s="1069"/>
      <c r="V203" s="1069"/>
      <c r="W203" s="1069"/>
      <c r="X203" s="1070"/>
      <c r="Y203" s="1068" t="s">
        <v>175</v>
      </c>
      <c r="Z203" s="1069"/>
      <c r="AA203" s="1069"/>
      <c r="AB203" s="1069"/>
      <c r="AC203" s="1069"/>
      <c r="AD203" s="1069"/>
      <c r="AE203" s="1069"/>
      <c r="AF203" s="1070"/>
      <c r="AG203" s="1068" t="s">
        <v>176</v>
      </c>
      <c r="AH203" s="1069"/>
      <c r="AI203" s="1069"/>
      <c r="AJ203" s="1069"/>
      <c r="AK203" s="1069"/>
      <c r="AL203" s="1069"/>
      <c r="AM203" s="1069"/>
      <c r="AN203" s="1070"/>
      <c r="AO203" s="1068" t="s">
        <v>177</v>
      </c>
      <c r="AP203" s="1069"/>
      <c r="AQ203" s="1070"/>
      <c r="AR203" s="1045"/>
      <c r="AS203" s="1071"/>
      <c r="AT203" s="1072"/>
      <c r="AU203" s="1045"/>
      <c r="AV203" s="1071"/>
      <c r="AW203" s="1072"/>
      <c r="AX203" s="158" t="s">
        <v>177</v>
      </c>
      <c r="AY203" s="159"/>
      <c r="BA203" s="160"/>
    </row>
    <row r="204" spans="1:77" s="169" customFormat="1" ht="55.2" x14ac:dyDescent="0.3">
      <c r="A204" s="1067"/>
      <c r="B204" s="1067"/>
      <c r="C204" s="1067"/>
      <c r="D204" s="161" t="s">
        <v>178</v>
      </c>
      <c r="E204" s="161" t="s">
        <v>178</v>
      </c>
      <c r="F204" s="162" t="s">
        <v>178</v>
      </c>
      <c r="G204" s="158" t="s">
        <v>179</v>
      </c>
      <c r="H204" s="158" t="s">
        <v>180</v>
      </c>
      <c r="I204" s="163" t="s">
        <v>48</v>
      </c>
      <c r="J204" s="164" t="s">
        <v>53</v>
      </c>
      <c r="K204" s="164" t="s">
        <v>181</v>
      </c>
      <c r="L204" s="164" t="s">
        <v>182</v>
      </c>
      <c r="M204" s="164" t="s">
        <v>183</v>
      </c>
      <c r="N204" s="164" t="s">
        <v>184</v>
      </c>
      <c r="O204" s="164" t="s">
        <v>185</v>
      </c>
      <c r="P204" s="164" t="s">
        <v>186</v>
      </c>
      <c r="Q204" s="164" t="s">
        <v>48</v>
      </c>
      <c r="R204" s="164" t="s">
        <v>53</v>
      </c>
      <c r="S204" s="164" t="s">
        <v>181</v>
      </c>
      <c r="T204" s="164" t="s">
        <v>182</v>
      </c>
      <c r="U204" s="164" t="s">
        <v>183</v>
      </c>
      <c r="V204" s="164" t="s">
        <v>184</v>
      </c>
      <c r="W204" s="164" t="s">
        <v>185</v>
      </c>
      <c r="X204" s="164" t="s">
        <v>186</v>
      </c>
      <c r="Y204" s="164" t="s">
        <v>48</v>
      </c>
      <c r="Z204" s="164" t="s">
        <v>187</v>
      </c>
      <c r="AA204" s="164" t="s">
        <v>181</v>
      </c>
      <c r="AB204" s="164" t="s">
        <v>182</v>
      </c>
      <c r="AC204" s="164" t="s">
        <v>183</v>
      </c>
      <c r="AD204" s="164" t="s">
        <v>184</v>
      </c>
      <c r="AE204" s="164" t="s">
        <v>185</v>
      </c>
      <c r="AF204" s="164" t="s">
        <v>186</v>
      </c>
      <c r="AG204" s="164" t="s">
        <v>48</v>
      </c>
      <c r="AH204" s="164" t="s">
        <v>187</v>
      </c>
      <c r="AI204" s="164" t="s">
        <v>181</v>
      </c>
      <c r="AJ204" s="164" t="s">
        <v>182</v>
      </c>
      <c r="AK204" s="164" t="s">
        <v>183</v>
      </c>
      <c r="AL204" s="164" t="s">
        <v>184</v>
      </c>
      <c r="AM204" s="164" t="s">
        <v>185</v>
      </c>
      <c r="AN204" s="164" t="s">
        <v>186</v>
      </c>
      <c r="AO204" s="164" t="s">
        <v>48</v>
      </c>
      <c r="AP204" s="164" t="s">
        <v>181</v>
      </c>
      <c r="AQ204" s="164" t="s">
        <v>50</v>
      </c>
      <c r="AR204" s="164" t="s">
        <v>55</v>
      </c>
      <c r="AS204" s="164" t="s">
        <v>56</v>
      </c>
      <c r="AT204" s="164" t="s">
        <v>57</v>
      </c>
      <c r="AU204" s="164" t="s">
        <v>55</v>
      </c>
      <c r="AV204" s="164" t="s">
        <v>56</v>
      </c>
      <c r="AW204" s="164" t="s">
        <v>57</v>
      </c>
      <c r="AX204" s="164" t="s">
        <v>55</v>
      </c>
      <c r="AY204" s="165"/>
      <c r="AZ204" s="1073" t="s">
        <v>188</v>
      </c>
      <c r="BA204" s="1074"/>
      <c r="BB204" s="1074"/>
      <c r="BC204" s="1074"/>
      <c r="BD204" s="1074"/>
      <c r="BE204" s="1074"/>
      <c r="BF204" s="166"/>
      <c r="BG204" s="167"/>
      <c r="BH204" s="168"/>
    </row>
    <row r="205" spans="1:77" s="169" customFormat="1" ht="13.8" x14ac:dyDescent="0.3">
      <c r="A205" s="170" t="s">
        <v>189</v>
      </c>
      <c r="B205" s="171"/>
      <c r="C205" s="172"/>
      <c r="D205" s="173"/>
      <c r="E205" s="173"/>
      <c r="F205" s="174"/>
      <c r="G205" s="175"/>
      <c r="H205" s="158"/>
      <c r="I205" s="163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64"/>
      <c r="AG205" s="164"/>
      <c r="AH205" s="164"/>
      <c r="AI205" s="164"/>
      <c r="AJ205" s="164"/>
      <c r="AK205" s="164"/>
      <c r="AL205" s="164"/>
      <c r="AM205" s="164"/>
      <c r="AN205" s="164"/>
      <c r="AO205" s="164"/>
      <c r="AP205" s="164"/>
      <c r="AQ205" s="164"/>
      <c r="AR205" s="164"/>
      <c r="AS205" s="164"/>
      <c r="AT205" s="164"/>
      <c r="AU205" s="164"/>
      <c r="AV205" s="164"/>
      <c r="AW205" s="164"/>
      <c r="AX205" s="164"/>
      <c r="AY205" s="165"/>
      <c r="AZ205" s="176"/>
      <c r="BA205" s="177"/>
      <c r="BB205" s="178"/>
      <c r="BC205" s="178"/>
      <c r="BD205" s="178"/>
      <c r="BE205" s="178"/>
      <c r="BF205" s="179"/>
      <c r="BG205" s="180"/>
      <c r="BH205" s="181"/>
    </row>
    <row r="206" spans="1:77" s="196" customFormat="1" ht="27.6" x14ac:dyDescent="0.3">
      <c r="A206" s="182" t="s">
        <v>190</v>
      </c>
      <c r="B206" s="183">
        <v>1</v>
      </c>
      <c r="C206" s="184" t="s">
        <v>191</v>
      </c>
      <c r="D206" s="185">
        <v>2.6749999999999998</v>
      </c>
      <c r="E206" s="185">
        <v>5.9139999999999997</v>
      </c>
      <c r="F206" s="186">
        <v>0.2</v>
      </c>
      <c r="G206" s="187">
        <f>D206*E206*F206*B206</f>
        <v>3.1639900000000001</v>
      </c>
      <c r="H206" s="188">
        <f t="shared" ref="H206:H239" si="177">D206*E206*B206</f>
        <v>15.819949999999999</v>
      </c>
      <c r="I206" s="183" t="e">
        <f>GETPIVOTDATA(#REF!,A206)</f>
        <v>#REF!</v>
      </c>
      <c r="J206" s="188" t="e">
        <f>GETPIVOTDATA(#REF!,A206)*2</f>
        <v>#REF!</v>
      </c>
      <c r="K206" s="183" t="e">
        <f>(ROUND(E206/J206,0)+1)*GETPIVOTDATA(#REF!,A206)</f>
        <v>#REF!</v>
      </c>
      <c r="L206" s="189" t="e">
        <f>GETPIVOTDATA(#REF!,A206)</f>
        <v>#REF!</v>
      </c>
      <c r="M206" s="189">
        <f>0.45*2</f>
        <v>0.9</v>
      </c>
      <c r="N206" s="189">
        <f>-(0.02*2)</f>
        <v>-0.04</v>
      </c>
      <c r="O206" s="189">
        <v>0</v>
      </c>
      <c r="P206" s="188" t="e">
        <f>+D206+SUM(L206:O206)+(F206-2*0.02)</f>
        <v>#REF!</v>
      </c>
      <c r="Q206" s="183" t="e">
        <f>GETPIVOTDATA(#REF!,A206)</f>
        <v>#REF!</v>
      </c>
      <c r="R206" s="188" t="e">
        <f>GETPIVOTDATA(#REF!,A206)*2</f>
        <v>#REF!</v>
      </c>
      <c r="S206" s="183" t="e">
        <f>(ROUND(E206/R206,0))*GETPIVOTDATA(#REF!,A206)</f>
        <v>#REF!</v>
      </c>
      <c r="T206" s="189" t="e">
        <f>GETPIVOTDATA(#REF!,A206)</f>
        <v>#REF!</v>
      </c>
      <c r="U206" s="189">
        <f>0.45*2</f>
        <v>0.9</v>
      </c>
      <c r="V206" s="189">
        <f>-(0.02*2)</f>
        <v>-0.04</v>
      </c>
      <c r="W206" s="189">
        <v>0</v>
      </c>
      <c r="X206" s="188" t="e">
        <f>+D206+SUM(T206:W206)</f>
        <v>#REF!</v>
      </c>
      <c r="Y206" s="183" t="e">
        <f>GETPIVOTDATA(#REF!,A206)</f>
        <v>#REF!</v>
      </c>
      <c r="Z206" s="182" t="e">
        <f>GETPIVOTDATA(#REF!,A206)*2</f>
        <v>#REF!</v>
      </c>
      <c r="AA206" s="183" t="e">
        <f>(ROUND(D206/Z206,0)+1)*GETPIVOTDATA(#REF!,A206)</f>
        <v>#REF!</v>
      </c>
      <c r="AB206" s="189" t="e">
        <f>GETPIVOTDATA(#REF!,A206)</f>
        <v>#REF!</v>
      </c>
      <c r="AC206" s="189">
        <f>0.23+0.45</f>
        <v>0.68</v>
      </c>
      <c r="AD206" s="189">
        <f>-(0.02*2)</f>
        <v>-0.04</v>
      </c>
      <c r="AE206" s="189">
        <f>10.19*0.3</f>
        <v>3.0569999999999999</v>
      </c>
      <c r="AF206" s="188" t="e">
        <f>+E206+SUM(AB206:AE206)</f>
        <v>#REF!</v>
      </c>
      <c r="AG206" s="183" t="e">
        <f>GETPIVOTDATA(#REF!,A206)</f>
        <v>#REF!</v>
      </c>
      <c r="AH206" s="182" t="e">
        <f>GETPIVOTDATA(#REF!,A206)*2</f>
        <v>#REF!</v>
      </c>
      <c r="AI206" s="183" t="e">
        <f>(ROUND(D206/AH206,0))*GETPIVOTDATA(#REF!,A206)</f>
        <v>#REF!</v>
      </c>
      <c r="AJ206" s="189" t="e">
        <f>GETPIVOTDATA(#REF!,A206)</f>
        <v>#REF!</v>
      </c>
      <c r="AK206" s="189">
        <f>0.23+0.45</f>
        <v>0.68</v>
      </c>
      <c r="AL206" s="189">
        <f>-(0.02*2)</f>
        <v>-0.04</v>
      </c>
      <c r="AM206" s="189">
        <v>0</v>
      </c>
      <c r="AN206" s="188" t="e">
        <f>+E206+SUM(AJ206:AM206)+(F206-0.02*2)</f>
        <v>#REF!</v>
      </c>
      <c r="AO206" s="183">
        <v>0</v>
      </c>
      <c r="AP206" s="182">
        <f t="shared" ref="AP206:AP269" si="178">(ROUND(D206/1.5,0)+ROUND(E206/1.5,0))*2</f>
        <v>12</v>
      </c>
      <c r="AQ206" s="182">
        <v>1.5</v>
      </c>
      <c r="AR206" s="187" t="e">
        <f>IF(I206=8,K206*P206*B206,0)+IF(Q206=8,S206*X206*B206,0)</f>
        <v>#REF!</v>
      </c>
      <c r="AS206" s="187" t="e">
        <f>IF(I206=10,K206*P206*B206,0)+IF(Q206=10,S206*X206*B206,0)</f>
        <v>#REF!</v>
      </c>
      <c r="AT206" s="187" t="e">
        <f>IF(I206=12,K206*P206*B206,0)+IF(Q206=12,S206*X206*B206,0)</f>
        <v>#REF!</v>
      </c>
      <c r="AU206" s="187" t="e">
        <f>IF(AG206=8,AI206*AN206*B206,0)+IF(Y206=8,B206*AA206*AF206,0)</f>
        <v>#REF!</v>
      </c>
      <c r="AV206" s="187" t="e">
        <f t="shared" ref="AV206:AV269" si="179">IF(AG206=10,AI206*AN206*B206,0)+IF(Y206=10,B206*AA206*AF206,0)</f>
        <v>#REF!</v>
      </c>
      <c r="AW206" s="187" t="e">
        <f>IF(AG206=12,AI206*AN206*B206,0)+IF(Y206=12,B206*AA206*AF206,0)</f>
        <v>#REF!</v>
      </c>
      <c r="AX206" s="187">
        <f>AP206*AQ206*B206</f>
        <v>18</v>
      </c>
      <c r="AY206" s="190"/>
      <c r="AZ206" s="191" t="s">
        <v>192</v>
      </c>
      <c r="BA206" s="192" t="s">
        <v>193</v>
      </c>
      <c r="BB206" s="1062" t="s">
        <v>194</v>
      </c>
      <c r="BC206" s="1063"/>
      <c r="BD206" s="1064" t="s">
        <v>195</v>
      </c>
      <c r="BE206" s="1065"/>
      <c r="BF206" s="193"/>
      <c r="BG206" s="194"/>
      <c r="BH206" s="195"/>
      <c r="BK206" s="197"/>
      <c r="BL206" s="197"/>
      <c r="BM206" s="197"/>
      <c r="BN206" s="197"/>
      <c r="BO206" s="197"/>
      <c r="BP206" s="197"/>
      <c r="BQ206" s="198"/>
      <c r="BS206" s="197"/>
      <c r="BT206" s="197"/>
      <c r="BU206" s="197"/>
      <c r="BV206" s="197"/>
      <c r="BW206" s="197"/>
      <c r="BX206" s="197"/>
      <c r="BY206" s="197"/>
    </row>
    <row r="207" spans="1:77" s="196" customFormat="1" ht="27.6" x14ac:dyDescent="0.3">
      <c r="A207" s="182" t="s">
        <v>190</v>
      </c>
      <c r="B207" s="183">
        <v>1</v>
      </c>
      <c r="C207" s="184" t="s">
        <v>196</v>
      </c>
      <c r="D207" s="185">
        <v>5.9189999999999996</v>
      </c>
      <c r="E207" s="185">
        <v>2.6</v>
      </c>
      <c r="F207" s="186">
        <v>0.2</v>
      </c>
      <c r="G207" s="187">
        <f t="shared" ref="G207:G270" si="180">D207*E207*F207*B207</f>
        <v>3.0778800000000004</v>
      </c>
      <c r="H207" s="188">
        <f t="shared" si="177"/>
        <v>15.3894</v>
      </c>
      <c r="I207" s="183" t="e">
        <f>GETPIVOTDATA(#REF!,A207)</f>
        <v>#REF!</v>
      </c>
      <c r="J207" s="188" t="e">
        <f>GETPIVOTDATA(#REF!,A207)*2</f>
        <v>#REF!</v>
      </c>
      <c r="K207" s="183" t="e">
        <f>(ROUND(E207/J207,0)+1)*GETPIVOTDATA(#REF!,A207)</f>
        <v>#REF!</v>
      </c>
      <c r="L207" s="189" t="e">
        <f>GETPIVOTDATA(#REF!,A207)</f>
        <v>#REF!</v>
      </c>
      <c r="M207" s="189">
        <f>0.45*2</f>
        <v>0.9</v>
      </c>
      <c r="N207" s="189">
        <f t="shared" ref="N207:N270" si="181">-(0.02*2)</f>
        <v>-0.04</v>
      </c>
      <c r="O207" s="189">
        <f>9.591*0.3</f>
        <v>2.8772999999999995</v>
      </c>
      <c r="P207" s="188" t="e">
        <f>+D207+SUM(L207:O207)</f>
        <v>#REF!</v>
      </c>
      <c r="Q207" s="183" t="e">
        <f>GETPIVOTDATA(#REF!,A207)</f>
        <v>#REF!</v>
      </c>
      <c r="R207" s="188" t="e">
        <f>GETPIVOTDATA(#REF!,A207)*2</f>
        <v>#REF!</v>
      </c>
      <c r="S207" s="183" t="e">
        <f>(ROUND(E207/R207,0))*GETPIVOTDATA(#REF!,A207)</f>
        <v>#REF!</v>
      </c>
      <c r="T207" s="189" t="e">
        <f>GETPIVOTDATA(#REF!,A207)</f>
        <v>#REF!</v>
      </c>
      <c r="U207" s="189">
        <f>0.45*2</f>
        <v>0.9</v>
      </c>
      <c r="V207" s="189">
        <f t="shared" ref="V207:V270" si="182">-(0.02*2)</f>
        <v>-0.04</v>
      </c>
      <c r="W207" s="189">
        <v>0</v>
      </c>
      <c r="X207" s="188" t="e">
        <f>+D207+SUM(T207:W207)</f>
        <v>#REF!</v>
      </c>
      <c r="Y207" s="183" t="e">
        <f>GETPIVOTDATA(#REF!,A207)</f>
        <v>#REF!</v>
      </c>
      <c r="Z207" s="182" t="e">
        <f>GETPIVOTDATA(#REF!,A207)*2</f>
        <v>#REF!</v>
      </c>
      <c r="AA207" s="183" t="e">
        <f>(ROUND(D207/Z207,0)+1)*GETPIVOTDATA(#REF!,A207)</f>
        <v>#REF!</v>
      </c>
      <c r="AB207" s="189" t="e">
        <f>GETPIVOTDATA(#REF!,A207)</f>
        <v>#REF!</v>
      </c>
      <c r="AC207" s="189">
        <f>0.23+0.45</f>
        <v>0.68</v>
      </c>
      <c r="AD207" s="189">
        <f t="shared" ref="AD207:AD270" si="183">-(0.02*2)</f>
        <v>-0.04</v>
      </c>
      <c r="AE207" s="189">
        <v>0</v>
      </c>
      <c r="AF207" s="188" t="e">
        <f t="shared" ref="AF207:AF266" si="184">+E207+SUM(AB207:AE207)</f>
        <v>#REF!</v>
      </c>
      <c r="AG207" s="183" t="e">
        <f>GETPIVOTDATA(#REF!,A207)</f>
        <v>#REF!</v>
      </c>
      <c r="AH207" s="182" t="e">
        <f>GETPIVOTDATA(#REF!,A207)*2</f>
        <v>#REF!</v>
      </c>
      <c r="AI207" s="183" t="e">
        <f>(ROUND(D207/AH207,0))*GETPIVOTDATA(#REF!,A207)</f>
        <v>#REF!</v>
      </c>
      <c r="AJ207" s="189" t="e">
        <f>GETPIVOTDATA(#REF!,A207)</f>
        <v>#REF!</v>
      </c>
      <c r="AK207" s="189">
        <f>0.23+0.45</f>
        <v>0.68</v>
      </c>
      <c r="AL207" s="189">
        <f t="shared" ref="AL207:AL270" si="185">-(0.02*2)</f>
        <v>-0.04</v>
      </c>
      <c r="AM207" s="189">
        <v>0</v>
      </c>
      <c r="AN207" s="188" t="e">
        <f>+E207+SUM(AJ207:AM207)+(F207-0.02*2)</f>
        <v>#REF!</v>
      </c>
      <c r="AO207" s="183">
        <v>0</v>
      </c>
      <c r="AP207" s="182">
        <f t="shared" si="178"/>
        <v>12</v>
      </c>
      <c r="AQ207" s="182">
        <v>1.5</v>
      </c>
      <c r="AR207" s="187" t="e">
        <f t="shared" ref="AR207:AR270" si="186">IF(I207=8,K207*P207*B207,0)+IF(Q207=8,S207*X207*B207,0)</f>
        <v>#REF!</v>
      </c>
      <c r="AS207" s="187" t="e">
        <f t="shared" ref="AS207:AS270" si="187">IF(I207=10,K207*P207*B207,0)+IF(Q207=10,S207*X207*B207,0)</f>
        <v>#REF!</v>
      </c>
      <c r="AT207" s="187" t="e">
        <f t="shared" ref="AT207:AT270" si="188">IF(I207=12,K207*P207*B207,0)+IF(Q207=12,S207*X207*B207,0)</f>
        <v>#REF!</v>
      </c>
      <c r="AU207" s="187" t="e">
        <f t="shared" ref="AU207:AU270" si="189">IF(AG207=8,AI207*AN207*B207,0)+IF(Y207=8,B207*AA207*AF207,0)</f>
        <v>#REF!</v>
      </c>
      <c r="AV207" s="187" t="e">
        <f t="shared" si="179"/>
        <v>#REF!</v>
      </c>
      <c r="AW207" s="187" t="e">
        <f t="shared" ref="AW207:AW270" si="190">IF(AG207=12,AI207*AN207*B207,0)+IF(Y207=12,B207*AA207*AF207,0)</f>
        <v>#REF!</v>
      </c>
      <c r="AX207" s="187">
        <f t="shared" ref="AX207:AX270" si="191">AP207*AQ207*B207</f>
        <v>18</v>
      </c>
      <c r="AY207" s="190"/>
      <c r="AZ207" s="191"/>
      <c r="BA207" s="192"/>
      <c r="BB207" s="191"/>
      <c r="BC207" s="191"/>
      <c r="BD207" s="199"/>
      <c r="BE207" s="200"/>
      <c r="BF207" s="193"/>
      <c r="BG207" s="194"/>
      <c r="BH207" s="195"/>
      <c r="BK207" s="197"/>
      <c r="BL207" s="197"/>
      <c r="BM207" s="197"/>
      <c r="BN207" s="197"/>
      <c r="BO207" s="197"/>
      <c r="BP207" s="197"/>
      <c r="BQ207" s="198"/>
      <c r="BS207" s="197"/>
      <c r="BT207" s="197"/>
      <c r="BU207" s="197"/>
      <c r="BV207" s="197"/>
      <c r="BW207" s="197"/>
      <c r="BX207" s="197"/>
      <c r="BY207" s="197"/>
    </row>
    <row r="208" spans="1:77" s="196" customFormat="1" ht="13.8" x14ac:dyDescent="0.3">
      <c r="A208" s="182" t="s">
        <v>190</v>
      </c>
      <c r="B208" s="183">
        <v>1</v>
      </c>
      <c r="C208" s="184" t="s">
        <v>197</v>
      </c>
      <c r="D208" s="185">
        <v>5.36</v>
      </c>
      <c r="E208" s="185">
        <v>2.87</v>
      </c>
      <c r="F208" s="186">
        <v>0.2</v>
      </c>
      <c r="G208" s="187">
        <f t="shared" si="180"/>
        <v>3.0766400000000007</v>
      </c>
      <c r="H208" s="188">
        <f t="shared" si="177"/>
        <v>15.383200000000002</v>
      </c>
      <c r="I208" s="183" t="e">
        <f>GETPIVOTDATA(#REF!,A208)</f>
        <v>#REF!</v>
      </c>
      <c r="J208" s="188" t="e">
        <f>GETPIVOTDATA(#REF!,A208)*2</f>
        <v>#REF!</v>
      </c>
      <c r="K208" s="183" t="e">
        <f>(ROUND(E208/J208,0)+1)*GETPIVOTDATA(#REF!,A208)</f>
        <v>#REF!</v>
      </c>
      <c r="L208" s="189" t="e">
        <f>GETPIVOTDATA(#REF!,A208)</f>
        <v>#REF!</v>
      </c>
      <c r="M208" s="189">
        <f t="shared" ref="M208:M215" si="192">0.45*2</f>
        <v>0.9</v>
      </c>
      <c r="N208" s="189">
        <f t="shared" si="181"/>
        <v>-0.04</v>
      </c>
      <c r="O208" s="189">
        <v>0</v>
      </c>
      <c r="P208" s="188" t="e">
        <f>+D208+SUM(L208:O208)</f>
        <v>#REF!</v>
      </c>
      <c r="Q208" s="183" t="e">
        <f>GETPIVOTDATA(#REF!,A208)</f>
        <v>#REF!</v>
      </c>
      <c r="R208" s="188" t="e">
        <f>GETPIVOTDATA(#REF!,A208)*2</f>
        <v>#REF!</v>
      </c>
      <c r="S208" s="183" t="e">
        <f>(ROUND(E208/R208,0))*GETPIVOTDATA(#REF!,A208)</f>
        <v>#REF!</v>
      </c>
      <c r="T208" s="189" t="e">
        <f>GETPIVOTDATA(#REF!,A208)</f>
        <v>#REF!</v>
      </c>
      <c r="U208" s="189">
        <f t="shared" ref="U208:U215" si="193">0.45*2</f>
        <v>0.9</v>
      </c>
      <c r="V208" s="189">
        <f t="shared" si="182"/>
        <v>-0.04</v>
      </c>
      <c r="W208" s="189">
        <f>4.37*0.3</f>
        <v>1.3109999999999999</v>
      </c>
      <c r="X208" s="188" t="e">
        <f t="shared" ref="X208:X238" si="194">+D208+SUM(T208:W208)</f>
        <v>#REF!</v>
      </c>
      <c r="Y208" s="183" t="e">
        <f>GETPIVOTDATA(#REF!,A208)</f>
        <v>#REF!</v>
      </c>
      <c r="Z208" s="182" t="e">
        <f>GETPIVOTDATA(#REF!,A208)*2</f>
        <v>#REF!</v>
      </c>
      <c r="AA208" s="183" t="e">
        <f>(ROUND(D208/Z208,0)+1)*GETPIVOTDATA(#REF!,A208)</f>
        <v>#REF!</v>
      </c>
      <c r="AB208" s="189" t="e">
        <f>GETPIVOTDATA(#REF!,A208)</f>
        <v>#REF!</v>
      </c>
      <c r="AC208" s="189">
        <f>0.23+0.3</f>
        <v>0.53</v>
      </c>
      <c r="AD208" s="189">
        <f t="shared" si="183"/>
        <v>-0.04</v>
      </c>
      <c r="AE208" s="189">
        <f>2.818*0.3</f>
        <v>0.84540000000000004</v>
      </c>
      <c r="AF208" s="188" t="e">
        <f>+E208+SUM(AB208:AE208)</f>
        <v>#REF!</v>
      </c>
      <c r="AG208" s="183" t="e">
        <f>GETPIVOTDATA(#REF!,A208)</f>
        <v>#REF!</v>
      </c>
      <c r="AH208" s="182" t="e">
        <f>GETPIVOTDATA(#REF!,A208)*2</f>
        <v>#REF!</v>
      </c>
      <c r="AI208" s="183" t="e">
        <f>(ROUND(D208/AH208,0))*GETPIVOTDATA(#REF!,A208)</f>
        <v>#REF!</v>
      </c>
      <c r="AJ208" s="189" t="e">
        <f>GETPIVOTDATA(#REF!,A208)</f>
        <v>#REF!</v>
      </c>
      <c r="AK208" s="189">
        <f>0.23+0.3</f>
        <v>0.53</v>
      </c>
      <c r="AL208" s="189">
        <f t="shared" si="185"/>
        <v>-0.04</v>
      </c>
      <c r="AM208" s="189">
        <v>0</v>
      </c>
      <c r="AN208" s="188" t="e">
        <f>+E208+SUM(AJ208:AM208)+(F208-0.02*2)</f>
        <v>#REF!</v>
      </c>
      <c r="AO208" s="183">
        <v>0</v>
      </c>
      <c r="AP208" s="182">
        <f t="shared" si="178"/>
        <v>12</v>
      </c>
      <c r="AQ208" s="182">
        <v>1.5</v>
      </c>
      <c r="AR208" s="187" t="e">
        <f t="shared" si="186"/>
        <v>#REF!</v>
      </c>
      <c r="AS208" s="187" t="e">
        <f t="shared" si="187"/>
        <v>#REF!</v>
      </c>
      <c r="AT208" s="187" t="e">
        <f t="shared" si="188"/>
        <v>#REF!</v>
      </c>
      <c r="AU208" s="187" t="e">
        <f t="shared" si="189"/>
        <v>#REF!</v>
      </c>
      <c r="AV208" s="187" t="e">
        <f t="shared" si="179"/>
        <v>#REF!</v>
      </c>
      <c r="AW208" s="187" t="e">
        <f t="shared" si="190"/>
        <v>#REF!</v>
      </c>
      <c r="AX208" s="187">
        <f t="shared" si="191"/>
        <v>18</v>
      </c>
      <c r="AY208" s="190"/>
      <c r="AZ208" s="191" t="s">
        <v>192</v>
      </c>
      <c r="BA208" s="192" t="s">
        <v>193</v>
      </c>
      <c r="BB208" s="201" t="s">
        <v>198</v>
      </c>
      <c r="BC208" s="201" t="s">
        <v>199</v>
      </c>
      <c r="BD208" s="201" t="s">
        <v>200</v>
      </c>
      <c r="BE208" s="202" t="s">
        <v>201</v>
      </c>
      <c r="BF208" s="193" t="s">
        <v>202</v>
      </c>
      <c r="BG208" s="193" t="s">
        <v>203</v>
      </c>
      <c r="BH208" s="195" t="s">
        <v>204</v>
      </c>
      <c r="BK208" s="197"/>
      <c r="BL208" s="197"/>
      <c r="BM208" s="197"/>
      <c r="BN208" s="197"/>
      <c r="BO208" s="197"/>
      <c r="BP208" s="197"/>
      <c r="BQ208" s="198"/>
      <c r="BS208" s="197"/>
      <c r="BT208" s="197"/>
      <c r="BU208" s="197"/>
      <c r="BV208" s="197"/>
      <c r="BY208" s="197"/>
    </row>
    <row r="209" spans="1:85" s="196" customFormat="1" x14ac:dyDescent="0.3">
      <c r="A209" s="182" t="s">
        <v>190</v>
      </c>
      <c r="B209" s="183">
        <v>1</v>
      </c>
      <c r="C209" s="184" t="s">
        <v>205</v>
      </c>
      <c r="D209" s="203">
        <v>5.3639999999999999</v>
      </c>
      <c r="E209" s="185">
        <v>2.8180000000000001</v>
      </c>
      <c r="F209" s="186">
        <v>0.2</v>
      </c>
      <c r="G209" s="187">
        <f t="shared" si="180"/>
        <v>3.0231504000000005</v>
      </c>
      <c r="H209" s="188">
        <f t="shared" si="177"/>
        <v>15.115752000000001</v>
      </c>
      <c r="I209" s="183" t="e">
        <f>GETPIVOTDATA(#REF!,A209)</f>
        <v>#REF!</v>
      </c>
      <c r="J209" s="188" t="e">
        <f>GETPIVOTDATA(#REF!,A209)*2</f>
        <v>#REF!</v>
      </c>
      <c r="K209" s="183" t="e">
        <f>(ROUND(E209/J209,0)+1)*GETPIVOTDATA(#REF!,A209)</f>
        <v>#REF!</v>
      </c>
      <c r="L209" s="189" t="e">
        <f>GETPIVOTDATA(#REF!,A209)</f>
        <v>#REF!</v>
      </c>
      <c r="M209" s="189">
        <f t="shared" si="192"/>
        <v>0.9</v>
      </c>
      <c r="N209" s="189">
        <f t="shared" si="181"/>
        <v>-0.04</v>
      </c>
      <c r="O209" s="189">
        <v>0</v>
      </c>
      <c r="P209" s="188" t="e">
        <f t="shared" ref="P209:P270" si="195">+D209+SUM(L209:O209)</f>
        <v>#REF!</v>
      </c>
      <c r="Q209" s="183" t="e">
        <f>GETPIVOTDATA(#REF!,A209)</f>
        <v>#REF!</v>
      </c>
      <c r="R209" s="188" t="e">
        <f>GETPIVOTDATA(#REF!,A209)*2</f>
        <v>#REF!</v>
      </c>
      <c r="S209" s="183" t="e">
        <f>(ROUND(E209/R209,0))*GETPIVOTDATA(#REF!,A209)</f>
        <v>#REF!</v>
      </c>
      <c r="T209" s="189" t="e">
        <f>GETPIVOTDATA(#REF!,A209)</f>
        <v>#REF!</v>
      </c>
      <c r="U209" s="189">
        <f t="shared" si="193"/>
        <v>0.9</v>
      </c>
      <c r="V209" s="189">
        <f t="shared" si="182"/>
        <v>-0.04</v>
      </c>
      <c r="W209" s="189">
        <f>4.37*0.3</f>
        <v>1.3109999999999999</v>
      </c>
      <c r="X209" s="188" t="e">
        <f t="shared" si="194"/>
        <v>#REF!</v>
      </c>
      <c r="Y209" s="183" t="e">
        <f>GETPIVOTDATA(#REF!,A209)</f>
        <v>#REF!</v>
      </c>
      <c r="Z209" s="182" t="e">
        <f>GETPIVOTDATA(#REF!,A209)*2</f>
        <v>#REF!</v>
      </c>
      <c r="AA209" s="183" t="e">
        <f>(ROUND(D209/Z209,0)+1)*GETPIVOTDATA(#REF!,A209)</f>
        <v>#REF!</v>
      </c>
      <c r="AB209" s="189" t="e">
        <f>GETPIVOTDATA(#REF!,A209)</f>
        <v>#REF!</v>
      </c>
      <c r="AC209" s="189">
        <f>0.3*2</f>
        <v>0.6</v>
      </c>
      <c r="AD209" s="189">
        <f t="shared" si="183"/>
        <v>-0.04</v>
      </c>
      <c r="AE209" s="189">
        <f>2.91*0.3</f>
        <v>0.873</v>
      </c>
      <c r="AF209" s="188" t="e">
        <f t="shared" si="184"/>
        <v>#REF!</v>
      </c>
      <c r="AG209" s="183" t="e">
        <f>GETPIVOTDATA(#REF!,A209)</f>
        <v>#REF!</v>
      </c>
      <c r="AH209" s="182" t="e">
        <f>GETPIVOTDATA(#REF!,A209)*2</f>
        <v>#REF!</v>
      </c>
      <c r="AI209" s="183" t="e">
        <f>(ROUND(D209/AH209,0))*GETPIVOTDATA(#REF!,A209)</f>
        <v>#REF!</v>
      </c>
      <c r="AJ209" s="189" t="e">
        <f>GETPIVOTDATA(#REF!,A209)</f>
        <v>#REF!</v>
      </c>
      <c r="AK209" s="189">
        <f>0.3*2</f>
        <v>0.6</v>
      </c>
      <c r="AL209" s="189">
        <f t="shared" si="185"/>
        <v>-0.04</v>
      </c>
      <c r="AM209" s="189">
        <f>2.87*0.3</f>
        <v>0.86099999999999999</v>
      </c>
      <c r="AN209" s="188" t="e">
        <f>+E209+SUM(AJ209:AM209)</f>
        <v>#REF!</v>
      </c>
      <c r="AO209" s="183">
        <v>0</v>
      </c>
      <c r="AP209" s="182">
        <f t="shared" si="178"/>
        <v>12</v>
      </c>
      <c r="AQ209" s="182">
        <v>1.5</v>
      </c>
      <c r="AR209" s="187" t="e">
        <f t="shared" si="186"/>
        <v>#REF!</v>
      </c>
      <c r="AS209" s="187" t="e">
        <f t="shared" si="187"/>
        <v>#REF!</v>
      </c>
      <c r="AT209" s="187" t="e">
        <f t="shared" si="188"/>
        <v>#REF!</v>
      </c>
      <c r="AU209" s="187" t="e">
        <f t="shared" si="189"/>
        <v>#REF!</v>
      </c>
      <c r="AV209" s="187" t="e">
        <f t="shared" si="179"/>
        <v>#REF!</v>
      </c>
      <c r="AW209" s="187" t="e">
        <f t="shared" si="190"/>
        <v>#REF!</v>
      </c>
      <c r="AX209" s="187">
        <f t="shared" si="191"/>
        <v>18</v>
      </c>
      <c r="AY209" s="190"/>
      <c r="AZ209" s="204" t="s">
        <v>190</v>
      </c>
      <c r="BA209" s="205">
        <v>0.2</v>
      </c>
      <c r="BB209" s="197">
        <v>12</v>
      </c>
      <c r="BC209" s="206">
        <v>0.1</v>
      </c>
      <c r="BD209" s="197">
        <v>8</v>
      </c>
      <c r="BE209" s="206">
        <v>0.12</v>
      </c>
      <c r="BF209" s="206">
        <f>BA209*0.42</f>
        <v>8.4000000000000005E-2</v>
      </c>
      <c r="BG209" s="206">
        <f>BA209*0.42</f>
        <v>8.4000000000000005E-2</v>
      </c>
      <c r="BH209" s="207">
        <v>1</v>
      </c>
      <c r="BK209" s="473" t="s">
        <v>206</v>
      </c>
      <c r="BL209" s="209"/>
      <c r="BM209" s="197"/>
      <c r="BN209" s="473" t="s">
        <v>207</v>
      </c>
      <c r="BO209" s="209"/>
      <c r="BP209" s="197"/>
      <c r="BQ209" s="476" t="s">
        <v>208</v>
      </c>
      <c r="BR209" s="209"/>
      <c r="BS209" s="197"/>
      <c r="BT209" s="473" t="s">
        <v>209</v>
      </c>
      <c r="BU209" s="209"/>
      <c r="BV209" s="197"/>
      <c r="BW209" s="474" t="s">
        <v>210</v>
      </c>
      <c r="BX209" s="212"/>
      <c r="BY209" s="197"/>
      <c r="BZ209" s="473" t="s">
        <v>211</v>
      </c>
      <c r="CA209" s="209"/>
      <c r="CC209" s="473" t="s">
        <v>212</v>
      </c>
      <c r="CD209" s="209"/>
      <c r="CF209" s="474" t="s">
        <v>213</v>
      </c>
      <c r="CG209" s="212"/>
    </row>
    <row r="210" spans="1:85" s="196" customFormat="1" x14ac:dyDescent="0.3">
      <c r="A210" s="182" t="s">
        <v>190</v>
      </c>
      <c r="B210" s="183">
        <v>1</v>
      </c>
      <c r="C210" s="184" t="s">
        <v>214</v>
      </c>
      <c r="D210" s="203">
        <v>4.3677000000000001</v>
      </c>
      <c r="E210" s="185">
        <v>2.88</v>
      </c>
      <c r="F210" s="186">
        <v>0.2</v>
      </c>
      <c r="G210" s="187">
        <f t="shared" si="180"/>
        <v>2.5157951999999999</v>
      </c>
      <c r="H210" s="188">
        <f t="shared" si="177"/>
        <v>12.578975999999999</v>
      </c>
      <c r="I210" s="183" t="e">
        <f>GETPIVOTDATA(#REF!,A210)</f>
        <v>#REF!</v>
      </c>
      <c r="J210" s="188" t="e">
        <f>GETPIVOTDATA(#REF!,A210)*2</f>
        <v>#REF!</v>
      </c>
      <c r="K210" s="183" t="e">
        <f>(ROUND(E210/J210,0)+1)*GETPIVOTDATA(#REF!,A210)</f>
        <v>#REF!</v>
      </c>
      <c r="L210" s="189" t="e">
        <f>GETPIVOTDATA(#REF!,A210)</f>
        <v>#REF!</v>
      </c>
      <c r="M210" s="189">
        <f>0.45+0.52</f>
        <v>0.97</v>
      </c>
      <c r="N210" s="189">
        <f t="shared" si="181"/>
        <v>-0.04</v>
      </c>
      <c r="O210" s="189">
        <f>5.37*0.3</f>
        <v>1.611</v>
      </c>
      <c r="P210" s="188" t="e">
        <f t="shared" si="195"/>
        <v>#REF!</v>
      </c>
      <c r="Q210" s="183" t="e">
        <f>GETPIVOTDATA(#REF!,A210)</f>
        <v>#REF!</v>
      </c>
      <c r="R210" s="188" t="e">
        <f>GETPIVOTDATA(#REF!,A210)*2</f>
        <v>#REF!</v>
      </c>
      <c r="S210" s="183" t="e">
        <f>(ROUND(E210/R210,0))*GETPIVOTDATA(#REF!,A210)</f>
        <v>#REF!</v>
      </c>
      <c r="T210" s="189" t="e">
        <f>GETPIVOTDATA(#REF!,A210)</f>
        <v>#REF!</v>
      </c>
      <c r="U210" s="189">
        <f>0.45+0.52</f>
        <v>0.97</v>
      </c>
      <c r="V210" s="189">
        <f t="shared" si="182"/>
        <v>-0.04</v>
      </c>
      <c r="W210" s="189">
        <f>4.11*0.3</f>
        <v>1.2330000000000001</v>
      </c>
      <c r="X210" s="188" t="e">
        <f t="shared" si="194"/>
        <v>#REF!</v>
      </c>
      <c r="Y210" s="183" t="e">
        <f>GETPIVOTDATA(#REF!,A210)</f>
        <v>#REF!</v>
      </c>
      <c r="Z210" s="182" t="e">
        <f>GETPIVOTDATA(#REF!,A210)*2</f>
        <v>#REF!</v>
      </c>
      <c r="AA210" s="183" t="e">
        <f>(ROUND(D210/Z210,0)+1)*GETPIVOTDATA(#REF!,A210)</f>
        <v>#REF!</v>
      </c>
      <c r="AB210" s="189" t="e">
        <f>GETPIVOTDATA(#REF!,A210)</f>
        <v>#REF!</v>
      </c>
      <c r="AC210" s="189">
        <f>0.3*2</f>
        <v>0.6</v>
      </c>
      <c r="AD210" s="189">
        <f t="shared" si="183"/>
        <v>-0.04</v>
      </c>
      <c r="AE210" s="189">
        <f>2.78*0.3</f>
        <v>0.83399999999999996</v>
      </c>
      <c r="AF210" s="188" t="e">
        <f t="shared" si="184"/>
        <v>#REF!</v>
      </c>
      <c r="AG210" s="183" t="e">
        <f>GETPIVOTDATA(#REF!,A210)</f>
        <v>#REF!</v>
      </c>
      <c r="AH210" s="182" t="e">
        <f>GETPIVOTDATA(#REF!,A210)*2</f>
        <v>#REF!</v>
      </c>
      <c r="AI210" s="183" t="e">
        <f>(ROUND(D210/AH210,0))*GETPIVOTDATA(#REF!,A210)</f>
        <v>#REF!</v>
      </c>
      <c r="AJ210" s="189" t="e">
        <f>GETPIVOTDATA(#REF!,A210)</f>
        <v>#REF!</v>
      </c>
      <c r="AK210" s="189">
        <f>0.3*2</f>
        <v>0.6</v>
      </c>
      <c r="AL210" s="189">
        <f t="shared" si="185"/>
        <v>-0.04</v>
      </c>
      <c r="AM210" s="189">
        <v>0</v>
      </c>
      <c r="AN210" s="188" t="e">
        <f>+E210+SUM(AJ210:AM210)+(F210-0.02*2)</f>
        <v>#REF!</v>
      </c>
      <c r="AO210" s="183">
        <v>0</v>
      </c>
      <c r="AP210" s="182">
        <f t="shared" si="178"/>
        <v>10</v>
      </c>
      <c r="AQ210" s="182">
        <v>1.5</v>
      </c>
      <c r="AR210" s="187" t="e">
        <f t="shared" si="186"/>
        <v>#REF!</v>
      </c>
      <c r="AS210" s="187" t="e">
        <f t="shared" si="187"/>
        <v>#REF!</v>
      </c>
      <c r="AT210" s="187" t="e">
        <f t="shared" si="188"/>
        <v>#REF!</v>
      </c>
      <c r="AU210" s="187" t="e">
        <f t="shared" si="189"/>
        <v>#REF!</v>
      </c>
      <c r="AV210" s="187" t="e">
        <f t="shared" si="179"/>
        <v>#REF!</v>
      </c>
      <c r="AW210" s="187" t="e">
        <f t="shared" si="190"/>
        <v>#REF!</v>
      </c>
      <c r="AX210" s="187">
        <f t="shared" si="191"/>
        <v>15</v>
      </c>
      <c r="AY210" s="190"/>
      <c r="AZ210" s="204" t="s">
        <v>215</v>
      </c>
      <c r="BA210" s="205">
        <v>0.22500000000000001</v>
      </c>
      <c r="BB210" s="197">
        <v>12</v>
      </c>
      <c r="BC210" s="206">
        <v>0.09</v>
      </c>
      <c r="BD210" s="197">
        <v>10</v>
      </c>
      <c r="BE210" s="206">
        <v>0.15</v>
      </c>
      <c r="BF210" s="206">
        <f t="shared" ref="BF210:BF233" si="196">BA210*0.42</f>
        <v>9.4500000000000001E-2</v>
      </c>
      <c r="BG210" s="206">
        <f t="shared" ref="BG210:BG232" si="197">BA210*0.42</f>
        <v>9.4500000000000001E-2</v>
      </c>
      <c r="BH210" s="207">
        <v>1</v>
      </c>
      <c r="BK210" s="472" t="s">
        <v>192</v>
      </c>
      <c r="BL210" s="214" t="s">
        <v>95</v>
      </c>
      <c r="BM210" s="197"/>
      <c r="BN210" s="472" t="s">
        <v>192</v>
      </c>
      <c r="BO210" s="214" t="s">
        <v>95</v>
      </c>
      <c r="BP210" s="197"/>
      <c r="BQ210" s="475" t="s">
        <v>192</v>
      </c>
      <c r="BR210" s="214" t="s">
        <v>95</v>
      </c>
      <c r="BS210" s="197"/>
      <c r="BT210" s="472" t="s">
        <v>192</v>
      </c>
      <c r="BU210" s="214" t="s">
        <v>95</v>
      </c>
      <c r="BV210" s="197"/>
      <c r="BW210" s="471" t="s">
        <v>192</v>
      </c>
      <c r="BX210" s="217" t="s">
        <v>95</v>
      </c>
      <c r="BY210" s="197"/>
      <c r="BZ210" s="472" t="s">
        <v>192</v>
      </c>
      <c r="CA210" s="214" t="s">
        <v>95</v>
      </c>
      <c r="CC210" s="472" t="s">
        <v>192</v>
      </c>
      <c r="CD210" s="214" t="s">
        <v>95</v>
      </c>
      <c r="CF210" s="471" t="s">
        <v>192</v>
      </c>
      <c r="CG210" s="217" t="s">
        <v>95</v>
      </c>
    </row>
    <row r="211" spans="1:85" s="218" customFormat="1" x14ac:dyDescent="0.3">
      <c r="A211" s="182" t="s">
        <v>190</v>
      </c>
      <c r="B211" s="183">
        <v>1</v>
      </c>
      <c r="C211" s="184" t="s">
        <v>216</v>
      </c>
      <c r="D211" s="203">
        <v>4.3677000000000001</v>
      </c>
      <c r="E211" s="185">
        <v>2.78</v>
      </c>
      <c r="F211" s="186">
        <v>0.2</v>
      </c>
      <c r="G211" s="187">
        <f t="shared" si="180"/>
        <v>2.4284412</v>
      </c>
      <c r="H211" s="188">
        <f t="shared" si="177"/>
        <v>12.142206</v>
      </c>
      <c r="I211" s="183" t="e">
        <f>GETPIVOTDATA(#REF!,A211)</f>
        <v>#REF!</v>
      </c>
      <c r="J211" s="188" t="e">
        <f>GETPIVOTDATA(#REF!,A211)*2</f>
        <v>#REF!</v>
      </c>
      <c r="K211" s="183" t="e">
        <f>(ROUND(E211/J211,0)+1)*GETPIVOTDATA(#REF!,A211)</f>
        <v>#REF!</v>
      </c>
      <c r="L211" s="189" t="e">
        <f>GETPIVOTDATA(#REF!,A211)</f>
        <v>#REF!</v>
      </c>
      <c r="M211" s="189">
        <f>0.45+0.52</f>
        <v>0.97</v>
      </c>
      <c r="N211" s="189">
        <f t="shared" si="181"/>
        <v>-0.04</v>
      </c>
      <c r="O211" s="189">
        <f>5.37*0.3</f>
        <v>1.611</v>
      </c>
      <c r="P211" s="188" t="e">
        <f t="shared" si="195"/>
        <v>#REF!</v>
      </c>
      <c r="Q211" s="183" t="e">
        <f>GETPIVOTDATA(#REF!,A211)</f>
        <v>#REF!</v>
      </c>
      <c r="R211" s="188" t="e">
        <f>GETPIVOTDATA(#REF!,A211)*2</f>
        <v>#REF!</v>
      </c>
      <c r="S211" s="183" t="e">
        <f>(ROUND(E211/R211,0))*GETPIVOTDATA(#REF!,A211)</f>
        <v>#REF!</v>
      </c>
      <c r="T211" s="189" t="e">
        <f>GETPIVOTDATA(#REF!,A211)</f>
        <v>#REF!</v>
      </c>
      <c r="U211" s="189">
        <f>0.45+0.52</f>
        <v>0.97</v>
      </c>
      <c r="V211" s="189">
        <f t="shared" si="182"/>
        <v>-0.04</v>
      </c>
      <c r="W211" s="189">
        <f>4.11*0.3</f>
        <v>1.2330000000000001</v>
      </c>
      <c r="X211" s="188" t="e">
        <f t="shared" si="194"/>
        <v>#REF!</v>
      </c>
      <c r="Y211" s="183" t="e">
        <f>GETPIVOTDATA(#REF!,A211)</f>
        <v>#REF!</v>
      </c>
      <c r="Z211" s="182" t="e">
        <f>GETPIVOTDATA(#REF!,A211)*2</f>
        <v>#REF!</v>
      </c>
      <c r="AA211" s="183" t="e">
        <f>(ROUND(D211/Z211,0)+1)*GETPIVOTDATA(#REF!,A211)</f>
        <v>#REF!</v>
      </c>
      <c r="AB211" s="189" t="e">
        <f>GETPIVOTDATA(#REF!,A211)</f>
        <v>#REF!</v>
      </c>
      <c r="AC211" s="189">
        <f>0.3*2</f>
        <v>0.6</v>
      </c>
      <c r="AD211" s="189">
        <f t="shared" si="183"/>
        <v>-0.04</v>
      </c>
      <c r="AE211" s="189">
        <f>2.87*0.3</f>
        <v>0.86099999999999999</v>
      </c>
      <c r="AF211" s="188" t="e">
        <f t="shared" si="184"/>
        <v>#REF!</v>
      </c>
      <c r="AG211" s="183" t="e">
        <f>GETPIVOTDATA(#REF!,A211)</f>
        <v>#REF!</v>
      </c>
      <c r="AH211" s="182" t="e">
        <f>GETPIVOTDATA(#REF!,A211)*2</f>
        <v>#REF!</v>
      </c>
      <c r="AI211" s="183" t="e">
        <f>(ROUND(D211/AH211,0))*GETPIVOTDATA(#REF!,A211)</f>
        <v>#REF!</v>
      </c>
      <c r="AJ211" s="189" t="e">
        <f>GETPIVOTDATA(#REF!,A211)</f>
        <v>#REF!</v>
      </c>
      <c r="AK211" s="189">
        <f>0.3*2</f>
        <v>0.6</v>
      </c>
      <c r="AL211" s="189">
        <f t="shared" si="185"/>
        <v>-0.04</v>
      </c>
      <c r="AM211" s="189">
        <f>2.94*0.3</f>
        <v>0.88200000000000001</v>
      </c>
      <c r="AN211" s="188" t="e">
        <f t="shared" ref="AN211:AN274" si="198">+E211+SUM(AJ211:AM211)</f>
        <v>#REF!</v>
      </c>
      <c r="AO211" s="183">
        <v>0</v>
      </c>
      <c r="AP211" s="182">
        <f t="shared" si="178"/>
        <v>10</v>
      </c>
      <c r="AQ211" s="182">
        <v>1.5</v>
      </c>
      <c r="AR211" s="187" t="e">
        <f t="shared" si="186"/>
        <v>#REF!</v>
      </c>
      <c r="AS211" s="187" t="e">
        <f t="shared" si="187"/>
        <v>#REF!</v>
      </c>
      <c r="AT211" s="187" t="e">
        <f t="shared" si="188"/>
        <v>#REF!</v>
      </c>
      <c r="AU211" s="187" t="e">
        <f t="shared" si="189"/>
        <v>#REF!</v>
      </c>
      <c r="AV211" s="187" t="e">
        <f t="shared" si="179"/>
        <v>#REF!</v>
      </c>
      <c r="AW211" s="187" t="e">
        <f t="shared" si="190"/>
        <v>#REF!</v>
      </c>
      <c r="AX211" s="187">
        <f t="shared" si="191"/>
        <v>15</v>
      </c>
      <c r="AY211" s="190"/>
      <c r="AZ211" s="204" t="s">
        <v>217</v>
      </c>
      <c r="BA211" s="205">
        <v>0.2</v>
      </c>
      <c r="BB211" s="197">
        <v>12</v>
      </c>
      <c r="BC211" s="206">
        <v>0.1</v>
      </c>
      <c r="BD211" s="197">
        <v>10</v>
      </c>
      <c r="BE211" s="206">
        <v>0.2</v>
      </c>
      <c r="BF211" s="206">
        <f t="shared" si="196"/>
        <v>8.4000000000000005E-2</v>
      </c>
      <c r="BG211" s="206">
        <f t="shared" si="197"/>
        <v>8.4000000000000005E-2</v>
      </c>
      <c r="BH211" s="207">
        <v>1</v>
      </c>
      <c r="BK211" s="219" t="s">
        <v>218</v>
      </c>
      <c r="BL211" s="220">
        <v>0.16500000000000001</v>
      </c>
      <c r="BM211" s="197"/>
      <c r="BN211" s="219" t="s">
        <v>218</v>
      </c>
      <c r="BO211" s="220">
        <v>10</v>
      </c>
      <c r="BP211" s="197"/>
      <c r="BQ211" s="215" t="s">
        <v>218</v>
      </c>
      <c r="BR211" s="221">
        <v>0.1</v>
      </c>
      <c r="BS211" s="197"/>
      <c r="BT211" s="213" t="s">
        <v>219</v>
      </c>
      <c r="BU211" s="221">
        <v>7.3499999999999996E-2</v>
      </c>
      <c r="BV211" s="197"/>
      <c r="BW211" s="213" t="s">
        <v>218</v>
      </c>
      <c r="BX211" s="221">
        <v>10</v>
      </c>
      <c r="BY211" s="197"/>
      <c r="BZ211" s="213" t="s">
        <v>218</v>
      </c>
      <c r="CA211" s="221">
        <v>6.93E-2</v>
      </c>
      <c r="CB211" s="196"/>
      <c r="CC211" s="213" t="s">
        <v>218</v>
      </c>
      <c r="CD211" s="221">
        <v>0.1</v>
      </c>
      <c r="CE211" s="196"/>
      <c r="CF211" s="213" t="s">
        <v>218</v>
      </c>
      <c r="CG211" s="221">
        <v>1</v>
      </c>
    </row>
    <row r="212" spans="1:85" s="196" customFormat="1" x14ac:dyDescent="0.3">
      <c r="A212" s="182" t="s">
        <v>215</v>
      </c>
      <c r="B212" s="183">
        <v>1</v>
      </c>
      <c r="C212" s="184" t="s">
        <v>220</v>
      </c>
      <c r="D212" s="185">
        <v>4.1100000000000003</v>
      </c>
      <c r="E212" s="185">
        <v>5.92</v>
      </c>
      <c r="F212" s="186">
        <v>0.22500000000000001</v>
      </c>
      <c r="G212" s="187">
        <f t="shared" si="180"/>
        <v>5.4745200000000009</v>
      </c>
      <c r="H212" s="188">
        <f t="shared" si="177"/>
        <v>24.331200000000003</v>
      </c>
      <c r="I212" s="183" t="e">
        <f>GETPIVOTDATA(#REF!,A212)</f>
        <v>#REF!</v>
      </c>
      <c r="J212" s="188" t="e">
        <f>GETPIVOTDATA(#REF!,A212)*2</f>
        <v>#REF!</v>
      </c>
      <c r="K212" s="183" t="e">
        <f>(ROUND(E212/J212,0)+1)*GETPIVOTDATA(#REF!,A212)</f>
        <v>#REF!</v>
      </c>
      <c r="L212" s="189" t="e">
        <f>GETPIVOTDATA(#REF!,A212)</f>
        <v>#REF!</v>
      </c>
      <c r="M212" s="189">
        <f>0.6+0.52</f>
        <v>1.1200000000000001</v>
      </c>
      <c r="N212" s="189">
        <f t="shared" si="181"/>
        <v>-0.04</v>
      </c>
      <c r="O212" s="189">
        <f>4.37*0.3</f>
        <v>1.3109999999999999</v>
      </c>
      <c r="P212" s="188" t="e">
        <f t="shared" si="195"/>
        <v>#REF!</v>
      </c>
      <c r="Q212" s="183" t="e">
        <f>GETPIVOTDATA(#REF!,A212)</f>
        <v>#REF!</v>
      </c>
      <c r="R212" s="188" t="e">
        <f>GETPIVOTDATA(#REF!,A212)*2</f>
        <v>#REF!</v>
      </c>
      <c r="S212" s="183" t="e">
        <f>(ROUND(E212/R212,0))*GETPIVOTDATA(#REF!,A212)</f>
        <v>#REF!</v>
      </c>
      <c r="T212" s="189" t="e">
        <f>GETPIVOTDATA(#REF!,A212)</f>
        <v>#REF!</v>
      </c>
      <c r="U212" s="189">
        <f>0.6+0.52</f>
        <v>1.1200000000000001</v>
      </c>
      <c r="V212" s="189">
        <f t="shared" si="182"/>
        <v>-0.04</v>
      </c>
      <c r="W212" s="189">
        <f>4.07*0.3</f>
        <v>1.2210000000000001</v>
      </c>
      <c r="X212" s="188" t="e">
        <f t="shared" si="194"/>
        <v>#REF!</v>
      </c>
      <c r="Y212" s="183" t="e">
        <f>GETPIVOTDATA(#REF!,A212)</f>
        <v>#REF!</v>
      </c>
      <c r="Z212" s="182" t="e">
        <f>GETPIVOTDATA(#REF!,A212)*2</f>
        <v>#REF!</v>
      </c>
      <c r="AA212" s="183" t="e">
        <f>(ROUND(D212/Z212,0)+1)*GETPIVOTDATA(#REF!,A212)</f>
        <v>#REF!</v>
      </c>
      <c r="AB212" s="189" t="e">
        <f>GETPIVOTDATA(#REF!,A212)</f>
        <v>#REF!</v>
      </c>
      <c r="AC212" s="189">
        <f>0.23*2</f>
        <v>0.46</v>
      </c>
      <c r="AD212" s="189">
        <f t="shared" si="183"/>
        <v>-0.04</v>
      </c>
      <c r="AE212" s="189">
        <f>0.93*0.3</f>
        <v>0.27900000000000003</v>
      </c>
      <c r="AF212" s="188" t="e">
        <f t="shared" si="184"/>
        <v>#REF!</v>
      </c>
      <c r="AG212" s="183" t="e">
        <f>GETPIVOTDATA(#REF!,A212)</f>
        <v>#REF!</v>
      </c>
      <c r="AH212" s="182" t="e">
        <f>GETPIVOTDATA(#REF!,A212)*2</f>
        <v>#REF!</v>
      </c>
      <c r="AI212" s="183" t="e">
        <f>(ROUND(D212/AH212,0))*GETPIVOTDATA(#REF!,A212)</f>
        <v>#REF!</v>
      </c>
      <c r="AJ212" s="189" t="e">
        <f>GETPIVOTDATA(#REF!,A212)</f>
        <v>#REF!</v>
      </c>
      <c r="AK212" s="189">
        <f>0.23*2</f>
        <v>0.46</v>
      </c>
      <c r="AL212" s="189">
        <f t="shared" si="185"/>
        <v>-0.04</v>
      </c>
      <c r="AM212" s="189">
        <v>0</v>
      </c>
      <c r="AN212" s="188" t="e">
        <f>+E212+SUM(AJ212:AM212)+(F212-0.02*2)</f>
        <v>#REF!</v>
      </c>
      <c r="AO212" s="183">
        <v>0</v>
      </c>
      <c r="AP212" s="182">
        <f t="shared" si="178"/>
        <v>14</v>
      </c>
      <c r="AQ212" s="182">
        <v>1.5</v>
      </c>
      <c r="AR212" s="187" t="e">
        <f t="shared" si="186"/>
        <v>#REF!</v>
      </c>
      <c r="AS212" s="187" t="e">
        <f t="shared" si="187"/>
        <v>#REF!</v>
      </c>
      <c r="AT212" s="187" t="e">
        <f t="shared" si="188"/>
        <v>#REF!</v>
      </c>
      <c r="AU212" s="187" t="e">
        <f t="shared" si="189"/>
        <v>#REF!</v>
      </c>
      <c r="AV212" s="187" t="e">
        <f t="shared" si="179"/>
        <v>#REF!</v>
      </c>
      <c r="AW212" s="187" t="e">
        <f t="shared" si="190"/>
        <v>#REF!</v>
      </c>
      <c r="AX212" s="187">
        <f t="shared" si="191"/>
        <v>21</v>
      </c>
      <c r="AY212" s="190"/>
      <c r="AZ212" s="204" t="s">
        <v>221</v>
      </c>
      <c r="BA212" s="205">
        <v>0.17499999999999999</v>
      </c>
      <c r="BB212" s="197">
        <v>12</v>
      </c>
      <c r="BC212" s="206">
        <v>0.1</v>
      </c>
      <c r="BD212" s="197">
        <v>8</v>
      </c>
      <c r="BE212" s="206">
        <v>0.16</v>
      </c>
      <c r="BF212" s="206">
        <f t="shared" si="196"/>
        <v>7.3499999999999996E-2</v>
      </c>
      <c r="BG212" s="206">
        <f t="shared" si="197"/>
        <v>7.3499999999999996E-2</v>
      </c>
      <c r="BH212" s="207">
        <v>1</v>
      </c>
      <c r="BK212" s="222" t="s">
        <v>219</v>
      </c>
      <c r="BL212" s="223">
        <v>0.17499999999999999</v>
      </c>
      <c r="BM212" s="197"/>
      <c r="BN212" s="222" t="s">
        <v>219</v>
      </c>
      <c r="BO212" s="223">
        <v>10</v>
      </c>
      <c r="BP212" s="197"/>
      <c r="BQ212" s="224" t="s">
        <v>219</v>
      </c>
      <c r="BR212" s="225">
        <v>0.09</v>
      </c>
      <c r="BS212" s="197"/>
      <c r="BT212" s="226" t="s">
        <v>222</v>
      </c>
      <c r="BU212" s="225">
        <v>7.3499999999999996E-2</v>
      </c>
      <c r="BW212" s="226" t="s">
        <v>223</v>
      </c>
      <c r="BX212" s="225">
        <v>8</v>
      </c>
      <c r="BZ212" s="226" t="s">
        <v>223</v>
      </c>
      <c r="CA212" s="225">
        <v>5.4600000000000003E-2</v>
      </c>
      <c r="CC212" s="226" t="s">
        <v>219</v>
      </c>
      <c r="CD212" s="225">
        <v>0.1</v>
      </c>
      <c r="CF212" s="226" t="s">
        <v>223</v>
      </c>
      <c r="CG212" s="225">
        <v>1</v>
      </c>
    </row>
    <row r="213" spans="1:85" s="196" customFormat="1" x14ac:dyDescent="0.3">
      <c r="A213" s="182" t="s">
        <v>215</v>
      </c>
      <c r="B213" s="183">
        <v>1</v>
      </c>
      <c r="C213" s="184" t="s">
        <v>224</v>
      </c>
      <c r="D213" s="185">
        <v>4.07</v>
      </c>
      <c r="E213" s="185">
        <v>5.96</v>
      </c>
      <c r="F213" s="186">
        <v>0.22500000000000001</v>
      </c>
      <c r="G213" s="187">
        <f t="shared" si="180"/>
        <v>5.4578700000000007</v>
      </c>
      <c r="H213" s="188">
        <f t="shared" si="177"/>
        <v>24.257200000000001</v>
      </c>
      <c r="I213" s="183" t="e">
        <f>GETPIVOTDATA(#REF!,A213)</f>
        <v>#REF!</v>
      </c>
      <c r="J213" s="188" t="e">
        <f>GETPIVOTDATA(#REF!,A213)*2</f>
        <v>#REF!</v>
      </c>
      <c r="K213" s="183" t="e">
        <f>(ROUND(E213/J213,0)+1)*GETPIVOTDATA(#REF!,A213)</f>
        <v>#REF!</v>
      </c>
      <c r="L213" s="189" t="e">
        <f>GETPIVOTDATA(#REF!,A213)</f>
        <v>#REF!</v>
      </c>
      <c r="M213" s="189">
        <f>0.6+0.45</f>
        <v>1.05</v>
      </c>
      <c r="N213" s="189">
        <f t="shared" si="181"/>
        <v>-0.04</v>
      </c>
      <c r="O213" s="189">
        <f>4.11*0.3</f>
        <v>1.2330000000000001</v>
      </c>
      <c r="P213" s="188" t="e">
        <f t="shared" si="195"/>
        <v>#REF!</v>
      </c>
      <c r="Q213" s="183" t="e">
        <f>GETPIVOTDATA(#REF!,A213)</f>
        <v>#REF!</v>
      </c>
      <c r="R213" s="188" t="e">
        <f>GETPIVOTDATA(#REF!,A213)*2</f>
        <v>#REF!</v>
      </c>
      <c r="S213" s="183" t="e">
        <f>(ROUND(E213/R213,0))*GETPIVOTDATA(#REF!,A213)</f>
        <v>#REF!</v>
      </c>
      <c r="T213" s="189" t="e">
        <f>GETPIVOTDATA(#REF!,A213)</f>
        <v>#REF!</v>
      </c>
      <c r="U213" s="189">
        <f>0.6+0.45</f>
        <v>1.05</v>
      </c>
      <c r="V213" s="189">
        <f t="shared" si="182"/>
        <v>-0.04</v>
      </c>
      <c r="W213" s="189">
        <f>5.14*0.3</f>
        <v>1.5419999999999998</v>
      </c>
      <c r="X213" s="188" t="e">
        <f t="shared" si="194"/>
        <v>#REF!</v>
      </c>
      <c r="Y213" s="183" t="e">
        <f>GETPIVOTDATA(#REF!,A213)</f>
        <v>#REF!</v>
      </c>
      <c r="Z213" s="182" t="e">
        <f>GETPIVOTDATA(#REF!,A213)*2</f>
        <v>#REF!</v>
      </c>
      <c r="AA213" s="183" t="e">
        <f>(ROUND(D213/Z213,0)+1)*GETPIVOTDATA(#REF!,A213)</f>
        <v>#REF!</v>
      </c>
      <c r="AB213" s="189" t="e">
        <f>GETPIVOTDATA(#REF!,A213)</f>
        <v>#REF!</v>
      </c>
      <c r="AC213" s="189">
        <f>0.23+0.3</f>
        <v>0.53</v>
      </c>
      <c r="AD213" s="189">
        <f t="shared" si="183"/>
        <v>-0.04</v>
      </c>
      <c r="AE213" s="189">
        <f>2.94*0.3</f>
        <v>0.88200000000000001</v>
      </c>
      <c r="AF213" s="188" t="e">
        <f t="shared" si="184"/>
        <v>#REF!</v>
      </c>
      <c r="AG213" s="183" t="e">
        <f>GETPIVOTDATA(#REF!,A213)</f>
        <v>#REF!</v>
      </c>
      <c r="AH213" s="182" t="e">
        <f>GETPIVOTDATA(#REF!,A213)*2</f>
        <v>#REF!</v>
      </c>
      <c r="AI213" s="183" t="e">
        <f>(ROUND(D213/AH213,0))*GETPIVOTDATA(#REF!,A213)</f>
        <v>#REF!</v>
      </c>
      <c r="AJ213" s="189" t="e">
        <f>GETPIVOTDATA(#REF!,A213)</f>
        <v>#REF!</v>
      </c>
      <c r="AK213" s="189">
        <f>0.23+0.3</f>
        <v>0.53</v>
      </c>
      <c r="AL213" s="189">
        <f t="shared" si="185"/>
        <v>-0.04</v>
      </c>
      <c r="AM213" s="189">
        <v>0</v>
      </c>
      <c r="AN213" s="188" t="e">
        <f>+E213+SUM(AJ213:AM213)+(F213-0.02*2)</f>
        <v>#REF!</v>
      </c>
      <c r="AO213" s="183">
        <v>0</v>
      </c>
      <c r="AP213" s="182">
        <f t="shared" si="178"/>
        <v>14</v>
      </c>
      <c r="AQ213" s="182">
        <v>1.5</v>
      </c>
      <c r="AR213" s="187" t="e">
        <f t="shared" si="186"/>
        <v>#REF!</v>
      </c>
      <c r="AS213" s="187" t="e">
        <f t="shared" si="187"/>
        <v>#REF!</v>
      </c>
      <c r="AT213" s="187" t="e">
        <f t="shared" si="188"/>
        <v>#REF!</v>
      </c>
      <c r="AU213" s="187" t="e">
        <f t="shared" si="189"/>
        <v>#REF!</v>
      </c>
      <c r="AV213" s="187" t="e">
        <f t="shared" si="179"/>
        <v>#REF!</v>
      </c>
      <c r="AW213" s="187" t="e">
        <f t="shared" si="190"/>
        <v>#REF!</v>
      </c>
      <c r="AX213" s="187">
        <f t="shared" si="191"/>
        <v>21</v>
      </c>
      <c r="AY213" s="190"/>
      <c r="AZ213" s="227" t="s">
        <v>218</v>
      </c>
      <c r="BA213" s="205">
        <v>0.16500000000000001</v>
      </c>
      <c r="BB213" s="197">
        <v>10</v>
      </c>
      <c r="BC213" s="206">
        <v>0.1</v>
      </c>
      <c r="BD213" s="197">
        <v>10</v>
      </c>
      <c r="BE213" s="206">
        <v>0.1</v>
      </c>
      <c r="BF213" s="206">
        <f t="shared" si="196"/>
        <v>6.93E-2</v>
      </c>
      <c r="BG213" s="206">
        <f t="shared" si="197"/>
        <v>6.93E-2</v>
      </c>
      <c r="BH213" s="207">
        <v>1</v>
      </c>
      <c r="BK213" s="222" t="s">
        <v>222</v>
      </c>
      <c r="BL213" s="223">
        <v>0.17499999999999999</v>
      </c>
      <c r="BM213" s="197"/>
      <c r="BN213" s="222" t="s">
        <v>222</v>
      </c>
      <c r="BO213" s="223">
        <v>10</v>
      </c>
      <c r="BP213" s="197"/>
      <c r="BQ213" s="224" t="s">
        <v>222</v>
      </c>
      <c r="BR213" s="225">
        <v>0.09</v>
      </c>
      <c r="BS213" s="197"/>
      <c r="BT213" s="226" t="s">
        <v>225</v>
      </c>
      <c r="BU213" s="225">
        <v>7.3499999999999996E-2</v>
      </c>
      <c r="BW213" s="226" t="s">
        <v>226</v>
      </c>
      <c r="BX213" s="225">
        <v>8</v>
      </c>
      <c r="BZ213" s="226" t="s">
        <v>227</v>
      </c>
      <c r="CA213" s="225">
        <v>5.2499999999999998E-2</v>
      </c>
      <c r="CC213" s="226" t="s">
        <v>222</v>
      </c>
      <c r="CD213" s="225">
        <v>0.1</v>
      </c>
      <c r="CF213" s="226" t="s">
        <v>226</v>
      </c>
      <c r="CG213" s="225">
        <v>1</v>
      </c>
    </row>
    <row r="214" spans="1:85" s="196" customFormat="1" x14ac:dyDescent="0.3">
      <c r="A214" s="182" t="s">
        <v>190</v>
      </c>
      <c r="B214" s="183">
        <v>1</v>
      </c>
      <c r="C214" s="184" t="s">
        <v>228</v>
      </c>
      <c r="D214" s="185">
        <v>5.14</v>
      </c>
      <c r="E214" s="185">
        <v>2.88</v>
      </c>
      <c r="F214" s="186">
        <v>0.2</v>
      </c>
      <c r="G214" s="187">
        <f t="shared" si="180"/>
        <v>2.9606399999999997</v>
      </c>
      <c r="H214" s="188">
        <f t="shared" si="177"/>
        <v>14.803199999999999</v>
      </c>
      <c r="I214" s="183" t="e">
        <f>GETPIVOTDATA(#REF!,A214)</f>
        <v>#REF!</v>
      </c>
      <c r="J214" s="188" t="e">
        <f>GETPIVOTDATA(#REF!,A214)*2</f>
        <v>#REF!</v>
      </c>
      <c r="K214" s="183" t="e">
        <f>(ROUND(E214/J214,0)+1)*GETPIVOTDATA(#REF!,A214)</f>
        <v>#REF!</v>
      </c>
      <c r="L214" s="189" t="e">
        <f>GETPIVOTDATA(#REF!,A214)</f>
        <v>#REF!</v>
      </c>
      <c r="M214" s="189">
        <f t="shared" si="192"/>
        <v>0.9</v>
      </c>
      <c r="N214" s="189">
        <f t="shared" si="181"/>
        <v>-0.04</v>
      </c>
      <c r="O214" s="189">
        <f>4.07*0.3</f>
        <v>1.2210000000000001</v>
      </c>
      <c r="P214" s="188" t="e">
        <f t="shared" si="195"/>
        <v>#REF!</v>
      </c>
      <c r="Q214" s="183" t="e">
        <f>GETPIVOTDATA(#REF!,A214)</f>
        <v>#REF!</v>
      </c>
      <c r="R214" s="188" t="e">
        <f>GETPIVOTDATA(#REF!,A214)*2</f>
        <v>#REF!</v>
      </c>
      <c r="S214" s="183" t="e">
        <f>(ROUND(E214/R214,0))*GETPIVOTDATA(#REF!,A214)</f>
        <v>#REF!</v>
      </c>
      <c r="T214" s="189" t="e">
        <f>GETPIVOTDATA(#REF!,A214)</f>
        <v>#REF!</v>
      </c>
      <c r="U214" s="189">
        <f t="shared" si="193"/>
        <v>0.9</v>
      </c>
      <c r="V214" s="189">
        <f t="shared" si="182"/>
        <v>-0.04</v>
      </c>
      <c r="W214" s="189">
        <f>4.54*0.3</f>
        <v>1.3619999999999999</v>
      </c>
      <c r="X214" s="188" t="e">
        <f t="shared" si="194"/>
        <v>#REF!</v>
      </c>
      <c r="Y214" s="183" t="e">
        <f>GETPIVOTDATA(#REF!,A214)</f>
        <v>#REF!</v>
      </c>
      <c r="Z214" s="182" t="e">
        <f>GETPIVOTDATA(#REF!,A214)*2</f>
        <v>#REF!</v>
      </c>
      <c r="AA214" s="183" t="e">
        <f>(ROUND(D214/Z214,0)+1)*GETPIVOTDATA(#REF!,A214)</f>
        <v>#REF!</v>
      </c>
      <c r="AB214" s="189" t="e">
        <f>GETPIVOTDATA(#REF!,A214)</f>
        <v>#REF!</v>
      </c>
      <c r="AC214" s="189">
        <f>0.23+0.3</f>
        <v>0.53</v>
      </c>
      <c r="AD214" s="189">
        <f t="shared" si="183"/>
        <v>-0.04</v>
      </c>
      <c r="AE214" s="189">
        <f>2.78*0.3</f>
        <v>0.83399999999999996</v>
      </c>
      <c r="AF214" s="188" t="e">
        <f t="shared" si="184"/>
        <v>#REF!</v>
      </c>
      <c r="AG214" s="183" t="e">
        <f>GETPIVOTDATA(#REF!,A214)</f>
        <v>#REF!</v>
      </c>
      <c r="AH214" s="182" t="e">
        <f>GETPIVOTDATA(#REF!,A214)*2</f>
        <v>#REF!</v>
      </c>
      <c r="AI214" s="183" t="e">
        <f>(ROUND(D214/AH214,0))*GETPIVOTDATA(#REF!,A214)</f>
        <v>#REF!</v>
      </c>
      <c r="AJ214" s="189" t="e">
        <f>GETPIVOTDATA(#REF!,A214)</f>
        <v>#REF!</v>
      </c>
      <c r="AK214" s="189">
        <f>0.23+0.3</f>
        <v>0.53</v>
      </c>
      <c r="AL214" s="189">
        <f t="shared" si="185"/>
        <v>-0.04</v>
      </c>
      <c r="AM214" s="189">
        <v>0</v>
      </c>
      <c r="AN214" s="188" t="e">
        <f>+E214+SUM(AJ214:AM214)+(F214-0.02*2)</f>
        <v>#REF!</v>
      </c>
      <c r="AO214" s="183">
        <v>0</v>
      </c>
      <c r="AP214" s="182">
        <f t="shared" si="178"/>
        <v>10</v>
      </c>
      <c r="AQ214" s="182">
        <v>1.5</v>
      </c>
      <c r="AR214" s="187" t="e">
        <f t="shared" si="186"/>
        <v>#REF!</v>
      </c>
      <c r="AS214" s="187" t="e">
        <f t="shared" si="187"/>
        <v>#REF!</v>
      </c>
      <c r="AT214" s="187" t="e">
        <f t="shared" si="188"/>
        <v>#REF!</v>
      </c>
      <c r="AU214" s="187" t="e">
        <f t="shared" si="189"/>
        <v>#REF!</v>
      </c>
      <c r="AV214" s="187" t="e">
        <f t="shared" si="179"/>
        <v>#REF!</v>
      </c>
      <c r="AW214" s="187" t="e">
        <f t="shared" si="190"/>
        <v>#REF!</v>
      </c>
      <c r="AX214" s="187">
        <f t="shared" si="191"/>
        <v>15</v>
      </c>
      <c r="AY214" s="190"/>
      <c r="AZ214" s="227" t="s">
        <v>219</v>
      </c>
      <c r="BA214" s="205">
        <v>0.17499999999999999</v>
      </c>
      <c r="BB214" s="197">
        <v>10</v>
      </c>
      <c r="BC214" s="206">
        <v>0.09</v>
      </c>
      <c r="BD214" s="197">
        <v>10</v>
      </c>
      <c r="BE214" s="206">
        <v>0.1</v>
      </c>
      <c r="BF214" s="206">
        <f t="shared" si="196"/>
        <v>7.3499999999999996E-2</v>
      </c>
      <c r="BG214" s="206">
        <f t="shared" si="197"/>
        <v>7.3499999999999996E-2</v>
      </c>
      <c r="BH214" s="207">
        <v>1</v>
      </c>
      <c r="BK214" s="222" t="s">
        <v>225</v>
      </c>
      <c r="BL214" s="223">
        <v>0.17499999999999999</v>
      </c>
      <c r="BM214" s="197"/>
      <c r="BN214" s="222" t="s">
        <v>225</v>
      </c>
      <c r="BO214" s="223">
        <v>10</v>
      </c>
      <c r="BP214" s="197"/>
      <c r="BQ214" s="224" t="s">
        <v>225</v>
      </c>
      <c r="BR214" s="225">
        <v>0.09</v>
      </c>
      <c r="BS214" s="197"/>
      <c r="BT214" s="226" t="s">
        <v>229</v>
      </c>
      <c r="BU214" s="225">
        <v>5.4600000000000003E-2</v>
      </c>
      <c r="BW214" s="226" t="s">
        <v>227</v>
      </c>
      <c r="BX214" s="225">
        <v>8</v>
      </c>
      <c r="BZ214" s="226" t="s">
        <v>230</v>
      </c>
      <c r="CA214" s="225">
        <v>6.93E-2</v>
      </c>
      <c r="CC214" s="226" t="s">
        <v>225</v>
      </c>
      <c r="CD214" s="225">
        <v>0.1</v>
      </c>
      <c r="CF214" s="226" t="s">
        <v>227</v>
      </c>
      <c r="CG214" s="225">
        <v>1</v>
      </c>
    </row>
    <row r="215" spans="1:85" s="196" customFormat="1" x14ac:dyDescent="0.3">
      <c r="A215" s="182" t="s">
        <v>190</v>
      </c>
      <c r="B215" s="183">
        <v>1</v>
      </c>
      <c r="C215" s="184" t="s">
        <v>231</v>
      </c>
      <c r="D215" s="185">
        <v>5.14</v>
      </c>
      <c r="E215" s="185">
        <v>2.78</v>
      </c>
      <c r="F215" s="186">
        <v>0.2</v>
      </c>
      <c r="G215" s="187">
        <f t="shared" si="180"/>
        <v>2.8578399999999995</v>
      </c>
      <c r="H215" s="188">
        <f t="shared" si="177"/>
        <v>14.289199999999997</v>
      </c>
      <c r="I215" s="183" t="e">
        <f>GETPIVOTDATA(#REF!,A215)</f>
        <v>#REF!</v>
      </c>
      <c r="J215" s="188" t="e">
        <f>GETPIVOTDATA(#REF!,A215)*2</f>
        <v>#REF!</v>
      </c>
      <c r="K215" s="183" t="e">
        <f>(ROUND(E215/J215,0)+1)*GETPIVOTDATA(#REF!,A215)</f>
        <v>#REF!</v>
      </c>
      <c r="L215" s="189" t="e">
        <f>GETPIVOTDATA(#REF!,A215)</f>
        <v>#REF!</v>
      </c>
      <c r="M215" s="189">
        <f t="shared" si="192"/>
        <v>0.9</v>
      </c>
      <c r="N215" s="189">
        <f t="shared" si="181"/>
        <v>-0.04</v>
      </c>
      <c r="O215" s="189">
        <f>4.07*0.3</f>
        <v>1.2210000000000001</v>
      </c>
      <c r="P215" s="188" t="e">
        <f>+D215+SUM(L215:O215)</f>
        <v>#REF!</v>
      </c>
      <c r="Q215" s="183" t="e">
        <f>GETPIVOTDATA(#REF!,A215)</f>
        <v>#REF!</v>
      </c>
      <c r="R215" s="188" t="e">
        <f>GETPIVOTDATA(#REF!,A215)*2</f>
        <v>#REF!</v>
      </c>
      <c r="S215" s="183" t="e">
        <f>(ROUND(E215/R215,0))*GETPIVOTDATA(#REF!,A215)</f>
        <v>#REF!</v>
      </c>
      <c r="T215" s="189" t="e">
        <f>GETPIVOTDATA(#REF!,A215)</f>
        <v>#REF!</v>
      </c>
      <c r="U215" s="189">
        <f t="shared" si="193"/>
        <v>0.9</v>
      </c>
      <c r="V215" s="189">
        <f t="shared" si="182"/>
        <v>-0.04</v>
      </c>
      <c r="W215" s="189">
        <f>4.54*0.3</f>
        <v>1.3619999999999999</v>
      </c>
      <c r="X215" s="188" t="e">
        <f t="shared" si="194"/>
        <v>#REF!</v>
      </c>
      <c r="Y215" s="183" t="e">
        <f>GETPIVOTDATA(#REF!,A215)</f>
        <v>#REF!</v>
      </c>
      <c r="Z215" s="182" t="e">
        <f>GETPIVOTDATA(#REF!,A215)*2</f>
        <v>#REF!</v>
      </c>
      <c r="AA215" s="183" t="e">
        <f>(ROUND(D215/Z215,0)+1)*GETPIVOTDATA(#REF!,A215)</f>
        <v>#REF!</v>
      </c>
      <c r="AB215" s="189" t="e">
        <f>GETPIVOTDATA(#REF!,A215)</f>
        <v>#REF!</v>
      </c>
      <c r="AC215" s="189">
        <f>0.3*2</f>
        <v>0.6</v>
      </c>
      <c r="AD215" s="189">
        <f t="shared" si="183"/>
        <v>-0.04</v>
      </c>
      <c r="AE215" s="189">
        <f>5.64*0.3</f>
        <v>1.6919999999999999</v>
      </c>
      <c r="AF215" s="188" t="e">
        <f t="shared" si="184"/>
        <v>#REF!</v>
      </c>
      <c r="AG215" s="183" t="e">
        <f>GETPIVOTDATA(#REF!,A215)</f>
        <v>#REF!</v>
      </c>
      <c r="AH215" s="182" t="e">
        <f>GETPIVOTDATA(#REF!,A215)*2</f>
        <v>#REF!</v>
      </c>
      <c r="AI215" s="183" t="e">
        <f>(ROUND(D215/AH215,0))*GETPIVOTDATA(#REF!,A215)</f>
        <v>#REF!</v>
      </c>
      <c r="AJ215" s="189" t="e">
        <f>GETPIVOTDATA(#REF!,A215)</f>
        <v>#REF!</v>
      </c>
      <c r="AK215" s="189">
        <f>0.3*2</f>
        <v>0.6</v>
      </c>
      <c r="AL215" s="189">
        <f t="shared" si="185"/>
        <v>-0.04</v>
      </c>
      <c r="AM215" s="189">
        <f>2.88*0.3</f>
        <v>0.86399999999999999</v>
      </c>
      <c r="AN215" s="188" t="e">
        <f>+E215+SUM(AJ215:AM215)</f>
        <v>#REF!</v>
      </c>
      <c r="AO215" s="183">
        <v>0</v>
      </c>
      <c r="AP215" s="182">
        <f t="shared" si="178"/>
        <v>10</v>
      </c>
      <c r="AQ215" s="182">
        <v>1.5</v>
      </c>
      <c r="AR215" s="187" t="e">
        <f t="shared" si="186"/>
        <v>#REF!</v>
      </c>
      <c r="AS215" s="187" t="e">
        <f t="shared" si="187"/>
        <v>#REF!</v>
      </c>
      <c r="AT215" s="187" t="e">
        <f t="shared" si="188"/>
        <v>#REF!</v>
      </c>
      <c r="AU215" s="187" t="e">
        <f t="shared" si="189"/>
        <v>#REF!</v>
      </c>
      <c r="AV215" s="187" t="e">
        <f t="shared" si="179"/>
        <v>#REF!</v>
      </c>
      <c r="AW215" s="187" t="e">
        <f t="shared" si="190"/>
        <v>#REF!</v>
      </c>
      <c r="AX215" s="187">
        <f t="shared" si="191"/>
        <v>15</v>
      </c>
      <c r="AY215" s="190"/>
      <c r="AZ215" s="227" t="s">
        <v>222</v>
      </c>
      <c r="BA215" s="205">
        <v>0.17499999999999999</v>
      </c>
      <c r="BB215" s="197">
        <v>10</v>
      </c>
      <c r="BC215" s="206">
        <v>0.09</v>
      </c>
      <c r="BD215" s="197">
        <v>10</v>
      </c>
      <c r="BE215" s="206">
        <v>0.1</v>
      </c>
      <c r="BF215" s="206">
        <f t="shared" si="196"/>
        <v>7.3499999999999996E-2</v>
      </c>
      <c r="BG215" s="206">
        <f t="shared" si="197"/>
        <v>7.3499999999999996E-2</v>
      </c>
      <c r="BH215" s="207">
        <v>1</v>
      </c>
      <c r="BK215" s="222" t="s">
        <v>229</v>
      </c>
      <c r="BL215" s="223">
        <v>0.13</v>
      </c>
      <c r="BM215" s="197"/>
      <c r="BN215" s="222" t="s">
        <v>229</v>
      </c>
      <c r="BO215" s="223">
        <v>8</v>
      </c>
      <c r="BP215" s="197"/>
      <c r="BQ215" s="224" t="s">
        <v>229</v>
      </c>
      <c r="BR215" s="225">
        <v>8.5000000000000006E-2</v>
      </c>
      <c r="BS215" s="197"/>
      <c r="BT215" s="226" t="s">
        <v>232</v>
      </c>
      <c r="BU215" s="225">
        <v>5.4600000000000003E-2</v>
      </c>
      <c r="BW215" s="226" t="s">
        <v>233</v>
      </c>
      <c r="BX215" s="225">
        <v>10</v>
      </c>
      <c r="BZ215" s="226" t="s">
        <v>234</v>
      </c>
      <c r="CA215" s="225"/>
      <c r="CC215" s="226" t="s">
        <v>229</v>
      </c>
      <c r="CD215" s="225">
        <v>0.12</v>
      </c>
      <c r="CF215" s="226" t="s">
        <v>233</v>
      </c>
      <c r="CG215" s="225">
        <v>1</v>
      </c>
    </row>
    <row r="216" spans="1:85" s="196" customFormat="1" ht="27.6" x14ac:dyDescent="0.3">
      <c r="A216" s="182" t="s">
        <v>190</v>
      </c>
      <c r="B216" s="183">
        <v>2</v>
      </c>
      <c r="C216" s="184" t="s">
        <v>235</v>
      </c>
      <c r="D216" s="185">
        <v>4.54</v>
      </c>
      <c r="E216" s="185">
        <v>2.88</v>
      </c>
      <c r="F216" s="186">
        <v>0.2</v>
      </c>
      <c r="G216" s="187">
        <f t="shared" si="180"/>
        <v>5.2300800000000001</v>
      </c>
      <c r="H216" s="188">
        <f t="shared" si="177"/>
        <v>26.150399999999998</v>
      </c>
      <c r="I216" s="183" t="e">
        <f>GETPIVOTDATA(#REF!,A216)</f>
        <v>#REF!</v>
      </c>
      <c r="J216" s="188" t="e">
        <f>GETPIVOTDATA(#REF!,A216)*2</f>
        <v>#REF!</v>
      </c>
      <c r="K216" s="183" t="e">
        <f>(ROUND(E216/J216,0)+1)*GETPIVOTDATA(#REF!,A216)</f>
        <v>#REF!</v>
      </c>
      <c r="L216" s="189" t="e">
        <f>GETPIVOTDATA(#REF!,A216)</f>
        <v>#REF!</v>
      </c>
      <c r="M216" s="189">
        <f>0.45+0.6</f>
        <v>1.05</v>
      </c>
      <c r="N216" s="189">
        <f t="shared" si="181"/>
        <v>-0.04</v>
      </c>
      <c r="O216" s="189">
        <f>5.14*0.3</f>
        <v>1.5419999999999998</v>
      </c>
      <c r="P216" s="188" t="e">
        <f t="shared" si="195"/>
        <v>#REF!</v>
      </c>
      <c r="Q216" s="183" t="e">
        <f>GETPIVOTDATA(#REF!,A216)</f>
        <v>#REF!</v>
      </c>
      <c r="R216" s="188" t="e">
        <f>GETPIVOTDATA(#REF!,A216)*2</f>
        <v>#REF!</v>
      </c>
      <c r="S216" s="183" t="e">
        <f>(ROUND(E216/R216,0))*GETPIVOTDATA(#REF!,A216)</f>
        <v>#REF!</v>
      </c>
      <c r="T216" s="189" t="e">
        <f>GETPIVOTDATA(#REF!,A216)</f>
        <v>#REF!</v>
      </c>
      <c r="U216" s="189">
        <f>0.45+0.6</f>
        <v>1.05</v>
      </c>
      <c r="V216" s="189">
        <f t="shared" si="182"/>
        <v>-0.04</v>
      </c>
      <c r="W216" s="189">
        <f>4.54*0.3</f>
        <v>1.3619999999999999</v>
      </c>
      <c r="X216" s="188" t="e">
        <f t="shared" si="194"/>
        <v>#REF!</v>
      </c>
      <c r="Y216" s="183" t="e">
        <f>GETPIVOTDATA(#REF!,A216)</f>
        <v>#REF!</v>
      </c>
      <c r="Z216" s="182" t="e">
        <f>GETPIVOTDATA(#REF!,A216)*2</f>
        <v>#REF!</v>
      </c>
      <c r="AA216" s="183" t="e">
        <f>(ROUND(D216/Z216,0)+1)*GETPIVOTDATA(#REF!,A216)</f>
        <v>#REF!</v>
      </c>
      <c r="AB216" s="189" t="e">
        <f>GETPIVOTDATA(#REF!,A216)</f>
        <v>#REF!</v>
      </c>
      <c r="AC216" s="189">
        <f>0.23+0.3</f>
        <v>0.53</v>
      </c>
      <c r="AD216" s="189">
        <f t="shared" si="183"/>
        <v>-0.04</v>
      </c>
      <c r="AE216" s="189">
        <f>0.3*2.78</f>
        <v>0.83399999999999996</v>
      </c>
      <c r="AF216" s="188" t="e">
        <f t="shared" si="184"/>
        <v>#REF!</v>
      </c>
      <c r="AG216" s="183" t="e">
        <f>GETPIVOTDATA(#REF!,A216)</f>
        <v>#REF!</v>
      </c>
      <c r="AH216" s="182" t="e">
        <f>GETPIVOTDATA(#REF!,A216)*2</f>
        <v>#REF!</v>
      </c>
      <c r="AI216" s="183" t="e">
        <f>(ROUND(D216/AH216,0))*GETPIVOTDATA(#REF!,A216)</f>
        <v>#REF!</v>
      </c>
      <c r="AJ216" s="189" t="e">
        <f>GETPIVOTDATA(#REF!,A216)</f>
        <v>#REF!</v>
      </c>
      <c r="AK216" s="189">
        <f>0.23+0.3</f>
        <v>0.53</v>
      </c>
      <c r="AL216" s="189">
        <f t="shared" si="185"/>
        <v>-0.04</v>
      </c>
      <c r="AM216" s="189">
        <v>0</v>
      </c>
      <c r="AN216" s="188" t="e">
        <f>+E216+SUM(AJ216:AM216)+(F216-0.02*2)</f>
        <v>#REF!</v>
      </c>
      <c r="AO216" s="183">
        <v>0</v>
      </c>
      <c r="AP216" s="182">
        <f t="shared" si="178"/>
        <v>10</v>
      </c>
      <c r="AQ216" s="182">
        <v>1.5</v>
      </c>
      <c r="AR216" s="187" t="e">
        <f t="shared" si="186"/>
        <v>#REF!</v>
      </c>
      <c r="AS216" s="187" t="e">
        <f t="shared" si="187"/>
        <v>#REF!</v>
      </c>
      <c r="AT216" s="187" t="e">
        <f t="shared" si="188"/>
        <v>#REF!</v>
      </c>
      <c r="AU216" s="187" t="e">
        <f t="shared" si="189"/>
        <v>#REF!</v>
      </c>
      <c r="AV216" s="187" t="e">
        <f t="shared" si="179"/>
        <v>#REF!</v>
      </c>
      <c r="AW216" s="187" t="e">
        <f t="shared" si="190"/>
        <v>#REF!</v>
      </c>
      <c r="AX216" s="187">
        <f t="shared" si="191"/>
        <v>30</v>
      </c>
      <c r="AY216" s="190"/>
      <c r="AZ216" s="227" t="s">
        <v>225</v>
      </c>
      <c r="BA216" s="205">
        <v>0.17499999999999999</v>
      </c>
      <c r="BB216" s="197">
        <v>10</v>
      </c>
      <c r="BC216" s="206">
        <v>0.09</v>
      </c>
      <c r="BD216" s="197">
        <v>10</v>
      </c>
      <c r="BE216" s="206">
        <v>0.1</v>
      </c>
      <c r="BF216" s="206">
        <f t="shared" si="196"/>
        <v>7.3499999999999996E-2</v>
      </c>
      <c r="BG216" s="206">
        <f t="shared" si="197"/>
        <v>7.3499999999999996E-2</v>
      </c>
      <c r="BH216" s="207">
        <v>1</v>
      </c>
      <c r="BK216" s="222" t="s">
        <v>232</v>
      </c>
      <c r="BL216" s="223">
        <v>0.13</v>
      </c>
      <c r="BM216" s="197"/>
      <c r="BN216" s="222" t="s">
        <v>232</v>
      </c>
      <c r="BO216" s="223">
        <v>8</v>
      </c>
      <c r="BP216" s="197"/>
      <c r="BQ216" s="224" t="s">
        <v>232</v>
      </c>
      <c r="BR216" s="225">
        <v>0.1</v>
      </c>
      <c r="BS216" s="197"/>
      <c r="BT216" s="226" t="s">
        <v>218</v>
      </c>
      <c r="BU216" s="225">
        <v>6.93E-2</v>
      </c>
      <c r="BW216" s="226" t="s">
        <v>230</v>
      </c>
      <c r="BX216" s="225">
        <v>8</v>
      </c>
      <c r="BZ216" s="226" t="s">
        <v>236</v>
      </c>
      <c r="CA216" s="225">
        <v>6.93E-2</v>
      </c>
      <c r="CC216" s="226" t="s">
        <v>232</v>
      </c>
      <c r="CD216" s="225">
        <v>0.12</v>
      </c>
      <c r="CF216" s="226" t="s">
        <v>230</v>
      </c>
      <c r="CG216" s="225">
        <v>1</v>
      </c>
    </row>
    <row r="217" spans="1:85" s="196" customFormat="1" ht="27.6" x14ac:dyDescent="0.3">
      <c r="A217" s="182" t="s">
        <v>190</v>
      </c>
      <c r="B217" s="183">
        <v>2</v>
      </c>
      <c r="C217" s="184" t="s">
        <v>237</v>
      </c>
      <c r="D217" s="185">
        <v>4.54</v>
      </c>
      <c r="E217" s="185">
        <v>2.78</v>
      </c>
      <c r="F217" s="186">
        <v>0.2</v>
      </c>
      <c r="G217" s="187">
        <f t="shared" si="180"/>
        <v>5.0484800000000005</v>
      </c>
      <c r="H217" s="188">
        <f t="shared" si="177"/>
        <v>25.2424</v>
      </c>
      <c r="I217" s="183" t="e">
        <f>GETPIVOTDATA(#REF!,A217)</f>
        <v>#REF!</v>
      </c>
      <c r="J217" s="188" t="e">
        <f>GETPIVOTDATA(#REF!,A217)*2</f>
        <v>#REF!</v>
      </c>
      <c r="K217" s="183" t="e">
        <f>(ROUND(E217/J217,0)+1)*GETPIVOTDATA(#REF!,A217)</f>
        <v>#REF!</v>
      </c>
      <c r="L217" s="189" t="e">
        <f>GETPIVOTDATA(#REF!,A217)</f>
        <v>#REF!</v>
      </c>
      <c r="M217" s="189">
        <f>0.45+0.6</f>
        <v>1.05</v>
      </c>
      <c r="N217" s="189">
        <f t="shared" si="181"/>
        <v>-0.04</v>
      </c>
      <c r="O217" s="189">
        <f>5.14*0.3</f>
        <v>1.5419999999999998</v>
      </c>
      <c r="P217" s="188" t="e">
        <f t="shared" si="195"/>
        <v>#REF!</v>
      </c>
      <c r="Q217" s="183" t="e">
        <f>GETPIVOTDATA(#REF!,A217)</f>
        <v>#REF!</v>
      </c>
      <c r="R217" s="188" t="e">
        <f>GETPIVOTDATA(#REF!,A217)*2</f>
        <v>#REF!</v>
      </c>
      <c r="S217" s="183" t="e">
        <f>(ROUND(E217/R217,0))*GETPIVOTDATA(#REF!,A217)</f>
        <v>#REF!</v>
      </c>
      <c r="T217" s="189" t="e">
        <f>GETPIVOTDATA(#REF!,A217)</f>
        <v>#REF!</v>
      </c>
      <c r="U217" s="189">
        <f>0.45+0.6</f>
        <v>1.05</v>
      </c>
      <c r="V217" s="189">
        <f t="shared" si="182"/>
        <v>-0.04</v>
      </c>
      <c r="W217" s="189">
        <f>4.54*0.3</f>
        <v>1.3619999999999999</v>
      </c>
      <c r="X217" s="188" t="e">
        <f t="shared" si="194"/>
        <v>#REF!</v>
      </c>
      <c r="Y217" s="183" t="e">
        <f>GETPIVOTDATA(#REF!,A217)</f>
        <v>#REF!</v>
      </c>
      <c r="Z217" s="182" t="e">
        <f>GETPIVOTDATA(#REF!,A217)*2</f>
        <v>#REF!</v>
      </c>
      <c r="AA217" s="183" t="e">
        <f>(ROUND(D217/Z217,0)+1)*GETPIVOTDATA(#REF!,A217)</f>
        <v>#REF!</v>
      </c>
      <c r="AB217" s="189" t="e">
        <f>GETPIVOTDATA(#REF!,A217)</f>
        <v>#REF!</v>
      </c>
      <c r="AC217" s="189">
        <f>0.3*2</f>
        <v>0.6</v>
      </c>
      <c r="AD217" s="189">
        <f t="shared" si="183"/>
        <v>-0.04</v>
      </c>
      <c r="AE217" s="189">
        <f>2.88*0.3</f>
        <v>0.86399999999999999</v>
      </c>
      <c r="AF217" s="188" t="e">
        <f t="shared" si="184"/>
        <v>#REF!</v>
      </c>
      <c r="AG217" s="183" t="e">
        <f>GETPIVOTDATA(#REF!,A217)</f>
        <v>#REF!</v>
      </c>
      <c r="AH217" s="182" t="e">
        <f>GETPIVOTDATA(#REF!,A217)*2</f>
        <v>#REF!</v>
      </c>
      <c r="AI217" s="183" t="e">
        <f>(ROUND(D217/AH217,0))*GETPIVOTDATA(#REF!,A217)</f>
        <v>#REF!</v>
      </c>
      <c r="AJ217" s="189" t="e">
        <f>GETPIVOTDATA(#REF!,A217)</f>
        <v>#REF!</v>
      </c>
      <c r="AK217" s="189">
        <f>0.3*2</f>
        <v>0.6</v>
      </c>
      <c r="AL217" s="189">
        <f t="shared" si="185"/>
        <v>-0.04</v>
      </c>
      <c r="AM217" s="189">
        <f>5.62*0.3</f>
        <v>1.6859999999999999</v>
      </c>
      <c r="AN217" s="188" t="e">
        <f t="shared" si="198"/>
        <v>#REF!</v>
      </c>
      <c r="AO217" s="183">
        <v>0</v>
      </c>
      <c r="AP217" s="182">
        <f t="shared" si="178"/>
        <v>10</v>
      </c>
      <c r="AQ217" s="182">
        <v>1.5</v>
      </c>
      <c r="AR217" s="187" t="e">
        <f t="shared" si="186"/>
        <v>#REF!</v>
      </c>
      <c r="AS217" s="187" t="e">
        <f t="shared" si="187"/>
        <v>#REF!</v>
      </c>
      <c r="AT217" s="187" t="e">
        <f t="shared" si="188"/>
        <v>#REF!</v>
      </c>
      <c r="AU217" s="187" t="e">
        <f t="shared" si="189"/>
        <v>#REF!</v>
      </c>
      <c r="AV217" s="187" t="e">
        <f t="shared" si="179"/>
        <v>#REF!</v>
      </c>
      <c r="AW217" s="187" t="e">
        <f t="shared" si="190"/>
        <v>#REF!</v>
      </c>
      <c r="AX217" s="187">
        <f t="shared" si="191"/>
        <v>30</v>
      </c>
      <c r="AY217" s="190"/>
      <c r="AZ217" s="227" t="s">
        <v>229</v>
      </c>
      <c r="BA217" s="205">
        <v>0.13</v>
      </c>
      <c r="BB217" s="197">
        <v>8</v>
      </c>
      <c r="BC217" s="206">
        <v>8.5000000000000006E-2</v>
      </c>
      <c r="BD217" s="197">
        <v>8</v>
      </c>
      <c r="BE217" s="206">
        <v>0.12</v>
      </c>
      <c r="BF217" s="206">
        <f t="shared" si="196"/>
        <v>5.4600000000000003E-2</v>
      </c>
      <c r="BG217" s="206">
        <f t="shared" si="197"/>
        <v>5.4600000000000003E-2</v>
      </c>
      <c r="BH217" s="207">
        <v>1</v>
      </c>
      <c r="BK217" s="222" t="s">
        <v>238</v>
      </c>
      <c r="BL217" s="223"/>
      <c r="BM217" s="197"/>
      <c r="BN217" s="222" t="s">
        <v>238</v>
      </c>
      <c r="BO217" s="223"/>
      <c r="BP217" s="197"/>
      <c r="BQ217" s="226" t="s">
        <v>238</v>
      </c>
      <c r="BR217" s="225"/>
      <c r="BS217" s="197"/>
      <c r="BT217" s="226" t="s">
        <v>239</v>
      </c>
      <c r="BU217" s="225">
        <v>5.2499999999999998E-2</v>
      </c>
      <c r="BW217" s="226" t="s">
        <v>219</v>
      </c>
      <c r="BX217" s="225">
        <v>10</v>
      </c>
      <c r="BZ217" s="226" t="s">
        <v>240</v>
      </c>
      <c r="CA217" s="225">
        <v>6.7199999999999996E-2</v>
      </c>
      <c r="CC217" s="226" t="s">
        <v>238</v>
      </c>
      <c r="CD217" s="225"/>
      <c r="CF217" s="226" t="s">
        <v>234</v>
      </c>
      <c r="CG217" s="225">
        <v>1</v>
      </c>
    </row>
    <row r="218" spans="1:85" s="196" customFormat="1" ht="27.6" x14ac:dyDescent="0.3">
      <c r="A218" s="182" t="s">
        <v>190</v>
      </c>
      <c r="B218" s="183">
        <v>1</v>
      </c>
      <c r="C218" s="184" t="s">
        <v>241</v>
      </c>
      <c r="D218" s="185">
        <v>4.1900000000000004</v>
      </c>
      <c r="E218" s="185">
        <v>2.73</v>
      </c>
      <c r="F218" s="186">
        <v>0.2</v>
      </c>
      <c r="G218" s="187">
        <f>D218*E218*F218*B218</f>
        <v>2.2877400000000003</v>
      </c>
      <c r="H218" s="188">
        <f>D218*E218*B218</f>
        <v>11.438700000000001</v>
      </c>
      <c r="I218" s="183" t="e">
        <f>GETPIVOTDATA(#REF!,A218)</f>
        <v>#REF!</v>
      </c>
      <c r="J218" s="188" t="e">
        <f>GETPIVOTDATA(#REF!,A218)*2</f>
        <v>#REF!</v>
      </c>
      <c r="K218" s="183" t="e">
        <f>(ROUND(E218/J218,0)+1)*GETPIVOTDATA(#REF!,A218)</f>
        <v>#REF!</v>
      </c>
      <c r="L218" s="189" t="e">
        <f>GETPIVOTDATA(#REF!,A218)</f>
        <v>#REF!</v>
      </c>
      <c r="M218" s="189">
        <f>0.6+0.73</f>
        <v>1.33</v>
      </c>
      <c r="N218" s="189">
        <f t="shared" si="181"/>
        <v>-0.04</v>
      </c>
      <c r="O218" s="189">
        <f>4.54*0.3</f>
        <v>1.3619999999999999</v>
      </c>
      <c r="P218" s="188" t="e">
        <f t="shared" si="195"/>
        <v>#REF!</v>
      </c>
      <c r="Q218" s="183" t="e">
        <f>GETPIVOTDATA(#REF!,A218)</f>
        <v>#REF!</v>
      </c>
      <c r="R218" s="188" t="e">
        <f>GETPIVOTDATA(#REF!,A218)*2</f>
        <v>#REF!</v>
      </c>
      <c r="S218" s="183" t="e">
        <f>(ROUND(E218/R218,0))*GETPIVOTDATA(#REF!,A218)</f>
        <v>#REF!</v>
      </c>
      <c r="T218" s="189" t="e">
        <f>GETPIVOTDATA(#REF!,A218)</f>
        <v>#REF!</v>
      </c>
      <c r="U218" s="189">
        <f>0.6+0.73</f>
        <v>1.33</v>
      </c>
      <c r="V218" s="189">
        <f t="shared" si="182"/>
        <v>-0.04</v>
      </c>
      <c r="W218" s="189">
        <f>3.09*0.3</f>
        <v>0.92699999999999994</v>
      </c>
      <c r="X218" s="188" t="e">
        <f t="shared" si="194"/>
        <v>#REF!</v>
      </c>
      <c r="Y218" s="183" t="e">
        <f>GETPIVOTDATA(#REF!,A218)</f>
        <v>#REF!</v>
      </c>
      <c r="Z218" s="182" t="e">
        <f>GETPIVOTDATA(#REF!,A218)*2</f>
        <v>#REF!</v>
      </c>
      <c r="AA218" s="183" t="e">
        <f>(ROUND(D218/Z218,0)+1)*GETPIVOTDATA(#REF!,A218)</f>
        <v>#REF!</v>
      </c>
      <c r="AB218" s="189" t="e">
        <f>GETPIVOTDATA(#REF!,A218)</f>
        <v>#REF!</v>
      </c>
      <c r="AC218" s="189">
        <f>0.3+0.38</f>
        <v>0.67999999999999994</v>
      </c>
      <c r="AD218" s="189">
        <f t="shared" si="183"/>
        <v>-0.04</v>
      </c>
      <c r="AE218" s="189"/>
      <c r="AF218" s="188" t="e">
        <f t="shared" si="184"/>
        <v>#REF!</v>
      </c>
      <c r="AG218" s="183" t="e">
        <f>GETPIVOTDATA(#REF!,A218)</f>
        <v>#REF!</v>
      </c>
      <c r="AH218" s="182" t="e">
        <f>GETPIVOTDATA(#REF!,A218)*2</f>
        <v>#REF!</v>
      </c>
      <c r="AI218" s="183" t="e">
        <f>(ROUND(D218/AH218,0))*GETPIVOTDATA(#REF!,A218)</f>
        <v>#REF!</v>
      </c>
      <c r="AJ218" s="189" t="e">
        <f>GETPIVOTDATA(#REF!,A218)</f>
        <v>#REF!</v>
      </c>
      <c r="AK218" s="189">
        <f>0.3+0.38</f>
        <v>0.67999999999999994</v>
      </c>
      <c r="AL218" s="189">
        <f t="shared" si="185"/>
        <v>-0.04</v>
      </c>
      <c r="AM218" s="189">
        <v>0</v>
      </c>
      <c r="AN218" s="188" t="e">
        <f>+E218+SUM(AJ218:AM218)+(F218-2*0.02)</f>
        <v>#REF!</v>
      </c>
      <c r="AO218" s="183">
        <v>0</v>
      </c>
      <c r="AP218" s="182">
        <f t="shared" si="178"/>
        <v>10</v>
      </c>
      <c r="AQ218" s="182">
        <v>1.5</v>
      </c>
      <c r="AR218" s="187" t="e">
        <f>IF(I218=8,K218*P218*B218,0)+IF(Q218=8,S218*X218*B218,0)</f>
        <v>#REF!</v>
      </c>
      <c r="AS218" s="187" t="e">
        <f>IF(I218=10,K218*P218*B218,0)+IF(Q218=10,S218*X218*B218,0)</f>
        <v>#REF!</v>
      </c>
      <c r="AT218" s="187" t="e">
        <f>IF(I218=12,K218*P218*B218,0)+IF(Q218=12,S218*X218*B218,0)</f>
        <v>#REF!</v>
      </c>
      <c r="AU218" s="187" t="e">
        <f>IF(AG218=8,AI218*AN218*B218,0)+IF(Y218=8,B218*AA218*AF218,0)</f>
        <v>#REF!</v>
      </c>
      <c r="AV218" s="187" t="e">
        <f>IF(AG218=10,AI218*AN218*B218,0)+IF(Y218=10,B218*AA218*AF218,0)</f>
        <v>#REF!</v>
      </c>
      <c r="AW218" s="187" t="e">
        <f t="shared" si="190"/>
        <v>#REF!</v>
      </c>
      <c r="AX218" s="187">
        <f t="shared" si="191"/>
        <v>15</v>
      </c>
      <c r="AY218" s="190"/>
      <c r="AZ218" s="227" t="s">
        <v>232</v>
      </c>
      <c r="BA218" s="205">
        <v>0.13</v>
      </c>
      <c r="BB218" s="197">
        <v>8</v>
      </c>
      <c r="BC218" s="206">
        <v>0.1</v>
      </c>
      <c r="BD218" s="197">
        <v>8</v>
      </c>
      <c r="BE218" s="206">
        <v>0.12</v>
      </c>
      <c r="BF218" s="206">
        <f t="shared" si="196"/>
        <v>5.4600000000000003E-2</v>
      </c>
      <c r="BG218" s="206">
        <f t="shared" si="197"/>
        <v>5.4600000000000003E-2</v>
      </c>
      <c r="BH218" s="207">
        <v>1</v>
      </c>
      <c r="BI218" s="197"/>
      <c r="BK218" s="222" t="s">
        <v>239</v>
      </c>
      <c r="BL218" s="223">
        <v>0.125</v>
      </c>
      <c r="BM218" s="197"/>
      <c r="BN218" s="222" t="s">
        <v>239</v>
      </c>
      <c r="BO218" s="223">
        <v>8</v>
      </c>
      <c r="BP218" s="197"/>
      <c r="BQ218" s="226" t="s">
        <v>239</v>
      </c>
      <c r="BR218" s="225">
        <v>0.115</v>
      </c>
      <c r="BS218" s="197"/>
      <c r="BT218" s="226" t="s">
        <v>242</v>
      </c>
      <c r="BU218" s="225">
        <v>5.8800000000000005E-2</v>
      </c>
      <c r="BW218" s="226" t="s">
        <v>222</v>
      </c>
      <c r="BX218" s="225">
        <v>10</v>
      </c>
      <c r="BZ218" s="226" t="s">
        <v>219</v>
      </c>
      <c r="CA218" s="225">
        <v>7.3499999999999996E-2</v>
      </c>
      <c r="CC218" s="226" t="s">
        <v>239</v>
      </c>
      <c r="CD218" s="225">
        <v>0.15</v>
      </c>
      <c r="CF218" s="226" t="s">
        <v>243</v>
      </c>
      <c r="CG218" s="225">
        <v>1</v>
      </c>
    </row>
    <row r="219" spans="1:85" s="196" customFormat="1" ht="27.6" x14ac:dyDescent="0.3">
      <c r="A219" s="182" t="s">
        <v>190</v>
      </c>
      <c r="B219" s="183">
        <v>1</v>
      </c>
      <c r="C219" s="184" t="s">
        <v>244</v>
      </c>
      <c r="D219" s="185">
        <v>4.1950000000000003</v>
      </c>
      <c r="E219" s="185">
        <v>2.6337000000000002</v>
      </c>
      <c r="F219" s="186">
        <v>0.2</v>
      </c>
      <c r="G219" s="187">
        <f t="shared" si="180"/>
        <v>2.2096743000000005</v>
      </c>
      <c r="H219" s="188">
        <f t="shared" si="177"/>
        <v>11.048371500000002</v>
      </c>
      <c r="I219" s="183" t="e">
        <f>GETPIVOTDATA(#REF!,A219)</f>
        <v>#REF!</v>
      </c>
      <c r="J219" s="188" t="e">
        <f>GETPIVOTDATA(#REF!,A219)*2</f>
        <v>#REF!</v>
      </c>
      <c r="K219" s="183" t="e">
        <f>(ROUND(E219/J219,0)+1)*GETPIVOTDATA(#REF!,A219)</f>
        <v>#REF!</v>
      </c>
      <c r="L219" s="189" t="e">
        <f>GETPIVOTDATA(#REF!,A219)</f>
        <v>#REF!</v>
      </c>
      <c r="M219" s="189">
        <f>0.6+0.73</f>
        <v>1.33</v>
      </c>
      <c r="N219" s="189">
        <f t="shared" si="181"/>
        <v>-0.04</v>
      </c>
      <c r="O219" s="189">
        <f>4.54*0.3</f>
        <v>1.3619999999999999</v>
      </c>
      <c r="P219" s="188" t="e">
        <f t="shared" si="195"/>
        <v>#REF!</v>
      </c>
      <c r="Q219" s="183" t="e">
        <f>GETPIVOTDATA(#REF!,A219)</f>
        <v>#REF!</v>
      </c>
      <c r="R219" s="188" t="e">
        <f>GETPIVOTDATA(#REF!,A219)*2</f>
        <v>#REF!</v>
      </c>
      <c r="S219" s="183" t="e">
        <f>(ROUND(E219/R219,0))*GETPIVOTDATA(#REF!,A219)</f>
        <v>#REF!</v>
      </c>
      <c r="T219" s="189" t="e">
        <f>GETPIVOTDATA(#REF!,A219)</f>
        <v>#REF!</v>
      </c>
      <c r="U219" s="189">
        <f>0.6+0.73</f>
        <v>1.33</v>
      </c>
      <c r="V219" s="189">
        <f t="shared" si="182"/>
        <v>-0.04</v>
      </c>
      <c r="W219" s="189">
        <f>3.09*0.3</f>
        <v>0.92699999999999994</v>
      </c>
      <c r="X219" s="188" t="e">
        <f t="shared" si="194"/>
        <v>#REF!</v>
      </c>
      <c r="Y219" s="183" t="e">
        <f>GETPIVOTDATA(#REF!,A219)</f>
        <v>#REF!</v>
      </c>
      <c r="Z219" s="182" t="e">
        <f>GETPIVOTDATA(#REF!,A219)*2</f>
        <v>#REF!</v>
      </c>
      <c r="AA219" s="183" t="e">
        <f>(ROUND(D219/Z219,0)+1)*GETPIVOTDATA(#REF!,A219)</f>
        <v>#REF!</v>
      </c>
      <c r="AB219" s="189" t="e">
        <f>GETPIVOTDATA(#REF!,A219)</f>
        <v>#REF!</v>
      </c>
      <c r="AC219" s="189">
        <f>0.3+0.6</f>
        <v>0.89999999999999991</v>
      </c>
      <c r="AD219" s="189">
        <f t="shared" si="183"/>
        <v>-0.04</v>
      </c>
      <c r="AE219" s="189">
        <f>2.73*0.3</f>
        <v>0.81899999999999995</v>
      </c>
      <c r="AF219" s="188" t="e">
        <f t="shared" si="184"/>
        <v>#REF!</v>
      </c>
      <c r="AG219" s="183" t="e">
        <f>GETPIVOTDATA(#REF!,A219)</f>
        <v>#REF!</v>
      </c>
      <c r="AH219" s="182" t="e">
        <f>GETPIVOTDATA(#REF!,A219)*2</f>
        <v>#REF!</v>
      </c>
      <c r="AI219" s="183" t="e">
        <f>(ROUND(D219/AH219,0))*GETPIVOTDATA(#REF!,A219)</f>
        <v>#REF!</v>
      </c>
      <c r="AJ219" s="189" t="e">
        <f>GETPIVOTDATA(#REF!,A219)</f>
        <v>#REF!</v>
      </c>
      <c r="AK219" s="189">
        <f>0.3+0.6</f>
        <v>0.89999999999999991</v>
      </c>
      <c r="AL219" s="189">
        <f t="shared" si="185"/>
        <v>-0.04</v>
      </c>
      <c r="AM219" s="189">
        <f>2.75*0.3</f>
        <v>0.82499999999999996</v>
      </c>
      <c r="AN219" s="188" t="e">
        <f t="shared" si="198"/>
        <v>#REF!</v>
      </c>
      <c r="AO219" s="183">
        <v>0</v>
      </c>
      <c r="AP219" s="182">
        <f t="shared" si="178"/>
        <v>10</v>
      </c>
      <c r="AQ219" s="182">
        <v>1.5</v>
      </c>
      <c r="AR219" s="187" t="e">
        <f t="shared" si="186"/>
        <v>#REF!</v>
      </c>
      <c r="AS219" s="187" t="e">
        <f t="shared" si="187"/>
        <v>#REF!</v>
      </c>
      <c r="AT219" s="187" t="e">
        <f t="shared" si="188"/>
        <v>#REF!</v>
      </c>
      <c r="AU219" s="187" t="e">
        <f t="shared" si="189"/>
        <v>#REF!</v>
      </c>
      <c r="AV219" s="187" t="e">
        <f t="shared" si="179"/>
        <v>#REF!</v>
      </c>
      <c r="AW219" s="187" t="e">
        <f t="shared" si="190"/>
        <v>#REF!</v>
      </c>
      <c r="AX219" s="187">
        <f t="shared" si="191"/>
        <v>15</v>
      </c>
      <c r="AY219" s="190"/>
      <c r="AZ219" s="227" t="s">
        <v>239</v>
      </c>
      <c r="BA219" s="205">
        <v>0.125</v>
      </c>
      <c r="BB219" s="197">
        <v>8</v>
      </c>
      <c r="BC219" s="206">
        <v>0.115</v>
      </c>
      <c r="BD219" s="197">
        <v>8</v>
      </c>
      <c r="BE219" s="206">
        <v>0.15</v>
      </c>
      <c r="BF219" s="206">
        <f t="shared" si="196"/>
        <v>5.2499999999999998E-2</v>
      </c>
      <c r="BG219" s="206">
        <f t="shared" si="197"/>
        <v>5.2499999999999998E-2</v>
      </c>
      <c r="BH219" s="207">
        <v>1</v>
      </c>
      <c r="BI219" s="197"/>
      <c r="BK219" s="222" t="s">
        <v>242</v>
      </c>
      <c r="BL219" s="223">
        <v>0.14000000000000001</v>
      </c>
      <c r="BM219" s="197"/>
      <c r="BN219" s="222" t="s">
        <v>242</v>
      </c>
      <c r="BO219" s="223">
        <v>10</v>
      </c>
      <c r="BQ219" s="226" t="s">
        <v>242</v>
      </c>
      <c r="BR219" s="225">
        <v>0.1</v>
      </c>
      <c r="BS219" s="197"/>
      <c r="BT219" s="226" t="s">
        <v>245</v>
      </c>
      <c r="BU219" s="225">
        <v>5.8800000000000005E-2</v>
      </c>
      <c r="BW219" s="226" t="s">
        <v>225</v>
      </c>
      <c r="BX219" s="225">
        <v>10</v>
      </c>
      <c r="BZ219" s="226" t="s">
        <v>222</v>
      </c>
      <c r="CA219" s="225">
        <v>7.3499999999999996E-2</v>
      </c>
      <c r="CC219" s="226" t="s">
        <v>242</v>
      </c>
      <c r="CD219" s="225">
        <v>0.15</v>
      </c>
      <c r="CF219" s="226" t="s">
        <v>219</v>
      </c>
      <c r="CG219" s="225">
        <v>1</v>
      </c>
    </row>
    <row r="220" spans="1:85" s="196" customFormat="1" ht="27.6" x14ac:dyDescent="0.3">
      <c r="A220" s="182" t="s">
        <v>190</v>
      </c>
      <c r="B220" s="183">
        <v>1</v>
      </c>
      <c r="C220" s="184" t="s">
        <v>246</v>
      </c>
      <c r="D220" s="185">
        <v>3.09</v>
      </c>
      <c r="E220" s="185">
        <v>5.66</v>
      </c>
      <c r="F220" s="186">
        <v>0.2</v>
      </c>
      <c r="G220" s="187">
        <f t="shared" si="180"/>
        <v>3.4978800000000003</v>
      </c>
      <c r="H220" s="188">
        <f t="shared" si="177"/>
        <v>17.4894</v>
      </c>
      <c r="I220" s="183" t="e">
        <f>GETPIVOTDATA(#REF!,A220)</f>
        <v>#REF!</v>
      </c>
      <c r="J220" s="188" t="e">
        <f>GETPIVOTDATA(#REF!,A220)*2</f>
        <v>#REF!</v>
      </c>
      <c r="K220" s="183" t="e">
        <f>(ROUND(E220/J220,0)+1)*GETPIVOTDATA(#REF!,A220)</f>
        <v>#REF!</v>
      </c>
      <c r="L220" s="189" t="e">
        <f>GETPIVOTDATA(#REF!,A220)</f>
        <v>#REF!</v>
      </c>
      <c r="M220" s="189">
        <f>0.74+0.54</f>
        <v>1.28</v>
      </c>
      <c r="N220" s="189">
        <f t="shared" si="181"/>
        <v>-0.04</v>
      </c>
      <c r="O220" s="189">
        <f>4.195*0.3</f>
        <v>1.2585</v>
      </c>
      <c r="P220" s="188" t="e">
        <f t="shared" si="195"/>
        <v>#REF!</v>
      </c>
      <c r="Q220" s="183" t="e">
        <f>GETPIVOTDATA(#REF!,A220)</f>
        <v>#REF!</v>
      </c>
      <c r="R220" s="188" t="e">
        <f>GETPIVOTDATA(#REF!,A220)*2</f>
        <v>#REF!</v>
      </c>
      <c r="S220" s="183" t="e">
        <f>(ROUND(E220/R220,0))*GETPIVOTDATA(#REF!,A220)</f>
        <v>#REF!</v>
      </c>
      <c r="T220" s="189" t="e">
        <f>GETPIVOTDATA(#REF!,A220)</f>
        <v>#REF!</v>
      </c>
      <c r="U220" s="189">
        <f>0.74+0.54</f>
        <v>1.28</v>
      </c>
      <c r="V220" s="189">
        <f t="shared" si="182"/>
        <v>-0.04</v>
      </c>
      <c r="W220" s="189">
        <f>4.296*0.3</f>
        <v>1.2887999999999999</v>
      </c>
      <c r="X220" s="188" t="e">
        <f t="shared" si="194"/>
        <v>#REF!</v>
      </c>
      <c r="Y220" s="183" t="e">
        <f>GETPIVOTDATA(#REF!,A220)</f>
        <v>#REF!</v>
      </c>
      <c r="Z220" s="182" t="e">
        <f>GETPIVOTDATA(#REF!,A220)*2</f>
        <v>#REF!</v>
      </c>
      <c r="AA220" s="183" t="e">
        <f>(ROUND(D220/Z220,0)+1)*GETPIVOTDATA(#REF!,A220)</f>
        <v>#REF!</v>
      </c>
      <c r="AB220" s="189" t="e">
        <f>GETPIVOTDATA(#REF!,A220)</f>
        <v>#REF!</v>
      </c>
      <c r="AC220" s="189">
        <f>0.6+0.38</f>
        <v>0.98</v>
      </c>
      <c r="AD220" s="189">
        <f t="shared" si="183"/>
        <v>-0.04</v>
      </c>
      <c r="AE220" s="189">
        <f>5.47*0.3</f>
        <v>1.6409999999999998</v>
      </c>
      <c r="AF220" s="188" t="e">
        <f t="shared" si="184"/>
        <v>#REF!</v>
      </c>
      <c r="AG220" s="183" t="e">
        <f>GETPIVOTDATA(#REF!,A220)</f>
        <v>#REF!</v>
      </c>
      <c r="AH220" s="182" t="e">
        <f>GETPIVOTDATA(#REF!,A220)*2</f>
        <v>#REF!</v>
      </c>
      <c r="AI220" s="183" t="e">
        <f>(ROUND(D220/AH220,0))*GETPIVOTDATA(#REF!,A220)</f>
        <v>#REF!</v>
      </c>
      <c r="AJ220" s="189" t="e">
        <f>GETPIVOTDATA(#REF!,A220)</f>
        <v>#REF!</v>
      </c>
      <c r="AK220" s="189">
        <f>0.6+0.38</f>
        <v>0.98</v>
      </c>
      <c r="AL220" s="189">
        <f t="shared" si="185"/>
        <v>-0.04</v>
      </c>
      <c r="AM220" s="189">
        <v>0</v>
      </c>
      <c r="AN220" s="188" t="e">
        <f>+E220+SUM(AJ220:AM220)+(F220-2*0.02)</f>
        <v>#REF!</v>
      </c>
      <c r="AO220" s="183">
        <v>0</v>
      </c>
      <c r="AP220" s="182">
        <f t="shared" si="178"/>
        <v>12</v>
      </c>
      <c r="AQ220" s="182">
        <v>1.5</v>
      </c>
      <c r="AR220" s="187" t="e">
        <f t="shared" si="186"/>
        <v>#REF!</v>
      </c>
      <c r="AS220" s="187" t="e">
        <f t="shared" si="187"/>
        <v>#REF!</v>
      </c>
      <c r="AT220" s="187" t="e">
        <f t="shared" si="188"/>
        <v>#REF!</v>
      </c>
      <c r="AU220" s="187" t="e">
        <f t="shared" si="189"/>
        <v>#REF!</v>
      </c>
      <c r="AV220" s="187" t="e">
        <f t="shared" si="179"/>
        <v>#REF!</v>
      </c>
      <c r="AW220" s="187" t="e">
        <f t="shared" si="190"/>
        <v>#REF!</v>
      </c>
      <c r="AX220" s="187">
        <f t="shared" si="191"/>
        <v>18</v>
      </c>
      <c r="AY220" s="190"/>
      <c r="AZ220" s="227" t="s">
        <v>242</v>
      </c>
      <c r="BA220" s="205">
        <v>0.14000000000000001</v>
      </c>
      <c r="BB220" s="197">
        <v>10</v>
      </c>
      <c r="BC220" s="206">
        <v>0.1</v>
      </c>
      <c r="BD220" s="197">
        <v>8</v>
      </c>
      <c r="BE220" s="206">
        <v>0.15</v>
      </c>
      <c r="BF220" s="206">
        <f t="shared" si="196"/>
        <v>5.8800000000000005E-2</v>
      </c>
      <c r="BG220" s="206">
        <f t="shared" si="197"/>
        <v>5.8800000000000005E-2</v>
      </c>
      <c r="BH220" s="207">
        <v>1</v>
      </c>
      <c r="BI220" s="197"/>
      <c r="BK220" s="222" t="s">
        <v>245</v>
      </c>
      <c r="BL220" s="223">
        <v>0.14000000000000001</v>
      </c>
      <c r="BM220" s="197"/>
      <c r="BN220" s="222" t="s">
        <v>245</v>
      </c>
      <c r="BO220" s="223">
        <v>10</v>
      </c>
      <c r="BQ220" s="226" t="s">
        <v>245</v>
      </c>
      <c r="BR220" s="225">
        <v>0.1</v>
      </c>
      <c r="BS220" s="197"/>
      <c r="BT220" s="226" t="s">
        <v>223</v>
      </c>
      <c r="BU220" s="225">
        <v>5.4600000000000003E-2</v>
      </c>
      <c r="BW220" s="226" t="s">
        <v>229</v>
      </c>
      <c r="BX220" s="225">
        <v>8</v>
      </c>
      <c r="BZ220" s="226" t="s">
        <v>225</v>
      </c>
      <c r="CA220" s="225">
        <v>7.3499999999999996E-2</v>
      </c>
      <c r="CC220" s="226" t="s">
        <v>245</v>
      </c>
      <c r="CD220" s="225">
        <v>0.12</v>
      </c>
      <c r="CF220" s="226" t="s">
        <v>222</v>
      </c>
      <c r="CG220" s="225">
        <v>1</v>
      </c>
    </row>
    <row r="221" spans="1:85" s="196" customFormat="1" ht="27.6" x14ac:dyDescent="0.3">
      <c r="A221" s="182" t="s">
        <v>217</v>
      </c>
      <c r="B221" s="183">
        <v>1</v>
      </c>
      <c r="C221" s="184" t="s">
        <v>247</v>
      </c>
      <c r="D221" s="185">
        <f>(0.98+2.78+4.3+0)/4</f>
        <v>2.0149999999999997</v>
      </c>
      <c r="E221" s="185">
        <f>(5.65+3.53+1.82+0)/4</f>
        <v>2.75</v>
      </c>
      <c r="F221" s="186">
        <v>0.2</v>
      </c>
      <c r="G221" s="187">
        <f t="shared" si="180"/>
        <v>1.1082499999999997</v>
      </c>
      <c r="H221" s="188">
        <f t="shared" si="177"/>
        <v>5.5412499999999989</v>
      </c>
      <c r="I221" s="183" t="e">
        <f>GETPIVOTDATA(#REF!,A221)</f>
        <v>#REF!</v>
      </c>
      <c r="J221" s="188" t="e">
        <f>GETPIVOTDATA(#REF!,A221)*2</f>
        <v>#REF!</v>
      </c>
      <c r="K221" s="183" t="e">
        <f>(ROUND(E221/J221,0)+1)*GETPIVOTDATA(#REF!,A221)</f>
        <v>#REF!</v>
      </c>
      <c r="L221" s="189" t="e">
        <f>GETPIVOTDATA(#REF!,A221)</f>
        <v>#REF!</v>
      </c>
      <c r="M221" s="189">
        <f t="shared" ref="M221:M279" si="199">0.3*2</f>
        <v>0.6</v>
      </c>
      <c r="N221" s="189">
        <f t="shared" si="181"/>
        <v>-0.04</v>
      </c>
      <c r="O221" s="189">
        <f>0.55+0.23</f>
        <v>0.78</v>
      </c>
      <c r="P221" s="188" t="e">
        <f t="shared" si="195"/>
        <v>#REF!</v>
      </c>
      <c r="Q221" s="183" t="e">
        <f>GETPIVOTDATA(#REF!,A221)</f>
        <v>#REF!</v>
      </c>
      <c r="R221" s="188" t="e">
        <f>GETPIVOTDATA(#REF!,A221)*2</f>
        <v>#REF!</v>
      </c>
      <c r="S221" s="183" t="e">
        <f>(ROUND(E221/R221,0))*GETPIVOTDATA(#REF!,A221)</f>
        <v>#REF!</v>
      </c>
      <c r="T221" s="189" t="e">
        <f>GETPIVOTDATA(#REF!,A221)</f>
        <v>#REF!</v>
      </c>
      <c r="U221" s="189">
        <f t="shared" ref="U221:U279" si="200">0.3*2</f>
        <v>0.6</v>
      </c>
      <c r="V221" s="189">
        <f t="shared" si="182"/>
        <v>-0.04</v>
      </c>
      <c r="W221" s="189">
        <f>3.09*0.3</f>
        <v>0.92699999999999994</v>
      </c>
      <c r="X221" s="188" t="e">
        <f t="shared" si="194"/>
        <v>#REF!</v>
      </c>
      <c r="Y221" s="183" t="e">
        <f>GETPIVOTDATA(#REF!,A221)</f>
        <v>#REF!</v>
      </c>
      <c r="Z221" s="182" t="e">
        <f>GETPIVOTDATA(#REF!,A221)*2</f>
        <v>#REF!</v>
      </c>
      <c r="AA221" s="183" t="e">
        <f>(ROUND(D221/Z221,0)+1)*GETPIVOTDATA(#REF!,A221)</f>
        <v>#REF!</v>
      </c>
      <c r="AB221" s="189" t="e">
        <f>GETPIVOTDATA(#REF!,A221)</f>
        <v>#REF!</v>
      </c>
      <c r="AC221" s="189">
        <f>0.6+0.23</f>
        <v>0.83</v>
      </c>
      <c r="AD221" s="189">
        <f t="shared" si="183"/>
        <v>-0.04</v>
      </c>
      <c r="AE221" s="189">
        <f>5.47*0.3</f>
        <v>1.6409999999999998</v>
      </c>
      <c r="AF221" s="188" t="e">
        <f t="shared" si="184"/>
        <v>#REF!</v>
      </c>
      <c r="AG221" s="183" t="e">
        <f>GETPIVOTDATA(#REF!,A221)</f>
        <v>#REF!</v>
      </c>
      <c r="AH221" s="182" t="e">
        <f>GETPIVOTDATA(#REF!,A221)*2</f>
        <v>#REF!</v>
      </c>
      <c r="AI221" s="183" t="e">
        <f>(ROUND(D221/AH221,0))*GETPIVOTDATA(#REF!,A221)</f>
        <v>#REF!</v>
      </c>
      <c r="AJ221" s="189" t="e">
        <f>GETPIVOTDATA(#REF!,A221)</f>
        <v>#REF!</v>
      </c>
      <c r="AK221" s="189">
        <f>0.6+0.23</f>
        <v>0.83</v>
      </c>
      <c r="AL221" s="189">
        <f t="shared" si="185"/>
        <v>-0.04</v>
      </c>
      <c r="AM221" s="189">
        <v>0</v>
      </c>
      <c r="AN221" s="188" t="e">
        <f>+E221+SUM(AJ221:AM221)+(F221-2*0.02)</f>
        <v>#REF!</v>
      </c>
      <c r="AO221" s="183">
        <v>0</v>
      </c>
      <c r="AP221" s="182">
        <f t="shared" si="178"/>
        <v>6</v>
      </c>
      <c r="AQ221" s="182">
        <v>1.5</v>
      </c>
      <c r="AR221" s="187" t="e">
        <f t="shared" si="186"/>
        <v>#REF!</v>
      </c>
      <c r="AS221" s="187" t="e">
        <f t="shared" si="187"/>
        <v>#REF!</v>
      </c>
      <c r="AT221" s="187" t="e">
        <f t="shared" si="188"/>
        <v>#REF!</v>
      </c>
      <c r="AU221" s="187" t="e">
        <f t="shared" si="189"/>
        <v>#REF!</v>
      </c>
      <c r="AV221" s="187" t="e">
        <f t="shared" si="179"/>
        <v>#REF!</v>
      </c>
      <c r="AW221" s="187" t="e">
        <f t="shared" si="190"/>
        <v>#REF!</v>
      </c>
      <c r="AX221" s="187">
        <f t="shared" si="191"/>
        <v>9</v>
      </c>
      <c r="AY221" s="190"/>
      <c r="AZ221" s="227" t="s">
        <v>245</v>
      </c>
      <c r="BA221" s="205">
        <v>0.14000000000000001</v>
      </c>
      <c r="BB221" s="197">
        <v>10</v>
      </c>
      <c r="BC221" s="206">
        <v>0.1</v>
      </c>
      <c r="BD221" s="197">
        <v>10</v>
      </c>
      <c r="BE221" s="197">
        <v>0.12</v>
      </c>
      <c r="BF221" s="206">
        <f t="shared" si="196"/>
        <v>5.8800000000000005E-2</v>
      </c>
      <c r="BG221" s="206">
        <f t="shared" si="197"/>
        <v>5.8800000000000005E-2</v>
      </c>
      <c r="BH221" s="207">
        <v>1</v>
      </c>
      <c r="BI221" s="197"/>
      <c r="BK221" s="222" t="s">
        <v>223</v>
      </c>
      <c r="BL221" s="223">
        <v>0.13</v>
      </c>
      <c r="BM221" s="197"/>
      <c r="BN221" s="222" t="s">
        <v>223</v>
      </c>
      <c r="BO221" s="223">
        <v>8</v>
      </c>
      <c r="BQ221" s="226" t="s">
        <v>223</v>
      </c>
      <c r="BR221" s="225">
        <v>0.1</v>
      </c>
      <c r="BS221" s="197"/>
      <c r="BT221" s="226" t="s">
        <v>226</v>
      </c>
      <c r="BU221" s="225">
        <v>4.8300000000000003E-2</v>
      </c>
      <c r="BW221" s="226" t="s">
        <v>232</v>
      </c>
      <c r="BX221" s="225">
        <v>8</v>
      </c>
      <c r="BZ221" s="226" t="s">
        <v>229</v>
      </c>
      <c r="CA221" s="225">
        <v>5.4600000000000003E-2</v>
      </c>
      <c r="CC221" s="226" t="s">
        <v>223</v>
      </c>
      <c r="CD221" s="225">
        <v>0.18</v>
      </c>
      <c r="CF221" s="226" t="s">
        <v>225</v>
      </c>
      <c r="CG221" s="225">
        <v>1</v>
      </c>
    </row>
    <row r="222" spans="1:85" s="196" customFormat="1" ht="27.6" x14ac:dyDescent="0.3">
      <c r="A222" s="182" t="s">
        <v>190</v>
      </c>
      <c r="B222" s="183">
        <v>1</v>
      </c>
      <c r="C222" s="184" t="s">
        <v>248</v>
      </c>
      <c r="D222" s="185">
        <v>4.3449999999999998</v>
      </c>
      <c r="E222" s="185">
        <v>2.75</v>
      </c>
      <c r="F222" s="186">
        <v>0.2</v>
      </c>
      <c r="G222" s="187">
        <f t="shared" si="180"/>
        <v>2.3897499999999998</v>
      </c>
      <c r="H222" s="188">
        <f t="shared" si="177"/>
        <v>11.948749999999999</v>
      </c>
      <c r="I222" s="183" t="e">
        <f>GETPIVOTDATA(#REF!,A222)</f>
        <v>#REF!</v>
      </c>
      <c r="J222" s="188" t="e">
        <f>GETPIVOTDATA(#REF!,A222)*2</f>
        <v>#REF!</v>
      </c>
      <c r="K222" s="183" t="e">
        <f>(ROUND(E222/J222,0)+1)*GETPIVOTDATA(#REF!,A222)</f>
        <v>#REF!</v>
      </c>
      <c r="L222" s="189" t="e">
        <f>GETPIVOTDATA(#REF!,A222)</f>
        <v>#REF!</v>
      </c>
      <c r="M222" s="189">
        <f>0.3+0.74</f>
        <v>1.04</v>
      </c>
      <c r="N222" s="189">
        <f t="shared" si="181"/>
        <v>-0.04</v>
      </c>
      <c r="O222" s="189">
        <f>2.12*0.3</f>
        <v>0.63600000000000001</v>
      </c>
      <c r="P222" s="188" t="e">
        <f t="shared" si="195"/>
        <v>#REF!</v>
      </c>
      <c r="Q222" s="183" t="e">
        <f>GETPIVOTDATA(#REF!,A222)</f>
        <v>#REF!</v>
      </c>
      <c r="R222" s="188" t="e">
        <f>GETPIVOTDATA(#REF!,A222)*2</f>
        <v>#REF!</v>
      </c>
      <c r="S222" s="183" t="e">
        <f>(ROUND(E222/R222,0))*GETPIVOTDATA(#REF!,A222)</f>
        <v>#REF!</v>
      </c>
      <c r="T222" s="189" t="e">
        <f>GETPIVOTDATA(#REF!,A222)</f>
        <v>#REF!</v>
      </c>
      <c r="U222" s="189">
        <f>0.3+0.74</f>
        <v>1.04</v>
      </c>
      <c r="V222" s="189">
        <f t="shared" si="182"/>
        <v>-0.04</v>
      </c>
      <c r="W222" s="189">
        <f>3.09*0.3</f>
        <v>0.92699999999999994</v>
      </c>
      <c r="X222" s="188" t="e">
        <f t="shared" si="194"/>
        <v>#REF!</v>
      </c>
      <c r="Y222" s="183" t="e">
        <f>GETPIVOTDATA(#REF!,A222)</f>
        <v>#REF!</v>
      </c>
      <c r="Z222" s="182" t="e">
        <f>GETPIVOTDATA(#REF!,A222)*2</f>
        <v>#REF!</v>
      </c>
      <c r="AA222" s="183" t="e">
        <f>(ROUND(D222/Z222,0)+1)*GETPIVOTDATA(#REF!,A222)</f>
        <v>#REF!</v>
      </c>
      <c r="AB222" s="189" t="e">
        <f>GETPIVOTDATA(#REF!,A222)</f>
        <v>#REF!</v>
      </c>
      <c r="AC222" s="189">
        <f>0.6+0.3</f>
        <v>0.89999999999999991</v>
      </c>
      <c r="AD222" s="189">
        <f t="shared" si="183"/>
        <v>-0.04</v>
      </c>
      <c r="AE222" s="189">
        <f>2.42*0.3</f>
        <v>0.72599999999999998</v>
      </c>
      <c r="AF222" s="188" t="e">
        <f t="shared" si="184"/>
        <v>#REF!</v>
      </c>
      <c r="AG222" s="183" t="e">
        <f>GETPIVOTDATA(#REF!,A222)</f>
        <v>#REF!</v>
      </c>
      <c r="AH222" s="182" t="e">
        <f>GETPIVOTDATA(#REF!,A222)*2</f>
        <v>#REF!</v>
      </c>
      <c r="AI222" s="183" t="e">
        <f>(ROUND(D222/AH222,0))*GETPIVOTDATA(#REF!,A222)</f>
        <v>#REF!</v>
      </c>
      <c r="AJ222" s="189" t="e">
        <f>GETPIVOTDATA(#REF!,A222)</f>
        <v>#REF!</v>
      </c>
      <c r="AK222" s="189">
        <f>0.6+0.3</f>
        <v>0.89999999999999991</v>
      </c>
      <c r="AL222" s="189">
        <f t="shared" si="185"/>
        <v>-0.04</v>
      </c>
      <c r="AM222" s="189">
        <f>2.6337*0.3</f>
        <v>0.79010999999999998</v>
      </c>
      <c r="AN222" s="188" t="e">
        <f>+E222+SUM(AJ222:AM222)</f>
        <v>#REF!</v>
      </c>
      <c r="AO222" s="183">
        <v>0</v>
      </c>
      <c r="AP222" s="182">
        <f t="shared" si="178"/>
        <v>10</v>
      </c>
      <c r="AQ222" s="182">
        <v>1.5</v>
      </c>
      <c r="AR222" s="187" t="e">
        <f t="shared" si="186"/>
        <v>#REF!</v>
      </c>
      <c r="AS222" s="187" t="e">
        <f t="shared" si="187"/>
        <v>#REF!</v>
      </c>
      <c r="AT222" s="187" t="e">
        <f t="shared" si="188"/>
        <v>#REF!</v>
      </c>
      <c r="AU222" s="187" t="e">
        <f t="shared" si="189"/>
        <v>#REF!</v>
      </c>
      <c r="AV222" s="187" t="e">
        <f t="shared" si="179"/>
        <v>#REF!</v>
      </c>
      <c r="AW222" s="187" t="e">
        <f t="shared" si="190"/>
        <v>#REF!</v>
      </c>
      <c r="AX222" s="187">
        <f t="shared" si="191"/>
        <v>15</v>
      </c>
      <c r="AY222" s="190"/>
      <c r="AZ222" s="227" t="s">
        <v>223</v>
      </c>
      <c r="BA222" s="205">
        <v>0.13</v>
      </c>
      <c r="BB222" s="197">
        <v>8</v>
      </c>
      <c r="BC222" s="206">
        <v>0.1</v>
      </c>
      <c r="BD222" s="197">
        <v>8</v>
      </c>
      <c r="BE222" s="197">
        <v>0.18</v>
      </c>
      <c r="BF222" s="206">
        <f t="shared" si="196"/>
        <v>5.4600000000000003E-2</v>
      </c>
      <c r="BG222" s="206">
        <f t="shared" si="197"/>
        <v>5.4600000000000003E-2</v>
      </c>
      <c r="BH222" s="207">
        <v>1</v>
      </c>
      <c r="BI222" s="197"/>
      <c r="BK222" s="222" t="s">
        <v>226</v>
      </c>
      <c r="BL222" s="223">
        <v>0.115</v>
      </c>
      <c r="BM222" s="197"/>
      <c r="BN222" s="222" t="s">
        <v>226</v>
      </c>
      <c r="BO222" s="223">
        <v>8</v>
      </c>
      <c r="BQ222" s="226" t="s">
        <v>226</v>
      </c>
      <c r="BR222" s="225">
        <v>0.125</v>
      </c>
      <c r="BS222" s="197"/>
      <c r="BT222" s="226" t="s">
        <v>227</v>
      </c>
      <c r="BU222" s="225">
        <v>5.2499999999999998E-2</v>
      </c>
      <c r="BW222" s="226" t="s">
        <v>239</v>
      </c>
      <c r="BX222" s="225">
        <v>8</v>
      </c>
      <c r="BZ222" s="226" t="s">
        <v>232</v>
      </c>
      <c r="CA222" s="225">
        <v>5.4600000000000003E-2</v>
      </c>
      <c r="CC222" s="226" t="s">
        <v>226</v>
      </c>
      <c r="CD222" s="225">
        <v>0.17499999999999999</v>
      </c>
      <c r="CF222" s="226" t="s">
        <v>229</v>
      </c>
      <c r="CG222" s="225">
        <v>1</v>
      </c>
    </row>
    <row r="223" spans="1:85" s="196" customFormat="1" ht="27.6" x14ac:dyDescent="0.3">
      <c r="A223" s="182" t="s">
        <v>190</v>
      </c>
      <c r="B223" s="183">
        <v>1</v>
      </c>
      <c r="C223" s="184" t="s">
        <v>249</v>
      </c>
      <c r="D223" s="185">
        <v>4.3446999999999996</v>
      </c>
      <c r="E223" s="185">
        <v>2.42</v>
      </c>
      <c r="F223" s="186">
        <v>0.2</v>
      </c>
      <c r="G223" s="187">
        <f t="shared" si="180"/>
        <v>2.1028347999999997</v>
      </c>
      <c r="H223" s="188">
        <f t="shared" si="177"/>
        <v>10.514173999999999</v>
      </c>
      <c r="I223" s="183" t="e">
        <f>GETPIVOTDATA(#REF!,A223)</f>
        <v>#REF!</v>
      </c>
      <c r="J223" s="188" t="e">
        <f>GETPIVOTDATA(#REF!,A223)*2</f>
        <v>#REF!</v>
      </c>
      <c r="K223" s="183" t="e">
        <f>(ROUND(E223/J223,0)+1)*GETPIVOTDATA(#REF!,A223)</f>
        <v>#REF!</v>
      </c>
      <c r="L223" s="189" t="e">
        <f>GETPIVOTDATA(#REF!,A223)</f>
        <v>#REF!</v>
      </c>
      <c r="M223" s="189">
        <f>0.3+0.74</f>
        <v>1.04</v>
      </c>
      <c r="N223" s="189">
        <f t="shared" si="181"/>
        <v>-0.04</v>
      </c>
      <c r="O223" s="189">
        <f>2.12*0.3</f>
        <v>0.63600000000000001</v>
      </c>
      <c r="P223" s="188" t="e">
        <f t="shared" si="195"/>
        <v>#REF!</v>
      </c>
      <c r="Q223" s="183" t="e">
        <f>GETPIVOTDATA(#REF!,A223)</f>
        <v>#REF!</v>
      </c>
      <c r="R223" s="188" t="e">
        <f>GETPIVOTDATA(#REF!,A223)*2</f>
        <v>#REF!</v>
      </c>
      <c r="S223" s="183" t="e">
        <f>(ROUND(E223/R223,0))*GETPIVOTDATA(#REF!,A223)</f>
        <v>#REF!</v>
      </c>
      <c r="T223" s="189" t="e">
        <f>GETPIVOTDATA(#REF!,A223)</f>
        <v>#REF!</v>
      </c>
      <c r="U223" s="189">
        <f>0.3+0.74</f>
        <v>1.04</v>
      </c>
      <c r="V223" s="189">
        <f t="shared" si="182"/>
        <v>-0.04</v>
      </c>
      <c r="W223" s="189">
        <f>3.09*0.3</f>
        <v>0.92699999999999994</v>
      </c>
      <c r="X223" s="188" t="e">
        <f t="shared" si="194"/>
        <v>#REF!</v>
      </c>
      <c r="Y223" s="183" t="e">
        <f>GETPIVOTDATA(#REF!,A223)</f>
        <v>#REF!</v>
      </c>
      <c r="Z223" s="182" t="e">
        <f>GETPIVOTDATA(#REF!,A223)*2</f>
        <v>#REF!</v>
      </c>
      <c r="AA223" s="183" t="e">
        <f>(ROUND(D223/Z223,0)+1)*GETPIVOTDATA(#REF!,A223)</f>
        <v>#REF!</v>
      </c>
      <c r="AB223" s="189" t="e">
        <f>GETPIVOTDATA(#REF!,A223)</f>
        <v>#REF!</v>
      </c>
      <c r="AC223" s="189">
        <f>0.3+0.45</f>
        <v>0.75</v>
      </c>
      <c r="AD223" s="189">
        <f t="shared" si="183"/>
        <v>-0.04</v>
      </c>
      <c r="AE223" s="189">
        <f>4.2*0.3</f>
        <v>1.26</v>
      </c>
      <c r="AF223" s="188" t="e">
        <f t="shared" si="184"/>
        <v>#REF!</v>
      </c>
      <c r="AG223" s="183" t="e">
        <f>GETPIVOTDATA(#REF!,A223)</f>
        <v>#REF!</v>
      </c>
      <c r="AH223" s="182" t="e">
        <f>GETPIVOTDATA(#REF!,A223)*2</f>
        <v>#REF!</v>
      </c>
      <c r="AI223" s="183" t="e">
        <f>(ROUND(D223/AH223,0))*GETPIVOTDATA(#REF!,A223)</f>
        <v>#REF!</v>
      </c>
      <c r="AJ223" s="189" t="e">
        <f>GETPIVOTDATA(#REF!,A223)</f>
        <v>#REF!</v>
      </c>
      <c r="AK223" s="189">
        <f>0.3+0.45</f>
        <v>0.75</v>
      </c>
      <c r="AL223" s="189">
        <f t="shared" si="185"/>
        <v>-0.04</v>
      </c>
      <c r="AM223" s="189">
        <f>2.75*0.3</f>
        <v>0.82499999999999996</v>
      </c>
      <c r="AN223" s="188" t="e">
        <f t="shared" si="198"/>
        <v>#REF!</v>
      </c>
      <c r="AO223" s="183">
        <v>0</v>
      </c>
      <c r="AP223" s="182">
        <f t="shared" si="178"/>
        <v>10</v>
      </c>
      <c r="AQ223" s="182">
        <v>1.5</v>
      </c>
      <c r="AR223" s="187" t="e">
        <f t="shared" si="186"/>
        <v>#REF!</v>
      </c>
      <c r="AS223" s="187" t="e">
        <f t="shared" si="187"/>
        <v>#REF!</v>
      </c>
      <c r="AT223" s="187" t="e">
        <f t="shared" si="188"/>
        <v>#REF!</v>
      </c>
      <c r="AU223" s="187" t="e">
        <f t="shared" si="189"/>
        <v>#REF!</v>
      </c>
      <c r="AV223" s="187" t="e">
        <f t="shared" si="179"/>
        <v>#REF!</v>
      </c>
      <c r="AW223" s="187" t="e">
        <f t="shared" si="190"/>
        <v>#REF!</v>
      </c>
      <c r="AX223" s="187">
        <f t="shared" si="191"/>
        <v>15</v>
      </c>
      <c r="AY223" s="190"/>
      <c r="AZ223" s="227" t="s">
        <v>226</v>
      </c>
      <c r="BA223" s="205">
        <v>0.115</v>
      </c>
      <c r="BB223" s="197">
        <v>8</v>
      </c>
      <c r="BC223" s="197">
        <v>0.125</v>
      </c>
      <c r="BD223" s="197">
        <v>8</v>
      </c>
      <c r="BE223" s="197">
        <v>0.17499999999999999</v>
      </c>
      <c r="BF223" s="206">
        <f t="shared" si="196"/>
        <v>4.8300000000000003E-2</v>
      </c>
      <c r="BG223" s="206"/>
      <c r="BH223" s="207">
        <v>1</v>
      </c>
      <c r="BI223" s="197"/>
      <c r="BK223" s="222" t="s">
        <v>227</v>
      </c>
      <c r="BL223" s="223">
        <v>0.125</v>
      </c>
      <c r="BM223" s="197"/>
      <c r="BN223" s="222" t="s">
        <v>227</v>
      </c>
      <c r="BO223" s="223">
        <v>8</v>
      </c>
      <c r="BQ223" s="226" t="s">
        <v>227</v>
      </c>
      <c r="BR223" s="225">
        <v>0.1</v>
      </c>
      <c r="BS223" s="197"/>
      <c r="BT223" s="226" t="s">
        <v>233</v>
      </c>
      <c r="BU223" s="225">
        <v>6.3E-2</v>
      </c>
      <c r="BW223" s="226" t="s">
        <v>242</v>
      </c>
      <c r="BX223" s="225">
        <v>8</v>
      </c>
      <c r="BZ223" s="226" t="s">
        <v>239</v>
      </c>
      <c r="CA223" s="225">
        <v>5.2499999999999998E-2</v>
      </c>
      <c r="CC223" s="226" t="s">
        <v>227</v>
      </c>
      <c r="CD223" s="225">
        <v>0.1</v>
      </c>
      <c r="CF223" s="226" t="s">
        <v>232</v>
      </c>
      <c r="CG223" s="225">
        <v>1</v>
      </c>
    </row>
    <row r="224" spans="1:85" s="196" customFormat="1" ht="27.6" x14ac:dyDescent="0.3">
      <c r="A224" s="182" t="s">
        <v>190</v>
      </c>
      <c r="B224" s="183">
        <v>1</v>
      </c>
      <c r="C224" s="184" t="s">
        <v>250</v>
      </c>
      <c r="D224" s="185">
        <v>3.09</v>
      </c>
      <c r="E224" s="185">
        <v>5.47</v>
      </c>
      <c r="F224" s="186">
        <v>0.2</v>
      </c>
      <c r="G224" s="187">
        <f t="shared" si="180"/>
        <v>3.3804599999999994</v>
      </c>
      <c r="H224" s="188">
        <f t="shared" si="177"/>
        <v>16.902299999999997</v>
      </c>
      <c r="I224" s="183" t="e">
        <f>GETPIVOTDATA(#REF!,A224)</f>
        <v>#REF!</v>
      </c>
      <c r="J224" s="188" t="e">
        <f>GETPIVOTDATA(#REF!,A224)*2</f>
        <v>#REF!</v>
      </c>
      <c r="K224" s="183" t="e">
        <f>(ROUND(E224/J224,0)+1)*GETPIVOTDATA(#REF!,A224)</f>
        <v>#REF!</v>
      </c>
      <c r="L224" s="189" t="e">
        <f>GETPIVOTDATA(#REF!,A224)</f>
        <v>#REF!</v>
      </c>
      <c r="M224" s="189">
        <f>0.74+0.55</f>
        <v>1.29</v>
      </c>
      <c r="N224" s="189">
        <f t="shared" si="181"/>
        <v>-0.04</v>
      </c>
      <c r="O224" s="189">
        <f>4.34*0.3</f>
        <v>1.3019999999999998</v>
      </c>
      <c r="P224" s="188" t="e">
        <f t="shared" si="195"/>
        <v>#REF!</v>
      </c>
      <c r="Q224" s="183" t="e">
        <f>GETPIVOTDATA(#REF!,A224)</f>
        <v>#REF!</v>
      </c>
      <c r="R224" s="188" t="e">
        <f>GETPIVOTDATA(#REF!,A224)*2</f>
        <v>#REF!</v>
      </c>
      <c r="S224" s="183" t="e">
        <f>(ROUND(E224/R224,0))*GETPIVOTDATA(#REF!,A224)</f>
        <v>#REF!</v>
      </c>
      <c r="T224" s="189" t="e">
        <f>GETPIVOTDATA(#REF!,A224)</f>
        <v>#REF!</v>
      </c>
      <c r="U224" s="189">
        <f>0.74+0.55</f>
        <v>1.29</v>
      </c>
      <c r="V224" s="189">
        <f t="shared" si="182"/>
        <v>-0.04</v>
      </c>
      <c r="W224" s="189">
        <f>4.08*0.3</f>
        <v>1.224</v>
      </c>
      <c r="X224" s="188" t="e">
        <f t="shared" ref="X224" si="201">+D224+SUM(T224:W224)</f>
        <v>#REF!</v>
      </c>
      <c r="Y224" s="183" t="e">
        <f>GETPIVOTDATA(#REF!,A224)</f>
        <v>#REF!</v>
      </c>
      <c r="Z224" s="182" t="e">
        <f>GETPIVOTDATA(#REF!,A224)*2</f>
        <v>#REF!</v>
      </c>
      <c r="AA224" s="183" t="e">
        <f>(ROUND(D224/Z224,0)+1)*GETPIVOTDATA(#REF!,A224)</f>
        <v>#REF!</v>
      </c>
      <c r="AB224" s="189" t="e">
        <f>GETPIVOTDATA(#REF!,A224)</f>
        <v>#REF!</v>
      </c>
      <c r="AC224" s="189">
        <f>0.6+0.45</f>
        <v>1.05</v>
      </c>
      <c r="AD224" s="189">
        <f t="shared" si="183"/>
        <v>-0.04</v>
      </c>
      <c r="AE224" s="189">
        <f>1.71*0.3</f>
        <v>0.51300000000000001</v>
      </c>
      <c r="AF224" s="188" t="e">
        <f t="shared" si="184"/>
        <v>#REF!</v>
      </c>
      <c r="AG224" s="183" t="e">
        <f>GETPIVOTDATA(#REF!,A224)</f>
        <v>#REF!</v>
      </c>
      <c r="AH224" s="182" t="e">
        <f>GETPIVOTDATA(#REF!,A224)*2</f>
        <v>#REF!</v>
      </c>
      <c r="AI224" s="183" t="e">
        <f>(ROUND(D224/AH224,0))*GETPIVOTDATA(#REF!,A224)</f>
        <v>#REF!</v>
      </c>
      <c r="AJ224" s="189" t="e">
        <f>GETPIVOTDATA(#REF!,A224)</f>
        <v>#REF!</v>
      </c>
      <c r="AK224" s="189">
        <f>0.6+0.45</f>
        <v>1.05</v>
      </c>
      <c r="AL224" s="189">
        <f t="shared" si="185"/>
        <v>-0.04</v>
      </c>
      <c r="AM224" s="189">
        <f>5.66*0.3</f>
        <v>1.698</v>
      </c>
      <c r="AN224" s="188" t="e">
        <f t="shared" si="198"/>
        <v>#REF!</v>
      </c>
      <c r="AO224" s="183">
        <v>0</v>
      </c>
      <c r="AP224" s="182">
        <f t="shared" si="178"/>
        <v>12</v>
      </c>
      <c r="AQ224" s="182">
        <v>1.5</v>
      </c>
      <c r="AR224" s="187" t="e">
        <f t="shared" si="186"/>
        <v>#REF!</v>
      </c>
      <c r="AS224" s="187" t="e">
        <f t="shared" si="187"/>
        <v>#REF!</v>
      </c>
      <c r="AT224" s="187" t="e">
        <f t="shared" si="188"/>
        <v>#REF!</v>
      </c>
      <c r="AU224" s="187" t="e">
        <f t="shared" si="189"/>
        <v>#REF!</v>
      </c>
      <c r="AV224" s="187" t="e">
        <f t="shared" si="179"/>
        <v>#REF!</v>
      </c>
      <c r="AW224" s="187" t="e">
        <f t="shared" si="190"/>
        <v>#REF!</v>
      </c>
      <c r="AX224" s="187">
        <f t="shared" si="191"/>
        <v>18</v>
      </c>
      <c r="AY224" s="190"/>
      <c r="AZ224" s="227" t="s">
        <v>227</v>
      </c>
      <c r="BA224" s="205">
        <v>0.125</v>
      </c>
      <c r="BB224" s="197">
        <v>8</v>
      </c>
      <c r="BC224" s="197">
        <v>0.1</v>
      </c>
      <c r="BD224" s="197">
        <v>8</v>
      </c>
      <c r="BE224" s="197">
        <v>0.1</v>
      </c>
      <c r="BF224" s="206">
        <f t="shared" si="196"/>
        <v>5.2499999999999998E-2</v>
      </c>
      <c r="BG224" s="206">
        <f t="shared" si="197"/>
        <v>5.2499999999999998E-2</v>
      </c>
      <c r="BH224" s="207">
        <v>1</v>
      </c>
      <c r="BI224" s="197"/>
      <c r="BK224" s="228" t="s">
        <v>233</v>
      </c>
      <c r="BL224" s="229">
        <v>0.15</v>
      </c>
      <c r="BM224" s="197"/>
      <c r="BN224" s="228" t="s">
        <v>233</v>
      </c>
      <c r="BO224" s="229">
        <v>10</v>
      </c>
      <c r="BQ224" s="230" t="s">
        <v>233</v>
      </c>
      <c r="BR224" s="231">
        <v>8.5000000000000006E-2</v>
      </c>
      <c r="BT224" s="230" t="s">
        <v>230</v>
      </c>
      <c r="BU224" s="231">
        <v>6.93E-2</v>
      </c>
      <c r="BW224" s="230" t="s">
        <v>245</v>
      </c>
      <c r="BX224" s="231">
        <v>10</v>
      </c>
      <c r="BZ224" s="226" t="s">
        <v>242</v>
      </c>
      <c r="CA224" s="225">
        <v>5.8800000000000005E-2</v>
      </c>
      <c r="CC224" s="230" t="s">
        <v>233</v>
      </c>
      <c r="CD224" s="231">
        <v>0.125</v>
      </c>
      <c r="CF224" s="230" t="s">
        <v>239</v>
      </c>
      <c r="CG224" s="231">
        <v>1</v>
      </c>
    </row>
    <row r="225" spans="1:85" s="196" customFormat="1" ht="27.6" x14ac:dyDescent="0.3">
      <c r="A225" s="182" t="s">
        <v>215</v>
      </c>
      <c r="B225" s="183">
        <v>1</v>
      </c>
      <c r="C225" s="184" t="s">
        <v>251</v>
      </c>
      <c r="D225" s="185">
        <v>3.55</v>
      </c>
      <c r="E225" s="185">
        <v>5.47</v>
      </c>
      <c r="F225" s="186">
        <v>0.22500000000000001</v>
      </c>
      <c r="G225" s="187">
        <f t="shared" si="180"/>
        <v>4.3691624999999998</v>
      </c>
      <c r="H225" s="188">
        <f t="shared" si="177"/>
        <v>19.418499999999998</v>
      </c>
      <c r="I225" s="183" t="e">
        <f>GETPIVOTDATA(#REF!,A225)</f>
        <v>#REF!</v>
      </c>
      <c r="J225" s="188" t="e">
        <f>GETPIVOTDATA(#REF!,A225)*2</f>
        <v>#REF!</v>
      </c>
      <c r="K225" s="183" t="e">
        <f>(ROUND(E225/J225,0)+1)*GETPIVOTDATA(#REF!,A225)</f>
        <v>#REF!</v>
      </c>
      <c r="L225" s="189" t="e">
        <f>GETPIVOTDATA(#REF!,A225)</f>
        <v>#REF!</v>
      </c>
      <c r="M225" s="189">
        <f>0.55+0.38</f>
        <v>0.93</v>
      </c>
      <c r="N225" s="189">
        <f t="shared" si="181"/>
        <v>-0.04</v>
      </c>
      <c r="O225" s="189">
        <f>3.09*0.3</f>
        <v>0.92699999999999994</v>
      </c>
      <c r="P225" s="188" t="e">
        <f t="shared" si="195"/>
        <v>#REF!</v>
      </c>
      <c r="Q225" s="183" t="e">
        <f>GETPIVOTDATA(#REF!,A225)</f>
        <v>#REF!</v>
      </c>
      <c r="R225" s="188" t="e">
        <f>GETPIVOTDATA(#REF!,A225)*2</f>
        <v>#REF!</v>
      </c>
      <c r="S225" s="183" t="e">
        <f>(ROUND(E225/R225,0))*GETPIVOTDATA(#REF!,A225)</f>
        <v>#REF!</v>
      </c>
      <c r="T225" s="189" t="e">
        <f>GETPIVOTDATA(#REF!,A225)</f>
        <v>#REF!</v>
      </c>
      <c r="U225" s="189">
        <f>0.55+0.38</f>
        <v>0.93</v>
      </c>
      <c r="V225" s="189">
        <f t="shared" si="182"/>
        <v>-0.04</v>
      </c>
      <c r="W225" s="189">
        <v>0</v>
      </c>
      <c r="X225" s="188" t="e">
        <f>+D225+SUM(T225:W225)+(F225-0.02*2)</f>
        <v>#REF!</v>
      </c>
      <c r="Y225" s="183" t="e">
        <f>GETPIVOTDATA(#REF!,A225)</f>
        <v>#REF!</v>
      </c>
      <c r="Z225" s="182" t="e">
        <f>GETPIVOTDATA(#REF!,A225)*2</f>
        <v>#REF!</v>
      </c>
      <c r="AA225" s="183" t="e">
        <f>(ROUND(D225/Z225,0)+1)*GETPIVOTDATA(#REF!,A225)</f>
        <v>#REF!</v>
      </c>
      <c r="AB225" s="189" t="e">
        <f>GETPIVOTDATA(#REF!,A225)</f>
        <v>#REF!</v>
      </c>
      <c r="AC225" s="189">
        <f>0.6+0.5</f>
        <v>1.1000000000000001</v>
      </c>
      <c r="AD225" s="189">
        <f t="shared" si="183"/>
        <v>-0.04</v>
      </c>
      <c r="AE225" s="189">
        <f>1.71*0.3</f>
        <v>0.51300000000000001</v>
      </c>
      <c r="AF225" s="188" t="e">
        <f t="shared" si="184"/>
        <v>#REF!</v>
      </c>
      <c r="AG225" s="183" t="e">
        <f>GETPIVOTDATA(#REF!,A225)</f>
        <v>#REF!</v>
      </c>
      <c r="AH225" s="182" t="e">
        <f>GETPIVOTDATA(#REF!,A225)*2</f>
        <v>#REF!</v>
      </c>
      <c r="AI225" s="183" t="e">
        <f>(ROUND(D225/AH225,0))*GETPIVOTDATA(#REF!,A225)</f>
        <v>#REF!</v>
      </c>
      <c r="AJ225" s="189" t="e">
        <f>GETPIVOTDATA(#REF!,A225)</f>
        <v>#REF!</v>
      </c>
      <c r="AK225" s="189">
        <f>0.6+0.5</f>
        <v>1.1000000000000001</v>
      </c>
      <c r="AL225" s="189">
        <f t="shared" si="185"/>
        <v>-0.04</v>
      </c>
      <c r="AM225" s="189">
        <f>3.52*0.3</f>
        <v>1.056</v>
      </c>
      <c r="AN225" s="188" t="e">
        <f>+E225+SUM(AJ225:AM225)</f>
        <v>#REF!</v>
      </c>
      <c r="AO225" s="183">
        <v>0</v>
      </c>
      <c r="AP225" s="182">
        <f t="shared" si="178"/>
        <v>12</v>
      </c>
      <c r="AQ225" s="182">
        <v>1.5</v>
      </c>
      <c r="AR225" s="187" t="e">
        <f t="shared" si="186"/>
        <v>#REF!</v>
      </c>
      <c r="AS225" s="187" t="e">
        <f t="shared" si="187"/>
        <v>#REF!</v>
      </c>
      <c r="AT225" s="187" t="e">
        <f t="shared" si="188"/>
        <v>#REF!</v>
      </c>
      <c r="AU225" s="187" t="e">
        <f t="shared" si="189"/>
        <v>#REF!</v>
      </c>
      <c r="AV225" s="187" t="e">
        <f t="shared" si="179"/>
        <v>#REF!</v>
      </c>
      <c r="AW225" s="187" t="e">
        <f t="shared" si="190"/>
        <v>#REF!</v>
      </c>
      <c r="AX225" s="187">
        <f t="shared" si="191"/>
        <v>18</v>
      </c>
      <c r="AY225" s="190"/>
      <c r="AZ225" s="227" t="s">
        <v>233</v>
      </c>
      <c r="BA225" s="205">
        <v>0.15</v>
      </c>
      <c r="BB225" s="197">
        <v>10</v>
      </c>
      <c r="BC225" s="197">
        <v>8.5000000000000006E-2</v>
      </c>
      <c r="BD225" s="197">
        <v>10</v>
      </c>
      <c r="BE225" s="197">
        <v>0.125</v>
      </c>
      <c r="BF225" s="206">
        <f t="shared" si="196"/>
        <v>6.3E-2</v>
      </c>
      <c r="BG225" s="206">
        <f t="shared" si="197"/>
        <v>6.3E-2</v>
      </c>
      <c r="BH225" s="207">
        <v>1</v>
      </c>
      <c r="BI225" s="197"/>
      <c r="BK225" s="222" t="s">
        <v>230</v>
      </c>
      <c r="BL225" s="223">
        <v>0.16500000000000001</v>
      </c>
      <c r="BM225" s="197"/>
      <c r="BN225" s="222" t="s">
        <v>230</v>
      </c>
      <c r="BO225" s="223">
        <v>10</v>
      </c>
      <c r="BQ225" s="226" t="s">
        <v>230</v>
      </c>
      <c r="BR225" s="225">
        <v>0.115</v>
      </c>
      <c r="BT225" s="226" t="s">
        <v>234</v>
      </c>
      <c r="BU225" s="225">
        <v>6.3E-2</v>
      </c>
      <c r="BW225" s="226" t="s">
        <v>238</v>
      </c>
      <c r="BX225" s="225"/>
      <c r="BZ225" s="226" t="s">
        <v>245</v>
      </c>
      <c r="CA225" s="225">
        <v>5.8800000000000005E-2</v>
      </c>
      <c r="CC225" s="226" t="s">
        <v>230</v>
      </c>
      <c r="CD225" s="225">
        <v>0.115</v>
      </c>
      <c r="CF225" s="226" t="s">
        <v>242</v>
      </c>
      <c r="CG225" s="225">
        <v>1</v>
      </c>
    </row>
    <row r="226" spans="1:85" s="196" customFormat="1" ht="27.6" x14ac:dyDescent="0.3">
      <c r="A226" s="182" t="s">
        <v>190</v>
      </c>
      <c r="B226" s="183">
        <v>1</v>
      </c>
      <c r="C226" s="184" t="s">
        <v>252</v>
      </c>
      <c r="D226" s="185">
        <v>6.2679999999999998</v>
      </c>
      <c r="E226" s="185">
        <v>1.71</v>
      </c>
      <c r="F226" s="186">
        <v>0.2</v>
      </c>
      <c r="G226" s="187">
        <f t="shared" si="180"/>
        <v>2.143656</v>
      </c>
      <c r="H226" s="188">
        <f t="shared" si="177"/>
        <v>10.71828</v>
      </c>
      <c r="I226" s="183" t="e">
        <f>GETPIVOTDATA(#REF!,A226)</f>
        <v>#REF!</v>
      </c>
      <c r="J226" s="188" t="e">
        <f>GETPIVOTDATA(#REF!,A226)*2</f>
        <v>#REF!</v>
      </c>
      <c r="K226" s="183" t="e">
        <f>(ROUND(E226/J226,0)+1)*GETPIVOTDATA(#REF!,A226)</f>
        <v>#REF!</v>
      </c>
      <c r="L226" s="189" t="e">
        <f>GETPIVOTDATA(#REF!,A226)</f>
        <v>#REF!</v>
      </c>
      <c r="M226" s="189">
        <f>0.73+0.32</f>
        <v>1.05</v>
      </c>
      <c r="N226" s="189">
        <f t="shared" si="181"/>
        <v>-0.04</v>
      </c>
      <c r="O226" s="189">
        <f>4.34*0.3</f>
        <v>1.3019999999999998</v>
      </c>
      <c r="P226" s="188" t="e">
        <f>+D226+SUM(L226:O226)</f>
        <v>#REF!</v>
      </c>
      <c r="Q226" s="183" t="e">
        <f>GETPIVOTDATA(#REF!,A226)</f>
        <v>#REF!</v>
      </c>
      <c r="R226" s="188" t="e">
        <f>GETPIVOTDATA(#REF!,A226)*2</f>
        <v>#REF!</v>
      </c>
      <c r="S226" s="183" t="e">
        <f>(ROUND(E226/R226,0))*GETPIVOTDATA(#REF!,A226)</f>
        <v>#REF!</v>
      </c>
      <c r="T226" s="189" t="e">
        <f>GETPIVOTDATA(#REF!,A226)</f>
        <v>#REF!</v>
      </c>
      <c r="U226" s="189">
        <f>0.73+0.32</f>
        <v>1.05</v>
      </c>
      <c r="V226" s="189">
        <f t="shared" si="182"/>
        <v>-0.04</v>
      </c>
      <c r="W226" s="189">
        <v>0</v>
      </c>
      <c r="X226" s="188" t="e">
        <f t="shared" si="194"/>
        <v>#REF!</v>
      </c>
      <c r="Y226" s="183" t="e">
        <f>GETPIVOTDATA(#REF!,A226)</f>
        <v>#REF!</v>
      </c>
      <c r="Z226" s="182" t="e">
        <f>GETPIVOTDATA(#REF!,A226)*2</f>
        <v>#REF!</v>
      </c>
      <c r="AA226" s="183" t="e">
        <f>(ROUND(D226/Z226,0)+1)*GETPIVOTDATA(#REF!,A226)</f>
        <v>#REF!</v>
      </c>
      <c r="AB226" s="189" t="e">
        <f>GETPIVOTDATA(#REF!,A226)</f>
        <v>#REF!</v>
      </c>
      <c r="AC226" s="189">
        <f>0.5+0.3</f>
        <v>0.8</v>
      </c>
      <c r="AD226" s="189">
        <f t="shared" si="183"/>
        <v>-0.04</v>
      </c>
      <c r="AE226" s="189">
        <f>3.83*0.3</f>
        <v>1.149</v>
      </c>
      <c r="AF226" s="188" t="e">
        <f t="shared" si="184"/>
        <v>#REF!</v>
      </c>
      <c r="AG226" s="183" t="e">
        <f>GETPIVOTDATA(#REF!,A226)</f>
        <v>#REF!</v>
      </c>
      <c r="AH226" s="182" t="e">
        <f>GETPIVOTDATA(#REF!,A226)*2</f>
        <v>#REF!</v>
      </c>
      <c r="AI226" s="183" t="e">
        <f>(ROUND(D226/AH226,0))*GETPIVOTDATA(#REF!,A226)</f>
        <v>#REF!</v>
      </c>
      <c r="AJ226" s="189" t="e">
        <f>GETPIVOTDATA(#REF!,A226)</f>
        <v>#REF!</v>
      </c>
      <c r="AK226" s="189">
        <f>0.5+0.3</f>
        <v>0.8</v>
      </c>
      <c r="AL226" s="189">
        <f t="shared" si="185"/>
        <v>-0.04</v>
      </c>
      <c r="AM226" s="189">
        <f>5.47*0.3</f>
        <v>1.6409999999999998</v>
      </c>
      <c r="AN226" s="188" t="e">
        <f t="shared" si="198"/>
        <v>#REF!</v>
      </c>
      <c r="AO226" s="183">
        <v>0</v>
      </c>
      <c r="AP226" s="182">
        <f t="shared" si="178"/>
        <v>10</v>
      </c>
      <c r="AQ226" s="182">
        <v>1.5</v>
      </c>
      <c r="AR226" s="187" t="e">
        <f t="shared" si="186"/>
        <v>#REF!</v>
      </c>
      <c r="AS226" s="187" t="e">
        <f t="shared" si="187"/>
        <v>#REF!</v>
      </c>
      <c r="AT226" s="187" t="e">
        <f t="shared" si="188"/>
        <v>#REF!</v>
      </c>
      <c r="AU226" s="187" t="e">
        <f t="shared" si="189"/>
        <v>#REF!</v>
      </c>
      <c r="AV226" s="187" t="e">
        <f t="shared" si="179"/>
        <v>#REF!</v>
      </c>
      <c r="AW226" s="187" t="e">
        <f t="shared" si="190"/>
        <v>#REF!</v>
      </c>
      <c r="AX226" s="187">
        <f t="shared" si="191"/>
        <v>15</v>
      </c>
      <c r="AY226" s="190"/>
      <c r="AZ226" s="227" t="s">
        <v>230</v>
      </c>
      <c r="BA226" s="232">
        <v>0.16500000000000001</v>
      </c>
      <c r="BB226" s="197">
        <v>10</v>
      </c>
      <c r="BC226" s="197">
        <v>0.115</v>
      </c>
      <c r="BD226" s="197">
        <v>8</v>
      </c>
      <c r="BE226" s="197">
        <v>0.115</v>
      </c>
      <c r="BF226" s="206">
        <f t="shared" si="196"/>
        <v>6.93E-2</v>
      </c>
      <c r="BG226" s="206">
        <f t="shared" si="197"/>
        <v>6.93E-2</v>
      </c>
      <c r="BH226" s="207">
        <v>1</v>
      </c>
      <c r="BI226" s="197"/>
      <c r="BK226" s="222" t="s">
        <v>234</v>
      </c>
      <c r="BL226" s="223">
        <v>0.15</v>
      </c>
      <c r="BM226" s="197"/>
      <c r="BN226" s="222" t="s">
        <v>234</v>
      </c>
      <c r="BO226" s="223">
        <v>12</v>
      </c>
      <c r="BQ226" s="226" t="s">
        <v>234</v>
      </c>
      <c r="BR226" s="225">
        <v>0.1</v>
      </c>
      <c r="BT226" s="226" t="s">
        <v>243</v>
      </c>
      <c r="BU226" s="225">
        <v>6.3E-2</v>
      </c>
      <c r="BW226" s="226" t="s">
        <v>234</v>
      </c>
      <c r="BX226" s="225">
        <v>8</v>
      </c>
      <c r="BZ226" s="230" t="s">
        <v>226</v>
      </c>
      <c r="CA226" s="231"/>
      <c r="CC226" s="226" t="s">
        <v>234</v>
      </c>
      <c r="CD226" s="225">
        <v>0.15</v>
      </c>
      <c r="CF226" s="226" t="s">
        <v>245</v>
      </c>
      <c r="CG226" s="225">
        <v>1</v>
      </c>
    </row>
    <row r="227" spans="1:85" s="197" customFormat="1" ht="27.6" x14ac:dyDescent="0.3">
      <c r="A227" s="182" t="s">
        <v>215</v>
      </c>
      <c r="B227" s="183">
        <v>1</v>
      </c>
      <c r="C227" s="184" t="s">
        <v>253</v>
      </c>
      <c r="D227" s="185">
        <v>5.93</v>
      </c>
      <c r="E227" s="185">
        <v>3.83</v>
      </c>
      <c r="F227" s="186">
        <v>0.22500000000000001</v>
      </c>
      <c r="G227" s="187">
        <f>D227*E227*F227*B227</f>
        <v>5.1101774999999998</v>
      </c>
      <c r="H227" s="188">
        <f>D227*E227*B227</f>
        <v>22.7119</v>
      </c>
      <c r="I227" s="183" t="e">
        <f>GETPIVOTDATA(#REF!,A227)</f>
        <v>#REF!</v>
      </c>
      <c r="J227" s="188" t="e">
        <f>GETPIVOTDATA(#REF!,A227)*2</f>
        <v>#REF!</v>
      </c>
      <c r="K227" s="183" t="e">
        <f>(ROUND(E227/J227,0)+1)*GETPIVOTDATA(#REF!,A227)</f>
        <v>#REF!</v>
      </c>
      <c r="L227" s="189" t="e">
        <f>GETPIVOTDATA(#REF!,A227)</f>
        <v>#REF!</v>
      </c>
      <c r="M227" s="189">
        <f>0.38+0.3</f>
        <v>0.67999999999999994</v>
      </c>
      <c r="N227" s="189">
        <f t="shared" si="181"/>
        <v>-0.04</v>
      </c>
      <c r="O227" s="189">
        <f>4.347*0.3</f>
        <v>1.3041</v>
      </c>
      <c r="P227" s="188" t="e">
        <f t="shared" si="195"/>
        <v>#REF!</v>
      </c>
      <c r="Q227" s="183" t="e">
        <f>GETPIVOTDATA(#REF!,A227)</f>
        <v>#REF!</v>
      </c>
      <c r="R227" s="188" t="e">
        <f>GETPIVOTDATA(#REF!,A227)*2</f>
        <v>#REF!</v>
      </c>
      <c r="S227" s="183" t="e">
        <f>(ROUND(E227/R227,0))*GETPIVOTDATA(#REF!,A227)</f>
        <v>#REF!</v>
      </c>
      <c r="T227" s="189" t="e">
        <f>GETPIVOTDATA(#REF!,A227)</f>
        <v>#REF!</v>
      </c>
      <c r="U227" s="189">
        <f>0.38+0.3</f>
        <v>0.67999999999999994</v>
      </c>
      <c r="V227" s="189">
        <f t="shared" si="182"/>
        <v>-0.04</v>
      </c>
      <c r="W227" s="189">
        <v>0</v>
      </c>
      <c r="X227" s="188" t="e">
        <f t="shared" ref="X227:X234" si="202">+D227+SUM(T227:W227)+(F227-0.02*2)</f>
        <v>#REF!</v>
      </c>
      <c r="Y227" s="183" t="e">
        <f>GETPIVOTDATA(#REF!,A227)</f>
        <v>#REF!</v>
      </c>
      <c r="Z227" s="182" t="e">
        <f>GETPIVOTDATA(#REF!,A227)*2</f>
        <v>#REF!</v>
      </c>
      <c r="AA227" s="183" t="e">
        <f>(ROUND(D227/Z227,0)+1)*GETPIVOTDATA(#REF!,A227)</f>
        <v>#REF!</v>
      </c>
      <c r="AB227" s="189" t="e">
        <f>GETPIVOTDATA(#REF!,A227)</f>
        <v>#REF!</v>
      </c>
      <c r="AC227" s="189">
        <f t="shared" ref="AC227:AC286" si="203">0.3*2</f>
        <v>0.6</v>
      </c>
      <c r="AD227" s="189">
        <f t="shared" si="183"/>
        <v>-0.04</v>
      </c>
      <c r="AE227" s="189">
        <f>2.9*0.3</f>
        <v>0.87</v>
      </c>
      <c r="AF227" s="188" t="e">
        <f t="shared" si="184"/>
        <v>#REF!</v>
      </c>
      <c r="AG227" s="183" t="e">
        <f>GETPIVOTDATA(#REF!,A227)</f>
        <v>#REF!</v>
      </c>
      <c r="AH227" s="182" t="e">
        <f>GETPIVOTDATA(#REF!,A227)*2</f>
        <v>#REF!</v>
      </c>
      <c r="AI227" s="183" t="e">
        <f>(ROUND(D227/AH227,0))*GETPIVOTDATA(#REF!,A227)</f>
        <v>#REF!</v>
      </c>
      <c r="AJ227" s="189" t="e">
        <f>GETPIVOTDATA(#REF!,A227)</f>
        <v>#REF!</v>
      </c>
      <c r="AK227" s="189">
        <f t="shared" ref="AK227:AK286" si="204">0.3*2</f>
        <v>0.6</v>
      </c>
      <c r="AL227" s="189">
        <f t="shared" si="185"/>
        <v>-0.04</v>
      </c>
      <c r="AM227" s="189">
        <f>1.71*0.3</f>
        <v>0.51300000000000001</v>
      </c>
      <c r="AN227" s="188" t="e">
        <f t="shared" si="198"/>
        <v>#REF!</v>
      </c>
      <c r="AO227" s="183">
        <v>0</v>
      </c>
      <c r="AP227" s="182">
        <f t="shared" si="178"/>
        <v>14</v>
      </c>
      <c r="AQ227" s="182">
        <v>1.5</v>
      </c>
      <c r="AR227" s="187" t="e">
        <f t="shared" si="186"/>
        <v>#REF!</v>
      </c>
      <c r="AS227" s="187" t="e">
        <f t="shared" si="187"/>
        <v>#REF!</v>
      </c>
      <c r="AT227" s="187" t="e">
        <f t="shared" si="188"/>
        <v>#REF!</v>
      </c>
      <c r="AU227" s="187" t="e">
        <f t="shared" si="189"/>
        <v>#REF!</v>
      </c>
      <c r="AV227" s="187" t="e">
        <f t="shared" si="179"/>
        <v>#REF!</v>
      </c>
      <c r="AW227" s="187" t="e">
        <f t="shared" si="190"/>
        <v>#REF!</v>
      </c>
      <c r="AX227" s="187">
        <f t="shared" si="191"/>
        <v>21</v>
      </c>
      <c r="AY227" s="190"/>
      <c r="AZ227" s="227" t="s">
        <v>234</v>
      </c>
      <c r="BA227" s="232">
        <v>0.15</v>
      </c>
      <c r="BB227" s="197">
        <v>12</v>
      </c>
      <c r="BC227" s="197">
        <v>0.1</v>
      </c>
      <c r="BD227" s="197">
        <v>8</v>
      </c>
      <c r="BE227" s="197">
        <v>0.15</v>
      </c>
      <c r="BF227" s="206">
        <f t="shared" si="196"/>
        <v>6.3E-2</v>
      </c>
      <c r="BG227" s="206"/>
      <c r="BH227" s="207">
        <v>1</v>
      </c>
      <c r="BK227" s="222" t="s">
        <v>243</v>
      </c>
      <c r="BL227" s="223">
        <v>0.15</v>
      </c>
      <c r="BN227" s="222" t="s">
        <v>243</v>
      </c>
      <c r="BO227" s="223">
        <v>10</v>
      </c>
      <c r="BQ227" s="233" t="s">
        <v>243</v>
      </c>
      <c r="BR227" s="234">
        <v>0.1</v>
      </c>
      <c r="BT227" s="226" t="s">
        <v>254</v>
      </c>
      <c r="BU227" s="225">
        <v>6.3E-2</v>
      </c>
      <c r="BW227" s="233" t="s">
        <v>243</v>
      </c>
      <c r="BX227" s="234">
        <v>8</v>
      </c>
      <c r="BZ227" s="226" t="s">
        <v>233</v>
      </c>
      <c r="CA227" s="225">
        <v>6.3E-2</v>
      </c>
      <c r="CC227" s="233" t="s">
        <v>243</v>
      </c>
      <c r="CD227" s="234">
        <v>0.12</v>
      </c>
      <c r="CF227" s="233" t="s">
        <v>238</v>
      </c>
      <c r="CG227" s="234"/>
    </row>
    <row r="228" spans="1:85" s="197" customFormat="1" x14ac:dyDescent="0.3">
      <c r="A228" s="182" t="s">
        <v>190</v>
      </c>
      <c r="B228" s="183">
        <v>1</v>
      </c>
      <c r="C228" s="184" t="s">
        <v>255</v>
      </c>
      <c r="D228" s="185">
        <v>6</v>
      </c>
      <c r="E228" s="185">
        <v>2.8980000000000001</v>
      </c>
      <c r="F228" s="186">
        <v>0.2</v>
      </c>
      <c r="G228" s="187">
        <f t="shared" si="180"/>
        <v>3.4776000000000007</v>
      </c>
      <c r="H228" s="188">
        <f t="shared" si="177"/>
        <v>17.388000000000002</v>
      </c>
      <c r="I228" s="183" t="e">
        <f>GETPIVOTDATA(#REF!,A228)</f>
        <v>#REF!</v>
      </c>
      <c r="J228" s="188" t="e">
        <f>GETPIVOTDATA(#REF!,A228)*2</f>
        <v>#REF!</v>
      </c>
      <c r="K228" s="183" t="e">
        <f>(ROUND(E228/J228,0)+1)*GETPIVOTDATA(#REF!,A228)</f>
        <v>#REF!</v>
      </c>
      <c r="L228" s="189" t="e">
        <f>GETPIVOTDATA(#REF!,A228)</f>
        <v>#REF!</v>
      </c>
      <c r="M228" s="189">
        <f>0.38+0.23</f>
        <v>0.61</v>
      </c>
      <c r="N228" s="189">
        <f t="shared" si="181"/>
        <v>-0.04</v>
      </c>
      <c r="O228" s="189">
        <f>4.32*0.3</f>
        <v>1.296</v>
      </c>
      <c r="P228" s="188" t="e">
        <f t="shared" si="195"/>
        <v>#REF!</v>
      </c>
      <c r="Q228" s="183" t="e">
        <f>GETPIVOTDATA(#REF!,A228)</f>
        <v>#REF!</v>
      </c>
      <c r="R228" s="188" t="e">
        <f>GETPIVOTDATA(#REF!,A228)*2</f>
        <v>#REF!</v>
      </c>
      <c r="S228" s="183" t="e">
        <f>(ROUND(E228/R228,0))*GETPIVOTDATA(#REF!,A228)</f>
        <v>#REF!</v>
      </c>
      <c r="T228" s="189" t="e">
        <f>GETPIVOTDATA(#REF!,A228)</f>
        <v>#REF!</v>
      </c>
      <c r="U228" s="189">
        <f>0.38+0.23</f>
        <v>0.61</v>
      </c>
      <c r="V228" s="189">
        <f t="shared" si="182"/>
        <v>-0.04</v>
      </c>
      <c r="W228" s="189">
        <v>0</v>
      </c>
      <c r="X228" s="188" t="e">
        <f t="shared" si="202"/>
        <v>#REF!</v>
      </c>
      <c r="Y228" s="183" t="e">
        <f>GETPIVOTDATA(#REF!,A228)</f>
        <v>#REF!</v>
      </c>
      <c r="Z228" s="182" t="e">
        <f>GETPIVOTDATA(#REF!,A228)*2</f>
        <v>#REF!</v>
      </c>
      <c r="AA228" s="183" t="e">
        <f>(ROUND(D228/Z228,0)+1)*GETPIVOTDATA(#REF!,A228)</f>
        <v>#REF!</v>
      </c>
      <c r="AB228" s="189" t="e">
        <f>GETPIVOTDATA(#REF!,A228)</f>
        <v>#REF!</v>
      </c>
      <c r="AC228" s="189">
        <f t="shared" si="203"/>
        <v>0.6</v>
      </c>
      <c r="AD228" s="189">
        <f t="shared" si="183"/>
        <v>-0.04</v>
      </c>
      <c r="AE228" s="189">
        <f>3.2*0.3</f>
        <v>0.96</v>
      </c>
      <c r="AF228" s="188" t="e">
        <f t="shared" si="184"/>
        <v>#REF!</v>
      </c>
      <c r="AG228" s="183" t="e">
        <f>GETPIVOTDATA(#REF!,A228)</f>
        <v>#REF!</v>
      </c>
      <c r="AH228" s="182" t="e">
        <f>GETPIVOTDATA(#REF!,A228)*2</f>
        <v>#REF!</v>
      </c>
      <c r="AI228" s="183" t="e">
        <f>(ROUND(D228/AH228,0))*GETPIVOTDATA(#REF!,A228)</f>
        <v>#REF!</v>
      </c>
      <c r="AJ228" s="189" t="e">
        <f>GETPIVOTDATA(#REF!,A228)</f>
        <v>#REF!</v>
      </c>
      <c r="AK228" s="189">
        <f t="shared" si="204"/>
        <v>0.6</v>
      </c>
      <c r="AL228" s="189">
        <f t="shared" si="185"/>
        <v>-0.04</v>
      </c>
      <c r="AM228" s="189">
        <f>3.83*0.3</f>
        <v>1.149</v>
      </c>
      <c r="AN228" s="188" t="e">
        <f t="shared" si="198"/>
        <v>#REF!</v>
      </c>
      <c r="AO228" s="183">
        <v>0</v>
      </c>
      <c r="AP228" s="182">
        <f t="shared" si="178"/>
        <v>12</v>
      </c>
      <c r="AQ228" s="182">
        <v>1.5</v>
      </c>
      <c r="AR228" s="187" t="e">
        <f t="shared" si="186"/>
        <v>#REF!</v>
      </c>
      <c r="AS228" s="187" t="e">
        <f t="shared" si="187"/>
        <v>#REF!</v>
      </c>
      <c r="AT228" s="187" t="e">
        <f t="shared" si="188"/>
        <v>#REF!</v>
      </c>
      <c r="AU228" s="187" t="e">
        <f t="shared" si="189"/>
        <v>#REF!</v>
      </c>
      <c r="AV228" s="187" t="e">
        <f t="shared" si="179"/>
        <v>#REF!</v>
      </c>
      <c r="AW228" s="187" t="e">
        <f t="shared" si="190"/>
        <v>#REF!</v>
      </c>
      <c r="AX228" s="187">
        <f t="shared" si="191"/>
        <v>18</v>
      </c>
      <c r="AY228" s="190"/>
      <c r="AZ228" s="227" t="s">
        <v>243</v>
      </c>
      <c r="BA228" s="232">
        <v>0.15</v>
      </c>
      <c r="BB228" s="197">
        <v>10</v>
      </c>
      <c r="BC228" s="197">
        <v>0.1</v>
      </c>
      <c r="BD228" s="197">
        <v>8</v>
      </c>
      <c r="BE228" s="197">
        <v>0.12</v>
      </c>
      <c r="BF228" s="206">
        <f t="shared" si="196"/>
        <v>6.3E-2</v>
      </c>
      <c r="BG228" s="206">
        <f t="shared" si="197"/>
        <v>6.3E-2</v>
      </c>
      <c r="BH228" s="207">
        <v>1</v>
      </c>
      <c r="BK228" s="222" t="s">
        <v>254</v>
      </c>
      <c r="BL228" s="223">
        <v>0.15</v>
      </c>
      <c r="BN228" s="222" t="s">
        <v>254</v>
      </c>
      <c r="BO228" s="223">
        <v>10</v>
      </c>
      <c r="BQ228" s="226" t="s">
        <v>254</v>
      </c>
      <c r="BR228" s="225">
        <v>0.09</v>
      </c>
      <c r="BT228" s="226" t="s">
        <v>236</v>
      </c>
      <c r="BU228" s="225">
        <v>6.93E-2</v>
      </c>
      <c r="BW228" s="226" t="s">
        <v>254</v>
      </c>
      <c r="BX228" s="225">
        <v>8</v>
      </c>
      <c r="BZ228" s="226" t="s">
        <v>243</v>
      </c>
      <c r="CA228" s="225">
        <v>6.3E-2</v>
      </c>
      <c r="CC228" s="226" t="s">
        <v>254</v>
      </c>
      <c r="CD228" s="225">
        <v>0.1</v>
      </c>
      <c r="CF228" s="226" t="s">
        <v>254</v>
      </c>
      <c r="CG228" s="225">
        <v>1</v>
      </c>
    </row>
    <row r="229" spans="1:85" s="197" customFormat="1" ht="55.2" x14ac:dyDescent="0.3">
      <c r="A229" s="182" t="s">
        <v>190</v>
      </c>
      <c r="B229" s="183">
        <v>2</v>
      </c>
      <c r="C229" s="184" t="s">
        <v>256</v>
      </c>
      <c r="D229" s="185">
        <v>6</v>
      </c>
      <c r="E229" s="185">
        <v>3.2</v>
      </c>
      <c r="F229" s="186">
        <v>0.2</v>
      </c>
      <c r="G229" s="187">
        <f t="shared" si="180"/>
        <v>7.6800000000000015</v>
      </c>
      <c r="H229" s="188">
        <f t="shared" si="177"/>
        <v>38.400000000000006</v>
      </c>
      <c r="I229" s="183" t="e">
        <f>GETPIVOTDATA(#REF!,A229)</f>
        <v>#REF!</v>
      </c>
      <c r="J229" s="188" t="e">
        <f>GETPIVOTDATA(#REF!,A229)*2</f>
        <v>#REF!</v>
      </c>
      <c r="K229" s="183" t="e">
        <f>(ROUND(E229/J229,0)+1)*GETPIVOTDATA(#REF!,A229)</f>
        <v>#REF!</v>
      </c>
      <c r="L229" s="189" t="e">
        <f>GETPIVOTDATA(#REF!,A229)</f>
        <v>#REF!</v>
      </c>
      <c r="M229" s="189">
        <f t="shared" ref="M229:M236" si="205">0.3+0.23</f>
        <v>0.53</v>
      </c>
      <c r="N229" s="189">
        <f t="shared" si="181"/>
        <v>-0.04</v>
      </c>
      <c r="O229" s="189">
        <f>3.66*0.3</f>
        <v>1.0980000000000001</v>
      </c>
      <c r="P229" s="188" t="e">
        <f t="shared" si="195"/>
        <v>#REF!</v>
      </c>
      <c r="Q229" s="183" t="e">
        <f>GETPIVOTDATA(#REF!,A229)</f>
        <v>#REF!</v>
      </c>
      <c r="R229" s="188" t="e">
        <f>GETPIVOTDATA(#REF!,A229)*2</f>
        <v>#REF!</v>
      </c>
      <c r="S229" s="183" t="e">
        <f>(ROUND(E229/R229,0))*GETPIVOTDATA(#REF!,A229)</f>
        <v>#REF!</v>
      </c>
      <c r="T229" s="189" t="e">
        <f>GETPIVOTDATA(#REF!,A229)</f>
        <v>#REF!</v>
      </c>
      <c r="U229" s="189">
        <f t="shared" ref="U229:U236" si="206">0.3+0.23</f>
        <v>0.53</v>
      </c>
      <c r="V229" s="189">
        <f t="shared" si="182"/>
        <v>-0.04</v>
      </c>
      <c r="W229" s="189">
        <v>0</v>
      </c>
      <c r="X229" s="188" t="e">
        <f t="shared" si="202"/>
        <v>#REF!</v>
      </c>
      <c r="Y229" s="183" t="e">
        <f>GETPIVOTDATA(#REF!,A229)</f>
        <v>#REF!</v>
      </c>
      <c r="Z229" s="182" t="e">
        <f>GETPIVOTDATA(#REF!,A229)*2</f>
        <v>#REF!</v>
      </c>
      <c r="AA229" s="183" t="e">
        <f>(ROUND(D229/Z229,0)+1)*GETPIVOTDATA(#REF!,A229)</f>
        <v>#REF!</v>
      </c>
      <c r="AB229" s="189" t="e">
        <f>GETPIVOTDATA(#REF!,A229)</f>
        <v>#REF!</v>
      </c>
      <c r="AC229" s="189">
        <f t="shared" si="203"/>
        <v>0.6</v>
      </c>
      <c r="AD229" s="189">
        <f t="shared" si="183"/>
        <v>-0.04</v>
      </c>
      <c r="AE229" s="189">
        <f>3.2*0.3</f>
        <v>0.96</v>
      </c>
      <c r="AF229" s="188" t="e">
        <f t="shared" si="184"/>
        <v>#REF!</v>
      </c>
      <c r="AG229" s="183" t="e">
        <f>GETPIVOTDATA(#REF!,A229)</f>
        <v>#REF!</v>
      </c>
      <c r="AH229" s="182" t="e">
        <f>GETPIVOTDATA(#REF!,A229)*2</f>
        <v>#REF!</v>
      </c>
      <c r="AI229" s="183" t="e">
        <f>(ROUND(D229/AH229,0))*GETPIVOTDATA(#REF!,A229)</f>
        <v>#REF!</v>
      </c>
      <c r="AJ229" s="189" t="e">
        <f>GETPIVOTDATA(#REF!,A229)</f>
        <v>#REF!</v>
      </c>
      <c r="AK229" s="189">
        <f t="shared" si="204"/>
        <v>0.6</v>
      </c>
      <c r="AL229" s="189">
        <f t="shared" si="185"/>
        <v>-0.04</v>
      </c>
      <c r="AM229" s="189">
        <f>2.89*0.3</f>
        <v>0.86699999999999999</v>
      </c>
      <c r="AN229" s="188" t="e">
        <f t="shared" si="198"/>
        <v>#REF!</v>
      </c>
      <c r="AO229" s="183">
        <v>0</v>
      </c>
      <c r="AP229" s="182">
        <f t="shared" si="178"/>
        <v>12</v>
      </c>
      <c r="AQ229" s="182">
        <v>1.5</v>
      </c>
      <c r="AR229" s="187" t="e">
        <f t="shared" si="186"/>
        <v>#REF!</v>
      </c>
      <c r="AS229" s="187" t="e">
        <f t="shared" si="187"/>
        <v>#REF!</v>
      </c>
      <c r="AT229" s="187" t="e">
        <f t="shared" si="188"/>
        <v>#REF!</v>
      </c>
      <c r="AU229" s="187" t="e">
        <f t="shared" si="189"/>
        <v>#REF!</v>
      </c>
      <c r="AV229" s="187" t="e">
        <f t="shared" si="179"/>
        <v>#REF!</v>
      </c>
      <c r="AW229" s="187" t="e">
        <f t="shared" si="190"/>
        <v>#REF!</v>
      </c>
      <c r="AX229" s="187">
        <f t="shared" si="191"/>
        <v>36</v>
      </c>
      <c r="AY229" s="190"/>
      <c r="AZ229" s="227" t="s">
        <v>254</v>
      </c>
      <c r="BA229" s="232">
        <v>0.15</v>
      </c>
      <c r="BB229" s="197">
        <v>10</v>
      </c>
      <c r="BC229" s="197">
        <v>0.09</v>
      </c>
      <c r="BD229" s="197">
        <v>8</v>
      </c>
      <c r="BE229" s="197">
        <v>0.1</v>
      </c>
      <c r="BF229" s="206">
        <f t="shared" si="196"/>
        <v>6.3E-2</v>
      </c>
      <c r="BG229" s="206">
        <f t="shared" si="197"/>
        <v>6.3E-2</v>
      </c>
      <c r="BH229" s="207">
        <v>1</v>
      </c>
      <c r="BK229" s="222" t="s">
        <v>236</v>
      </c>
      <c r="BL229" s="223">
        <v>0.16500000000000001</v>
      </c>
      <c r="BN229" s="222" t="s">
        <v>236</v>
      </c>
      <c r="BO229" s="223">
        <v>10</v>
      </c>
      <c r="BQ229" s="226" t="s">
        <v>236</v>
      </c>
      <c r="BR229" s="225">
        <v>9.5000000000000001E-2</v>
      </c>
      <c r="BT229" s="233" t="s">
        <v>238</v>
      </c>
      <c r="BU229" s="234"/>
      <c r="BW229" s="226" t="s">
        <v>190</v>
      </c>
      <c r="BX229" s="225">
        <v>8</v>
      </c>
      <c r="BZ229" s="233" t="s">
        <v>238</v>
      </c>
      <c r="CA229" s="234"/>
      <c r="CC229" s="226" t="s">
        <v>236</v>
      </c>
      <c r="CD229" s="225">
        <v>0.1</v>
      </c>
      <c r="CF229" s="226" t="s">
        <v>190</v>
      </c>
      <c r="CG229" s="225">
        <v>1</v>
      </c>
    </row>
    <row r="230" spans="1:85" s="197" customFormat="1" x14ac:dyDescent="0.3">
      <c r="A230" s="182" t="s">
        <v>215</v>
      </c>
      <c r="B230" s="183">
        <v>1</v>
      </c>
      <c r="C230" s="184" t="s">
        <v>257</v>
      </c>
      <c r="D230" s="185">
        <v>6</v>
      </c>
      <c r="E230" s="185">
        <v>4.3099999999999996</v>
      </c>
      <c r="F230" s="186">
        <v>0.22500000000000001</v>
      </c>
      <c r="G230" s="187">
        <f t="shared" si="180"/>
        <v>5.8185000000000002</v>
      </c>
      <c r="H230" s="188">
        <f t="shared" si="177"/>
        <v>25.86</v>
      </c>
      <c r="I230" s="183" t="e">
        <f>GETPIVOTDATA(#REF!,A230)</f>
        <v>#REF!</v>
      </c>
      <c r="J230" s="188" t="e">
        <f>GETPIVOTDATA(#REF!,A230)*2</f>
        <v>#REF!</v>
      </c>
      <c r="K230" s="183" t="e">
        <f>(ROUND(E230/J230,0)+1)*GETPIVOTDATA(#REF!,A230)</f>
        <v>#REF!</v>
      </c>
      <c r="L230" s="189" t="e">
        <f>GETPIVOTDATA(#REF!,A230)</f>
        <v>#REF!</v>
      </c>
      <c r="M230" s="189">
        <f t="shared" si="205"/>
        <v>0.53</v>
      </c>
      <c r="N230" s="189">
        <f t="shared" si="181"/>
        <v>-0.04</v>
      </c>
      <c r="O230" s="189">
        <f>3.51*0.3</f>
        <v>1.0529999999999999</v>
      </c>
      <c r="P230" s="188" t="e">
        <f t="shared" si="195"/>
        <v>#REF!</v>
      </c>
      <c r="Q230" s="183" t="e">
        <f>GETPIVOTDATA(#REF!,A230)</f>
        <v>#REF!</v>
      </c>
      <c r="R230" s="188" t="e">
        <f>GETPIVOTDATA(#REF!,A230)*2</f>
        <v>#REF!</v>
      </c>
      <c r="S230" s="183" t="e">
        <f>(ROUND(E230/R230,0))*GETPIVOTDATA(#REF!,A230)</f>
        <v>#REF!</v>
      </c>
      <c r="T230" s="189" t="e">
        <f>GETPIVOTDATA(#REF!,A230)</f>
        <v>#REF!</v>
      </c>
      <c r="U230" s="189">
        <f t="shared" si="206"/>
        <v>0.53</v>
      </c>
      <c r="V230" s="189">
        <f t="shared" si="182"/>
        <v>-0.04</v>
      </c>
      <c r="W230" s="189">
        <v>0</v>
      </c>
      <c r="X230" s="188" t="e">
        <f t="shared" si="202"/>
        <v>#REF!</v>
      </c>
      <c r="Y230" s="183" t="e">
        <f>GETPIVOTDATA(#REF!,A230)</f>
        <v>#REF!</v>
      </c>
      <c r="Z230" s="182" t="e">
        <f>GETPIVOTDATA(#REF!,A230)*2</f>
        <v>#REF!</v>
      </c>
      <c r="AA230" s="183" t="e">
        <f>(ROUND(D230/Z230,0)+1)*GETPIVOTDATA(#REF!,A230)</f>
        <v>#REF!</v>
      </c>
      <c r="AB230" s="189" t="e">
        <f>GETPIVOTDATA(#REF!,A230)</f>
        <v>#REF!</v>
      </c>
      <c r="AC230" s="189">
        <f t="shared" si="203"/>
        <v>0.6</v>
      </c>
      <c r="AD230" s="189">
        <f t="shared" si="183"/>
        <v>-0.04</v>
      </c>
      <c r="AE230" s="189">
        <f>3.59*0.3</f>
        <v>1.077</v>
      </c>
      <c r="AF230" s="188" t="e">
        <f t="shared" si="184"/>
        <v>#REF!</v>
      </c>
      <c r="AG230" s="183" t="e">
        <f>GETPIVOTDATA(#REF!,A230)</f>
        <v>#REF!</v>
      </c>
      <c r="AH230" s="182" t="e">
        <f>GETPIVOTDATA(#REF!,A230)*2</f>
        <v>#REF!</v>
      </c>
      <c r="AI230" s="183" t="e">
        <f>(ROUND(D230/AH230,0))*GETPIVOTDATA(#REF!,A230)</f>
        <v>#REF!</v>
      </c>
      <c r="AJ230" s="189" t="e">
        <f>GETPIVOTDATA(#REF!,A230)</f>
        <v>#REF!</v>
      </c>
      <c r="AK230" s="189">
        <f t="shared" si="204"/>
        <v>0.6</v>
      </c>
      <c r="AL230" s="189">
        <f t="shared" si="185"/>
        <v>-0.04</v>
      </c>
      <c r="AM230" s="189">
        <f>3.2*0.3</f>
        <v>0.96</v>
      </c>
      <c r="AN230" s="188" t="e">
        <f t="shared" si="198"/>
        <v>#REF!</v>
      </c>
      <c r="AO230" s="183">
        <v>0</v>
      </c>
      <c r="AP230" s="182">
        <f t="shared" si="178"/>
        <v>14</v>
      </c>
      <c r="AQ230" s="182">
        <v>1.5</v>
      </c>
      <c r="AR230" s="187" t="e">
        <f t="shared" si="186"/>
        <v>#REF!</v>
      </c>
      <c r="AS230" s="187" t="e">
        <f t="shared" si="187"/>
        <v>#REF!</v>
      </c>
      <c r="AT230" s="187" t="e">
        <f t="shared" si="188"/>
        <v>#REF!</v>
      </c>
      <c r="AU230" s="187" t="e">
        <f t="shared" si="189"/>
        <v>#REF!</v>
      </c>
      <c r="AV230" s="187" t="e">
        <f t="shared" si="179"/>
        <v>#REF!</v>
      </c>
      <c r="AW230" s="187" t="e">
        <f t="shared" si="190"/>
        <v>#REF!</v>
      </c>
      <c r="AX230" s="187">
        <f t="shared" si="191"/>
        <v>21</v>
      </c>
      <c r="AY230" s="190"/>
      <c r="AZ230" s="227" t="s">
        <v>236</v>
      </c>
      <c r="BA230" s="232">
        <v>0.16500000000000001</v>
      </c>
      <c r="BB230" s="197">
        <v>10</v>
      </c>
      <c r="BC230" s="197">
        <v>9.5000000000000001E-2</v>
      </c>
      <c r="BD230" s="197">
        <v>8</v>
      </c>
      <c r="BE230" s="197">
        <v>0.1</v>
      </c>
      <c r="BF230" s="206">
        <f t="shared" si="196"/>
        <v>6.93E-2</v>
      </c>
      <c r="BG230" s="206">
        <f t="shared" si="197"/>
        <v>6.93E-2</v>
      </c>
      <c r="BH230" s="207">
        <v>1</v>
      </c>
      <c r="BK230" s="222" t="s">
        <v>240</v>
      </c>
      <c r="BL230" s="223">
        <v>0.16</v>
      </c>
      <c r="BN230" s="222" t="s">
        <v>240</v>
      </c>
      <c r="BO230" s="223">
        <v>10</v>
      </c>
      <c r="BQ230" s="226" t="s">
        <v>240</v>
      </c>
      <c r="BR230" s="225">
        <v>0.1</v>
      </c>
      <c r="BT230" s="226" t="s">
        <v>240</v>
      </c>
      <c r="BU230" s="225">
        <v>6.7199999999999996E-2</v>
      </c>
      <c r="BW230" s="226" t="s">
        <v>215</v>
      </c>
      <c r="BX230" s="225">
        <v>10</v>
      </c>
      <c r="BZ230" s="226" t="s">
        <v>254</v>
      </c>
      <c r="CA230" s="225">
        <v>6.3E-2</v>
      </c>
      <c r="CC230" s="226" t="s">
        <v>240</v>
      </c>
      <c r="CD230" s="225">
        <v>0.1</v>
      </c>
      <c r="CF230" s="226" t="s">
        <v>215</v>
      </c>
      <c r="CG230" s="225">
        <v>1</v>
      </c>
    </row>
    <row r="231" spans="1:85" s="197" customFormat="1" x14ac:dyDescent="0.3">
      <c r="A231" s="182" t="s">
        <v>217</v>
      </c>
      <c r="B231" s="183">
        <v>1</v>
      </c>
      <c r="C231" s="184" t="s">
        <v>258</v>
      </c>
      <c r="D231" s="187">
        <v>6</v>
      </c>
      <c r="E231" s="187">
        <v>3.585</v>
      </c>
      <c r="F231" s="186">
        <v>0.2</v>
      </c>
      <c r="G231" s="187">
        <f t="shared" si="180"/>
        <v>4.3019999999999996</v>
      </c>
      <c r="H231" s="188">
        <f t="shared" si="177"/>
        <v>21.509999999999998</v>
      </c>
      <c r="I231" s="183" t="e">
        <f>GETPIVOTDATA(#REF!,A231)</f>
        <v>#REF!</v>
      </c>
      <c r="J231" s="188" t="e">
        <f>GETPIVOTDATA(#REF!,A231)*2</f>
        <v>#REF!</v>
      </c>
      <c r="K231" s="183" t="e">
        <f>(ROUND(E231/J231,0)+1)*GETPIVOTDATA(#REF!,A231)</f>
        <v>#REF!</v>
      </c>
      <c r="L231" s="189" t="e">
        <f>GETPIVOTDATA(#REF!,A231)</f>
        <v>#REF!</v>
      </c>
      <c r="M231" s="189">
        <f t="shared" si="205"/>
        <v>0.53</v>
      </c>
      <c r="N231" s="189">
        <f t="shared" si="181"/>
        <v>-0.04</v>
      </c>
      <c r="O231" s="189">
        <f>5.2*0.3</f>
        <v>1.56</v>
      </c>
      <c r="P231" s="188" t="e">
        <f t="shared" si="195"/>
        <v>#REF!</v>
      </c>
      <c r="Q231" s="183" t="e">
        <f>GETPIVOTDATA(#REF!,A231)</f>
        <v>#REF!</v>
      </c>
      <c r="R231" s="188" t="e">
        <f>GETPIVOTDATA(#REF!,A231)*2</f>
        <v>#REF!</v>
      </c>
      <c r="S231" s="183" t="e">
        <f>(ROUND(E231/R231,0))*GETPIVOTDATA(#REF!,A231)</f>
        <v>#REF!</v>
      </c>
      <c r="T231" s="189" t="e">
        <f>GETPIVOTDATA(#REF!,A231)</f>
        <v>#REF!</v>
      </c>
      <c r="U231" s="189">
        <f t="shared" si="206"/>
        <v>0.53</v>
      </c>
      <c r="V231" s="189">
        <f t="shared" si="182"/>
        <v>-0.04</v>
      </c>
      <c r="W231" s="189">
        <v>0</v>
      </c>
      <c r="X231" s="188" t="e">
        <f t="shared" si="202"/>
        <v>#REF!</v>
      </c>
      <c r="Y231" s="183" t="e">
        <f>GETPIVOTDATA(#REF!,A231)</f>
        <v>#REF!</v>
      </c>
      <c r="Z231" s="182" t="e">
        <f>GETPIVOTDATA(#REF!,A231)*2</f>
        <v>#REF!</v>
      </c>
      <c r="AA231" s="183" t="e">
        <f>(ROUND(D231/Z231,0)+1)*GETPIVOTDATA(#REF!,A231)</f>
        <v>#REF!</v>
      </c>
      <c r="AB231" s="189" t="e">
        <f>GETPIVOTDATA(#REF!,A231)</f>
        <v>#REF!</v>
      </c>
      <c r="AC231" s="189">
        <f t="shared" si="203"/>
        <v>0.6</v>
      </c>
      <c r="AD231" s="189">
        <f t="shared" si="183"/>
        <v>-0.04</v>
      </c>
      <c r="AE231" s="189">
        <f>3.07*0.3</f>
        <v>0.92099999999999993</v>
      </c>
      <c r="AF231" s="188" t="e">
        <f t="shared" si="184"/>
        <v>#REF!</v>
      </c>
      <c r="AG231" s="183" t="e">
        <f>GETPIVOTDATA(#REF!,A231)</f>
        <v>#REF!</v>
      </c>
      <c r="AH231" s="182" t="e">
        <f>GETPIVOTDATA(#REF!,A231)*2</f>
        <v>#REF!</v>
      </c>
      <c r="AI231" s="183" t="e">
        <f>(ROUND(D231/AH231,0))*GETPIVOTDATA(#REF!,A231)</f>
        <v>#REF!</v>
      </c>
      <c r="AJ231" s="189" t="e">
        <f>GETPIVOTDATA(#REF!,A231)</f>
        <v>#REF!</v>
      </c>
      <c r="AK231" s="189">
        <f t="shared" si="204"/>
        <v>0.6</v>
      </c>
      <c r="AL231" s="189">
        <f t="shared" si="185"/>
        <v>-0.04</v>
      </c>
      <c r="AM231" s="189">
        <f>4.307*0.3</f>
        <v>1.2921</v>
      </c>
      <c r="AN231" s="188" t="e">
        <f t="shared" si="198"/>
        <v>#REF!</v>
      </c>
      <c r="AO231" s="183">
        <v>0</v>
      </c>
      <c r="AP231" s="182">
        <f t="shared" si="178"/>
        <v>12</v>
      </c>
      <c r="AQ231" s="182">
        <v>1.5</v>
      </c>
      <c r="AR231" s="187" t="e">
        <f t="shared" si="186"/>
        <v>#REF!</v>
      </c>
      <c r="AS231" s="187" t="e">
        <f t="shared" si="187"/>
        <v>#REF!</v>
      </c>
      <c r="AT231" s="187" t="e">
        <f t="shared" si="188"/>
        <v>#REF!</v>
      </c>
      <c r="AU231" s="187" t="e">
        <f t="shared" si="189"/>
        <v>#REF!</v>
      </c>
      <c r="AV231" s="187" t="e">
        <f t="shared" si="179"/>
        <v>#REF!</v>
      </c>
      <c r="AW231" s="187" t="e">
        <f t="shared" si="190"/>
        <v>#REF!</v>
      </c>
      <c r="AX231" s="187">
        <f t="shared" si="191"/>
        <v>18</v>
      </c>
      <c r="AY231" s="190"/>
      <c r="AZ231" s="227" t="s">
        <v>240</v>
      </c>
      <c r="BA231" s="232">
        <v>0.16</v>
      </c>
      <c r="BB231" s="197">
        <v>10</v>
      </c>
      <c r="BC231" s="197">
        <v>0.1</v>
      </c>
      <c r="BD231" s="197">
        <v>10</v>
      </c>
      <c r="BE231" s="197">
        <v>0.1</v>
      </c>
      <c r="BF231" s="206">
        <f t="shared" si="196"/>
        <v>6.7199999999999996E-2</v>
      </c>
      <c r="BG231" s="206">
        <f t="shared" si="197"/>
        <v>6.7199999999999996E-2</v>
      </c>
      <c r="BH231" s="207">
        <v>1</v>
      </c>
      <c r="BK231" s="222" t="s">
        <v>190</v>
      </c>
      <c r="BL231" s="223">
        <v>0.2</v>
      </c>
      <c r="BN231" s="222" t="s">
        <v>190</v>
      </c>
      <c r="BO231" s="223">
        <v>12</v>
      </c>
      <c r="BQ231" s="226" t="s">
        <v>190</v>
      </c>
      <c r="BR231" s="225">
        <v>0.1</v>
      </c>
      <c r="BT231" s="226" t="s">
        <v>190</v>
      </c>
      <c r="BU231" s="225">
        <v>8.4000000000000005E-2</v>
      </c>
      <c r="BW231" s="226" t="s">
        <v>217</v>
      </c>
      <c r="BX231" s="225">
        <v>10</v>
      </c>
      <c r="BZ231" s="226" t="s">
        <v>190</v>
      </c>
      <c r="CA231" s="225">
        <v>8.4000000000000005E-2</v>
      </c>
      <c r="CC231" s="226" t="s">
        <v>190</v>
      </c>
      <c r="CD231" s="225">
        <v>0.12</v>
      </c>
      <c r="CF231" s="226" t="s">
        <v>217</v>
      </c>
      <c r="CG231" s="225">
        <v>1</v>
      </c>
    </row>
    <row r="232" spans="1:85" s="197" customFormat="1" x14ac:dyDescent="0.3">
      <c r="A232" s="182" t="s">
        <v>190</v>
      </c>
      <c r="B232" s="183">
        <v>1</v>
      </c>
      <c r="C232" s="184" t="s">
        <v>255</v>
      </c>
      <c r="D232" s="187">
        <v>6</v>
      </c>
      <c r="E232" s="187">
        <v>3.0718999999999999</v>
      </c>
      <c r="F232" s="186">
        <v>0.2</v>
      </c>
      <c r="G232" s="187">
        <f t="shared" si="180"/>
        <v>3.68628</v>
      </c>
      <c r="H232" s="188">
        <f t="shared" si="177"/>
        <v>18.4314</v>
      </c>
      <c r="I232" s="183" t="e">
        <f>GETPIVOTDATA(#REF!,A232)</f>
        <v>#REF!</v>
      </c>
      <c r="J232" s="188" t="e">
        <f>GETPIVOTDATA(#REF!,A232)*2</f>
        <v>#REF!</v>
      </c>
      <c r="K232" s="183" t="e">
        <f>(ROUND(E232/J232,0)+1)*GETPIVOTDATA(#REF!,A232)</f>
        <v>#REF!</v>
      </c>
      <c r="L232" s="189" t="e">
        <f>GETPIVOTDATA(#REF!,A232)</f>
        <v>#REF!</v>
      </c>
      <c r="M232" s="189">
        <f t="shared" si="205"/>
        <v>0.53</v>
      </c>
      <c r="N232" s="189">
        <f t="shared" si="181"/>
        <v>-0.04</v>
      </c>
      <c r="O232" s="189">
        <f>4.22*0.3</f>
        <v>1.2659999999999998</v>
      </c>
      <c r="P232" s="188" t="e">
        <f t="shared" si="195"/>
        <v>#REF!</v>
      </c>
      <c r="Q232" s="183" t="e">
        <f>GETPIVOTDATA(#REF!,A232)</f>
        <v>#REF!</v>
      </c>
      <c r="R232" s="188" t="e">
        <f>GETPIVOTDATA(#REF!,A232)*2</f>
        <v>#REF!</v>
      </c>
      <c r="S232" s="183" t="e">
        <f>(ROUND(E232/R232,0))*GETPIVOTDATA(#REF!,A232)</f>
        <v>#REF!</v>
      </c>
      <c r="T232" s="189" t="e">
        <f>GETPIVOTDATA(#REF!,A232)</f>
        <v>#REF!</v>
      </c>
      <c r="U232" s="189">
        <f t="shared" si="206"/>
        <v>0.53</v>
      </c>
      <c r="V232" s="189">
        <f t="shared" si="182"/>
        <v>-0.04</v>
      </c>
      <c r="W232" s="189">
        <v>0</v>
      </c>
      <c r="X232" s="188" t="e">
        <f t="shared" si="202"/>
        <v>#REF!</v>
      </c>
      <c r="Y232" s="183" t="e">
        <f>GETPIVOTDATA(#REF!,A232)</f>
        <v>#REF!</v>
      </c>
      <c r="Z232" s="182" t="e">
        <f>GETPIVOTDATA(#REF!,A232)*2</f>
        <v>#REF!</v>
      </c>
      <c r="AA232" s="183" t="e">
        <f>(ROUND(D232/Z232,0)+1)*GETPIVOTDATA(#REF!,A232)</f>
        <v>#REF!</v>
      </c>
      <c r="AB232" s="189" t="e">
        <f>GETPIVOTDATA(#REF!,A232)</f>
        <v>#REF!</v>
      </c>
      <c r="AC232" s="189">
        <f t="shared" si="203"/>
        <v>0.6</v>
      </c>
      <c r="AD232" s="189">
        <f t="shared" si="183"/>
        <v>-0.04</v>
      </c>
      <c r="AE232" s="189">
        <f>2.409*0.3</f>
        <v>0.7226999999999999</v>
      </c>
      <c r="AF232" s="188" t="e">
        <f t="shared" si="184"/>
        <v>#REF!</v>
      </c>
      <c r="AG232" s="183" t="e">
        <f>GETPIVOTDATA(#REF!,A232)</f>
        <v>#REF!</v>
      </c>
      <c r="AH232" s="182" t="e">
        <f>GETPIVOTDATA(#REF!,A232)*2</f>
        <v>#REF!</v>
      </c>
      <c r="AI232" s="183" t="e">
        <f>(ROUND(D232/AH232,0))*GETPIVOTDATA(#REF!,A232)</f>
        <v>#REF!</v>
      </c>
      <c r="AJ232" s="189" t="e">
        <f>GETPIVOTDATA(#REF!,A232)</f>
        <v>#REF!</v>
      </c>
      <c r="AK232" s="189">
        <f t="shared" si="204"/>
        <v>0.6</v>
      </c>
      <c r="AL232" s="189">
        <f t="shared" si="185"/>
        <v>-0.04</v>
      </c>
      <c r="AM232" s="189">
        <f>3.585*0.3</f>
        <v>1.0754999999999999</v>
      </c>
      <c r="AN232" s="188" t="e">
        <f t="shared" si="198"/>
        <v>#REF!</v>
      </c>
      <c r="AO232" s="183">
        <v>0</v>
      </c>
      <c r="AP232" s="182">
        <f t="shared" si="178"/>
        <v>12</v>
      </c>
      <c r="AQ232" s="182">
        <v>1.5</v>
      </c>
      <c r="AR232" s="187" t="e">
        <f t="shared" si="186"/>
        <v>#REF!</v>
      </c>
      <c r="AS232" s="187" t="e">
        <f t="shared" si="187"/>
        <v>#REF!</v>
      </c>
      <c r="AT232" s="187" t="e">
        <f t="shared" si="188"/>
        <v>#REF!</v>
      </c>
      <c r="AU232" s="187" t="e">
        <f t="shared" si="189"/>
        <v>#REF!</v>
      </c>
      <c r="AV232" s="187" t="e">
        <f t="shared" si="179"/>
        <v>#REF!</v>
      </c>
      <c r="AW232" s="187" t="e">
        <f t="shared" si="190"/>
        <v>#REF!</v>
      </c>
      <c r="AX232" s="187">
        <f t="shared" si="191"/>
        <v>18</v>
      </c>
      <c r="AY232" s="190"/>
      <c r="AZ232" s="227" t="s">
        <v>259</v>
      </c>
      <c r="BA232" s="232">
        <v>0.17499999999999999</v>
      </c>
      <c r="BB232" s="197">
        <v>10</v>
      </c>
      <c r="BC232" s="197">
        <v>0.75</v>
      </c>
      <c r="BD232" s="197">
        <v>10</v>
      </c>
      <c r="BE232" s="197">
        <v>8.5000000000000006E-2</v>
      </c>
      <c r="BF232" s="206">
        <f t="shared" si="196"/>
        <v>7.3499999999999996E-2</v>
      </c>
      <c r="BG232" s="206">
        <f t="shared" si="197"/>
        <v>7.3499999999999996E-2</v>
      </c>
      <c r="BH232" s="207">
        <v>1</v>
      </c>
      <c r="BK232" s="222" t="s">
        <v>215</v>
      </c>
      <c r="BL232" s="223">
        <v>0.22500000000000001</v>
      </c>
      <c r="BN232" s="222" t="s">
        <v>215</v>
      </c>
      <c r="BO232" s="223">
        <v>12</v>
      </c>
      <c r="BQ232" s="226" t="s">
        <v>215</v>
      </c>
      <c r="BR232" s="225">
        <v>0.09</v>
      </c>
      <c r="BT232" s="226" t="s">
        <v>215</v>
      </c>
      <c r="BU232" s="225">
        <v>9.4500000000000001E-2</v>
      </c>
      <c r="BW232" s="226" t="s">
        <v>221</v>
      </c>
      <c r="BX232" s="225">
        <v>8</v>
      </c>
      <c r="BZ232" s="226" t="s">
        <v>215</v>
      </c>
      <c r="CA232" s="225">
        <v>9.4500000000000001E-2</v>
      </c>
      <c r="CC232" s="226" t="s">
        <v>215</v>
      </c>
      <c r="CD232" s="225">
        <v>0.15</v>
      </c>
      <c r="CF232" s="226" t="s">
        <v>221</v>
      </c>
      <c r="CG232" s="225">
        <v>1</v>
      </c>
    </row>
    <row r="233" spans="1:85" s="197" customFormat="1" ht="27.6" x14ac:dyDescent="0.3">
      <c r="A233" s="182" t="s">
        <v>221</v>
      </c>
      <c r="B233" s="183">
        <v>1</v>
      </c>
      <c r="C233" s="184" t="s">
        <v>260</v>
      </c>
      <c r="D233" s="187">
        <v>6</v>
      </c>
      <c r="E233" s="187">
        <v>2.4089999999999998</v>
      </c>
      <c r="F233" s="186">
        <v>0.17499999999999999</v>
      </c>
      <c r="G233" s="187">
        <f t="shared" si="180"/>
        <v>2.5294499999999998</v>
      </c>
      <c r="H233" s="188">
        <f t="shared" si="177"/>
        <v>14.453999999999999</v>
      </c>
      <c r="I233" s="183" t="e">
        <f>GETPIVOTDATA(#REF!,A233)</f>
        <v>#REF!</v>
      </c>
      <c r="J233" s="188" t="e">
        <f>GETPIVOTDATA(#REF!,A233)*2</f>
        <v>#REF!</v>
      </c>
      <c r="K233" s="183" t="e">
        <f>(ROUND(E233/J233,0)+1)*GETPIVOTDATA(#REF!,A233)</f>
        <v>#REF!</v>
      </c>
      <c r="L233" s="189" t="e">
        <f>GETPIVOTDATA(#REF!,A233)</f>
        <v>#REF!</v>
      </c>
      <c r="M233" s="189">
        <f t="shared" si="205"/>
        <v>0.53</v>
      </c>
      <c r="N233" s="189">
        <f t="shared" si="181"/>
        <v>-0.04</v>
      </c>
      <c r="O233" s="189">
        <f>4.86*0.3</f>
        <v>1.458</v>
      </c>
      <c r="P233" s="188" t="e">
        <f t="shared" si="195"/>
        <v>#REF!</v>
      </c>
      <c r="Q233" s="183" t="e">
        <f>GETPIVOTDATA(#REF!,A233)</f>
        <v>#REF!</v>
      </c>
      <c r="R233" s="188" t="e">
        <f>GETPIVOTDATA(#REF!,A233)*2</f>
        <v>#REF!</v>
      </c>
      <c r="S233" s="183" t="e">
        <f>(ROUND(E233/R233,0))*GETPIVOTDATA(#REF!,A233)</f>
        <v>#REF!</v>
      </c>
      <c r="T233" s="189" t="e">
        <f>GETPIVOTDATA(#REF!,A233)</f>
        <v>#REF!</v>
      </c>
      <c r="U233" s="189">
        <f t="shared" si="206"/>
        <v>0.53</v>
      </c>
      <c r="V233" s="189">
        <f t="shared" si="182"/>
        <v>-0.04</v>
      </c>
      <c r="W233" s="189">
        <v>0</v>
      </c>
      <c r="X233" s="188" t="e">
        <f t="shared" si="202"/>
        <v>#REF!</v>
      </c>
      <c r="Y233" s="183" t="e">
        <f>GETPIVOTDATA(#REF!,A233)</f>
        <v>#REF!</v>
      </c>
      <c r="Z233" s="182" t="e">
        <f>GETPIVOTDATA(#REF!,A233)*2</f>
        <v>#REF!</v>
      </c>
      <c r="AA233" s="183" t="e">
        <f>(ROUND(D233/Z233,0)+1)*GETPIVOTDATA(#REF!,A233)</f>
        <v>#REF!</v>
      </c>
      <c r="AB233" s="189" t="e">
        <f>GETPIVOTDATA(#REF!,A233)</f>
        <v>#REF!</v>
      </c>
      <c r="AC233" s="189">
        <f t="shared" si="203"/>
        <v>0.6</v>
      </c>
      <c r="AD233" s="189">
        <f t="shared" si="183"/>
        <v>-0.04</v>
      </c>
      <c r="AE233" s="189">
        <f>2.417*0.3</f>
        <v>0.72509999999999997</v>
      </c>
      <c r="AF233" s="188" t="e">
        <f t="shared" si="184"/>
        <v>#REF!</v>
      </c>
      <c r="AG233" s="183" t="e">
        <f>GETPIVOTDATA(#REF!,A233)</f>
        <v>#REF!</v>
      </c>
      <c r="AH233" s="182" t="e">
        <f>GETPIVOTDATA(#REF!,A233)*2</f>
        <v>#REF!</v>
      </c>
      <c r="AI233" s="183" t="e">
        <f>(ROUND(D233/AH233,0))*GETPIVOTDATA(#REF!,A233)</f>
        <v>#REF!</v>
      </c>
      <c r="AJ233" s="189" t="e">
        <f>GETPIVOTDATA(#REF!,A233)</f>
        <v>#REF!</v>
      </c>
      <c r="AK233" s="189">
        <f t="shared" si="204"/>
        <v>0.6</v>
      </c>
      <c r="AL233" s="189">
        <f t="shared" si="185"/>
        <v>-0.04</v>
      </c>
      <c r="AM233" s="189">
        <f>3.07*0.3</f>
        <v>0.92099999999999993</v>
      </c>
      <c r="AN233" s="188" t="e">
        <f t="shared" si="198"/>
        <v>#REF!</v>
      </c>
      <c r="AO233" s="183">
        <v>0</v>
      </c>
      <c r="AP233" s="182">
        <f t="shared" si="178"/>
        <v>12</v>
      </c>
      <c r="AQ233" s="182">
        <v>1.5</v>
      </c>
      <c r="AR233" s="187" t="e">
        <f t="shared" si="186"/>
        <v>#REF!</v>
      </c>
      <c r="AS233" s="187" t="e">
        <f t="shared" si="187"/>
        <v>#REF!</v>
      </c>
      <c r="AT233" s="187" t="e">
        <f t="shared" si="188"/>
        <v>#REF!</v>
      </c>
      <c r="AU233" s="187" t="e">
        <f t="shared" si="189"/>
        <v>#REF!</v>
      </c>
      <c r="AV233" s="187" t="e">
        <f t="shared" si="179"/>
        <v>#REF!</v>
      </c>
      <c r="AW233" s="187" t="e">
        <f t="shared" si="190"/>
        <v>#REF!</v>
      </c>
      <c r="AX233" s="187">
        <f t="shared" si="191"/>
        <v>18</v>
      </c>
      <c r="AY233" s="190"/>
      <c r="AZ233" s="227" t="s">
        <v>261</v>
      </c>
      <c r="BA233" s="232">
        <v>0.12</v>
      </c>
      <c r="BB233" s="197">
        <v>10</v>
      </c>
      <c r="BC233" s="197">
        <v>0.125</v>
      </c>
      <c r="BD233" s="197">
        <v>8</v>
      </c>
      <c r="BE233" s="197">
        <v>0.2</v>
      </c>
      <c r="BF233" s="206">
        <f t="shared" si="196"/>
        <v>5.0399999999999993E-2</v>
      </c>
      <c r="BG233" s="206"/>
      <c r="BH233" s="207">
        <v>1</v>
      </c>
      <c r="BK233" s="222" t="s">
        <v>217</v>
      </c>
      <c r="BL233" s="223">
        <v>0.2</v>
      </c>
      <c r="BN233" s="222" t="s">
        <v>217</v>
      </c>
      <c r="BO233" s="223">
        <v>12</v>
      </c>
      <c r="BQ233" s="226" t="s">
        <v>217</v>
      </c>
      <c r="BR233" s="225">
        <v>0.1</v>
      </c>
      <c r="BT233" s="226" t="s">
        <v>217</v>
      </c>
      <c r="BU233" s="225">
        <v>8.4000000000000005E-2</v>
      </c>
      <c r="BW233" s="226" t="s">
        <v>236</v>
      </c>
      <c r="BX233" s="225">
        <v>8</v>
      </c>
      <c r="BZ233" s="226" t="s">
        <v>217</v>
      </c>
      <c r="CA233" s="225">
        <v>8.4000000000000005E-2</v>
      </c>
      <c r="CC233" s="226" t="s">
        <v>217</v>
      </c>
      <c r="CD233" s="225">
        <v>0.2</v>
      </c>
      <c r="CF233" s="226" t="s">
        <v>236</v>
      </c>
      <c r="CG233" s="225">
        <v>1</v>
      </c>
    </row>
    <row r="234" spans="1:85" s="197" customFormat="1" ht="27.6" x14ac:dyDescent="0.3">
      <c r="A234" s="182" t="s">
        <v>221</v>
      </c>
      <c r="B234" s="183">
        <v>1</v>
      </c>
      <c r="C234" s="184" t="s">
        <v>262</v>
      </c>
      <c r="D234" s="187">
        <v>6</v>
      </c>
      <c r="E234" s="187">
        <v>2.4169999999999998</v>
      </c>
      <c r="F234" s="186">
        <v>0.17499999999999999</v>
      </c>
      <c r="G234" s="187">
        <f t="shared" si="180"/>
        <v>2.5378499999999997</v>
      </c>
      <c r="H234" s="188">
        <f t="shared" si="177"/>
        <v>14.501999999999999</v>
      </c>
      <c r="I234" s="183" t="e">
        <f>GETPIVOTDATA(#REF!,A234)</f>
        <v>#REF!</v>
      </c>
      <c r="J234" s="188" t="e">
        <f>GETPIVOTDATA(#REF!,A234)*2</f>
        <v>#REF!</v>
      </c>
      <c r="K234" s="183" t="e">
        <f>(ROUND(E234/J234,0)+1)*GETPIVOTDATA(#REF!,A234)</f>
        <v>#REF!</v>
      </c>
      <c r="L234" s="189" t="e">
        <f>GETPIVOTDATA(#REF!,A234)</f>
        <v>#REF!</v>
      </c>
      <c r="M234" s="189">
        <f t="shared" si="205"/>
        <v>0.53</v>
      </c>
      <c r="N234" s="189">
        <f t="shared" si="181"/>
        <v>-0.04</v>
      </c>
      <c r="O234" s="189">
        <f>3.966*0.3</f>
        <v>1.1898</v>
      </c>
      <c r="P234" s="188" t="e">
        <f t="shared" si="195"/>
        <v>#REF!</v>
      </c>
      <c r="Q234" s="183" t="e">
        <f>GETPIVOTDATA(#REF!,A234)</f>
        <v>#REF!</v>
      </c>
      <c r="R234" s="188" t="e">
        <f>GETPIVOTDATA(#REF!,A234)*2</f>
        <v>#REF!</v>
      </c>
      <c r="S234" s="183" t="e">
        <f>(ROUND(E234/R234,0))*GETPIVOTDATA(#REF!,A234)</f>
        <v>#REF!</v>
      </c>
      <c r="T234" s="189" t="e">
        <f>GETPIVOTDATA(#REF!,A234)</f>
        <v>#REF!</v>
      </c>
      <c r="U234" s="189">
        <f t="shared" si="206"/>
        <v>0.53</v>
      </c>
      <c r="V234" s="189">
        <f t="shared" si="182"/>
        <v>-0.04</v>
      </c>
      <c r="W234" s="189">
        <v>0</v>
      </c>
      <c r="X234" s="188" t="e">
        <f t="shared" si="202"/>
        <v>#REF!</v>
      </c>
      <c r="Y234" s="183" t="e">
        <f>GETPIVOTDATA(#REF!,A234)</f>
        <v>#REF!</v>
      </c>
      <c r="Z234" s="182" t="e">
        <f>GETPIVOTDATA(#REF!,A234)*2</f>
        <v>#REF!</v>
      </c>
      <c r="AA234" s="183" t="e">
        <f>(ROUND(D234/Z234,0)+1)*GETPIVOTDATA(#REF!,A234)</f>
        <v>#REF!</v>
      </c>
      <c r="AB234" s="189" t="e">
        <f>GETPIVOTDATA(#REF!,A234)</f>
        <v>#REF!</v>
      </c>
      <c r="AC234" s="189">
        <f t="shared" si="203"/>
        <v>0.6</v>
      </c>
      <c r="AD234" s="189">
        <f t="shared" si="183"/>
        <v>-0.04</v>
      </c>
      <c r="AE234" s="189">
        <f>2.859*0.3</f>
        <v>0.85770000000000002</v>
      </c>
      <c r="AF234" s="188" t="e">
        <f t="shared" si="184"/>
        <v>#REF!</v>
      </c>
      <c r="AG234" s="183" t="e">
        <f>GETPIVOTDATA(#REF!,A234)</f>
        <v>#REF!</v>
      </c>
      <c r="AH234" s="182" t="e">
        <f>GETPIVOTDATA(#REF!,A234)*2</f>
        <v>#REF!</v>
      </c>
      <c r="AI234" s="183" t="e">
        <f>(ROUND(D234/AH234,0))*GETPIVOTDATA(#REF!,A234)</f>
        <v>#REF!</v>
      </c>
      <c r="AJ234" s="189" t="e">
        <f>GETPIVOTDATA(#REF!,A234)</f>
        <v>#REF!</v>
      </c>
      <c r="AK234" s="189">
        <f t="shared" si="204"/>
        <v>0.6</v>
      </c>
      <c r="AL234" s="189">
        <f t="shared" si="185"/>
        <v>-0.04</v>
      </c>
      <c r="AM234" s="189">
        <f>2.4096*0.3</f>
        <v>0.72288000000000008</v>
      </c>
      <c r="AN234" s="188" t="e">
        <f t="shared" si="198"/>
        <v>#REF!</v>
      </c>
      <c r="AO234" s="183">
        <v>0</v>
      </c>
      <c r="AP234" s="182">
        <f t="shared" si="178"/>
        <v>12</v>
      </c>
      <c r="AQ234" s="182">
        <v>1.5</v>
      </c>
      <c r="AR234" s="187" t="e">
        <f t="shared" si="186"/>
        <v>#REF!</v>
      </c>
      <c r="AS234" s="187" t="e">
        <f t="shared" si="187"/>
        <v>#REF!</v>
      </c>
      <c r="AT234" s="187" t="e">
        <f t="shared" si="188"/>
        <v>#REF!</v>
      </c>
      <c r="AU234" s="187" t="e">
        <f t="shared" si="189"/>
        <v>#REF!</v>
      </c>
      <c r="AV234" s="187" t="e">
        <f t="shared" si="179"/>
        <v>#REF!</v>
      </c>
      <c r="AW234" s="187" t="e">
        <f t="shared" si="190"/>
        <v>#REF!</v>
      </c>
      <c r="AX234" s="187">
        <f t="shared" si="191"/>
        <v>18</v>
      </c>
      <c r="AY234" s="190"/>
      <c r="AZ234" s="227"/>
      <c r="BA234" s="232"/>
      <c r="BF234" s="206"/>
      <c r="BG234" s="206"/>
      <c r="BH234" s="207"/>
      <c r="BK234" s="222" t="s">
        <v>221</v>
      </c>
      <c r="BL234" s="223">
        <v>0.17499999999999999</v>
      </c>
      <c r="BN234" s="222" t="s">
        <v>221</v>
      </c>
      <c r="BO234" s="223">
        <v>12</v>
      </c>
      <c r="BQ234" s="226" t="s">
        <v>221</v>
      </c>
      <c r="BR234" s="225">
        <v>0.1</v>
      </c>
      <c r="BT234" s="226" t="s">
        <v>221</v>
      </c>
      <c r="BU234" s="225">
        <v>7.3499999999999996E-2</v>
      </c>
      <c r="BW234" s="226" t="s">
        <v>240</v>
      </c>
      <c r="BX234" s="225">
        <v>10</v>
      </c>
      <c r="BZ234" s="226" t="s">
        <v>221</v>
      </c>
      <c r="CA234" s="225">
        <v>7.3499999999999996E-2</v>
      </c>
      <c r="CC234" s="226" t="s">
        <v>221</v>
      </c>
      <c r="CD234" s="225">
        <v>0.16</v>
      </c>
      <c r="CF234" s="226" t="s">
        <v>240</v>
      </c>
      <c r="CG234" s="225">
        <v>1</v>
      </c>
    </row>
    <row r="235" spans="1:85" s="197" customFormat="1" ht="27.6" x14ac:dyDescent="0.3">
      <c r="A235" s="182" t="s">
        <v>221</v>
      </c>
      <c r="B235" s="183">
        <v>1</v>
      </c>
      <c r="C235" s="184" t="s">
        <v>263</v>
      </c>
      <c r="D235" s="187">
        <v>6</v>
      </c>
      <c r="E235" s="187">
        <v>2.8586</v>
      </c>
      <c r="F235" s="186">
        <v>0.17499999999999999</v>
      </c>
      <c r="G235" s="187">
        <f t="shared" si="180"/>
        <v>3.0015300000000003</v>
      </c>
      <c r="H235" s="188">
        <f t="shared" si="177"/>
        <v>17.151600000000002</v>
      </c>
      <c r="I235" s="183" t="e">
        <f>GETPIVOTDATA(#REF!,A235)</f>
        <v>#REF!</v>
      </c>
      <c r="J235" s="188" t="e">
        <f>GETPIVOTDATA(#REF!,A235)*2</f>
        <v>#REF!</v>
      </c>
      <c r="K235" s="183" t="e">
        <f>(ROUND(E235/J235,0)+1)*GETPIVOTDATA(#REF!,A235)</f>
        <v>#REF!</v>
      </c>
      <c r="L235" s="189" t="e">
        <f>GETPIVOTDATA(#REF!,A235)</f>
        <v>#REF!</v>
      </c>
      <c r="M235" s="189">
        <f t="shared" si="205"/>
        <v>0.53</v>
      </c>
      <c r="N235" s="189">
        <f t="shared" si="181"/>
        <v>-0.04</v>
      </c>
      <c r="O235" s="189">
        <f>3.277*0.3</f>
        <v>0.98309999999999997</v>
      </c>
      <c r="P235" s="188" t="e">
        <f t="shared" si="195"/>
        <v>#REF!</v>
      </c>
      <c r="Q235" s="183" t="e">
        <f>GETPIVOTDATA(#REF!,A235)</f>
        <v>#REF!</v>
      </c>
      <c r="R235" s="188" t="e">
        <f>GETPIVOTDATA(#REF!,A235)*2</f>
        <v>#REF!</v>
      </c>
      <c r="S235" s="183" t="e">
        <f>(ROUND(E235/R235,0))*GETPIVOTDATA(#REF!,A235)</f>
        <v>#REF!</v>
      </c>
      <c r="T235" s="189" t="e">
        <f>GETPIVOTDATA(#REF!,A235)</f>
        <v>#REF!</v>
      </c>
      <c r="U235" s="189">
        <f t="shared" si="206"/>
        <v>0.53</v>
      </c>
      <c r="V235" s="189">
        <f t="shared" si="182"/>
        <v>-0.04</v>
      </c>
      <c r="W235" s="189">
        <v>0</v>
      </c>
      <c r="X235" s="188" t="e">
        <f t="shared" ref="X235:X236" si="207">+D235+SUM(T235:W235)+(F235-0.02*2)</f>
        <v>#REF!</v>
      </c>
      <c r="Y235" s="183" t="e">
        <f>GETPIVOTDATA(#REF!,A235)</f>
        <v>#REF!</v>
      </c>
      <c r="Z235" s="182" t="e">
        <f>GETPIVOTDATA(#REF!,A235)*2</f>
        <v>#REF!</v>
      </c>
      <c r="AA235" s="183" t="e">
        <f>(ROUND(D235/Z235,0)+1)*GETPIVOTDATA(#REF!,A235)</f>
        <v>#REF!</v>
      </c>
      <c r="AB235" s="189" t="e">
        <f>GETPIVOTDATA(#REF!,A235)</f>
        <v>#REF!</v>
      </c>
      <c r="AC235" s="189">
        <f t="shared" si="203"/>
        <v>0.6</v>
      </c>
      <c r="AD235" s="189">
        <f t="shared" si="183"/>
        <v>-0.04</v>
      </c>
      <c r="AE235" s="189">
        <f>2.417*0.3</f>
        <v>0.72509999999999997</v>
      </c>
      <c r="AF235" s="188" t="e">
        <f t="shared" si="184"/>
        <v>#REF!</v>
      </c>
      <c r="AG235" s="183" t="e">
        <f>GETPIVOTDATA(#REF!,A235)</f>
        <v>#REF!</v>
      </c>
      <c r="AH235" s="182" t="e">
        <f>GETPIVOTDATA(#REF!,A235)*2</f>
        <v>#REF!</v>
      </c>
      <c r="AI235" s="183" t="e">
        <f>(ROUND(D235/AH235,0))*GETPIVOTDATA(#REF!,A235)</f>
        <v>#REF!</v>
      </c>
      <c r="AJ235" s="189" t="e">
        <f>GETPIVOTDATA(#REF!,A235)</f>
        <v>#REF!</v>
      </c>
      <c r="AK235" s="189">
        <f t="shared" si="204"/>
        <v>0.6</v>
      </c>
      <c r="AL235" s="189">
        <f t="shared" si="185"/>
        <v>-0.04</v>
      </c>
      <c r="AM235" s="189">
        <f>2.3576*0.3</f>
        <v>0.70728000000000002</v>
      </c>
      <c r="AN235" s="188" t="e">
        <f t="shared" si="198"/>
        <v>#REF!</v>
      </c>
      <c r="AO235" s="183">
        <v>0</v>
      </c>
      <c r="AP235" s="182">
        <f t="shared" si="178"/>
        <v>12</v>
      </c>
      <c r="AQ235" s="182">
        <v>1.5</v>
      </c>
      <c r="AR235" s="187" t="e">
        <f t="shared" si="186"/>
        <v>#REF!</v>
      </c>
      <c r="AS235" s="187" t="e">
        <f t="shared" si="187"/>
        <v>#REF!</v>
      </c>
      <c r="AT235" s="187" t="e">
        <f t="shared" si="188"/>
        <v>#REF!</v>
      </c>
      <c r="AU235" s="187" t="e">
        <f t="shared" si="189"/>
        <v>#REF!</v>
      </c>
      <c r="AV235" s="187" t="e">
        <f t="shared" si="179"/>
        <v>#REF!</v>
      </c>
      <c r="AW235" s="187" t="e">
        <f t="shared" si="190"/>
        <v>#REF!</v>
      </c>
      <c r="AX235" s="187">
        <f t="shared" si="191"/>
        <v>18</v>
      </c>
      <c r="AY235" s="190"/>
      <c r="AZ235" s="235"/>
      <c r="BA235" s="236"/>
      <c r="BB235" s="237"/>
      <c r="BC235" s="237"/>
      <c r="BD235" s="237"/>
      <c r="BE235" s="237"/>
      <c r="BF235" s="238"/>
      <c r="BG235" s="237"/>
      <c r="BH235" s="239"/>
      <c r="BK235" s="222" t="s">
        <v>259</v>
      </c>
      <c r="BL235" s="223">
        <v>0.17499999999999999</v>
      </c>
      <c r="BN235" s="222" t="s">
        <v>259</v>
      </c>
      <c r="BO235" s="223">
        <v>10</v>
      </c>
      <c r="BQ235" s="226" t="s">
        <v>259</v>
      </c>
      <c r="BR235" s="225">
        <v>0.75</v>
      </c>
      <c r="BT235" s="226" t="s">
        <v>259</v>
      </c>
      <c r="BU235" s="225">
        <v>7.3499999999999996E-2</v>
      </c>
      <c r="BW235" s="226" t="s">
        <v>259</v>
      </c>
      <c r="BX235" s="225">
        <v>10</v>
      </c>
      <c r="BZ235" s="226" t="s">
        <v>259</v>
      </c>
      <c r="CA235" s="225">
        <v>7.3499999999999996E-2</v>
      </c>
      <c r="CC235" s="226" t="s">
        <v>259</v>
      </c>
      <c r="CD235" s="225">
        <v>8.5000000000000006E-2</v>
      </c>
      <c r="CF235" s="226" t="s">
        <v>259</v>
      </c>
      <c r="CG235" s="225">
        <v>1</v>
      </c>
    </row>
    <row r="236" spans="1:85" s="197" customFormat="1" ht="27.6" x14ac:dyDescent="0.3">
      <c r="A236" s="182" t="s">
        <v>221</v>
      </c>
      <c r="B236" s="183">
        <v>2</v>
      </c>
      <c r="C236" s="184" t="s">
        <v>264</v>
      </c>
      <c r="D236" s="187">
        <v>6.3078000000000003</v>
      </c>
      <c r="E236" s="187">
        <v>2.3576000000000001</v>
      </c>
      <c r="F236" s="186">
        <v>0.17499999999999999</v>
      </c>
      <c r="G236" s="187">
        <f t="shared" si="180"/>
        <v>5.2049442480000003</v>
      </c>
      <c r="H236" s="188">
        <f t="shared" si="177"/>
        <v>29.742538560000003</v>
      </c>
      <c r="I236" s="183" t="e">
        <f>GETPIVOTDATA(#REF!,A236)</f>
        <v>#REF!</v>
      </c>
      <c r="J236" s="188" t="e">
        <f>GETPIVOTDATA(#REF!,A236)*2</f>
        <v>#REF!</v>
      </c>
      <c r="K236" s="183" t="e">
        <f>(ROUND(E236/J236,0)+1)*GETPIVOTDATA(#REF!,A236)</f>
        <v>#REF!</v>
      </c>
      <c r="L236" s="189" t="e">
        <f>GETPIVOTDATA(#REF!,A236)</f>
        <v>#REF!</v>
      </c>
      <c r="M236" s="189">
        <f t="shared" si="205"/>
        <v>0.53</v>
      </c>
      <c r="N236" s="189">
        <f t="shared" si="181"/>
        <v>-0.04</v>
      </c>
      <c r="O236" s="189">
        <f>2.3787*0.3</f>
        <v>0.71360999999999997</v>
      </c>
      <c r="P236" s="188" t="e">
        <f t="shared" si="195"/>
        <v>#REF!</v>
      </c>
      <c r="Q236" s="183" t="e">
        <f>GETPIVOTDATA(#REF!,A236)</f>
        <v>#REF!</v>
      </c>
      <c r="R236" s="188" t="e">
        <f>GETPIVOTDATA(#REF!,A236)*2</f>
        <v>#REF!</v>
      </c>
      <c r="S236" s="183" t="e">
        <f>(ROUND(E236/R236,0))*GETPIVOTDATA(#REF!,A236)</f>
        <v>#REF!</v>
      </c>
      <c r="T236" s="189" t="e">
        <f>GETPIVOTDATA(#REF!,A236)</f>
        <v>#REF!</v>
      </c>
      <c r="U236" s="189">
        <f t="shared" si="206"/>
        <v>0.53</v>
      </c>
      <c r="V236" s="189">
        <f t="shared" si="182"/>
        <v>-0.04</v>
      </c>
      <c r="W236" s="189">
        <v>0</v>
      </c>
      <c r="X236" s="188" t="e">
        <f t="shared" si="207"/>
        <v>#REF!</v>
      </c>
      <c r="Y236" s="183" t="e">
        <f>GETPIVOTDATA(#REF!,A236)</f>
        <v>#REF!</v>
      </c>
      <c r="Z236" s="182" t="e">
        <f>GETPIVOTDATA(#REF!,A236)*2</f>
        <v>#REF!</v>
      </c>
      <c r="AA236" s="183" t="e">
        <f>(ROUND(D236/Z236,0)+1)*GETPIVOTDATA(#REF!,A236)</f>
        <v>#REF!</v>
      </c>
      <c r="AB236" s="189" t="e">
        <f>GETPIVOTDATA(#REF!,A236)</f>
        <v>#REF!</v>
      </c>
      <c r="AC236" s="189">
        <f t="shared" si="203"/>
        <v>0.6</v>
      </c>
      <c r="AD236" s="189">
        <f t="shared" si="183"/>
        <v>-0.04</v>
      </c>
      <c r="AE236" s="189">
        <f>2.8586*0.3</f>
        <v>0.85758000000000001</v>
      </c>
      <c r="AF236" s="188" t="e">
        <f t="shared" si="184"/>
        <v>#REF!</v>
      </c>
      <c r="AG236" s="183" t="e">
        <f>GETPIVOTDATA(#REF!,A236)</f>
        <v>#REF!</v>
      </c>
      <c r="AH236" s="182" t="e">
        <f>GETPIVOTDATA(#REF!,A236)*2</f>
        <v>#REF!</v>
      </c>
      <c r="AI236" s="183" t="e">
        <f>(ROUND(D236/AH236,0))*GETPIVOTDATA(#REF!,A236)</f>
        <v>#REF!</v>
      </c>
      <c r="AJ236" s="189" t="e">
        <f>GETPIVOTDATA(#REF!,A236)</f>
        <v>#REF!</v>
      </c>
      <c r="AK236" s="189">
        <f t="shared" si="204"/>
        <v>0.6</v>
      </c>
      <c r="AL236" s="189">
        <f t="shared" si="185"/>
        <v>-0.04</v>
      </c>
      <c r="AM236" s="189">
        <f>1.17*0.3</f>
        <v>0.35099999999999998</v>
      </c>
      <c r="AN236" s="188" t="e">
        <f t="shared" si="198"/>
        <v>#REF!</v>
      </c>
      <c r="AO236" s="183">
        <v>0</v>
      </c>
      <c r="AP236" s="182">
        <f t="shared" si="178"/>
        <v>12</v>
      </c>
      <c r="AQ236" s="182">
        <v>1.5</v>
      </c>
      <c r="AR236" s="187" t="e">
        <f t="shared" si="186"/>
        <v>#REF!</v>
      </c>
      <c r="AS236" s="187" t="e">
        <f t="shared" si="187"/>
        <v>#REF!</v>
      </c>
      <c r="AT236" s="187" t="e">
        <f t="shared" si="188"/>
        <v>#REF!</v>
      </c>
      <c r="AU236" s="187" t="e">
        <f t="shared" si="189"/>
        <v>#REF!</v>
      </c>
      <c r="AV236" s="187" t="e">
        <f t="shared" si="179"/>
        <v>#REF!</v>
      </c>
      <c r="AW236" s="187" t="e">
        <f t="shared" si="190"/>
        <v>#REF!</v>
      </c>
      <c r="AX236" s="187">
        <f t="shared" si="191"/>
        <v>36</v>
      </c>
      <c r="AY236" s="190"/>
      <c r="AZ236" s="240"/>
      <c r="BA236" s="232"/>
      <c r="BF236" s="206"/>
      <c r="BG236" s="206"/>
      <c r="BK236" s="241" t="s">
        <v>261</v>
      </c>
      <c r="BL236" s="223">
        <v>0.12</v>
      </c>
      <c r="BN236" s="241" t="s">
        <v>261</v>
      </c>
      <c r="BO236" s="242">
        <v>10</v>
      </c>
      <c r="BQ236" s="226" t="s">
        <v>261</v>
      </c>
      <c r="BR236" s="225">
        <v>0.125</v>
      </c>
      <c r="BT236" s="226" t="s">
        <v>261</v>
      </c>
      <c r="BU236" s="225">
        <v>5.0399999999999993E-2</v>
      </c>
      <c r="BW236" s="226" t="s">
        <v>261</v>
      </c>
      <c r="BX236" s="225">
        <v>8</v>
      </c>
      <c r="BZ236" s="226" t="s">
        <v>261</v>
      </c>
      <c r="CA236" s="225"/>
      <c r="CC236" s="226" t="s">
        <v>261</v>
      </c>
      <c r="CD236" s="225">
        <v>0.2</v>
      </c>
      <c r="CF236" s="226" t="s">
        <v>261</v>
      </c>
      <c r="CG236" s="225">
        <v>1</v>
      </c>
    </row>
    <row r="237" spans="1:85" s="197" customFormat="1" x14ac:dyDescent="0.3">
      <c r="A237" s="243" t="s">
        <v>265</v>
      </c>
      <c r="B237" s="183"/>
      <c r="C237" s="184"/>
      <c r="D237" s="187"/>
      <c r="E237" s="187"/>
      <c r="F237" s="186"/>
      <c r="G237" s="187"/>
      <c r="H237" s="188"/>
      <c r="I237" s="183"/>
      <c r="J237" s="188"/>
      <c r="K237" s="183"/>
      <c r="L237" s="189"/>
      <c r="M237" s="189"/>
      <c r="N237" s="189"/>
      <c r="O237" s="189"/>
      <c r="P237" s="188"/>
      <c r="Q237" s="183"/>
      <c r="R237" s="188"/>
      <c r="S237" s="183"/>
      <c r="T237" s="189"/>
      <c r="U237" s="189"/>
      <c r="V237" s="189"/>
      <c r="W237" s="189"/>
      <c r="X237" s="188"/>
      <c r="Y237" s="183"/>
      <c r="Z237" s="182"/>
      <c r="AA237" s="183"/>
      <c r="AB237" s="189"/>
      <c r="AC237" s="189"/>
      <c r="AD237" s="189"/>
      <c r="AE237" s="189"/>
      <c r="AF237" s="188"/>
      <c r="AG237" s="183"/>
      <c r="AH237" s="182"/>
      <c r="AI237" s="183"/>
      <c r="AJ237" s="189"/>
      <c r="AK237" s="189"/>
      <c r="AL237" s="189"/>
      <c r="AM237" s="189"/>
      <c r="AN237" s="188"/>
      <c r="AO237" s="183">
        <v>0</v>
      </c>
      <c r="AP237" s="182"/>
      <c r="AQ237" s="182"/>
      <c r="AR237" s="187"/>
      <c r="AS237" s="187"/>
      <c r="AT237" s="187"/>
      <c r="AU237" s="187"/>
      <c r="AV237" s="187"/>
      <c r="AW237" s="187">
        <f t="shared" si="190"/>
        <v>0</v>
      </c>
      <c r="AX237" s="187">
        <f t="shared" si="191"/>
        <v>0</v>
      </c>
      <c r="AY237" s="190"/>
      <c r="AZ237" s="240"/>
      <c r="BA237" s="232"/>
      <c r="BF237" s="206"/>
      <c r="BG237" s="206"/>
      <c r="BK237" s="244" t="s">
        <v>266</v>
      </c>
      <c r="BL237" s="245">
        <v>3.9099999999999997</v>
      </c>
      <c r="BN237" s="241" t="s">
        <v>266</v>
      </c>
      <c r="BO237" s="242">
        <v>248</v>
      </c>
      <c r="BQ237" s="246" t="s">
        <v>266</v>
      </c>
      <c r="BR237" s="234">
        <v>3.1450000000000005</v>
      </c>
      <c r="BT237" s="233" t="s">
        <v>266</v>
      </c>
      <c r="BU237" s="234">
        <v>1.6421999999999997</v>
      </c>
      <c r="BW237" s="233" t="s">
        <v>266</v>
      </c>
      <c r="BX237" s="234">
        <v>220</v>
      </c>
      <c r="BZ237" s="233" t="s">
        <v>266</v>
      </c>
      <c r="CA237" s="234">
        <v>1.4804999999999997</v>
      </c>
      <c r="CC237" s="233" t="s">
        <v>266</v>
      </c>
      <c r="CD237" s="234">
        <v>3.2400000000000007</v>
      </c>
      <c r="CF237" s="233" t="s">
        <v>266</v>
      </c>
      <c r="CG237" s="234">
        <v>25</v>
      </c>
    </row>
    <row r="238" spans="1:85" s="197" customFormat="1" ht="27.6" x14ac:dyDescent="0.3">
      <c r="A238" s="182" t="s">
        <v>223</v>
      </c>
      <c r="B238" s="183">
        <v>1</v>
      </c>
      <c r="C238" s="184" t="s">
        <v>267</v>
      </c>
      <c r="D238" s="247">
        <v>2.6749999999999998</v>
      </c>
      <c r="E238" s="187">
        <v>10.1906</v>
      </c>
      <c r="F238" s="186">
        <v>0.13</v>
      </c>
      <c r="G238" s="187">
        <f t="shared" si="180"/>
        <v>3.54378115</v>
      </c>
      <c r="H238" s="188">
        <f t="shared" si="177"/>
        <v>27.259854999999998</v>
      </c>
      <c r="I238" s="183" t="e">
        <f>GETPIVOTDATA(#REF!,A238)</f>
        <v>#REF!</v>
      </c>
      <c r="J238" s="188" t="e">
        <f>GETPIVOTDATA(#REF!,A238)*2</f>
        <v>#REF!</v>
      </c>
      <c r="K238" s="183" t="e">
        <f>(ROUND(E238/J238,0)+1)*GETPIVOTDATA(#REF!,A238)</f>
        <v>#REF!</v>
      </c>
      <c r="L238" s="189" t="e">
        <f>GETPIVOTDATA(#REF!,A238)</f>
        <v>#REF!</v>
      </c>
      <c r="M238" s="189">
        <f>0.45*2</f>
        <v>0.9</v>
      </c>
      <c r="N238" s="189">
        <f t="shared" si="181"/>
        <v>-0.04</v>
      </c>
      <c r="O238" s="189">
        <v>0</v>
      </c>
      <c r="P238" s="188" t="e">
        <f t="shared" si="195"/>
        <v>#REF!</v>
      </c>
      <c r="Q238" s="183" t="e">
        <f>GETPIVOTDATA(#REF!,A238)</f>
        <v>#REF!</v>
      </c>
      <c r="R238" s="188" t="e">
        <f>GETPIVOTDATA(#REF!,A238)*2</f>
        <v>#REF!</v>
      </c>
      <c r="S238" s="183" t="e">
        <f>(ROUND(E238/R238,0))*GETPIVOTDATA(#REF!,A238)</f>
        <v>#REF!</v>
      </c>
      <c r="T238" s="189" t="e">
        <f>GETPIVOTDATA(#REF!,A238)</f>
        <v>#REF!</v>
      </c>
      <c r="U238" s="189">
        <f>0.45*2</f>
        <v>0.9</v>
      </c>
      <c r="V238" s="189">
        <f t="shared" si="182"/>
        <v>-0.04</v>
      </c>
      <c r="W238" s="189">
        <f>2.6*0.3</f>
        <v>0.78</v>
      </c>
      <c r="X238" s="188" t="e">
        <f t="shared" si="194"/>
        <v>#REF!</v>
      </c>
      <c r="Y238" s="183" t="e">
        <f>GETPIVOTDATA(#REF!,A238)</f>
        <v>#REF!</v>
      </c>
      <c r="Z238" s="182" t="e">
        <f>GETPIVOTDATA(#REF!,A238)*2</f>
        <v>#REF!</v>
      </c>
      <c r="AA238" s="183" t="e">
        <f>(ROUND(D238/Z238,0)+1)*GETPIVOTDATA(#REF!,A238)</f>
        <v>#REF!</v>
      </c>
      <c r="AB238" s="189" t="e">
        <f>GETPIVOTDATA(#REF!,A238)</f>
        <v>#REF!</v>
      </c>
      <c r="AC238" s="189">
        <f>0.45+0.3</f>
        <v>0.75</v>
      </c>
      <c r="AD238" s="189">
        <f t="shared" si="183"/>
        <v>-0.04</v>
      </c>
      <c r="AE238" s="189">
        <f>5.919*0.3</f>
        <v>1.7756999999999998</v>
      </c>
      <c r="AF238" s="188" t="e">
        <f t="shared" si="184"/>
        <v>#REF!</v>
      </c>
      <c r="AG238" s="183" t="e">
        <f>GETPIVOTDATA(#REF!,A238)</f>
        <v>#REF!</v>
      </c>
      <c r="AH238" s="182" t="e">
        <f>GETPIVOTDATA(#REF!,A238)*2</f>
        <v>#REF!</v>
      </c>
      <c r="AI238" s="183" t="e">
        <f>(ROUND(D238/AH238,0))*GETPIVOTDATA(#REF!,A238)</f>
        <v>#REF!</v>
      </c>
      <c r="AJ238" s="189" t="e">
        <f>GETPIVOTDATA(#REF!,A238)</f>
        <v>#REF!</v>
      </c>
      <c r="AK238" s="189">
        <f>0.45+0.3</f>
        <v>0.75</v>
      </c>
      <c r="AL238" s="189">
        <f t="shared" si="185"/>
        <v>-0.04</v>
      </c>
      <c r="AM238" s="189">
        <f>2.01*0.3</f>
        <v>0.60299999999999987</v>
      </c>
      <c r="AN238" s="188" t="e">
        <f t="shared" si="198"/>
        <v>#REF!</v>
      </c>
      <c r="AO238" s="183">
        <v>0</v>
      </c>
      <c r="AP238" s="182">
        <f t="shared" si="178"/>
        <v>18</v>
      </c>
      <c r="AQ238" s="182">
        <v>1.5</v>
      </c>
      <c r="AR238" s="187" t="e">
        <f t="shared" si="186"/>
        <v>#REF!</v>
      </c>
      <c r="AS238" s="187" t="e">
        <f t="shared" si="187"/>
        <v>#REF!</v>
      </c>
      <c r="AT238" s="187" t="e">
        <f t="shared" si="188"/>
        <v>#REF!</v>
      </c>
      <c r="AU238" s="187" t="e">
        <f t="shared" si="189"/>
        <v>#REF!</v>
      </c>
      <c r="AV238" s="187" t="e">
        <f t="shared" si="179"/>
        <v>#REF!</v>
      </c>
      <c r="AW238" s="187" t="e">
        <f t="shared" si="190"/>
        <v>#REF!</v>
      </c>
      <c r="AX238" s="187">
        <f t="shared" si="191"/>
        <v>27</v>
      </c>
      <c r="AY238" s="190"/>
      <c r="AZ238" s="240"/>
      <c r="BA238" s="232"/>
      <c r="BF238" s="206"/>
      <c r="BG238" s="206"/>
      <c r="BK238" s="126"/>
      <c r="BL238" s="126"/>
      <c r="BN238" s="126"/>
      <c r="BO238" s="126"/>
      <c r="BQ238" s="126"/>
      <c r="BR238" s="126"/>
      <c r="BT238" s="126"/>
      <c r="BU238" s="126"/>
      <c r="BW238" s="126"/>
      <c r="BX238" s="126"/>
      <c r="BZ238" s="126"/>
      <c r="CA238" s="126"/>
      <c r="CC238" s="126"/>
      <c r="CD238" s="126"/>
      <c r="CF238" s="126"/>
      <c r="CG238" s="126"/>
    </row>
    <row r="239" spans="1:85" s="197" customFormat="1" ht="27.6" x14ac:dyDescent="0.3">
      <c r="A239" s="182" t="s">
        <v>223</v>
      </c>
      <c r="B239" s="183">
        <v>1</v>
      </c>
      <c r="C239" s="184" t="s">
        <v>268</v>
      </c>
      <c r="D239" s="247">
        <v>2.6</v>
      </c>
      <c r="E239" s="187">
        <v>9.59</v>
      </c>
      <c r="F239" s="186">
        <v>0.13</v>
      </c>
      <c r="G239" s="187">
        <f t="shared" si="180"/>
        <v>3.2414200000000002</v>
      </c>
      <c r="H239" s="188">
        <f t="shared" si="177"/>
        <v>24.934000000000001</v>
      </c>
      <c r="I239" s="183" t="e">
        <f>GETPIVOTDATA(#REF!,A239)</f>
        <v>#REF!</v>
      </c>
      <c r="J239" s="188" t="e">
        <f>GETPIVOTDATA(#REF!,A239)*2</f>
        <v>#REF!</v>
      </c>
      <c r="K239" s="183" t="e">
        <f>(ROUND(E239/J239,0)+1)*GETPIVOTDATA(#REF!,A239)</f>
        <v>#REF!</v>
      </c>
      <c r="L239" s="189" t="e">
        <f>GETPIVOTDATA(#REF!,A239)</f>
        <v>#REF!</v>
      </c>
      <c r="M239" s="189">
        <f>0.45*2</f>
        <v>0.9</v>
      </c>
      <c r="N239" s="189">
        <f t="shared" si="181"/>
        <v>-0.04</v>
      </c>
      <c r="O239" s="189">
        <f>2.675*0.3</f>
        <v>0.80249999999999988</v>
      </c>
      <c r="P239" s="188" t="e">
        <f t="shared" si="195"/>
        <v>#REF!</v>
      </c>
      <c r="Q239" s="183" t="e">
        <f>GETPIVOTDATA(#REF!,A239)</f>
        <v>#REF!</v>
      </c>
      <c r="R239" s="188" t="e">
        <f>GETPIVOTDATA(#REF!,A239)*2</f>
        <v>#REF!</v>
      </c>
      <c r="S239" s="183" t="e">
        <f>(ROUND(E239/R239,0))*GETPIVOTDATA(#REF!,A239)</f>
        <v>#REF!</v>
      </c>
      <c r="T239" s="189" t="e">
        <f>GETPIVOTDATA(#REF!,A239)</f>
        <v>#REF!</v>
      </c>
      <c r="U239" s="189">
        <f>0.45*2</f>
        <v>0.9</v>
      </c>
      <c r="V239" s="189">
        <f t="shared" si="182"/>
        <v>-0.04</v>
      </c>
      <c r="W239" s="189">
        <f>7.055*0.3</f>
        <v>2.1164999999999998</v>
      </c>
      <c r="X239" s="188" t="e">
        <f>+D239+SUM(T239:W239)</f>
        <v>#REF!</v>
      </c>
      <c r="Y239" s="183" t="e">
        <f>GETPIVOTDATA(#REF!,A239)</f>
        <v>#REF!</v>
      </c>
      <c r="Z239" s="182" t="e">
        <f>GETPIVOTDATA(#REF!,A239)*2</f>
        <v>#REF!</v>
      </c>
      <c r="AA239" s="183" t="e">
        <f>(ROUND(D239/Z239,0)+1)*GETPIVOTDATA(#REF!,A239)</f>
        <v>#REF!</v>
      </c>
      <c r="AB239" s="189" t="e">
        <f>GETPIVOTDATA(#REF!,A239)</f>
        <v>#REF!</v>
      </c>
      <c r="AC239" s="189">
        <f t="shared" si="203"/>
        <v>0.6</v>
      </c>
      <c r="AD239" s="189">
        <f t="shared" si="183"/>
        <v>-0.04</v>
      </c>
      <c r="AE239" s="189">
        <f>5.919*0.3</f>
        <v>1.7756999999999998</v>
      </c>
      <c r="AF239" s="188" t="e">
        <f t="shared" si="184"/>
        <v>#REF!</v>
      </c>
      <c r="AG239" s="183" t="e">
        <f>GETPIVOTDATA(#REF!,A239)</f>
        <v>#REF!</v>
      </c>
      <c r="AH239" s="182" t="e">
        <f>GETPIVOTDATA(#REF!,A239)*2</f>
        <v>#REF!</v>
      </c>
      <c r="AI239" s="183" t="e">
        <f>(ROUND(D239/AH239,0))*GETPIVOTDATA(#REF!,A239)</f>
        <v>#REF!</v>
      </c>
      <c r="AJ239" s="189" t="e">
        <f>GETPIVOTDATA(#REF!,A239)</f>
        <v>#REF!</v>
      </c>
      <c r="AK239" s="189">
        <f t="shared" si="204"/>
        <v>0.6</v>
      </c>
      <c r="AL239" s="189">
        <f t="shared" si="185"/>
        <v>-0.04</v>
      </c>
      <c r="AM239" s="189">
        <f>2.85*0.3</f>
        <v>0.85499999999999998</v>
      </c>
      <c r="AN239" s="188" t="e">
        <f t="shared" si="198"/>
        <v>#REF!</v>
      </c>
      <c r="AO239" s="183">
        <v>0</v>
      </c>
      <c r="AP239" s="182">
        <f t="shared" si="178"/>
        <v>16</v>
      </c>
      <c r="AQ239" s="182">
        <v>1.5</v>
      </c>
      <c r="AR239" s="187" t="e">
        <f t="shared" si="186"/>
        <v>#REF!</v>
      </c>
      <c r="AS239" s="187" t="e">
        <f t="shared" si="187"/>
        <v>#REF!</v>
      </c>
      <c r="AT239" s="187" t="e">
        <f t="shared" si="188"/>
        <v>#REF!</v>
      </c>
      <c r="AU239" s="187" t="e">
        <f t="shared" si="189"/>
        <v>#REF!</v>
      </c>
      <c r="AV239" s="187" t="e">
        <f t="shared" si="179"/>
        <v>#REF!</v>
      </c>
      <c r="AW239" s="187" t="e">
        <f t="shared" si="190"/>
        <v>#REF!</v>
      </c>
      <c r="AX239" s="187">
        <f t="shared" si="191"/>
        <v>24</v>
      </c>
      <c r="AY239" s="190"/>
      <c r="AZ239" s="240"/>
      <c r="BA239" s="232"/>
      <c r="BF239" s="206"/>
      <c r="BG239" s="206"/>
      <c r="BK239" s="126"/>
      <c r="BL239" s="126"/>
      <c r="BN239" s="126"/>
      <c r="BO239" s="126"/>
      <c r="BQ239" s="126"/>
      <c r="BR239" s="126"/>
      <c r="BT239" s="126"/>
      <c r="BU239" s="126"/>
      <c r="BW239" s="126"/>
      <c r="BX239" s="126"/>
      <c r="BZ239" s="126"/>
      <c r="CA239" s="126"/>
      <c r="CC239" s="126"/>
      <c r="CD239" s="126"/>
      <c r="CF239" s="126"/>
      <c r="CG239" s="126"/>
    </row>
    <row r="240" spans="1:85" s="197" customFormat="1" ht="27.6" x14ac:dyDescent="0.3">
      <c r="A240" s="182" t="s">
        <v>223</v>
      </c>
      <c r="B240" s="183">
        <v>1</v>
      </c>
      <c r="C240" s="184" t="s">
        <v>269</v>
      </c>
      <c r="D240" s="187">
        <v>7.0549999999999997</v>
      </c>
      <c r="E240" s="187">
        <v>2.9056000000000002</v>
      </c>
      <c r="F240" s="186">
        <v>0.13</v>
      </c>
      <c r="G240" s="187">
        <f t="shared" si="180"/>
        <v>2.66487104</v>
      </c>
      <c r="H240" s="188">
        <f>D240*E240*B240</f>
        <v>20.499008</v>
      </c>
      <c r="I240" s="183" t="e">
        <f>GETPIVOTDATA(#REF!,A240)</f>
        <v>#REF!</v>
      </c>
      <c r="J240" s="188" t="e">
        <f>GETPIVOTDATA(#REF!,A240)*2</f>
        <v>#REF!</v>
      </c>
      <c r="K240" s="183" t="e">
        <f>(ROUND(E240/J240,0)+1)*GETPIVOTDATA(#REF!,A240)</f>
        <v>#REF!</v>
      </c>
      <c r="L240" s="189" t="e">
        <f>GETPIVOTDATA(#REF!,A240)</f>
        <v>#REF!</v>
      </c>
      <c r="M240" s="189">
        <f>0.45+0.23</f>
        <v>0.68</v>
      </c>
      <c r="N240" s="189">
        <f t="shared" si="181"/>
        <v>-0.04</v>
      </c>
      <c r="O240" s="189">
        <f>2.6*0.3</f>
        <v>0.78</v>
      </c>
      <c r="P240" s="188" t="e">
        <f t="shared" si="195"/>
        <v>#REF!</v>
      </c>
      <c r="Q240" s="183" t="e">
        <f>GETPIVOTDATA(#REF!,A240)</f>
        <v>#REF!</v>
      </c>
      <c r="R240" s="188" t="e">
        <f>GETPIVOTDATA(#REF!,A240)*2</f>
        <v>#REF!</v>
      </c>
      <c r="S240" s="183" t="e">
        <f>(ROUND(E240/R240,0))*GETPIVOTDATA(#REF!,A240)</f>
        <v>#REF!</v>
      </c>
      <c r="T240" s="189" t="e">
        <f>GETPIVOTDATA(#REF!,A240)</f>
        <v>#REF!</v>
      </c>
      <c r="U240" s="189">
        <f>0.45+0.23</f>
        <v>0.68</v>
      </c>
      <c r="V240" s="189">
        <f t="shared" si="182"/>
        <v>-0.04</v>
      </c>
      <c r="W240" s="189">
        <f>3.19*0.3</f>
        <v>0.95699999999999996</v>
      </c>
      <c r="X240" s="188" t="e">
        <f t="shared" ref="X240:X303" si="208">+D240+SUM(T240:W240)</f>
        <v>#REF!</v>
      </c>
      <c r="Y240" s="183" t="e">
        <f>GETPIVOTDATA(#REF!,A240)</f>
        <v>#REF!</v>
      </c>
      <c r="Z240" s="188" t="e">
        <f>GETPIVOTDATA(#REF!,A240)*2</f>
        <v>#REF!</v>
      </c>
      <c r="AA240" s="183" t="e">
        <f>(ROUND(D240/Z240,0)+1)*GETPIVOTDATA(#REF!,A240)</f>
        <v>#REF!</v>
      </c>
      <c r="AB240" s="189" t="e">
        <f>GETPIVOTDATA(#REF!,A240)</f>
        <v>#REF!</v>
      </c>
      <c r="AC240" s="189">
        <f t="shared" si="203"/>
        <v>0.6</v>
      </c>
      <c r="AD240" s="189">
        <f t="shared" si="183"/>
        <v>-0.04</v>
      </c>
      <c r="AE240" s="189">
        <f>2.41*0.3</f>
        <v>0.72299999999999998</v>
      </c>
      <c r="AF240" s="188" t="e">
        <f t="shared" si="184"/>
        <v>#REF!</v>
      </c>
      <c r="AG240" s="183" t="e">
        <f>GETPIVOTDATA(#REF!,A240)</f>
        <v>#REF!</v>
      </c>
      <c r="AH240" s="182" t="e">
        <f>GETPIVOTDATA(#REF!,A240)*2</f>
        <v>#REF!</v>
      </c>
      <c r="AI240" s="183" t="e">
        <f>(ROUND(D240/AH240,0))*GETPIVOTDATA(#REF!,A240)</f>
        <v>#REF!</v>
      </c>
      <c r="AJ240" s="189" t="e">
        <f>GETPIVOTDATA(#REF!,A240)</f>
        <v>#REF!</v>
      </c>
      <c r="AK240" s="189">
        <f t="shared" si="204"/>
        <v>0.6</v>
      </c>
      <c r="AL240" s="189">
        <f t="shared" si="185"/>
        <v>-0.04</v>
      </c>
      <c r="AM240" s="189">
        <f>2.818*0.3</f>
        <v>0.84540000000000004</v>
      </c>
      <c r="AN240" s="188" t="e">
        <f t="shared" si="198"/>
        <v>#REF!</v>
      </c>
      <c r="AO240" s="183">
        <v>0</v>
      </c>
      <c r="AP240" s="182">
        <f t="shared" si="178"/>
        <v>14</v>
      </c>
      <c r="AQ240" s="182">
        <v>1.5</v>
      </c>
      <c r="AR240" s="187" t="e">
        <f t="shared" si="186"/>
        <v>#REF!</v>
      </c>
      <c r="AS240" s="187" t="e">
        <f t="shared" si="187"/>
        <v>#REF!</v>
      </c>
      <c r="AT240" s="187" t="e">
        <f t="shared" si="188"/>
        <v>#REF!</v>
      </c>
      <c r="AU240" s="187" t="e">
        <f t="shared" si="189"/>
        <v>#REF!</v>
      </c>
      <c r="AV240" s="187" t="e">
        <f t="shared" si="179"/>
        <v>#REF!</v>
      </c>
      <c r="AW240" s="187" t="e">
        <f t="shared" si="190"/>
        <v>#REF!</v>
      </c>
      <c r="AX240" s="187">
        <f t="shared" si="191"/>
        <v>21</v>
      </c>
      <c r="AY240" s="190"/>
      <c r="AZ240" s="240"/>
      <c r="BA240" s="232"/>
      <c r="BF240" s="206"/>
      <c r="BG240" s="206"/>
      <c r="BK240" s="126"/>
      <c r="BL240" s="126"/>
      <c r="BN240" s="126"/>
      <c r="BO240" s="126"/>
      <c r="BQ240" s="126"/>
      <c r="BR240" s="126"/>
      <c r="BT240" s="126"/>
      <c r="BU240" s="126"/>
      <c r="BW240" s="126"/>
      <c r="BX240" s="126"/>
      <c r="BZ240" s="126"/>
      <c r="CA240" s="126"/>
      <c r="CC240" s="126"/>
      <c r="CD240" s="126"/>
      <c r="CF240" s="126"/>
      <c r="CG240" s="126"/>
    </row>
    <row r="241" spans="1:85" s="197" customFormat="1" x14ac:dyDescent="0.3">
      <c r="A241" s="182" t="s">
        <v>232</v>
      </c>
      <c r="B241" s="183">
        <v>1</v>
      </c>
      <c r="C241" s="184" t="s">
        <v>270</v>
      </c>
      <c r="D241" s="187">
        <v>3.19</v>
      </c>
      <c r="E241" s="187">
        <v>3.01</v>
      </c>
      <c r="F241" s="186">
        <v>0.13</v>
      </c>
      <c r="G241" s="187">
        <f t="shared" si="180"/>
        <v>1.2482469999999999</v>
      </c>
      <c r="H241" s="188">
        <f t="shared" ref="H241:H304" si="209">D241*E241*B241</f>
        <v>9.6018999999999988</v>
      </c>
      <c r="I241" s="183" t="e">
        <f>GETPIVOTDATA(#REF!,A241)</f>
        <v>#REF!</v>
      </c>
      <c r="J241" s="188" t="e">
        <f>GETPIVOTDATA(#REF!,A241)*2</f>
        <v>#REF!</v>
      </c>
      <c r="K241" s="183" t="e">
        <f>(ROUND(E241/J241,0)+1)*GETPIVOTDATA(#REF!,A241)</f>
        <v>#REF!</v>
      </c>
      <c r="L241" s="189" t="e">
        <f>GETPIVOTDATA(#REF!,A241)</f>
        <v>#REF!</v>
      </c>
      <c r="M241" s="189">
        <f>0.23*2</f>
        <v>0.46</v>
      </c>
      <c r="N241" s="189">
        <f t="shared" si="181"/>
        <v>-0.04</v>
      </c>
      <c r="O241" s="189">
        <f>7.055*0.3</f>
        <v>2.1164999999999998</v>
      </c>
      <c r="P241" s="188" t="e">
        <f t="shared" si="195"/>
        <v>#REF!</v>
      </c>
      <c r="Q241" s="183" t="e">
        <f>GETPIVOTDATA(#REF!,A241)</f>
        <v>#REF!</v>
      </c>
      <c r="R241" s="188" t="e">
        <f>GETPIVOTDATA(#REF!,A241)*2</f>
        <v>#REF!</v>
      </c>
      <c r="S241" s="183" t="e">
        <f>(ROUND(E241/R241,0))*GETPIVOTDATA(#REF!,A241)</f>
        <v>#REF!</v>
      </c>
      <c r="T241" s="189" t="e">
        <f>GETPIVOTDATA(#REF!,A241)</f>
        <v>#REF!</v>
      </c>
      <c r="U241" s="189">
        <f>0.23*2</f>
        <v>0.46</v>
      </c>
      <c r="V241" s="189">
        <f t="shared" si="182"/>
        <v>-0.04</v>
      </c>
      <c r="W241" s="189">
        <f>1.14*0.3</f>
        <v>0.34199999999999997</v>
      </c>
      <c r="X241" s="188" t="e">
        <f t="shared" si="208"/>
        <v>#REF!</v>
      </c>
      <c r="Y241" s="183" t="e">
        <f>GETPIVOTDATA(#REF!,A241)</f>
        <v>#REF!</v>
      </c>
      <c r="Z241" s="188" t="e">
        <f>GETPIVOTDATA(#REF!,A241)*2</f>
        <v>#REF!</v>
      </c>
      <c r="AA241" s="183" t="e">
        <f>(ROUND(D241/Z241,0)+1)*GETPIVOTDATA(#REF!,A241)</f>
        <v>#REF!</v>
      </c>
      <c r="AB241" s="189" t="e">
        <f>GETPIVOTDATA(#REF!,A241)</f>
        <v>#REF!</v>
      </c>
      <c r="AC241" s="189">
        <f>0.3+0.23</f>
        <v>0.53</v>
      </c>
      <c r="AD241" s="189">
        <f t="shared" si="183"/>
        <v>-0.04</v>
      </c>
      <c r="AE241" s="189">
        <f>2.783*0.3</f>
        <v>0.83489999999999998</v>
      </c>
      <c r="AF241" s="188" t="e">
        <f t="shared" si="184"/>
        <v>#REF!</v>
      </c>
      <c r="AG241" s="183" t="e">
        <f>GETPIVOTDATA(#REF!,A241)</f>
        <v>#REF!</v>
      </c>
      <c r="AH241" s="182" t="e">
        <f>GETPIVOTDATA(#REF!,A241)*2</f>
        <v>#REF!</v>
      </c>
      <c r="AI241" s="183" t="e">
        <f>(ROUND(D241/AH241,0))*GETPIVOTDATA(#REF!,A241)</f>
        <v>#REF!</v>
      </c>
      <c r="AJ241" s="189" t="e">
        <f>GETPIVOTDATA(#REF!,A241)</f>
        <v>#REF!</v>
      </c>
      <c r="AK241" s="189">
        <f>0.3+0.23</f>
        <v>0.53</v>
      </c>
      <c r="AL241" s="189">
        <f t="shared" si="185"/>
        <v>-0.04</v>
      </c>
      <c r="AM241" s="189">
        <f>2.45*0.3</f>
        <v>0.73499999999999999</v>
      </c>
      <c r="AN241" s="188" t="e">
        <f t="shared" si="198"/>
        <v>#REF!</v>
      </c>
      <c r="AO241" s="183">
        <v>0</v>
      </c>
      <c r="AP241" s="182">
        <f t="shared" si="178"/>
        <v>8</v>
      </c>
      <c r="AQ241" s="182">
        <v>1.5</v>
      </c>
      <c r="AR241" s="187" t="e">
        <f t="shared" si="186"/>
        <v>#REF!</v>
      </c>
      <c r="AS241" s="187" t="e">
        <f t="shared" si="187"/>
        <v>#REF!</v>
      </c>
      <c r="AT241" s="187" t="e">
        <f t="shared" si="188"/>
        <v>#REF!</v>
      </c>
      <c r="AU241" s="187" t="e">
        <f t="shared" si="189"/>
        <v>#REF!</v>
      </c>
      <c r="AV241" s="187" t="e">
        <f t="shared" si="179"/>
        <v>#REF!</v>
      </c>
      <c r="AW241" s="187" t="e">
        <f t="shared" si="190"/>
        <v>#REF!</v>
      </c>
      <c r="AX241" s="187">
        <f t="shared" si="191"/>
        <v>12</v>
      </c>
      <c r="AY241" s="190"/>
      <c r="AZ241" s="240"/>
      <c r="BA241" s="232"/>
      <c r="BF241" s="206"/>
      <c r="BG241" s="206"/>
      <c r="BK241" s="126"/>
      <c r="BL241" s="126"/>
      <c r="BN241" s="126"/>
      <c r="BO241" s="126"/>
      <c r="BQ241" s="126"/>
      <c r="BR241" s="126"/>
      <c r="BT241" s="126"/>
      <c r="BU241" s="126"/>
      <c r="BW241" s="126"/>
      <c r="BX241" s="126"/>
      <c r="BZ241" s="126"/>
      <c r="CA241" s="126"/>
      <c r="CC241" s="126"/>
      <c r="CD241" s="126"/>
      <c r="CF241" s="126"/>
      <c r="CG241" s="126"/>
    </row>
    <row r="242" spans="1:85" s="197" customFormat="1" x14ac:dyDescent="0.3">
      <c r="A242" s="182" t="s">
        <v>245</v>
      </c>
      <c r="B242" s="183">
        <v>1</v>
      </c>
      <c r="C242" s="184" t="s">
        <v>271</v>
      </c>
      <c r="D242" s="187">
        <v>0.93</v>
      </c>
      <c r="E242" s="187">
        <v>4.1100000000000003</v>
      </c>
      <c r="F242" s="186">
        <v>0.14000000000000001</v>
      </c>
      <c r="G242" s="187">
        <f t="shared" si="180"/>
        <v>0.5351220000000001</v>
      </c>
      <c r="H242" s="188">
        <f t="shared" si="209"/>
        <v>3.8223000000000007</v>
      </c>
      <c r="I242" s="183" t="e">
        <f>GETPIVOTDATA(#REF!,A242)</f>
        <v>#REF!</v>
      </c>
      <c r="J242" s="188" t="e">
        <f>GETPIVOTDATA(#REF!,A242)*2</f>
        <v>#REF!</v>
      </c>
      <c r="K242" s="183" t="e">
        <f>(ROUND(E242/J242,0)+1)*GETPIVOTDATA(#REF!,A242)</f>
        <v>#REF!</v>
      </c>
      <c r="L242" s="189" t="e">
        <f>GETPIVOTDATA(#REF!,A242)</f>
        <v>#REF!</v>
      </c>
      <c r="M242" s="189">
        <f>0.23*2</f>
        <v>0.46</v>
      </c>
      <c r="N242" s="189">
        <f t="shared" si="181"/>
        <v>-0.04</v>
      </c>
      <c r="O242" s="189">
        <v>0</v>
      </c>
      <c r="P242" s="188" t="e">
        <f t="shared" si="195"/>
        <v>#REF!</v>
      </c>
      <c r="Q242" s="183" t="e">
        <f>GETPIVOTDATA(#REF!,A242)</f>
        <v>#REF!</v>
      </c>
      <c r="R242" s="188" t="e">
        <f>GETPIVOTDATA(#REF!,A242)*2</f>
        <v>#REF!</v>
      </c>
      <c r="S242" s="183" t="e">
        <f>(ROUND(E242/R242,0))*GETPIVOTDATA(#REF!,A242)</f>
        <v>#REF!</v>
      </c>
      <c r="T242" s="189" t="e">
        <f>GETPIVOTDATA(#REF!,A242)</f>
        <v>#REF!</v>
      </c>
      <c r="U242" s="189">
        <f>0.23*2</f>
        <v>0.46</v>
      </c>
      <c r="V242" s="189">
        <f t="shared" si="182"/>
        <v>-0.04</v>
      </c>
      <c r="W242" s="189">
        <v>0</v>
      </c>
      <c r="X242" s="188" t="e">
        <f t="shared" si="208"/>
        <v>#REF!</v>
      </c>
      <c r="Y242" s="183" t="e">
        <f>GETPIVOTDATA(#REF!,A242)</f>
        <v>#REF!</v>
      </c>
      <c r="Z242" s="188" t="e">
        <f>GETPIVOTDATA(#REF!,A242)*2</f>
        <v>#REF!</v>
      </c>
      <c r="AA242" s="183" t="e">
        <f>(ROUND(D242/Z242,0)+1)*GETPIVOTDATA(#REF!,A242)</f>
        <v>#REF!</v>
      </c>
      <c r="AB242" s="189" t="e">
        <f>GETPIVOTDATA(#REF!,A242)</f>
        <v>#REF!</v>
      </c>
      <c r="AC242" s="189">
        <f>0.23*2</f>
        <v>0.46</v>
      </c>
      <c r="AD242" s="189">
        <f t="shared" si="183"/>
        <v>-0.04</v>
      </c>
      <c r="AE242" s="189">
        <v>0</v>
      </c>
      <c r="AF242" s="188" t="e">
        <f t="shared" si="184"/>
        <v>#REF!</v>
      </c>
      <c r="AG242" s="183" t="e">
        <f>GETPIVOTDATA(#REF!,A242)</f>
        <v>#REF!</v>
      </c>
      <c r="AH242" s="182" t="e">
        <f>GETPIVOTDATA(#REF!,A242)*2</f>
        <v>#REF!</v>
      </c>
      <c r="AI242" s="183" t="e">
        <f>(ROUND(D242/AH242,0))*GETPIVOTDATA(#REF!,A242)</f>
        <v>#REF!</v>
      </c>
      <c r="AJ242" s="189" t="e">
        <f>GETPIVOTDATA(#REF!,A242)</f>
        <v>#REF!</v>
      </c>
      <c r="AK242" s="189">
        <f>0.23*2</f>
        <v>0.46</v>
      </c>
      <c r="AL242" s="189">
        <f t="shared" si="185"/>
        <v>-0.04</v>
      </c>
      <c r="AM242" s="189">
        <f>5.92*0.3</f>
        <v>1.776</v>
      </c>
      <c r="AN242" s="188" t="e">
        <f t="shared" si="198"/>
        <v>#REF!</v>
      </c>
      <c r="AO242" s="183">
        <v>0</v>
      </c>
      <c r="AP242" s="182">
        <f t="shared" si="178"/>
        <v>8</v>
      </c>
      <c r="AQ242" s="182">
        <v>1.5</v>
      </c>
      <c r="AR242" s="187" t="e">
        <f t="shared" si="186"/>
        <v>#REF!</v>
      </c>
      <c r="AS242" s="187" t="e">
        <f t="shared" si="187"/>
        <v>#REF!</v>
      </c>
      <c r="AT242" s="187" t="e">
        <f t="shared" si="188"/>
        <v>#REF!</v>
      </c>
      <c r="AU242" s="187" t="e">
        <f t="shared" si="189"/>
        <v>#REF!</v>
      </c>
      <c r="AV242" s="187" t="e">
        <f t="shared" si="179"/>
        <v>#REF!</v>
      </c>
      <c r="AW242" s="187" t="e">
        <f t="shared" si="190"/>
        <v>#REF!</v>
      </c>
      <c r="AX242" s="187">
        <f t="shared" si="191"/>
        <v>12</v>
      </c>
      <c r="AY242" s="190"/>
      <c r="AZ242" s="240"/>
      <c r="BA242" s="232"/>
      <c r="BF242" s="206"/>
      <c r="BG242" s="206"/>
      <c r="BK242" s="126"/>
      <c r="BL242" s="126"/>
      <c r="BN242" s="126"/>
      <c r="BO242" s="126"/>
      <c r="BQ242" s="126"/>
      <c r="BR242" s="126"/>
      <c r="BT242" s="126"/>
      <c r="BU242" s="126"/>
      <c r="BW242" s="126"/>
      <c r="BX242" s="126"/>
      <c r="BZ242" s="126"/>
      <c r="CA242" s="126"/>
      <c r="CC242" s="126"/>
      <c r="CD242" s="126"/>
      <c r="CF242" s="126"/>
      <c r="CG242" s="126"/>
    </row>
    <row r="243" spans="1:85" s="197" customFormat="1" ht="27.6" x14ac:dyDescent="0.3">
      <c r="A243" s="182" t="s">
        <v>245</v>
      </c>
      <c r="B243" s="183">
        <v>2</v>
      </c>
      <c r="C243" s="184" t="s">
        <v>272</v>
      </c>
      <c r="D243" s="187">
        <v>1.1399999999999999</v>
      </c>
      <c r="E243" s="187">
        <v>2.0499999999999998</v>
      </c>
      <c r="F243" s="186">
        <v>0.14000000000000001</v>
      </c>
      <c r="G243" s="187">
        <f t="shared" si="180"/>
        <v>0.65435999999999994</v>
      </c>
      <c r="H243" s="188">
        <f t="shared" si="209"/>
        <v>4.6739999999999995</v>
      </c>
      <c r="I243" s="183" t="e">
        <f>GETPIVOTDATA(#REF!,A243)</f>
        <v>#REF!</v>
      </c>
      <c r="J243" s="188" t="e">
        <f>GETPIVOTDATA(#REF!,A243)*2</f>
        <v>#REF!</v>
      </c>
      <c r="K243" s="183" t="e">
        <f>(ROUND(E243/J243,0)+1)*GETPIVOTDATA(#REF!,A243)</f>
        <v>#REF!</v>
      </c>
      <c r="L243" s="189" t="e">
        <f>GETPIVOTDATA(#REF!,A243)</f>
        <v>#REF!</v>
      </c>
      <c r="M243" s="189">
        <f>0.23*2</f>
        <v>0.46</v>
      </c>
      <c r="N243" s="189">
        <f t="shared" si="181"/>
        <v>-0.04</v>
      </c>
      <c r="O243" s="189">
        <f>3.19*0.3</f>
        <v>0.95699999999999996</v>
      </c>
      <c r="P243" s="188" t="e">
        <f t="shared" si="195"/>
        <v>#REF!</v>
      </c>
      <c r="Q243" s="183" t="e">
        <f>GETPIVOTDATA(#REF!,A243)</f>
        <v>#REF!</v>
      </c>
      <c r="R243" s="188" t="e">
        <f>GETPIVOTDATA(#REF!,A243)*2</f>
        <v>#REF!</v>
      </c>
      <c r="S243" s="183" t="e">
        <f>(ROUND(E243/R243,0))*GETPIVOTDATA(#REF!,A243)</f>
        <v>#REF!</v>
      </c>
      <c r="T243" s="189" t="e">
        <f>GETPIVOTDATA(#REF!,A243)</f>
        <v>#REF!</v>
      </c>
      <c r="U243" s="189">
        <f>0.23*2</f>
        <v>0.46</v>
      </c>
      <c r="V243" s="189">
        <f t="shared" si="182"/>
        <v>-0.04</v>
      </c>
      <c r="W243" s="189">
        <f>1.37*0.3</f>
        <v>0.41100000000000003</v>
      </c>
      <c r="X243" s="188" t="e">
        <f t="shared" si="208"/>
        <v>#REF!</v>
      </c>
      <c r="Y243" s="183" t="e">
        <f>GETPIVOTDATA(#REF!,A243)</f>
        <v>#REF!</v>
      </c>
      <c r="Z243" s="188" t="e">
        <f>GETPIVOTDATA(#REF!,A243)*2</f>
        <v>#REF!</v>
      </c>
      <c r="AA243" s="183" t="e">
        <f>(ROUND(D243/Z243,0)+1)*GETPIVOTDATA(#REF!,A243)</f>
        <v>#REF!</v>
      </c>
      <c r="AB243" s="189" t="e">
        <f>GETPIVOTDATA(#REF!,A243)</f>
        <v>#REF!</v>
      </c>
      <c r="AC243" s="189">
        <f>0.23*2</f>
        <v>0.46</v>
      </c>
      <c r="AD243" s="189">
        <f t="shared" si="183"/>
        <v>-0.04</v>
      </c>
      <c r="AE243" s="189">
        <v>0</v>
      </c>
      <c r="AF243" s="188" t="e">
        <f t="shared" si="184"/>
        <v>#REF!</v>
      </c>
      <c r="AG243" s="183" t="e">
        <f>GETPIVOTDATA(#REF!,A243)</f>
        <v>#REF!</v>
      </c>
      <c r="AH243" s="182" t="e">
        <f>GETPIVOTDATA(#REF!,A243)*2</f>
        <v>#REF!</v>
      </c>
      <c r="AI243" s="183" t="e">
        <f>(ROUND(D243/AH243,0))*GETPIVOTDATA(#REF!,A243)</f>
        <v>#REF!</v>
      </c>
      <c r="AJ243" s="189" t="e">
        <f>GETPIVOTDATA(#REF!,A243)</f>
        <v>#REF!</v>
      </c>
      <c r="AK243" s="189">
        <f>0.23*2</f>
        <v>0.46</v>
      </c>
      <c r="AL243" s="189">
        <f t="shared" si="185"/>
        <v>-0.04</v>
      </c>
      <c r="AM243" s="189">
        <v>0</v>
      </c>
      <c r="AN243" s="188" t="e">
        <f t="shared" si="198"/>
        <v>#REF!</v>
      </c>
      <c r="AO243" s="183">
        <v>0</v>
      </c>
      <c r="AP243" s="182">
        <f t="shared" si="178"/>
        <v>4</v>
      </c>
      <c r="AQ243" s="182">
        <v>1.5</v>
      </c>
      <c r="AR243" s="187" t="e">
        <f t="shared" si="186"/>
        <v>#REF!</v>
      </c>
      <c r="AS243" s="187" t="e">
        <f t="shared" si="187"/>
        <v>#REF!</v>
      </c>
      <c r="AT243" s="187" t="e">
        <f t="shared" si="188"/>
        <v>#REF!</v>
      </c>
      <c r="AU243" s="187" t="e">
        <f t="shared" si="189"/>
        <v>#REF!</v>
      </c>
      <c r="AV243" s="187" t="e">
        <f t="shared" si="179"/>
        <v>#REF!</v>
      </c>
      <c r="AW243" s="187" t="e">
        <f t="shared" si="190"/>
        <v>#REF!</v>
      </c>
      <c r="AX243" s="187">
        <f t="shared" si="191"/>
        <v>12</v>
      </c>
      <c r="AY243" s="190"/>
      <c r="AZ243" s="240"/>
      <c r="BA243" s="232"/>
      <c r="BF243" s="206"/>
      <c r="BG243" s="206"/>
      <c r="BK243" s="126"/>
      <c r="BL243" s="126"/>
      <c r="BN243" s="126"/>
      <c r="BO243" s="126"/>
      <c r="BQ243" s="126"/>
      <c r="BR243" s="126"/>
      <c r="BT243" s="126"/>
      <c r="BU243" s="126"/>
      <c r="BW243" s="126"/>
      <c r="BX243" s="126"/>
      <c r="BZ243" s="126"/>
      <c r="CA243" s="126"/>
      <c r="CC243" s="126"/>
      <c r="CD243" s="126"/>
      <c r="CF243" s="126"/>
      <c r="CG243" s="126"/>
    </row>
    <row r="244" spans="1:85" s="197" customFormat="1" x14ac:dyDescent="0.3">
      <c r="A244" s="182" t="s">
        <v>245</v>
      </c>
      <c r="B244" s="183">
        <v>1</v>
      </c>
      <c r="C244" s="184" t="s">
        <v>273</v>
      </c>
      <c r="D244" s="187">
        <v>1.37</v>
      </c>
      <c r="E244" s="187">
        <v>1.85</v>
      </c>
      <c r="F244" s="186">
        <v>0.14000000000000001</v>
      </c>
      <c r="G244" s="187">
        <f t="shared" si="180"/>
        <v>0.35483000000000009</v>
      </c>
      <c r="H244" s="188">
        <f t="shared" si="209"/>
        <v>2.5345000000000004</v>
      </c>
      <c r="I244" s="183" t="e">
        <f>GETPIVOTDATA(#REF!,A244)</f>
        <v>#REF!</v>
      </c>
      <c r="J244" s="188" t="e">
        <f>GETPIVOTDATA(#REF!,A244)*2</f>
        <v>#REF!</v>
      </c>
      <c r="K244" s="183" t="e">
        <f>(ROUND(E244/J244,0)+1)*GETPIVOTDATA(#REF!,A244)</f>
        <v>#REF!</v>
      </c>
      <c r="L244" s="189" t="e">
        <f>GETPIVOTDATA(#REF!,A244)</f>
        <v>#REF!</v>
      </c>
      <c r="M244" s="189">
        <f>0.23*2</f>
        <v>0.46</v>
      </c>
      <c r="N244" s="189">
        <f t="shared" si="181"/>
        <v>-0.04</v>
      </c>
      <c r="O244" s="189">
        <f>1.14*0.3</f>
        <v>0.34199999999999997</v>
      </c>
      <c r="P244" s="188" t="e">
        <f t="shared" si="195"/>
        <v>#REF!</v>
      </c>
      <c r="Q244" s="183" t="e">
        <f>GETPIVOTDATA(#REF!,A244)</f>
        <v>#REF!</v>
      </c>
      <c r="R244" s="188" t="e">
        <f>GETPIVOTDATA(#REF!,A244)*2</f>
        <v>#REF!</v>
      </c>
      <c r="S244" s="183" t="e">
        <f>(ROUND(E244/R244,0))*GETPIVOTDATA(#REF!,A244)</f>
        <v>#REF!</v>
      </c>
      <c r="T244" s="189" t="e">
        <f>GETPIVOTDATA(#REF!,A244)</f>
        <v>#REF!</v>
      </c>
      <c r="U244" s="189">
        <f>0.23*2</f>
        <v>0.46</v>
      </c>
      <c r="V244" s="189">
        <f t="shared" si="182"/>
        <v>-0.04</v>
      </c>
      <c r="W244" s="189">
        <f>1.14*0.3</f>
        <v>0.34199999999999997</v>
      </c>
      <c r="X244" s="188" t="e">
        <f t="shared" si="208"/>
        <v>#REF!</v>
      </c>
      <c r="Y244" s="183" t="e">
        <f>GETPIVOTDATA(#REF!,A244)</f>
        <v>#REF!</v>
      </c>
      <c r="Z244" s="188" t="e">
        <f>GETPIVOTDATA(#REF!,A244)*2</f>
        <v>#REF!</v>
      </c>
      <c r="AA244" s="183" t="e">
        <f>(ROUND(D244/Z244,0)+1)*GETPIVOTDATA(#REF!,A244)</f>
        <v>#REF!</v>
      </c>
      <c r="AB244" s="189" t="e">
        <f>GETPIVOTDATA(#REF!,A244)</f>
        <v>#REF!</v>
      </c>
      <c r="AC244" s="189">
        <f>0.23</f>
        <v>0.23</v>
      </c>
      <c r="AD244" s="189">
        <f t="shared" si="183"/>
        <v>-0.04</v>
      </c>
      <c r="AE244" s="189">
        <v>0</v>
      </c>
      <c r="AF244" s="188" t="e">
        <f t="shared" si="184"/>
        <v>#REF!</v>
      </c>
      <c r="AG244" s="183" t="e">
        <f>GETPIVOTDATA(#REF!,A244)</f>
        <v>#REF!</v>
      </c>
      <c r="AH244" s="182" t="e">
        <f>GETPIVOTDATA(#REF!,A244)*2</f>
        <v>#REF!</v>
      </c>
      <c r="AI244" s="183" t="e">
        <f>(ROUND(D244/AH244,0))*GETPIVOTDATA(#REF!,A244)</f>
        <v>#REF!</v>
      </c>
      <c r="AJ244" s="189" t="e">
        <f>GETPIVOTDATA(#REF!,A244)</f>
        <v>#REF!</v>
      </c>
      <c r="AK244" s="189">
        <f>0.23</f>
        <v>0.23</v>
      </c>
      <c r="AL244" s="189">
        <f t="shared" si="185"/>
        <v>-0.04</v>
      </c>
      <c r="AM244" s="189">
        <v>0</v>
      </c>
      <c r="AN244" s="188" t="e">
        <f t="shared" si="198"/>
        <v>#REF!</v>
      </c>
      <c r="AO244" s="183">
        <v>0</v>
      </c>
      <c r="AP244" s="182">
        <f t="shared" si="178"/>
        <v>4</v>
      </c>
      <c r="AQ244" s="182">
        <v>1.5</v>
      </c>
      <c r="AR244" s="187" t="e">
        <f t="shared" si="186"/>
        <v>#REF!</v>
      </c>
      <c r="AS244" s="187" t="e">
        <f t="shared" si="187"/>
        <v>#REF!</v>
      </c>
      <c r="AT244" s="187" t="e">
        <f t="shared" si="188"/>
        <v>#REF!</v>
      </c>
      <c r="AU244" s="187" t="e">
        <f t="shared" si="189"/>
        <v>#REF!</v>
      </c>
      <c r="AV244" s="187" t="e">
        <f t="shared" si="179"/>
        <v>#REF!</v>
      </c>
      <c r="AW244" s="187" t="e">
        <f t="shared" si="190"/>
        <v>#REF!</v>
      </c>
      <c r="AX244" s="187">
        <f t="shared" si="191"/>
        <v>6</v>
      </c>
      <c r="AY244" s="190"/>
      <c r="AZ244" s="240"/>
      <c r="BA244" s="232"/>
      <c r="BF244" s="206"/>
      <c r="BG244" s="206"/>
      <c r="BK244" s="126"/>
      <c r="BL244" s="126"/>
      <c r="BN244" s="126"/>
      <c r="BO244" s="126"/>
      <c r="BQ244" s="126"/>
      <c r="BR244" s="126"/>
      <c r="BT244" s="126"/>
      <c r="BU244" s="126"/>
      <c r="BW244" s="126"/>
      <c r="BX244" s="126"/>
      <c r="BZ244" s="126"/>
      <c r="CA244" s="126"/>
      <c r="CC244" s="126"/>
      <c r="CD244" s="126"/>
      <c r="CF244" s="126"/>
      <c r="CG244" s="126"/>
    </row>
    <row r="245" spans="1:85" s="197" customFormat="1" ht="27.6" x14ac:dyDescent="0.3">
      <c r="A245" s="182" t="s">
        <v>232</v>
      </c>
      <c r="B245" s="183">
        <v>1</v>
      </c>
      <c r="C245" s="184" t="s">
        <v>274</v>
      </c>
      <c r="D245" s="187">
        <v>3.19</v>
      </c>
      <c r="E245" s="187">
        <v>2.94</v>
      </c>
      <c r="F245" s="186">
        <v>0.13</v>
      </c>
      <c r="G245" s="187">
        <f t="shared" si="180"/>
        <v>1.2192180000000001</v>
      </c>
      <c r="H245" s="188">
        <f t="shared" si="209"/>
        <v>9.3786000000000005</v>
      </c>
      <c r="I245" s="183" t="e">
        <f>GETPIVOTDATA(#REF!,A245)</f>
        <v>#REF!</v>
      </c>
      <c r="J245" s="188" t="e">
        <f>GETPIVOTDATA(#REF!,A245)*2</f>
        <v>#REF!</v>
      </c>
      <c r="K245" s="183" t="e">
        <f>(ROUND(E245/J245,0)+1)*GETPIVOTDATA(#REF!,A245)</f>
        <v>#REF!</v>
      </c>
      <c r="L245" s="189" t="e">
        <f>GETPIVOTDATA(#REF!,A245)</f>
        <v>#REF!</v>
      </c>
      <c r="M245" s="189">
        <f>0.23*2</f>
        <v>0.46</v>
      </c>
      <c r="N245" s="189">
        <f t="shared" si="181"/>
        <v>-0.04</v>
      </c>
      <c r="O245" s="189">
        <f>1.14*0.3</f>
        <v>0.34199999999999997</v>
      </c>
      <c r="P245" s="188" t="e">
        <f t="shared" si="195"/>
        <v>#REF!</v>
      </c>
      <c r="Q245" s="183" t="e">
        <f>GETPIVOTDATA(#REF!,A245)</f>
        <v>#REF!</v>
      </c>
      <c r="R245" s="188" t="e">
        <f>GETPIVOTDATA(#REF!,A245)*2</f>
        <v>#REF!</v>
      </c>
      <c r="S245" s="183" t="e">
        <f>(ROUND(E245/R245,0))*GETPIVOTDATA(#REF!,A245)</f>
        <v>#REF!</v>
      </c>
      <c r="T245" s="189" t="e">
        <f>GETPIVOTDATA(#REF!,A245)</f>
        <v>#REF!</v>
      </c>
      <c r="U245" s="189">
        <f>0.23*2</f>
        <v>0.46</v>
      </c>
      <c r="V245" s="189">
        <f t="shared" si="182"/>
        <v>-0.04</v>
      </c>
      <c r="W245" s="189">
        <f>3.69*0.3</f>
        <v>1.107</v>
      </c>
      <c r="X245" s="188" t="e">
        <f t="shared" si="208"/>
        <v>#REF!</v>
      </c>
      <c r="Y245" s="183" t="e">
        <f>GETPIVOTDATA(#REF!,A245)</f>
        <v>#REF!</v>
      </c>
      <c r="Z245" s="188" t="e">
        <f>GETPIVOTDATA(#REF!,A245)*2</f>
        <v>#REF!</v>
      </c>
      <c r="AA245" s="183" t="e">
        <f>(ROUND(D245/Z245,0)+1)*GETPIVOTDATA(#REF!,A245)</f>
        <v>#REF!</v>
      </c>
      <c r="AB245" s="189" t="e">
        <f>GETPIVOTDATA(#REF!,A245)</f>
        <v>#REF!</v>
      </c>
      <c r="AC245" s="189">
        <f>0.3+0.23</f>
        <v>0.53</v>
      </c>
      <c r="AD245" s="189">
        <f t="shared" si="183"/>
        <v>-0.04</v>
      </c>
      <c r="AE245" s="189">
        <f>2.52*0.3</f>
        <v>0.75600000000000001</v>
      </c>
      <c r="AF245" s="188" t="e">
        <f t="shared" si="184"/>
        <v>#REF!</v>
      </c>
      <c r="AG245" s="183" t="e">
        <f>GETPIVOTDATA(#REF!,A245)</f>
        <v>#REF!</v>
      </c>
      <c r="AH245" s="182" t="e">
        <f>GETPIVOTDATA(#REF!,A245)*2</f>
        <v>#REF!</v>
      </c>
      <c r="AI245" s="183" t="e">
        <f>(ROUND(D245/AH245,0))*GETPIVOTDATA(#REF!,A245)</f>
        <v>#REF!</v>
      </c>
      <c r="AJ245" s="189" t="e">
        <f>GETPIVOTDATA(#REF!,A245)</f>
        <v>#REF!</v>
      </c>
      <c r="AK245" s="189">
        <f>0.3+0.23</f>
        <v>0.53</v>
      </c>
      <c r="AL245" s="189">
        <f t="shared" si="185"/>
        <v>-0.04</v>
      </c>
      <c r="AM245" s="189">
        <f>5.96*0.3</f>
        <v>1.788</v>
      </c>
      <c r="AN245" s="188" t="e">
        <f t="shared" si="198"/>
        <v>#REF!</v>
      </c>
      <c r="AO245" s="183">
        <v>0</v>
      </c>
      <c r="AP245" s="182">
        <f t="shared" si="178"/>
        <v>8</v>
      </c>
      <c r="AQ245" s="182">
        <v>1.5</v>
      </c>
      <c r="AR245" s="187" t="e">
        <f t="shared" si="186"/>
        <v>#REF!</v>
      </c>
      <c r="AS245" s="187" t="e">
        <f t="shared" si="187"/>
        <v>#REF!</v>
      </c>
      <c r="AT245" s="187" t="e">
        <f t="shared" si="188"/>
        <v>#REF!</v>
      </c>
      <c r="AU245" s="187" t="e">
        <f t="shared" si="189"/>
        <v>#REF!</v>
      </c>
      <c r="AV245" s="187" t="e">
        <f t="shared" si="179"/>
        <v>#REF!</v>
      </c>
      <c r="AW245" s="187" t="e">
        <f t="shared" si="190"/>
        <v>#REF!</v>
      </c>
      <c r="AX245" s="187">
        <f t="shared" si="191"/>
        <v>12</v>
      </c>
      <c r="AY245" s="190"/>
      <c r="AZ245" s="240"/>
      <c r="BA245" s="232"/>
      <c r="BF245" s="206"/>
      <c r="BG245" s="206"/>
      <c r="BK245" s="126"/>
      <c r="BL245" s="126"/>
      <c r="BN245" s="126"/>
      <c r="BO245" s="126"/>
      <c r="BQ245" s="126"/>
      <c r="BR245" s="126"/>
      <c r="BT245" s="126"/>
      <c r="BU245" s="126"/>
      <c r="BW245" s="126"/>
      <c r="BX245" s="126"/>
      <c r="BZ245" s="126"/>
      <c r="CA245" s="126"/>
      <c r="CC245" s="126"/>
      <c r="CD245" s="126"/>
      <c r="CF245" s="126"/>
      <c r="CG245" s="126"/>
    </row>
    <row r="246" spans="1:85" s="197" customFormat="1" ht="27.6" x14ac:dyDescent="0.3">
      <c r="A246" s="182" t="s">
        <v>229</v>
      </c>
      <c r="B246" s="183">
        <v>1</v>
      </c>
      <c r="C246" s="184" t="s">
        <v>275</v>
      </c>
      <c r="D246" s="187">
        <v>3.69</v>
      </c>
      <c r="E246" s="187">
        <v>2.94</v>
      </c>
      <c r="F246" s="186">
        <v>0.13</v>
      </c>
      <c r="G246" s="187">
        <f t="shared" si="180"/>
        <v>1.410318</v>
      </c>
      <c r="H246" s="188">
        <f t="shared" si="209"/>
        <v>10.848599999999999</v>
      </c>
      <c r="I246" s="183" t="e">
        <f>GETPIVOTDATA(#REF!,A246)</f>
        <v>#REF!</v>
      </c>
      <c r="J246" s="188" t="e">
        <f>GETPIVOTDATA(#REF!,A246)*2</f>
        <v>#REF!</v>
      </c>
      <c r="K246" s="183" t="e">
        <f>(ROUND(E246/J246,0)+1)*GETPIVOTDATA(#REF!,A246)</f>
        <v>#REF!</v>
      </c>
      <c r="L246" s="189" t="e">
        <f>GETPIVOTDATA(#REF!,A246)</f>
        <v>#REF!</v>
      </c>
      <c r="M246" s="189">
        <f>0.3+0.23</f>
        <v>0.53</v>
      </c>
      <c r="N246" s="189">
        <f t="shared" si="181"/>
        <v>-0.04</v>
      </c>
      <c r="O246" s="189">
        <f>3.19*0.3</f>
        <v>0.95699999999999996</v>
      </c>
      <c r="P246" s="188" t="e">
        <f t="shared" si="195"/>
        <v>#REF!</v>
      </c>
      <c r="Q246" s="183" t="e">
        <f>GETPIVOTDATA(#REF!,A246)</f>
        <v>#REF!</v>
      </c>
      <c r="R246" s="188" t="e">
        <f>GETPIVOTDATA(#REF!,A246)*2</f>
        <v>#REF!</v>
      </c>
      <c r="S246" s="183" t="e">
        <f>(ROUND(E246/R246,0))*GETPIVOTDATA(#REF!,A246)</f>
        <v>#REF!</v>
      </c>
      <c r="T246" s="189" t="e">
        <f>GETPIVOTDATA(#REF!,A246)</f>
        <v>#REF!</v>
      </c>
      <c r="U246" s="189">
        <f>0.3+0.23</f>
        <v>0.53</v>
      </c>
      <c r="V246" s="189">
        <f t="shared" si="182"/>
        <v>-0.04</v>
      </c>
      <c r="W246" s="189">
        <f>2.62*0.3</f>
        <v>0.78600000000000003</v>
      </c>
      <c r="X246" s="188" t="e">
        <f t="shared" si="208"/>
        <v>#REF!</v>
      </c>
      <c r="Y246" s="183" t="e">
        <f>GETPIVOTDATA(#REF!,A246)</f>
        <v>#REF!</v>
      </c>
      <c r="Z246" s="188" t="e">
        <f>GETPIVOTDATA(#REF!,A246)*2</f>
        <v>#REF!</v>
      </c>
      <c r="AA246" s="183" t="e">
        <f>(ROUND(D246/Z246,0)+1)*GETPIVOTDATA(#REF!,A246)</f>
        <v>#REF!</v>
      </c>
      <c r="AB246" s="189" t="e">
        <f>GETPIVOTDATA(#REF!,A246)</f>
        <v>#REF!</v>
      </c>
      <c r="AC246" s="189">
        <f>0.3+0.23</f>
        <v>0.53</v>
      </c>
      <c r="AD246" s="189">
        <f t="shared" si="183"/>
        <v>-0.04</v>
      </c>
      <c r="AE246" s="189">
        <f>2.47*0.3</f>
        <v>0.74099999999999999</v>
      </c>
      <c r="AF246" s="188" t="e">
        <f t="shared" si="184"/>
        <v>#REF!</v>
      </c>
      <c r="AG246" s="183" t="e">
        <f>GETPIVOTDATA(#REF!,A246)</f>
        <v>#REF!</v>
      </c>
      <c r="AH246" s="182" t="e">
        <f>GETPIVOTDATA(#REF!,A246)*2</f>
        <v>#REF!</v>
      </c>
      <c r="AI246" s="183" t="e">
        <f>(ROUND(D246/AH246,0))*GETPIVOTDATA(#REF!,A246)</f>
        <v>#REF!</v>
      </c>
      <c r="AJ246" s="189" t="e">
        <f>GETPIVOTDATA(#REF!,A246)</f>
        <v>#REF!</v>
      </c>
      <c r="AK246" s="189">
        <f>0.3+0.23</f>
        <v>0.53</v>
      </c>
      <c r="AL246" s="189">
        <f t="shared" si="185"/>
        <v>-0.04</v>
      </c>
      <c r="AM246" s="189">
        <f>2.78*0.3</f>
        <v>0.83399999999999996</v>
      </c>
      <c r="AN246" s="188" t="e">
        <f t="shared" si="198"/>
        <v>#REF!</v>
      </c>
      <c r="AO246" s="183">
        <v>0</v>
      </c>
      <c r="AP246" s="182">
        <f t="shared" si="178"/>
        <v>8</v>
      </c>
      <c r="AQ246" s="182">
        <v>1.5</v>
      </c>
      <c r="AR246" s="187" t="e">
        <f t="shared" si="186"/>
        <v>#REF!</v>
      </c>
      <c r="AS246" s="187" t="e">
        <f t="shared" si="187"/>
        <v>#REF!</v>
      </c>
      <c r="AT246" s="187" t="e">
        <f t="shared" si="188"/>
        <v>#REF!</v>
      </c>
      <c r="AU246" s="187" t="e">
        <f t="shared" si="189"/>
        <v>#REF!</v>
      </c>
      <c r="AV246" s="187" t="e">
        <f t="shared" si="179"/>
        <v>#REF!</v>
      </c>
      <c r="AW246" s="187" t="e">
        <f t="shared" si="190"/>
        <v>#REF!</v>
      </c>
      <c r="AX246" s="187">
        <f t="shared" si="191"/>
        <v>12</v>
      </c>
      <c r="AY246" s="190"/>
      <c r="AZ246" s="240"/>
      <c r="BA246" s="232"/>
      <c r="BF246" s="206"/>
      <c r="BG246" s="206"/>
      <c r="BK246" s="126"/>
      <c r="BL246" s="126"/>
      <c r="BN246" s="126"/>
      <c r="BO246" s="126"/>
      <c r="BQ246" s="126"/>
      <c r="BR246" s="126"/>
      <c r="BT246" s="126"/>
      <c r="BU246" s="126"/>
      <c r="BW246" s="126"/>
      <c r="BX246" s="126"/>
      <c r="BZ246" s="126"/>
      <c r="CA246" s="126"/>
      <c r="CC246" s="126"/>
      <c r="CD246" s="126"/>
      <c r="CF246" s="126"/>
      <c r="CG246" s="126"/>
    </row>
    <row r="247" spans="1:85" s="197" customFormat="1" ht="27.6" x14ac:dyDescent="0.3">
      <c r="A247" s="182" t="s">
        <v>223</v>
      </c>
      <c r="B247" s="183">
        <v>1</v>
      </c>
      <c r="C247" s="184" t="s">
        <v>276</v>
      </c>
      <c r="D247" s="187">
        <v>2.62</v>
      </c>
      <c r="E247" s="187">
        <v>5.64</v>
      </c>
      <c r="F247" s="186">
        <v>0.13</v>
      </c>
      <c r="G247" s="187">
        <f t="shared" si="180"/>
        <v>1.920984</v>
      </c>
      <c r="H247" s="188">
        <f t="shared" si="209"/>
        <v>14.7768</v>
      </c>
      <c r="I247" s="183" t="e">
        <f>GETPIVOTDATA(#REF!,A247)</f>
        <v>#REF!</v>
      </c>
      <c r="J247" s="188" t="e">
        <f>GETPIVOTDATA(#REF!,A247)*2</f>
        <v>#REF!</v>
      </c>
      <c r="K247" s="183" t="e">
        <f>(ROUND(E247/J247,0)+1)*GETPIVOTDATA(#REF!,A247)</f>
        <v>#REF!</v>
      </c>
      <c r="L247" s="189" t="e">
        <f>GETPIVOTDATA(#REF!,A247)</f>
        <v>#REF!</v>
      </c>
      <c r="M247" s="189">
        <f t="shared" si="199"/>
        <v>0.6</v>
      </c>
      <c r="N247" s="189">
        <f t="shared" si="181"/>
        <v>-0.04</v>
      </c>
      <c r="O247" s="189">
        <f>3.69*0.3</f>
        <v>1.107</v>
      </c>
      <c r="P247" s="188" t="e">
        <f t="shared" si="195"/>
        <v>#REF!</v>
      </c>
      <c r="Q247" s="183" t="e">
        <f>GETPIVOTDATA(#REF!,A247)</f>
        <v>#REF!</v>
      </c>
      <c r="R247" s="188" t="e">
        <f>GETPIVOTDATA(#REF!,A247)*2</f>
        <v>#REF!</v>
      </c>
      <c r="S247" s="183" t="e">
        <f>(ROUND(E247/R247,0))*GETPIVOTDATA(#REF!,A247)</f>
        <v>#REF!</v>
      </c>
      <c r="T247" s="189" t="e">
        <f>GETPIVOTDATA(#REF!,A247)</f>
        <v>#REF!</v>
      </c>
      <c r="U247" s="189">
        <f t="shared" si="200"/>
        <v>0.6</v>
      </c>
      <c r="V247" s="189">
        <f t="shared" si="182"/>
        <v>-0.04</v>
      </c>
      <c r="W247" s="189">
        <f>2.42*0.3</f>
        <v>0.72599999999999998</v>
      </c>
      <c r="X247" s="188" t="e">
        <f t="shared" si="208"/>
        <v>#REF!</v>
      </c>
      <c r="Y247" s="183" t="e">
        <f>GETPIVOTDATA(#REF!,A247)</f>
        <v>#REF!</v>
      </c>
      <c r="Z247" s="188" t="e">
        <f>GETPIVOTDATA(#REF!,A247)*2</f>
        <v>#REF!</v>
      </c>
      <c r="AA247" s="183" t="e">
        <f>(ROUND(D247/Z247,0)+1)*GETPIVOTDATA(#REF!,A247)</f>
        <v>#REF!</v>
      </c>
      <c r="AB247" s="189" t="e">
        <f>GETPIVOTDATA(#REF!,A247)</f>
        <v>#REF!</v>
      </c>
      <c r="AC247" s="189">
        <f t="shared" si="203"/>
        <v>0.6</v>
      </c>
      <c r="AD247" s="189">
        <f t="shared" si="183"/>
        <v>-0.04</v>
      </c>
      <c r="AE247" s="189">
        <f>3.3499*0.3</f>
        <v>1.0049699999999999</v>
      </c>
      <c r="AF247" s="188" t="e">
        <f t="shared" si="184"/>
        <v>#REF!</v>
      </c>
      <c r="AG247" s="183" t="e">
        <f>GETPIVOTDATA(#REF!,A247)</f>
        <v>#REF!</v>
      </c>
      <c r="AH247" s="182" t="e">
        <f>GETPIVOTDATA(#REF!,A247)*2</f>
        <v>#REF!</v>
      </c>
      <c r="AI247" s="183" t="e">
        <f>(ROUND(D247/AH247,0))*GETPIVOTDATA(#REF!,A247)</f>
        <v>#REF!</v>
      </c>
      <c r="AJ247" s="189" t="e">
        <f>GETPIVOTDATA(#REF!,A247)</f>
        <v>#REF!</v>
      </c>
      <c r="AK247" s="189">
        <f t="shared" si="204"/>
        <v>0.6</v>
      </c>
      <c r="AL247" s="189">
        <f t="shared" si="185"/>
        <v>-0.04</v>
      </c>
      <c r="AM247" s="189">
        <f>2.783*0.3</f>
        <v>0.83489999999999998</v>
      </c>
      <c r="AN247" s="188" t="e">
        <f t="shared" si="198"/>
        <v>#REF!</v>
      </c>
      <c r="AO247" s="183">
        <v>0</v>
      </c>
      <c r="AP247" s="182">
        <f t="shared" si="178"/>
        <v>12</v>
      </c>
      <c r="AQ247" s="182">
        <v>1.5</v>
      </c>
      <c r="AR247" s="187" t="e">
        <f t="shared" si="186"/>
        <v>#REF!</v>
      </c>
      <c r="AS247" s="187" t="e">
        <f t="shared" si="187"/>
        <v>#REF!</v>
      </c>
      <c r="AT247" s="187" t="e">
        <f t="shared" si="188"/>
        <v>#REF!</v>
      </c>
      <c r="AU247" s="187" t="e">
        <f t="shared" si="189"/>
        <v>#REF!</v>
      </c>
      <c r="AV247" s="187" t="e">
        <f t="shared" si="179"/>
        <v>#REF!</v>
      </c>
      <c r="AW247" s="187" t="e">
        <f t="shared" si="190"/>
        <v>#REF!</v>
      </c>
      <c r="AX247" s="187">
        <f t="shared" si="191"/>
        <v>18</v>
      </c>
      <c r="AY247" s="190"/>
      <c r="AZ247" s="240"/>
      <c r="BA247" s="232"/>
      <c r="BF247" s="206"/>
      <c r="BG247" s="206"/>
      <c r="BK247" s="126"/>
      <c r="BL247" s="126"/>
      <c r="BN247" s="126"/>
      <c r="BO247" s="126"/>
      <c r="BQ247" s="126"/>
      <c r="BR247" s="126"/>
      <c r="BT247" s="126"/>
      <c r="BU247" s="126"/>
      <c r="BW247" s="126"/>
      <c r="BX247" s="126"/>
      <c r="BZ247" s="126"/>
      <c r="CA247" s="126"/>
      <c r="CC247" s="126"/>
      <c r="CD247" s="126"/>
      <c r="CF247" s="126"/>
      <c r="CG247" s="126"/>
    </row>
    <row r="248" spans="1:85" s="197" customFormat="1" ht="27.6" x14ac:dyDescent="0.3">
      <c r="A248" s="182" t="s">
        <v>223</v>
      </c>
      <c r="B248" s="183">
        <v>2</v>
      </c>
      <c r="C248" s="184" t="s">
        <v>277</v>
      </c>
      <c r="D248" s="187">
        <v>2.42</v>
      </c>
      <c r="E248" s="187">
        <v>5.6150000000000002</v>
      </c>
      <c r="F248" s="186">
        <v>0.13</v>
      </c>
      <c r="G248" s="187">
        <f t="shared" si="180"/>
        <v>3.5329580000000003</v>
      </c>
      <c r="H248" s="188">
        <f t="shared" si="209"/>
        <v>27.176600000000001</v>
      </c>
      <c r="I248" s="183" t="e">
        <f>GETPIVOTDATA(#REF!,A248)</f>
        <v>#REF!</v>
      </c>
      <c r="J248" s="188" t="e">
        <f>GETPIVOTDATA(#REF!,A248)*2</f>
        <v>#REF!</v>
      </c>
      <c r="K248" s="183" t="e">
        <f>(ROUND(E248/J248,0)+1)*GETPIVOTDATA(#REF!,A248)</f>
        <v>#REF!</v>
      </c>
      <c r="L248" s="189" t="e">
        <f>GETPIVOTDATA(#REF!,A248)</f>
        <v>#REF!</v>
      </c>
      <c r="M248" s="189">
        <f t="shared" si="199"/>
        <v>0.6</v>
      </c>
      <c r="N248" s="189">
        <f t="shared" si="181"/>
        <v>-0.04</v>
      </c>
      <c r="O248" s="189">
        <f>2.62*0.3</f>
        <v>0.78600000000000003</v>
      </c>
      <c r="P248" s="188" t="e">
        <f t="shared" si="195"/>
        <v>#REF!</v>
      </c>
      <c r="Q248" s="183" t="e">
        <f>GETPIVOTDATA(#REF!,A248)</f>
        <v>#REF!</v>
      </c>
      <c r="R248" s="188" t="e">
        <f>GETPIVOTDATA(#REF!,A248)*2</f>
        <v>#REF!</v>
      </c>
      <c r="S248" s="183" t="e">
        <f>(ROUND(E248/R248,0))*GETPIVOTDATA(#REF!,A248)</f>
        <v>#REF!</v>
      </c>
      <c r="T248" s="189" t="e">
        <f>GETPIVOTDATA(#REF!,A248)</f>
        <v>#REF!</v>
      </c>
      <c r="U248" s="189">
        <f t="shared" si="200"/>
        <v>0.6</v>
      </c>
      <c r="V248" s="189">
        <f t="shared" si="182"/>
        <v>-0.04</v>
      </c>
      <c r="W248" s="189">
        <f>2.12*0.3</f>
        <v>0.63600000000000001</v>
      </c>
      <c r="X248" s="188" t="e">
        <f t="shared" si="208"/>
        <v>#REF!</v>
      </c>
      <c r="Y248" s="183" t="e">
        <f>GETPIVOTDATA(#REF!,A248)</f>
        <v>#REF!</v>
      </c>
      <c r="Z248" s="188" t="e">
        <f>GETPIVOTDATA(#REF!,A248)*2</f>
        <v>#REF!</v>
      </c>
      <c r="AA248" s="183" t="e">
        <f>(ROUND(D248/Z248,0)+1)*GETPIVOTDATA(#REF!,A248)</f>
        <v>#REF!</v>
      </c>
      <c r="AB248" s="189" t="e">
        <f>GETPIVOTDATA(#REF!,A248)</f>
        <v>#REF!</v>
      </c>
      <c r="AC248" s="189">
        <f t="shared" si="203"/>
        <v>0.6</v>
      </c>
      <c r="AD248" s="189">
        <f t="shared" si="183"/>
        <v>-0.04</v>
      </c>
      <c r="AE248" s="189">
        <f>2.78*0.3</f>
        <v>0.83399999999999996</v>
      </c>
      <c r="AF248" s="188" t="e">
        <f t="shared" si="184"/>
        <v>#REF!</v>
      </c>
      <c r="AG248" s="183" t="e">
        <f>GETPIVOTDATA(#REF!,A248)</f>
        <v>#REF!</v>
      </c>
      <c r="AH248" s="182" t="e">
        <f>GETPIVOTDATA(#REF!,A248)*2</f>
        <v>#REF!</v>
      </c>
      <c r="AI248" s="183" t="e">
        <f>(ROUND(D248/AH248,0))*GETPIVOTDATA(#REF!,A248)</f>
        <v>#REF!</v>
      </c>
      <c r="AJ248" s="189" t="e">
        <f>GETPIVOTDATA(#REF!,A248)</f>
        <v>#REF!</v>
      </c>
      <c r="AK248" s="189">
        <f t="shared" si="204"/>
        <v>0.6</v>
      </c>
      <c r="AL248" s="189">
        <f t="shared" si="185"/>
        <v>-0.04</v>
      </c>
      <c r="AM248" s="189">
        <f>3.465*0.3</f>
        <v>1.0394999999999999</v>
      </c>
      <c r="AN248" s="188" t="e">
        <f t="shared" si="198"/>
        <v>#REF!</v>
      </c>
      <c r="AO248" s="183">
        <v>0</v>
      </c>
      <c r="AP248" s="182">
        <f t="shared" si="178"/>
        <v>12</v>
      </c>
      <c r="AQ248" s="182">
        <v>1.5</v>
      </c>
      <c r="AR248" s="187" t="e">
        <f t="shared" si="186"/>
        <v>#REF!</v>
      </c>
      <c r="AS248" s="187" t="e">
        <f t="shared" si="187"/>
        <v>#REF!</v>
      </c>
      <c r="AT248" s="187" t="e">
        <f t="shared" si="188"/>
        <v>#REF!</v>
      </c>
      <c r="AU248" s="187" t="e">
        <f t="shared" si="189"/>
        <v>#REF!</v>
      </c>
      <c r="AV248" s="187" t="e">
        <f t="shared" si="179"/>
        <v>#REF!</v>
      </c>
      <c r="AW248" s="187" t="e">
        <f t="shared" si="190"/>
        <v>#REF!</v>
      </c>
      <c r="AX248" s="187">
        <f t="shared" si="191"/>
        <v>36</v>
      </c>
      <c r="AY248" s="190"/>
      <c r="AZ248" s="240"/>
      <c r="BA248" s="232"/>
      <c r="BF248" s="206"/>
      <c r="BG248" s="206"/>
      <c r="BK248" s="126"/>
      <c r="BL248" s="126"/>
      <c r="BN248" s="126"/>
      <c r="BO248" s="126"/>
      <c r="BQ248" s="126"/>
      <c r="BR248" s="126"/>
      <c r="BT248" s="126"/>
      <c r="BU248" s="126"/>
      <c r="BW248" s="126"/>
      <c r="BX248" s="126"/>
      <c r="BZ248" s="126"/>
      <c r="CA248" s="126"/>
      <c r="CC248" s="126"/>
      <c r="CD248" s="126"/>
      <c r="CF248" s="126"/>
      <c r="CG248" s="126"/>
    </row>
    <row r="249" spans="1:85" s="197" customFormat="1" ht="27.6" x14ac:dyDescent="0.3">
      <c r="A249" s="182" t="s">
        <v>223</v>
      </c>
      <c r="B249" s="183">
        <v>2</v>
      </c>
      <c r="C249" s="184" t="s">
        <v>278</v>
      </c>
      <c r="D249" s="187">
        <v>2.12</v>
      </c>
      <c r="E249" s="187">
        <v>5.6150000000000002</v>
      </c>
      <c r="F249" s="186">
        <v>0.13</v>
      </c>
      <c r="G249" s="187">
        <f t="shared" si="180"/>
        <v>3.0949880000000003</v>
      </c>
      <c r="H249" s="188">
        <f t="shared" si="209"/>
        <v>23.807600000000001</v>
      </c>
      <c r="I249" s="183" t="e">
        <f>GETPIVOTDATA(#REF!,A249)</f>
        <v>#REF!</v>
      </c>
      <c r="J249" s="188" t="e">
        <f>GETPIVOTDATA(#REF!,A249)*2</f>
        <v>#REF!</v>
      </c>
      <c r="K249" s="183" t="e">
        <f>(ROUND(E249/J249,0)+1)*GETPIVOTDATA(#REF!,A249)</f>
        <v>#REF!</v>
      </c>
      <c r="L249" s="189" t="e">
        <f>GETPIVOTDATA(#REF!,A249)</f>
        <v>#REF!</v>
      </c>
      <c r="M249" s="189">
        <f t="shared" si="199"/>
        <v>0.6</v>
      </c>
      <c r="N249" s="189">
        <f t="shared" si="181"/>
        <v>-0.04</v>
      </c>
      <c r="O249" s="189">
        <f>2.42*0.3</f>
        <v>0.72599999999999998</v>
      </c>
      <c r="P249" s="188" t="e">
        <f t="shared" si="195"/>
        <v>#REF!</v>
      </c>
      <c r="Q249" s="183" t="e">
        <f>GETPIVOTDATA(#REF!,A249)</f>
        <v>#REF!</v>
      </c>
      <c r="R249" s="188" t="e">
        <f>GETPIVOTDATA(#REF!,A249)*2</f>
        <v>#REF!</v>
      </c>
      <c r="S249" s="183" t="e">
        <f>(ROUND(E249/R249,0))*GETPIVOTDATA(#REF!,A249)</f>
        <v>#REF!</v>
      </c>
      <c r="T249" s="189" t="e">
        <f>GETPIVOTDATA(#REF!,A249)</f>
        <v>#REF!</v>
      </c>
      <c r="U249" s="189">
        <f t="shared" si="200"/>
        <v>0.6</v>
      </c>
      <c r="V249" s="189">
        <f t="shared" si="182"/>
        <v>-0.04</v>
      </c>
      <c r="W249" s="189">
        <f>2.42*0.3</f>
        <v>0.72599999999999998</v>
      </c>
      <c r="X249" s="188" t="e">
        <f t="shared" si="208"/>
        <v>#REF!</v>
      </c>
      <c r="Y249" s="183" t="e">
        <f>GETPIVOTDATA(#REF!,A249)</f>
        <v>#REF!</v>
      </c>
      <c r="Z249" s="188" t="e">
        <f>GETPIVOTDATA(#REF!,A249)*2</f>
        <v>#REF!</v>
      </c>
      <c r="AA249" s="183" t="e">
        <f>(ROUND(D249/Z249,0)+1)*GETPIVOTDATA(#REF!,A249)</f>
        <v>#REF!</v>
      </c>
      <c r="AB249" s="189" t="e">
        <f>GETPIVOTDATA(#REF!,A249)</f>
        <v>#REF!</v>
      </c>
      <c r="AC249" s="189">
        <f t="shared" si="203"/>
        <v>0.6</v>
      </c>
      <c r="AD249" s="189">
        <f t="shared" si="183"/>
        <v>-0.04</v>
      </c>
      <c r="AE249" s="189">
        <f>3.465*0.3</f>
        <v>1.0394999999999999</v>
      </c>
      <c r="AF249" s="188" t="e">
        <f t="shared" si="184"/>
        <v>#REF!</v>
      </c>
      <c r="AG249" s="183" t="e">
        <f>GETPIVOTDATA(#REF!,A249)</f>
        <v>#REF!</v>
      </c>
      <c r="AH249" s="182" t="e">
        <f>GETPIVOTDATA(#REF!,A249)*2</f>
        <v>#REF!</v>
      </c>
      <c r="AI249" s="183" t="e">
        <f>(ROUND(D249/AH249,0))*GETPIVOTDATA(#REF!,A249)</f>
        <v>#REF!</v>
      </c>
      <c r="AJ249" s="189" t="e">
        <f>GETPIVOTDATA(#REF!,A249)</f>
        <v>#REF!</v>
      </c>
      <c r="AK249" s="189">
        <f t="shared" si="204"/>
        <v>0.6</v>
      </c>
      <c r="AL249" s="189">
        <f t="shared" si="185"/>
        <v>-0.04</v>
      </c>
      <c r="AM249" s="189">
        <f>2.784*0.3</f>
        <v>0.83519999999999994</v>
      </c>
      <c r="AN249" s="188" t="e">
        <f t="shared" si="198"/>
        <v>#REF!</v>
      </c>
      <c r="AO249" s="183">
        <v>0</v>
      </c>
      <c r="AP249" s="182">
        <f t="shared" si="178"/>
        <v>10</v>
      </c>
      <c r="AQ249" s="182">
        <v>1.5</v>
      </c>
      <c r="AR249" s="187" t="e">
        <f t="shared" si="186"/>
        <v>#REF!</v>
      </c>
      <c r="AS249" s="187" t="e">
        <f t="shared" si="187"/>
        <v>#REF!</v>
      </c>
      <c r="AT249" s="187" t="e">
        <f t="shared" si="188"/>
        <v>#REF!</v>
      </c>
      <c r="AU249" s="187" t="e">
        <f t="shared" si="189"/>
        <v>#REF!</v>
      </c>
      <c r="AV249" s="187" t="e">
        <f t="shared" si="179"/>
        <v>#REF!</v>
      </c>
      <c r="AW249" s="187" t="e">
        <f t="shared" si="190"/>
        <v>#REF!</v>
      </c>
      <c r="AX249" s="187">
        <f t="shared" si="191"/>
        <v>30</v>
      </c>
      <c r="AY249" s="190"/>
      <c r="AZ249" s="240"/>
      <c r="BA249" s="232"/>
      <c r="BF249" s="206"/>
      <c r="BG249" s="206"/>
      <c r="BK249" s="126"/>
      <c r="BL249" s="126"/>
      <c r="BN249" s="126"/>
      <c r="BO249" s="126"/>
      <c r="BQ249" s="126"/>
      <c r="BR249" s="126"/>
      <c r="BT249" s="126"/>
      <c r="BU249" s="126"/>
      <c r="BW249" s="126"/>
      <c r="BX249" s="126"/>
      <c r="BZ249" s="126"/>
      <c r="CA249" s="126"/>
      <c r="CC249" s="126"/>
      <c r="CD249" s="126"/>
      <c r="CF249" s="126"/>
      <c r="CG249" s="126"/>
    </row>
    <row r="250" spans="1:85" s="197" customFormat="1" ht="27.6" x14ac:dyDescent="0.3">
      <c r="A250" s="182" t="s">
        <v>223</v>
      </c>
      <c r="B250" s="183">
        <v>1</v>
      </c>
      <c r="C250" s="184" t="s">
        <v>279</v>
      </c>
      <c r="D250" s="187">
        <v>6.2850000000000001</v>
      </c>
      <c r="E250" s="187">
        <v>2.41</v>
      </c>
      <c r="F250" s="186">
        <v>0.13</v>
      </c>
      <c r="G250" s="187">
        <f t="shared" si="180"/>
        <v>1.9690905000000001</v>
      </c>
      <c r="H250" s="188">
        <f t="shared" si="209"/>
        <v>15.146850000000001</v>
      </c>
      <c r="I250" s="183" t="e">
        <f>GETPIVOTDATA(#REF!,A250)</f>
        <v>#REF!</v>
      </c>
      <c r="J250" s="188" t="e">
        <f>GETPIVOTDATA(#REF!,A250)*2</f>
        <v>#REF!</v>
      </c>
      <c r="K250" s="183" t="e">
        <f>(ROUND(E250/J250,0)+1)*GETPIVOTDATA(#REF!,A250)</f>
        <v>#REF!</v>
      </c>
      <c r="L250" s="189" t="e">
        <f>GETPIVOTDATA(#REF!,A250)</f>
        <v>#REF!</v>
      </c>
      <c r="M250" s="189">
        <f>0.45+0.23</f>
        <v>0.68</v>
      </c>
      <c r="N250" s="189">
        <f t="shared" si="181"/>
        <v>-0.04</v>
      </c>
      <c r="O250" s="189">
        <f>2.6*0.3</f>
        <v>0.78</v>
      </c>
      <c r="P250" s="188" t="e">
        <f t="shared" si="195"/>
        <v>#REF!</v>
      </c>
      <c r="Q250" s="183" t="e">
        <f>GETPIVOTDATA(#REF!,A250)</f>
        <v>#REF!</v>
      </c>
      <c r="R250" s="188" t="e">
        <f>GETPIVOTDATA(#REF!,A250)*2</f>
        <v>#REF!</v>
      </c>
      <c r="S250" s="183" t="e">
        <f>(ROUND(E250/R250,0))*GETPIVOTDATA(#REF!,A250)</f>
        <v>#REF!</v>
      </c>
      <c r="T250" s="189" t="e">
        <f>GETPIVOTDATA(#REF!,A250)</f>
        <v>#REF!</v>
      </c>
      <c r="U250" s="189">
        <f>0.45+0.23</f>
        <v>0.68</v>
      </c>
      <c r="V250" s="189">
        <f t="shared" si="182"/>
        <v>-0.04</v>
      </c>
      <c r="W250" s="189">
        <f>2.74*0.3</f>
        <v>0.82200000000000006</v>
      </c>
      <c r="X250" s="188" t="e">
        <f t="shared" si="208"/>
        <v>#REF!</v>
      </c>
      <c r="Y250" s="183" t="e">
        <f>GETPIVOTDATA(#REF!,A250)</f>
        <v>#REF!</v>
      </c>
      <c r="Z250" s="188" t="e">
        <f>GETPIVOTDATA(#REF!,A250)*2</f>
        <v>#REF!</v>
      </c>
      <c r="AA250" s="183" t="e">
        <f>(ROUND(D250/Z250,0)+1)*GETPIVOTDATA(#REF!,A250)</f>
        <v>#REF!</v>
      </c>
      <c r="AB250" s="189" t="e">
        <f>GETPIVOTDATA(#REF!,A250)</f>
        <v>#REF!</v>
      </c>
      <c r="AC250" s="189">
        <f>0.3+0.38</f>
        <v>0.67999999999999994</v>
      </c>
      <c r="AD250" s="189">
        <f t="shared" si="183"/>
        <v>-0.04</v>
      </c>
      <c r="AE250" s="189">
        <f>5.05*0.3</f>
        <v>1.5149999999999999</v>
      </c>
      <c r="AF250" s="188" t="e">
        <f t="shared" si="184"/>
        <v>#REF!</v>
      </c>
      <c r="AG250" s="183" t="e">
        <f>GETPIVOTDATA(#REF!,A250)</f>
        <v>#REF!</v>
      </c>
      <c r="AH250" s="182" t="e">
        <f>GETPIVOTDATA(#REF!,A250)*2</f>
        <v>#REF!</v>
      </c>
      <c r="AI250" s="183" t="e">
        <f>(ROUND(D250/AH250,0))*GETPIVOTDATA(#REF!,A250)</f>
        <v>#REF!</v>
      </c>
      <c r="AJ250" s="189" t="e">
        <f>GETPIVOTDATA(#REF!,A250)</f>
        <v>#REF!</v>
      </c>
      <c r="AK250" s="189">
        <f>0.3+0.38</f>
        <v>0.67999999999999994</v>
      </c>
      <c r="AL250" s="189">
        <f t="shared" si="185"/>
        <v>-0.04</v>
      </c>
      <c r="AM250" s="189">
        <f>2.94*0.3</f>
        <v>0.88200000000000001</v>
      </c>
      <c r="AN250" s="188" t="e">
        <f t="shared" si="198"/>
        <v>#REF!</v>
      </c>
      <c r="AO250" s="183">
        <v>0</v>
      </c>
      <c r="AP250" s="182">
        <f t="shared" si="178"/>
        <v>12</v>
      </c>
      <c r="AQ250" s="182">
        <v>1.5</v>
      </c>
      <c r="AR250" s="187" t="e">
        <f t="shared" si="186"/>
        <v>#REF!</v>
      </c>
      <c r="AS250" s="187" t="e">
        <f t="shared" si="187"/>
        <v>#REF!</v>
      </c>
      <c r="AT250" s="187" t="e">
        <f t="shared" si="188"/>
        <v>#REF!</v>
      </c>
      <c r="AU250" s="187" t="e">
        <f t="shared" si="189"/>
        <v>#REF!</v>
      </c>
      <c r="AV250" s="187" t="e">
        <f t="shared" si="179"/>
        <v>#REF!</v>
      </c>
      <c r="AW250" s="187" t="e">
        <f t="shared" si="190"/>
        <v>#REF!</v>
      </c>
      <c r="AX250" s="187">
        <f t="shared" si="191"/>
        <v>18</v>
      </c>
      <c r="AY250" s="190"/>
      <c r="AZ250" s="240"/>
      <c r="BA250" s="232"/>
      <c r="BF250" s="206"/>
      <c r="BG250" s="206"/>
      <c r="BK250" s="126"/>
      <c r="BL250" s="126"/>
      <c r="BN250" s="126"/>
      <c r="BO250" s="126"/>
      <c r="BQ250" s="126"/>
      <c r="BR250" s="126"/>
      <c r="BT250" s="126"/>
      <c r="BU250" s="126"/>
      <c r="BW250" s="126"/>
      <c r="BX250" s="126"/>
      <c r="BZ250" s="126"/>
      <c r="CA250" s="126"/>
      <c r="CC250" s="126"/>
      <c r="CD250" s="126"/>
      <c r="CF250" s="126"/>
      <c r="CG250" s="126"/>
    </row>
    <row r="251" spans="1:85" s="197" customFormat="1" x14ac:dyDescent="0.3">
      <c r="A251" s="182" t="s">
        <v>239</v>
      </c>
      <c r="B251" s="183">
        <v>1</v>
      </c>
      <c r="C251" s="184" t="s">
        <v>280</v>
      </c>
      <c r="D251" s="187">
        <v>2.74</v>
      </c>
      <c r="E251" s="187">
        <v>2.4500000000000002</v>
      </c>
      <c r="F251" s="186">
        <v>0.125</v>
      </c>
      <c r="G251" s="187">
        <f t="shared" si="180"/>
        <v>0.83912500000000012</v>
      </c>
      <c r="H251" s="188">
        <f t="shared" si="209"/>
        <v>6.713000000000001</v>
      </c>
      <c r="I251" s="183" t="e">
        <f>GETPIVOTDATA(#REF!,A251)</f>
        <v>#REF!</v>
      </c>
      <c r="J251" s="188" t="e">
        <f>GETPIVOTDATA(#REF!,A251)*2</f>
        <v>#REF!</v>
      </c>
      <c r="K251" s="183" t="e">
        <f>(ROUND(E251/J251,0)+1)*GETPIVOTDATA(#REF!,A251)</f>
        <v>#REF!</v>
      </c>
      <c r="L251" s="189" t="e">
        <f>GETPIVOTDATA(#REF!,A251)</f>
        <v>#REF!</v>
      </c>
      <c r="M251" s="189">
        <f>0.23*2</f>
        <v>0.46</v>
      </c>
      <c r="N251" s="189">
        <f t="shared" si="181"/>
        <v>-0.04</v>
      </c>
      <c r="O251" s="189">
        <f>6.285*0.3</f>
        <v>1.8855</v>
      </c>
      <c r="P251" s="188" t="e">
        <f t="shared" si="195"/>
        <v>#REF!</v>
      </c>
      <c r="Q251" s="183" t="e">
        <f>GETPIVOTDATA(#REF!,A251)</f>
        <v>#REF!</v>
      </c>
      <c r="R251" s="188" t="e">
        <f>GETPIVOTDATA(#REF!,A251)*2</f>
        <v>#REF!</v>
      </c>
      <c r="S251" s="183" t="e">
        <f>(ROUND(E251/R251,0))*GETPIVOTDATA(#REF!,A251)</f>
        <v>#REF!</v>
      </c>
      <c r="T251" s="189" t="e">
        <f>GETPIVOTDATA(#REF!,A251)</f>
        <v>#REF!</v>
      </c>
      <c r="U251" s="189">
        <f>0.23*2</f>
        <v>0.46</v>
      </c>
      <c r="V251" s="189">
        <f t="shared" si="182"/>
        <v>-0.04</v>
      </c>
      <c r="W251" s="189">
        <f>0.99*0.3</f>
        <v>0.29699999999999999</v>
      </c>
      <c r="X251" s="188" t="e">
        <f t="shared" si="208"/>
        <v>#REF!</v>
      </c>
      <c r="Y251" s="183" t="e">
        <f>GETPIVOTDATA(#REF!,A251)</f>
        <v>#REF!</v>
      </c>
      <c r="Z251" s="188" t="e">
        <f>GETPIVOTDATA(#REF!,A251)*2</f>
        <v>#REF!</v>
      </c>
      <c r="AA251" s="183" t="e">
        <f>(ROUND(D251/Z251,0)+1)*GETPIVOTDATA(#REF!,A251)</f>
        <v>#REF!</v>
      </c>
      <c r="AB251" s="189" t="e">
        <f>GETPIVOTDATA(#REF!,A251)</f>
        <v>#REF!</v>
      </c>
      <c r="AC251" s="189">
        <f>0.3+0.23</f>
        <v>0.53</v>
      </c>
      <c r="AD251" s="189">
        <f t="shared" si="183"/>
        <v>-0.04</v>
      </c>
      <c r="AE251" s="189">
        <f>3.05*0.3</f>
        <v>0.91499999999999992</v>
      </c>
      <c r="AF251" s="188" t="e">
        <f t="shared" si="184"/>
        <v>#REF!</v>
      </c>
      <c r="AG251" s="183" t="e">
        <f>GETPIVOTDATA(#REF!,A251)</f>
        <v>#REF!</v>
      </c>
      <c r="AH251" s="182" t="e">
        <f>GETPIVOTDATA(#REF!,A251)*2</f>
        <v>#REF!</v>
      </c>
      <c r="AI251" s="183" t="e">
        <f>(ROUND(D251/AH251,0))*GETPIVOTDATA(#REF!,A251)</f>
        <v>#REF!</v>
      </c>
      <c r="AJ251" s="189" t="e">
        <f>GETPIVOTDATA(#REF!,A251)</f>
        <v>#REF!</v>
      </c>
      <c r="AK251" s="189">
        <f>0.3+0.23</f>
        <v>0.53</v>
      </c>
      <c r="AL251" s="189">
        <f t="shared" si="185"/>
        <v>-0.04</v>
      </c>
      <c r="AM251" s="189">
        <f>3.01*0.3</f>
        <v>0.90299999999999991</v>
      </c>
      <c r="AN251" s="188" t="e">
        <f t="shared" si="198"/>
        <v>#REF!</v>
      </c>
      <c r="AO251" s="183">
        <v>0</v>
      </c>
      <c r="AP251" s="182">
        <f t="shared" si="178"/>
        <v>8</v>
      </c>
      <c r="AQ251" s="182">
        <v>1.5</v>
      </c>
      <c r="AR251" s="187" t="e">
        <f t="shared" si="186"/>
        <v>#REF!</v>
      </c>
      <c r="AS251" s="187" t="e">
        <f t="shared" si="187"/>
        <v>#REF!</v>
      </c>
      <c r="AT251" s="187" t="e">
        <f t="shared" si="188"/>
        <v>#REF!</v>
      </c>
      <c r="AU251" s="187" t="e">
        <f t="shared" si="189"/>
        <v>#REF!</v>
      </c>
      <c r="AV251" s="187" t="e">
        <f t="shared" si="179"/>
        <v>#REF!</v>
      </c>
      <c r="AW251" s="187" t="e">
        <f t="shared" si="190"/>
        <v>#REF!</v>
      </c>
      <c r="AX251" s="187">
        <f t="shared" si="191"/>
        <v>12</v>
      </c>
      <c r="AY251" s="190"/>
      <c r="AZ251" s="240"/>
      <c r="BA251" s="232"/>
      <c r="BF251" s="206"/>
      <c r="BG251" s="206"/>
      <c r="BK251" s="126"/>
      <c r="BL251" s="126"/>
      <c r="BN251" s="126"/>
      <c r="BO251" s="126"/>
      <c r="BQ251" s="126"/>
      <c r="BR251" s="126"/>
      <c r="BT251" s="126"/>
      <c r="BU251" s="126"/>
      <c r="BW251" s="126"/>
      <c r="BX251" s="126"/>
      <c r="BZ251" s="126"/>
      <c r="CA251" s="126"/>
      <c r="CC251" s="126"/>
      <c r="CD251" s="126"/>
      <c r="CF251" s="126"/>
      <c r="CG251" s="126"/>
    </row>
    <row r="252" spans="1:85" s="197" customFormat="1" x14ac:dyDescent="0.3">
      <c r="A252" s="182" t="s">
        <v>245</v>
      </c>
      <c r="B252" s="183">
        <v>2</v>
      </c>
      <c r="C252" s="184" t="s">
        <v>281</v>
      </c>
      <c r="D252" s="187">
        <v>0.99</v>
      </c>
      <c r="E252" s="187">
        <v>1.38</v>
      </c>
      <c r="F252" s="186">
        <v>0.14000000000000001</v>
      </c>
      <c r="G252" s="187">
        <f t="shared" si="180"/>
        <v>0.38253599999999999</v>
      </c>
      <c r="H252" s="188">
        <f t="shared" si="209"/>
        <v>2.7323999999999997</v>
      </c>
      <c r="I252" s="183" t="e">
        <f>GETPIVOTDATA(#REF!,A252)</f>
        <v>#REF!</v>
      </c>
      <c r="J252" s="188" t="e">
        <f>GETPIVOTDATA(#REF!,A252)*2</f>
        <v>#REF!</v>
      </c>
      <c r="K252" s="183" t="e">
        <f>(ROUND(E252/J252,0)+1)*GETPIVOTDATA(#REF!,A252)</f>
        <v>#REF!</v>
      </c>
      <c r="L252" s="189" t="e">
        <f>GETPIVOTDATA(#REF!,A252)</f>
        <v>#REF!</v>
      </c>
      <c r="M252" s="189">
        <f>0.23*2</f>
        <v>0.46</v>
      </c>
      <c r="N252" s="189">
        <f t="shared" si="181"/>
        <v>-0.04</v>
      </c>
      <c r="O252" s="189">
        <f>2.74*0.3</f>
        <v>0.82200000000000006</v>
      </c>
      <c r="P252" s="188" t="e">
        <f t="shared" si="195"/>
        <v>#REF!</v>
      </c>
      <c r="Q252" s="183" t="e">
        <f>GETPIVOTDATA(#REF!,A252)</f>
        <v>#REF!</v>
      </c>
      <c r="R252" s="188" t="e">
        <f>GETPIVOTDATA(#REF!,A252)*2</f>
        <v>#REF!</v>
      </c>
      <c r="S252" s="183" t="e">
        <f>(ROUND(E252/R252,0))*GETPIVOTDATA(#REF!,A252)</f>
        <v>#REF!</v>
      </c>
      <c r="T252" s="189" t="e">
        <f>GETPIVOTDATA(#REF!,A252)</f>
        <v>#REF!</v>
      </c>
      <c r="U252" s="189">
        <f>0.23*2</f>
        <v>0.46</v>
      </c>
      <c r="V252" s="189">
        <f t="shared" si="182"/>
        <v>-0.04</v>
      </c>
      <c r="W252" s="189">
        <v>0</v>
      </c>
      <c r="X252" s="188" t="e">
        <f t="shared" si="208"/>
        <v>#REF!</v>
      </c>
      <c r="Y252" s="183" t="e">
        <f>GETPIVOTDATA(#REF!,A252)</f>
        <v>#REF!</v>
      </c>
      <c r="Z252" s="188" t="e">
        <f>GETPIVOTDATA(#REF!,A252)*2</f>
        <v>#REF!</v>
      </c>
      <c r="AA252" s="183" t="e">
        <f>(ROUND(D252/Z252,0)+1)*GETPIVOTDATA(#REF!,A252)</f>
        <v>#REF!</v>
      </c>
      <c r="AB252" s="189" t="e">
        <f>GETPIVOTDATA(#REF!,A252)</f>
        <v>#REF!</v>
      </c>
      <c r="AC252" s="189">
        <f>0.3+0.23</f>
        <v>0.53</v>
      </c>
      <c r="AD252" s="189">
        <f t="shared" si="183"/>
        <v>-0.04</v>
      </c>
      <c r="AE252" s="189">
        <v>0</v>
      </c>
      <c r="AF252" s="188" t="e">
        <f t="shared" si="184"/>
        <v>#REF!</v>
      </c>
      <c r="AG252" s="183" t="e">
        <f>GETPIVOTDATA(#REF!,A252)</f>
        <v>#REF!</v>
      </c>
      <c r="AH252" s="182" t="e">
        <f>GETPIVOTDATA(#REF!,A252)*2</f>
        <v>#REF!</v>
      </c>
      <c r="AI252" s="183" t="e">
        <f>(ROUND(D252/AH252,0))*GETPIVOTDATA(#REF!,A252)</f>
        <v>#REF!</v>
      </c>
      <c r="AJ252" s="189" t="e">
        <f>GETPIVOTDATA(#REF!,A252)</f>
        <v>#REF!</v>
      </c>
      <c r="AK252" s="189">
        <f>0.3+0.23</f>
        <v>0.53</v>
      </c>
      <c r="AL252" s="189">
        <f t="shared" si="185"/>
        <v>-0.04</v>
      </c>
      <c r="AM252" s="189">
        <v>0</v>
      </c>
      <c r="AN252" s="188" t="e">
        <f t="shared" si="198"/>
        <v>#REF!</v>
      </c>
      <c r="AO252" s="183">
        <v>0</v>
      </c>
      <c r="AP252" s="182">
        <f t="shared" si="178"/>
        <v>4</v>
      </c>
      <c r="AQ252" s="182">
        <v>1.5</v>
      </c>
      <c r="AR252" s="187" t="e">
        <f t="shared" si="186"/>
        <v>#REF!</v>
      </c>
      <c r="AS252" s="187" t="e">
        <f t="shared" si="187"/>
        <v>#REF!</v>
      </c>
      <c r="AT252" s="187" t="e">
        <f t="shared" si="188"/>
        <v>#REF!</v>
      </c>
      <c r="AU252" s="187" t="e">
        <f t="shared" si="189"/>
        <v>#REF!</v>
      </c>
      <c r="AV252" s="187" t="e">
        <f t="shared" si="179"/>
        <v>#REF!</v>
      </c>
      <c r="AW252" s="187" t="e">
        <f t="shared" si="190"/>
        <v>#REF!</v>
      </c>
      <c r="AX252" s="187">
        <f t="shared" si="191"/>
        <v>12</v>
      </c>
      <c r="AY252" s="190"/>
      <c r="AZ252" s="240"/>
      <c r="BA252" s="232"/>
      <c r="BF252" s="206"/>
      <c r="BG252" s="206"/>
      <c r="BK252" s="126"/>
      <c r="BL252" s="126"/>
      <c r="BN252" s="126"/>
      <c r="BO252" s="126"/>
      <c r="BQ252" s="126"/>
      <c r="BR252" s="126"/>
      <c r="BT252" s="126"/>
      <c r="BU252" s="126"/>
      <c r="BW252" s="126"/>
      <c r="BX252" s="126"/>
      <c r="BZ252" s="126"/>
      <c r="CA252" s="126"/>
      <c r="CC252" s="126"/>
      <c r="CD252" s="126"/>
      <c r="CF252" s="126"/>
      <c r="CG252" s="126"/>
    </row>
    <row r="253" spans="1:85" s="197" customFormat="1" ht="27.6" x14ac:dyDescent="0.3">
      <c r="A253" s="182" t="s">
        <v>245</v>
      </c>
      <c r="B253" s="183">
        <v>1</v>
      </c>
      <c r="C253" s="184" t="s">
        <v>282</v>
      </c>
      <c r="D253" s="187">
        <v>1.29</v>
      </c>
      <c r="E253" s="187">
        <v>4.1100000000000003</v>
      </c>
      <c r="F253" s="186">
        <v>0.14000000000000001</v>
      </c>
      <c r="G253" s="187">
        <f t="shared" si="180"/>
        <v>0.7422660000000002</v>
      </c>
      <c r="H253" s="188">
        <f t="shared" si="209"/>
        <v>5.3019000000000007</v>
      </c>
      <c r="I253" s="183" t="e">
        <f>GETPIVOTDATA(#REF!,A253)</f>
        <v>#REF!</v>
      </c>
      <c r="J253" s="188" t="e">
        <f>GETPIVOTDATA(#REF!,A253)*2</f>
        <v>#REF!</v>
      </c>
      <c r="K253" s="183" t="e">
        <f>(ROUND(E253/J253,0)+1)*GETPIVOTDATA(#REF!,A253)</f>
        <v>#REF!</v>
      </c>
      <c r="L253" s="189" t="e">
        <f>GETPIVOTDATA(#REF!,A253)</f>
        <v>#REF!</v>
      </c>
      <c r="M253" s="189">
        <f>0.23+0.3</f>
        <v>0.53</v>
      </c>
      <c r="N253" s="189">
        <f t="shared" si="181"/>
        <v>-0.04</v>
      </c>
      <c r="O253" s="189">
        <f>4.19*0.3</f>
        <v>1.2570000000000001</v>
      </c>
      <c r="P253" s="188" t="e">
        <f t="shared" si="195"/>
        <v>#REF!</v>
      </c>
      <c r="Q253" s="183" t="e">
        <f>GETPIVOTDATA(#REF!,A253)</f>
        <v>#REF!</v>
      </c>
      <c r="R253" s="188" t="e">
        <f>GETPIVOTDATA(#REF!,A253)*2</f>
        <v>#REF!</v>
      </c>
      <c r="S253" s="183" t="e">
        <f>(ROUND(E253/R253,0))*GETPIVOTDATA(#REF!,A253)</f>
        <v>#REF!</v>
      </c>
      <c r="T253" s="189" t="e">
        <f>GETPIVOTDATA(#REF!,A253)</f>
        <v>#REF!</v>
      </c>
      <c r="U253" s="189">
        <f>0.23+0.3</f>
        <v>0.53</v>
      </c>
      <c r="V253" s="189">
        <f t="shared" si="182"/>
        <v>-0.04</v>
      </c>
      <c r="W253" s="189">
        <v>0</v>
      </c>
      <c r="X253" s="188" t="e">
        <f t="shared" si="208"/>
        <v>#REF!</v>
      </c>
      <c r="Y253" s="183" t="e">
        <f>GETPIVOTDATA(#REF!,A253)</f>
        <v>#REF!</v>
      </c>
      <c r="Z253" s="188" t="e">
        <f>GETPIVOTDATA(#REF!,A253)*2</f>
        <v>#REF!</v>
      </c>
      <c r="AA253" s="183" t="e">
        <f>(ROUND(D253/Z253,0)+1)*GETPIVOTDATA(#REF!,A253)</f>
        <v>#REF!</v>
      </c>
      <c r="AB253" s="189" t="e">
        <f>GETPIVOTDATA(#REF!,A253)</f>
        <v>#REF!</v>
      </c>
      <c r="AC253" s="189">
        <f>0.23*2</f>
        <v>0.46</v>
      </c>
      <c r="AD253" s="189">
        <f t="shared" si="183"/>
        <v>-0.04</v>
      </c>
      <c r="AE253" s="189">
        <v>0</v>
      </c>
      <c r="AF253" s="188" t="e">
        <f t="shared" si="184"/>
        <v>#REF!</v>
      </c>
      <c r="AG253" s="183" t="e">
        <f>GETPIVOTDATA(#REF!,A253)</f>
        <v>#REF!</v>
      </c>
      <c r="AH253" s="182" t="e">
        <f>GETPIVOTDATA(#REF!,A253)*2</f>
        <v>#REF!</v>
      </c>
      <c r="AI253" s="183" t="e">
        <f>(ROUND(D253/AH253,0))*GETPIVOTDATA(#REF!,A253)</f>
        <v>#REF!</v>
      </c>
      <c r="AJ253" s="189" t="e">
        <f>GETPIVOTDATA(#REF!,A253)</f>
        <v>#REF!</v>
      </c>
      <c r="AK253" s="189">
        <f>0.23*2</f>
        <v>0.46</v>
      </c>
      <c r="AL253" s="189">
        <f t="shared" si="185"/>
        <v>-0.04</v>
      </c>
      <c r="AM253" s="189">
        <v>0</v>
      </c>
      <c r="AN253" s="188" t="e">
        <f t="shared" si="198"/>
        <v>#REF!</v>
      </c>
      <c r="AO253" s="183">
        <v>0</v>
      </c>
      <c r="AP253" s="182">
        <f t="shared" si="178"/>
        <v>8</v>
      </c>
      <c r="AQ253" s="182">
        <v>1.5</v>
      </c>
      <c r="AR253" s="187" t="e">
        <f t="shared" si="186"/>
        <v>#REF!</v>
      </c>
      <c r="AS253" s="187" t="e">
        <f t="shared" si="187"/>
        <v>#REF!</v>
      </c>
      <c r="AT253" s="187" t="e">
        <f t="shared" si="188"/>
        <v>#REF!</v>
      </c>
      <c r="AU253" s="187" t="e">
        <f t="shared" si="189"/>
        <v>#REF!</v>
      </c>
      <c r="AV253" s="187" t="e">
        <f t="shared" si="179"/>
        <v>#REF!</v>
      </c>
      <c r="AW253" s="187" t="e">
        <f t="shared" si="190"/>
        <v>#REF!</v>
      </c>
      <c r="AX253" s="187">
        <f t="shared" si="191"/>
        <v>12</v>
      </c>
      <c r="AY253" s="190"/>
      <c r="AZ253" s="240"/>
      <c r="BA253" s="232"/>
      <c r="BF253" s="206"/>
      <c r="BG253" s="206"/>
      <c r="BK253" s="126"/>
      <c r="BL253" s="126"/>
      <c r="BN253" s="126"/>
      <c r="BO253" s="126"/>
      <c r="BQ253" s="126"/>
      <c r="BR253" s="126"/>
      <c r="BT253" s="126"/>
      <c r="BU253" s="126"/>
      <c r="BW253" s="126"/>
      <c r="BX253" s="126"/>
      <c r="BZ253" s="126"/>
      <c r="CA253" s="126"/>
      <c r="CC253" s="126"/>
      <c r="CD253" s="126"/>
      <c r="CF253" s="126"/>
      <c r="CG253" s="126"/>
    </row>
    <row r="254" spans="1:85" s="197" customFormat="1" ht="27.6" x14ac:dyDescent="0.3">
      <c r="A254" s="182" t="s">
        <v>239</v>
      </c>
      <c r="B254" s="183">
        <v>1</v>
      </c>
      <c r="C254" s="184" t="s">
        <v>283</v>
      </c>
      <c r="D254" s="187">
        <v>2.74</v>
      </c>
      <c r="E254" s="187">
        <v>2.52</v>
      </c>
      <c r="F254" s="186">
        <v>0.125</v>
      </c>
      <c r="G254" s="187">
        <f t="shared" si="180"/>
        <v>0.86310000000000009</v>
      </c>
      <c r="H254" s="188">
        <f t="shared" si="209"/>
        <v>6.9048000000000007</v>
      </c>
      <c r="I254" s="183" t="e">
        <f>GETPIVOTDATA(#REF!,A254)</f>
        <v>#REF!</v>
      </c>
      <c r="J254" s="188" t="e">
        <f>GETPIVOTDATA(#REF!,A254)*2</f>
        <v>#REF!</v>
      </c>
      <c r="K254" s="183" t="e">
        <f>(ROUND(E254/J254,0)+1)*GETPIVOTDATA(#REF!,A254)</f>
        <v>#REF!</v>
      </c>
      <c r="L254" s="189" t="e">
        <f>GETPIVOTDATA(#REF!,A254)</f>
        <v>#REF!</v>
      </c>
      <c r="M254" s="189">
        <f>0.23*2</f>
        <v>0.46</v>
      </c>
      <c r="N254" s="189">
        <f t="shared" si="181"/>
        <v>-0.04</v>
      </c>
      <c r="O254" s="189">
        <f>1.9*0.3</f>
        <v>0.56999999999999995</v>
      </c>
      <c r="P254" s="188" t="e">
        <f t="shared" si="195"/>
        <v>#REF!</v>
      </c>
      <c r="Q254" s="183" t="e">
        <f>GETPIVOTDATA(#REF!,A254)</f>
        <v>#REF!</v>
      </c>
      <c r="R254" s="188" t="e">
        <f>GETPIVOTDATA(#REF!,A254)*2</f>
        <v>#REF!</v>
      </c>
      <c r="S254" s="183" t="e">
        <f>(ROUND(E254/R254,0))*GETPIVOTDATA(#REF!,A254)</f>
        <v>#REF!</v>
      </c>
      <c r="T254" s="189" t="e">
        <f>GETPIVOTDATA(#REF!,A254)</f>
        <v>#REF!</v>
      </c>
      <c r="U254" s="189">
        <f>0.23*2</f>
        <v>0.46</v>
      </c>
      <c r="V254" s="189">
        <f t="shared" si="182"/>
        <v>-0.04</v>
      </c>
      <c r="W254" s="189">
        <f>2.92*0.3</f>
        <v>0.876</v>
      </c>
      <c r="X254" s="188" t="e">
        <f t="shared" si="208"/>
        <v>#REF!</v>
      </c>
      <c r="Y254" s="183" t="e">
        <f>GETPIVOTDATA(#REF!,A254)</f>
        <v>#REF!</v>
      </c>
      <c r="Z254" s="188" t="e">
        <f>GETPIVOTDATA(#REF!,A254)*2</f>
        <v>#REF!</v>
      </c>
      <c r="AA254" s="183" t="e">
        <f>(ROUND(D254/Z254,0)+1)*GETPIVOTDATA(#REF!,A254)</f>
        <v>#REF!</v>
      </c>
      <c r="AB254" s="189" t="e">
        <f>GETPIVOTDATA(#REF!,A254)</f>
        <v>#REF!</v>
      </c>
      <c r="AC254" s="189">
        <f>0.3+0.23</f>
        <v>0.53</v>
      </c>
      <c r="AD254" s="189">
        <f t="shared" si="183"/>
        <v>-0.04</v>
      </c>
      <c r="AE254" s="189">
        <f>3.05*0.3</f>
        <v>0.91499999999999992</v>
      </c>
      <c r="AF254" s="188" t="e">
        <f t="shared" si="184"/>
        <v>#REF!</v>
      </c>
      <c r="AG254" s="183" t="e">
        <f>GETPIVOTDATA(#REF!,A254)</f>
        <v>#REF!</v>
      </c>
      <c r="AH254" s="182" t="e">
        <f>GETPIVOTDATA(#REF!,A254)*2</f>
        <v>#REF!</v>
      </c>
      <c r="AI254" s="183" t="e">
        <f>(ROUND(D254/AH254,0))*GETPIVOTDATA(#REF!,A254)</f>
        <v>#REF!</v>
      </c>
      <c r="AJ254" s="189" t="e">
        <f>GETPIVOTDATA(#REF!,A254)</f>
        <v>#REF!</v>
      </c>
      <c r="AK254" s="189">
        <f>0.3+0.23</f>
        <v>0.53</v>
      </c>
      <c r="AL254" s="189">
        <f t="shared" si="185"/>
        <v>-0.04</v>
      </c>
      <c r="AM254" s="189">
        <f>2.94*0.3</f>
        <v>0.88200000000000001</v>
      </c>
      <c r="AN254" s="188" t="e">
        <f t="shared" si="198"/>
        <v>#REF!</v>
      </c>
      <c r="AO254" s="183">
        <v>0</v>
      </c>
      <c r="AP254" s="182">
        <f t="shared" si="178"/>
        <v>8</v>
      </c>
      <c r="AQ254" s="182">
        <v>1.5</v>
      </c>
      <c r="AR254" s="187" t="e">
        <f t="shared" si="186"/>
        <v>#REF!</v>
      </c>
      <c r="AS254" s="187" t="e">
        <f t="shared" si="187"/>
        <v>#REF!</v>
      </c>
      <c r="AT254" s="187" t="e">
        <f t="shared" si="188"/>
        <v>#REF!</v>
      </c>
      <c r="AU254" s="187" t="e">
        <f t="shared" si="189"/>
        <v>#REF!</v>
      </c>
      <c r="AV254" s="187" t="e">
        <f t="shared" si="179"/>
        <v>#REF!</v>
      </c>
      <c r="AW254" s="187" t="e">
        <f t="shared" si="190"/>
        <v>#REF!</v>
      </c>
      <c r="AX254" s="187">
        <f t="shared" si="191"/>
        <v>12</v>
      </c>
      <c r="AY254" s="190"/>
      <c r="AZ254" s="240"/>
      <c r="BA254" s="232"/>
      <c r="BF254" s="206"/>
      <c r="BG254" s="206"/>
      <c r="BK254" s="126"/>
      <c r="BL254" s="126"/>
      <c r="BN254" s="126"/>
      <c r="BO254" s="126"/>
      <c r="BQ254" s="126"/>
      <c r="BR254" s="126"/>
      <c r="BT254" s="126"/>
      <c r="BU254" s="126"/>
      <c r="BW254" s="126"/>
      <c r="BX254" s="126"/>
      <c r="BZ254" s="126"/>
      <c r="CA254" s="126"/>
      <c r="CC254" s="126"/>
      <c r="CD254" s="126"/>
      <c r="CF254" s="126"/>
      <c r="CG254" s="126"/>
    </row>
    <row r="255" spans="1:85" s="197" customFormat="1" ht="27.6" x14ac:dyDescent="0.3">
      <c r="A255" s="182" t="s">
        <v>239</v>
      </c>
      <c r="B255" s="183">
        <v>1</v>
      </c>
      <c r="C255" s="184" t="s">
        <v>284</v>
      </c>
      <c r="D255" s="187">
        <v>2.92</v>
      </c>
      <c r="E255" s="187">
        <v>2.4700000000000002</v>
      </c>
      <c r="F255" s="186">
        <v>0.125</v>
      </c>
      <c r="G255" s="187">
        <f t="shared" si="180"/>
        <v>0.90155000000000007</v>
      </c>
      <c r="H255" s="188">
        <f t="shared" si="209"/>
        <v>7.2124000000000006</v>
      </c>
      <c r="I255" s="183" t="e">
        <f>GETPIVOTDATA(#REF!,A255)</f>
        <v>#REF!</v>
      </c>
      <c r="J255" s="188" t="e">
        <f>GETPIVOTDATA(#REF!,A255)*2</f>
        <v>#REF!</v>
      </c>
      <c r="K255" s="183" t="e">
        <f>(ROUND(E255/J255,0)+1)*GETPIVOTDATA(#REF!,A255)</f>
        <v>#REF!</v>
      </c>
      <c r="L255" s="189" t="e">
        <f>GETPIVOTDATA(#REF!,A255)</f>
        <v>#REF!</v>
      </c>
      <c r="M255" s="189">
        <f>0.23+0.3</f>
        <v>0.53</v>
      </c>
      <c r="N255" s="189">
        <f t="shared" si="181"/>
        <v>-0.04</v>
      </c>
      <c r="O255" s="248">
        <f>2.74*0.3</f>
        <v>0.82200000000000006</v>
      </c>
      <c r="P255" s="188" t="e">
        <f t="shared" si="195"/>
        <v>#REF!</v>
      </c>
      <c r="Q255" s="183" t="e">
        <f>GETPIVOTDATA(#REF!,A255)</f>
        <v>#REF!</v>
      </c>
      <c r="R255" s="188" t="e">
        <f>GETPIVOTDATA(#REF!,A255)*2</f>
        <v>#REF!</v>
      </c>
      <c r="S255" s="183" t="e">
        <f>(ROUND(E255/R255,0))*GETPIVOTDATA(#REF!,A255)</f>
        <v>#REF!</v>
      </c>
      <c r="T255" s="189" t="e">
        <f>GETPIVOTDATA(#REF!,A255)</f>
        <v>#REF!</v>
      </c>
      <c r="U255" s="189">
        <f>0.23+0.3</f>
        <v>0.53</v>
      </c>
      <c r="V255" s="189">
        <f t="shared" si="182"/>
        <v>-0.04</v>
      </c>
      <c r="W255" s="189">
        <f>2.62*0.3</f>
        <v>0.78600000000000003</v>
      </c>
      <c r="X255" s="188" t="e">
        <f t="shared" si="208"/>
        <v>#REF!</v>
      </c>
      <c r="Y255" s="183" t="e">
        <f>GETPIVOTDATA(#REF!,A255)</f>
        <v>#REF!</v>
      </c>
      <c r="Z255" s="188" t="e">
        <f>GETPIVOTDATA(#REF!,A255)*2</f>
        <v>#REF!</v>
      </c>
      <c r="AA255" s="183" t="e">
        <f>(ROUND(D255/Z255,0)+1)*GETPIVOTDATA(#REF!,A255)</f>
        <v>#REF!</v>
      </c>
      <c r="AB255" s="189" t="e">
        <f>GETPIVOTDATA(#REF!,A255)</f>
        <v>#REF!</v>
      </c>
      <c r="AC255" s="189">
        <f>0.23+0.3</f>
        <v>0.53</v>
      </c>
      <c r="AD255" s="189">
        <f t="shared" si="183"/>
        <v>-0.04</v>
      </c>
      <c r="AE255" s="189">
        <f>3.35*0.3</f>
        <v>1.0049999999999999</v>
      </c>
      <c r="AF255" s="188" t="e">
        <f t="shared" si="184"/>
        <v>#REF!</v>
      </c>
      <c r="AG255" s="183" t="e">
        <f>GETPIVOTDATA(#REF!,A255)</f>
        <v>#REF!</v>
      </c>
      <c r="AH255" s="182" t="e">
        <f>GETPIVOTDATA(#REF!,A255)*2</f>
        <v>#REF!</v>
      </c>
      <c r="AI255" s="183" t="e">
        <f>(ROUND(D255/AH255,0))*GETPIVOTDATA(#REF!,A255)</f>
        <v>#REF!</v>
      </c>
      <c r="AJ255" s="189" t="e">
        <f>GETPIVOTDATA(#REF!,A255)</f>
        <v>#REF!</v>
      </c>
      <c r="AK255" s="189">
        <f>0.23+0.3</f>
        <v>0.53</v>
      </c>
      <c r="AL255" s="189">
        <f t="shared" si="185"/>
        <v>-0.04</v>
      </c>
      <c r="AM255" s="189">
        <f>2.94*0.3</f>
        <v>0.88200000000000001</v>
      </c>
      <c r="AN255" s="188" t="e">
        <f t="shared" si="198"/>
        <v>#REF!</v>
      </c>
      <c r="AO255" s="183">
        <v>0</v>
      </c>
      <c r="AP255" s="182">
        <f t="shared" si="178"/>
        <v>8</v>
      </c>
      <c r="AQ255" s="182">
        <v>1.5</v>
      </c>
      <c r="AR255" s="187" t="e">
        <f t="shared" si="186"/>
        <v>#REF!</v>
      </c>
      <c r="AS255" s="187" t="e">
        <f t="shared" si="187"/>
        <v>#REF!</v>
      </c>
      <c r="AT255" s="187" t="e">
        <f t="shared" si="188"/>
        <v>#REF!</v>
      </c>
      <c r="AU255" s="187" t="e">
        <f t="shared" si="189"/>
        <v>#REF!</v>
      </c>
      <c r="AV255" s="187" t="e">
        <f t="shared" si="179"/>
        <v>#REF!</v>
      </c>
      <c r="AW255" s="187" t="e">
        <f t="shared" si="190"/>
        <v>#REF!</v>
      </c>
      <c r="AX255" s="187">
        <f t="shared" si="191"/>
        <v>12</v>
      </c>
      <c r="AY255" s="190"/>
      <c r="AZ255" s="240"/>
      <c r="BA255" s="232"/>
      <c r="BF255" s="206"/>
      <c r="BG255" s="206"/>
      <c r="BK255" s="126"/>
      <c r="BL255" s="126"/>
      <c r="BN255" s="126"/>
      <c r="BO255" s="126"/>
      <c r="BQ255" s="126"/>
      <c r="BR255" s="126"/>
      <c r="BT255" s="126"/>
      <c r="BU255" s="126"/>
      <c r="BW255" s="126"/>
      <c r="BX255" s="126"/>
      <c r="BZ255" s="126"/>
      <c r="CA255" s="126"/>
      <c r="CC255" s="126"/>
      <c r="CD255" s="126"/>
      <c r="CF255" s="126"/>
      <c r="CG255" s="126"/>
    </row>
    <row r="256" spans="1:85" s="197" customFormat="1" ht="27.6" x14ac:dyDescent="0.3">
      <c r="A256" s="182" t="s">
        <v>223</v>
      </c>
      <c r="B256" s="183">
        <v>1</v>
      </c>
      <c r="C256" s="184" t="s">
        <v>285</v>
      </c>
      <c r="D256" s="187">
        <v>2.52</v>
      </c>
      <c r="E256" s="187">
        <v>5.05</v>
      </c>
      <c r="F256" s="186">
        <v>0.13</v>
      </c>
      <c r="G256" s="187">
        <f t="shared" si="180"/>
        <v>1.65438</v>
      </c>
      <c r="H256" s="188">
        <f t="shared" si="209"/>
        <v>12.725999999999999</v>
      </c>
      <c r="I256" s="183" t="e">
        <f>GETPIVOTDATA(#REF!,A256)</f>
        <v>#REF!</v>
      </c>
      <c r="J256" s="188" t="e">
        <f>GETPIVOTDATA(#REF!,A256)*2</f>
        <v>#REF!</v>
      </c>
      <c r="K256" s="183" t="e">
        <f>(ROUND(E256/J256,0)+1)*GETPIVOTDATA(#REF!,A256)</f>
        <v>#REF!</v>
      </c>
      <c r="L256" s="189" t="e">
        <f>GETPIVOTDATA(#REF!,A256)</f>
        <v>#REF!</v>
      </c>
      <c r="M256" s="189">
        <f>0.45+0.3</f>
        <v>0.75</v>
      </c>
      <c r="N256" s="189">
        <f t="shared" si="181"/>
        <v>-0.04</v>
      </c>
      <c r="O256" s="189">
        <f>2.6*0.3</f>
        <v>0.78</v>
      </c>
      <c r="P256" s="188" t="e">
        <f t="shared" si="195"/>
        <v>#REF!</v>
      </c>
      <c r="Q256" s="183" t="e">
        <f>GETPIVOTDATA(#REF!,A256)</f>
        <v>#REF!</v>
      </c>
      <c r="R256" s="188" t="e">
        <f>GETPIVOTDATA(#REF!,A256)*2</f>
        <v>#REF!</v>
      </c>
      <c r="S256" s="183" t="e">
        <f>(ROUND(E256/R256,0))*GETPIVOTDATA(#REF!,A256)</f>
        <v>#REF!</v>
      </c>
      <c r="T256" s="189" t="e">
        <f>GETPIVOTDATA(#REF!,A256)</f>
        <v>#REF!</v>
      </c>
      <c r="U256" s="189">
        <f>0.45+0.3</f>
        <v>0.75</v>
      </c>
      <c r="V256" s="189">
        <f t="shared" si="182"/>
        <v>-0.04</v>
      </c>
      <c r="W256" s="189">
        <f>2.595*0.3</f>
        <v>0.77850000000000008</v>
      </c>
      <c r="X256" s="188" t="e">
        <f t="shared" si="208"/>
        <v>#REF!</v>
      </c>
      <c r="Y256" s="183" t="e">
        <f>GETPIVOTDATA(#REF!,A256)</f>
        <v>#REF!</v>
      </c>
      <c r="Z256" s="188" t="e">
        <f>GETPIVOTDATA(#REF!,A256)*2</f>
        <v>#REF!</v>
      </c>
      <c r="AA256" s="183" t="e">
        <f>(ROUND(D256/Z256,0)+1)*GETPIVOTDATA(#REF!,A256)</f>
        <v>#REF!</v>
      </c>
      <c r="AB256" s="189" t="e">
        <f>GETPIVOTDATA(#REF!,A256)</f>
        <v>#REF!</v>
      </c>
      <c r="AC256" s="189">
        <f>0.38+0.3</f>
        <v>0.67999999999999994</v>
      </c>
      <c r="AD256" s="189">
        <f t="shared" si="183"/>
        <v>-0.04</v>
      </c>
      <c r="AE256" s="189">
        <f>3.64*0.3</f>
        <v>1.0920000000000001</v>
      </c>
      <c r="AF256" s="188" t="e">
        <f t="shared" si="184"/>
        <v>#REF!</v>
      </c>
      <c r="AG256" s="183" t="e">
        <f>GETPIVOTDATA(#REF!,A256)</f>
        <v>#REF!</v>
      </c>
      <c r="AH256" s="182" t="e">
        <f>GETPIVOTDATA(#REF!,A256)*2</f>
        <v>#REF!</v>
      </c>
      <c r="AI256" s="183" t="e">
        <f>(ROUND(D256/AH256,0))*GETPIVOTDATA(#REF!,A256)</f>
        <v>#REF!</v>
      </c>
      <c r="AJ256" s="189" t="e">
        <f>GETPIVOTDATA(#REF!,A256)</f>
        <v>#REF!</v>
      </c>
      <c r="AK256" s="189">
        <f>0.38+0.3</f>
        <v>0.67999999999999994</v>
      </c>
      <c r="AL256" s="189">
        <f t="shared" si="185"/>
        <v>-0.04</v>
      </c>
      <c r="AM256" s="189">
        <f>2.41*0.3</f>
        <v>0.72299999999999998</v>
      </c>
      <c r="AN256" s="188" t="e">
        <f t="shared" si="198"/>
        <v>#REF!</v>
      </c>
      <c r="AO256" s="183">
        <v>0</v>
      </c>
      <c r="AP256" s="182">
        <f t="shared" si="178"/>
        <v>10</v>
      </c>
      <c r="AQ256" s="182">
        <v>1.5</v>
      </c>
      <c r="AR256" s="187" t="e">
        <f t="shared" si="186"/>
        <v>#REF!</v>
      </c>
      <c r="AS256" s="187" t="e">
        <f t="shared" si="187"/>
        <v>#REF!</v>
      </c>
      <c r="AT256" s="187" t="e">
        <f t="shared" si="188"/>
        <v>#REF!</v>
      </c>
      <c r="AU256" s="187" t="e">
        <f t="shared" si="189"/>
        <v>#REF!</v>
      </c>
      <c r="AV256" s="187" t="e">
        <f t="shared" si="179"/>
        <v>#REF!</v>
      </c>
      <c r="AW256" s="187" t="e">
        <f t="shared" si="190"/>
        <v>#REF!</v>
      </c>
      <c r="AX256" s="187">
        <f t="shared" si="191"/>
        <v>15</v>
      </c>
      <c r="AY256" s="190"/>
      <c r="AZ256" s="240"/>
      <c r="BA256" s="232"/>
      <c r="BF256" s="206"/>
      <c r="BG256" s="206"/>
      <c r="BK256" s="126"/>
      <c r="BL256" s="126"/>
      <c r="BN256" s="126"/>
      <c r="BO256" s="126"/>
      <c r="BQ256" s="126"/>
      <c r="BR256" s="126"/>
      <c r="BT256" s="126"/>
      <c r="BU256" s="126"/>
      <c r="BW256" s="126"/>
      <c r="BX256" s="126"/>
      <c r="BZ256" s="126"/>
      <c r="CA256" s="126"/>
      <c r="CC256" s="126"/>
      <c r="CD256" s="126"/>
      <c r="CF256" s="126"/>
      <c r="CG256" s="126"/>
    </row>
    <row r="257" spans="1:85" s="197" customFormat="1" ht="27.6" x14ac:dyDescent="0.3">
      <c r="A257" s="182" t="s">
        <v>223</v>
      </c>
      <c r="B257" s="183">
        <v>1</v>
      </c>
      <c r="C257" s="184" t="s">
        <v>286</v>
      </c>
      <c r="D257" s="187">
        <v>2.5950000000000002</v>
      </c>
      <c r="E257" s="187">
        <v>5.05</v>
      </c>
      <c r="F257" s="186">
        <v>0.13</v>
      </c>
      <c r="G257" s="187">
        <f t="shared" si="180"/>
        <v>1.7036175000000002</v>
      </c>
      <c r="H257" s="188">
        <f t="shared" si="209"/>
        <v>13.104750000000001</v>
      </c>
      <c r="I257" s="183" t="e">
        <f>GETPIVOTDATA(#REF!,A257)</f>
        <v>#REF!</v>
      </c>
      <c r="J257" s="188" t="e">
        <f>GETPIVOTDATA(#REF!,A257)*2</f>
        <v>#REF!</v>
      </c>
      <c r="K257" s="183" t="e">
        <f>(ROUND(E257/J257,0)+1)*GETPIVOTDATA(#REF!,A257)</f>
        <v>#REF!</v>
      </c>
      <c r="L257" s="189" t="e">
        <f>GETPIVOTDATA(#REF!,A257)</f>
        <v>#REF!</v>
      </c>
      <c r="M257" s="189">
        <f t="shared" si="199"/>
        <v>0.6</v>
      </c>
      <c r="N257" s="189">
        <f t="shared" si="181"/>
        <v>-0.04</v>
      </c>
      <c r="O257" s="189">
        <f>2.52*0.3</f>
        <v>0.75600000000000001</v>
      </c>
      <c r="P257" s="188" t="e">
        <f t="shared" si="195"/>
        <v>#REF!</v>
      </c>
      <c r="Q257" s="183" t="e">
        <f>GETPIVOTDATA(#REF!,A257)</f>
        <v>#REF!</v>
      </c>
      <c r="R257" s="188" t="e">
        <f>GETPIVOTDATA(#REF!,A257)*2</f>
        <v>#REF!</v>
      </c>
      <c r="S257" s="183" t="e">
        <f>(ROUND(E257/R257,0))*GETPIVOTDATA(#REF!,A257)</f>
        <v>#REF!</v>
      </c>
      <c r="T257" s="189" t="e">
        <f>GETPIVOTDATA(#REF!,A257)</f>
        <v>#REF!</v>
      </c>
      <c r="U257" s="189">
        <f t="shared" si="200"/>
        <v>0.6</v>
      </c>
      <c r="V257" s="189">
        <f t="shared" si="182"/>
        <v>-0.04</v>
      </c>
      <c r="W257" s="189">
        <f>2.7*0.3</f>
        <v>0.81</v>
      </c>
      <c r="X257" s="188" t="e">
        <f t="shared" si="208"/>
        <v>#REF!</v>
      </c>
      <c r="Y257" s="183" t="e">
        <f>GETPIVOTDATA(#REF!,A257)</f>
        <v>#REF!</v>
      </c>
      <c r="Z257" s="188" t="e">
        <f>GETPIVOTDATA(#REF!,A257)*2</f>
        <v>#REF!</v>
      </c>
      <c r="AA257" s="183" t="e">
        <f>(ROUND(D257/Z257,0)+1)*GETPIVOTDATA(#REF!,A257)</f>
        <v>#REF!</v>
      </c>
      <c r="AB257" s="189" t="e">
        <f>GETPIVOTDATA(#REF!,A257)</f>
        <v>#REF!</v>
      </c>
      <c r="AC257" s="189">
        <f>0.3+0.38</f>
        <v>0.67999999999999994</v>
      </c>
      <c r="AD257" s="189">
        <f t="shared" si="183"/>
        <v>-0.04</v>
      </c>
      <c r="AE257" s="189">
        <f>3.64*0.3</f>
        <v>1.0920000000000001</v>
      </c>
      <c r="AF257" s="188" t="e">
        <f t="shared" si="184"/>
        <v>#REF!</v>
      </c>
      <c r="AG257" s="183" t="e">
        <f>GETPIVOTDATA(#REF!,A257)</f>
        <v>#REF!</v>
      </c>
      <c r="AH257" s="182" t="e">
        <f>GETPIVOTDATA(#REF!,A257)*2</f>
        <v>#REF!</v>
      </c>
      <c r="AI257" s="183" t="e">
        <f>(ROUND(D257/AH257,0))*GETPIVOTDATA(#REF!,A257)</f>
        <v>#REF!</v>
      </c>
      <c r="AJ257" s="189" t="e">
        <f>GETPIVOTDATA(#REF!,A257)</f>
        <v>#REF!</v>
      </c>
      <c r="AK257" s="189">
        <f>0.3+0.38</f>
        <v>0.67999999999999994</v>
      </c>
      <c r="AL257" s="189">
        <f t="shared" si="185"/>
        <v>-0.04</v>
      </c>
      <c r="AM257" s="189">
        <f>2.41*0.3</f>
        <v>0.72299999999999998</v>
      </c>
      <c r="AN257" s="188" t="e">
        <f t="shared" si="198"/>
        <v>#REF!</v>
      </c>
      <c r="AO257" s="183">
        <v>0</v>
      </c>
      <c r="AP257" s="182">
        <f t="shared" si="178"/>
        <v>10</v>
      </c>
      <c r="AQ257" s="182">
        <v>1.5</v>
      </c>
      <c r="AR257" s="187" t="e">
        <f t="shared" si="186"/>
        <v>#REF!</v>
      </c>
      <c r="AS257" s="187" t="e">
        <f t="shared" si="187"/>
        <v>#REF!</v>
      </c>
      <c r="AT257" s="187" t="e">
        <f t="shared" si="188"/>
        <v>#REF!</v>
      </c>
      <c r="AU257" s="187" t="e">
        <f t="shared" si="189"/>
        <v>#REF!</v>
      </c>
      <c r="AV257" s="187" t="e">
        <f t="shared" si="179"/>
        <v>#REF!</v>
      </c>
      <c r="AW257" s="187" t="e">
        <f t="shared" si="190"/>
        <v>#REF!</v>
      </c>
      <c r="AX257" s="187">
        <f t="shared" si="191"/>
        <v>15</v>
      </c>
      <c r="AY257" s="190"/>
      <c r="AZ257" s="240"/>
      <c r="BA257" s="232"/>
      <c r="BF257" s="206"/>
      <c r="BG257" s="206"/>
      <c r="BK257" s="126"/>
      <c r="BL257" s="126"/>
      <c r="BN257" s="126"/>
      <c r="BO257" s="126"/>
      <c r="BQ257" s="126"/>
      <c r="BR257" s="126"/>
      <c r="BT257" s="126"/>
      <c r="BU257" s="126"/>
      <c r="BW257" s="126"/>
      <c r="BX257" s="126"/>
      <c r="BZ257" s="126"/>
      <c r="CA257" s="126"/>
      <c r="CC257" s="126"/>
      <c r="CD257" s="126"/>
      <c r="CF257" s="126"/>
      <c r="CG257" s="126"/>
    </row>
    <row r="258" spans="1:85" s="197" customFormat="1" x14ac:dyDescent="0.3">
      <c r="A258" s="182" t="s">
        <v>229</v>
      </c>
      <c r="B258" s="183">
        <v>1</v>
      </c>
      <c r="C258" s="184" t="s">
        <v>287</v>
      </c>
      <c r="D258" s="187">
        <v>2.7</v>
      </c>
      <c r="E258" s="187">
        <v>3.05</v>
      </c>
      <c r="F258" s="186">
        <v>0.13</v>
      </c>
      <c r="G258" s="187">
        <f t="shared" si="180"/>
        <v>1.0705499999999999</v>
      </c>
      <c r="H258" s="188">
        <f t="shared" si="209"/>
        <v>8.2349999999999994</v>
      </c>
      <c r="I258" s="183" t="e">
        <f>GETPIVOTDATA(#REF!,A258)</f>
        <v>#REF!</v>
      </c>
      <c r="J258" s="188" t="e">
        <f>GETPIVOTDATA(#REF!,A258)*2</f>
        <v>#REF!</v>
      </c>
      <c r="K258" s="183" t="e">
        <f>(ROUND(E258/J258,0)+1)*GETPIVOTDATA(#REF!,A258)</f>
        <v>#REF!</v>
      </c>
      <c r="L258" s="189" t="e">
        <f>GETPIVOTDATA(#REF!,A258)</f>
        <v>#REF!</v>
      </c>
      <c r="M258" s="189">
        <f>0.3+0.23</f>
        <v>0.53</v>
      </c>
      <c r="N258" s="189">
        <f t="shared" si="181"/>
        <v>-0.04</v>
      </c>
      <c r="O258" s="189">
        <f>2.595*0.3</f>
        <v>0.77850000000000008</v>
      </c>
      <c r="P258" s="188" t="e">
        <f t="shared" si="195"/>
        <v>#REF!</v>
      </c>
      <c r="Q258" s="183" t="e">
        <f>GETPIVOTDATA(#REF!,A258)</f>
        <v>#REF!</v>
      </c>
      <c r="R258" s="188" t="e">
        <f>GETPIVOTDATA(#REF!,A258)*2</f>
        <v>#REF!</v>
      </c>
      <c r="S258" s="183" t="e">
        <f>(ROUND(E258/R258,0))*GETPIVOTDATA(#REF!,A258)</f>
        <v>#REF!</v>
      </c>
      <c r="T258" s="189" t="e">
        <f>GETPIVOTDATA(#REF!,A258)</f>
        <v>#REF!</v>
      </c>
      <c r="U258" s="189">
        <f>0.3+0.23</f>
        <v>0.53</v>
      </c>
      <c r="V258" s="189">
        <f t="shared" si="182"/>
        <v>-0.04</v>
      </c>
      <c r="W258" s="189">
        <f>2.74*0.3</f>
        <v>0.82200000000000006</v>
      </c>
      <c r="X258" s="188" t="e">
        <f t="shared" si="208"/>
        <v>#REF!</v>
      </c>
      <c r="Y258" s="183" t="e">
        <f>GETPIVOTDATA(#REF!,A258)</f>
        <v>#REF!</v>
      </c>
      <c r="Z258" s="188" t="e">
        <f>GETPIVOTDATA(#REF!,A258)*2</f>
        <v>#REF!</v>
      </c>
      <c r="AA258" s="183" t="e">
        <f>(ROUND(D258/Z258,0)+1)*GETPIVOTDATA(#REF!,A258)</f>
        <v>#REF!</v>
      </c>
      <c r="AB258" s="189" t="e">
        <f>GETPIVOTDATA(#REF!,A258)</f>
        <v>#REF!</v>
      </c>
      <c r="AC258" s="189">
        <f t="shared" si="203"/>
        <v>0.6</v>
      </c>
      <c r="AD258" s="189">
        <f t="shared" si="183"/>
        <v>-0.04</v>
      </c>
      <c r="AE258" s="189">
        <f>2.73*0.3</f>
        <v>0.81899999999999995</v>
      </c>
      <c r="AF258" s="188" t="e">
        <f t="shared" si="184"/>
        <v>#REF!</v>
      </c>
      <c r="AG258" s="183" t="e">
        <f>GETPIVOTDATA(#REF!,A258)</f>
        <v>#REF!</v>
      </c>
      <c r="AH258" s="182" t="e">
        <f>GETPIVOTDATA(#REF!,A258)*2</f>
        <v>#REF!</v>
      </c>
      <c r="AI258" s="183" t="e">
        <f>(ROUND(D258/AH258,0))*GETPIVOTDATA(#REF!,A258)</f>
        <v>#REF!</v>
      </c>
      <c r="AJ258" s="189" t="e">
        <f>GETPIVOTDATA(#REF!,A258)</f>
        <v>#REF!</v>
      </c>
      <c r="AK258" s="189">
        <f t="shared" si="204"/>
        <v>0.6</v>
      </c>
      <c r="AL258" s="189">
        <f t="shared" si="185"/>
        <v>-0.04</v>
      </c>
      <c r="AM258" s="189">
        <f>2.45*0.3</f>
        <v>0.73499999999999999</v>
      </c>
      <c r="AN258" s="188" t="e">
        <f t="shared" si="198"/>
        <v>#REF!</v>
      </c>
      <c r="AO258" s="183">
        <v>0</v>
      </c>
      <c r="AP258" s="182">
        <f t="shared" si="178"/>
        <v>8</v>
      </c>
      <c r="AQ258" s="182">
        <v>1.5</v>
      </c>
      <c r="AR258" s="187" t="e">
        <f t="shared" si="186"/>
        <v>#REF!</v>
      </c>
      <c r="AS258" s="187" t="e">
        <f t="shared" si="187"/>
        <v>#REF!</v>
      </c>
      <c r="AT258" s="187" t="e">
        <f t="shared" si="188"/>
        <v>#REF!</v>
      </c>
      <c r="AU258" s="187" t="e">
        <f t="shared" si="189"/>
        <v>#REF!</v>
      </c>
      <c r="AV258" s="187" t="e">
        <f t="shared" si="179"/>
        <v>#REF!</v>
      </c>
      <c r="AW258" s="187" t="e">
        <f t="shared" si="190"/>
        <v>#REF!</v>
      </c>
      <c r="AX258" s="187">
        <f t="shared" si="191"/>
        <v>12</v>
      </c>
      <c r="AY258" s="190"/>
      <c r="AZ258" s="240"/>
      <c r="BA258" s="232"/>
      <c r="BF258" s="206"/>
      <c r="BG258" s="206"/>
      <c r="BK258" s="126"/>
      <c r="BL258" s="126"/>
      <c r="BN258" s="126"/>
      <c r="BO258" s="126"/>
      <c r="BQ258" s="126"/>
      <c r="BR258" s="126"/>
      <c r="BT258" s="126"/>
      <c r="BU258" s="126"/>
      <c r="BW258" s="126"/>
      <c r="BX258" s="126"/>
      <c r="BZ258" s="126"/>
      <c r="CA258" s="126"/>
      <c r="CC258" s="126"/>
      <c r="CD258" s="126"/>
      <c r="CF258" s="126"/>
      <c r="CG258" s="126"/>
    </row>
    <row r="259" spans="1:85" s="197" customFormat="1" x14ac:dyDescent="0.3">
      <c r="A259" s="182" t="s">
        <v>227</v>
      </c>
      <c r="B259" s="183">
        <v>1</v>
      </c>
      <c r="C259" s="184" t="s">
        <v>288</v>
      </c>
      <c r="D259" s="187">
        <v>1.9</v>
      </c>
      <c r="E259" s="187">
        <v>1.07</v>
      </c>
      <c r="F259" s="186">
        <v>0.125</v>
      </c>
      <c r="G259" s="187">
        <f t="shared" si="180"/>
        <v>0.25412499999999999</v>
      </c>
      <c r="H259" s="188">
        <f t="shared" si="209"/>
        <v>2.0329999999999999</v>
      </c>
      <c r="I259" s="183" t="e">
        <f>GETPIVOTDATA(#REF!,A259)</f>
        <v>#REF!</v>
      </c>
      <c r="J259" s="188" t="e">
        <f>GETPIVOTDATA(#REF!,A259)*2</f>
        <v>#REF!</v>
      </c>
      <c r="K259" s="183" t="e">
        <f>(ROUND(E259/J259,0)+1)*GETPIVOTDATA(#REF!,A259)</f>
        <v>#REF!</v>
      </c>
      <c r="L259" s="189" t="e">
        <f>GETPIVOTDATA(#REF!,A259)</f>
        <v>#REF!</v>
      </c>
      <c r="M259" s="189">
        <f>0.23*2</f>
        <v>0.46</v>
      </c>
      <c r="N259" s="189">
        <f t="shared" si="181"/>
        <v>-0.04</v>
      </c>
      <c r="O259" s="189">
        <f>2.74*0.3</f>
        <v>0.82200000000000006</v>
      </c>
      <c r="P259" s="188" t="e">
        <f t="shared" si="195"/>
        <v>#REF!</v>
      </c>
      <c r="Q259" s="183" t="e">
        <f>GETPIVOTDATA(#REF!,A259)</f>
        <v>#REF!</v>
      </c>
      <c r="R259" s="188" t="e">
        <f>GETPIVOTDATA(#REF!,A259)*2</f>
        <v>#REF!</v>
      </c>
      <c r="S259" s="183" t="e">
        <f>(ROUND(E259/R259,0))*GETPIVOTDATA(#REF!,A259)</f>
        <v>#REF!</v>
      </c>
      <c r="T259" s="189" t="e">
        <f>GETPIVOTDATA(#REF!,A259)</f>
        <v>#REF!</v>
      </c>
      <c r="U259" s="189">
        <f>0.23*2</f>
        <v>0.46</v>
      </c>
      <c r="V259" s="189">
        <f t="shared" si="182"/>
        <v>-0.04</v>
      </c>
      <c r="W259" s="189">
        <f>2.29*0.3</f>
        <v>0.68699999999999994</v>
      </c>
      <c r="X259" s="188" t="e">
        <f t="shared" si="208"/>
        <v>#REF!</v>
      </c>
      <c r="Y259" s="183" t="e">
        <f>GETPIVOTDATA(#REF!,A259)</f>
        <v>#REF!</v>
      </c>
      <c r="Z259" s="188" t="e">
        <f>GETPIVOTDATA(#REF!,A259)*2</f>
        <v>#REF!</v>
      </c>
      <c r="AA259" s="183" t="e">
        <f>(ROUND(D259/Z259,0)+1)*GETPIVOTDATA(#REF!,A259)</f>
        <v>#REF!</v>
      </c>
      <c r="AB259" s="189" t="e">
        <f>GETPIVOTDATA(#REF!,A259)</f>
        <v>#REF!</v>
      </c>
      <c r="AC259" s="189">
        <v>0.3</v>
      </c>
      <c r="AD259" s="189">
        <f t="shared" si="183"/>
        <v>-0.04</v>
      </c>
      <c r="AE259" s="189">
        <f>1.29*0.3</f>
        <v>0.38700000000000001</v>
      </c>
      <c r="AF259" s="188" t="e">
        <f t="shared" si="184"/>
        <v>#REF!</v>
      </c>
      <c r="AG259" s="183" t="e">
        <f>GETPIVOTDATA(#REF!,A259)</f>
        <v>#REF!</v>
      </c>
      <c r="AH259" s="182" t="e">
        <f>GETPIVOTDATA(#REF!,A259)*2</f>
        <v>#REF!</v>
      </c>
      <c r="AI259" s="183" t="e">
        <f>(ROUND(D259/AH259,0))*GETPIVOTDATA(#REF!,A259)</f>
        <v>#REF!</v>
      </c>
      <c r="AJ259" s="189" t="e">
        <f>GETPIVOTDATA(#REF!,A259)</f>
        <v>#REF!</v>
      </c>
      <c r="AK259" s="189">
        <v>0.3</v>
      </c>
      <c r="AL259" s="189">
        <f t="shared" si="185"/>
        <v>-0.04</v>
      </c>
      <c r="AM259" s="189">
        <v>0</v>
      </c>
      <c r="AN259" s="188" t="e">
        <f t="shared" si="198"/>
        <v>#REF!</v>
      </c>
      <c r="AO259" s="183">
        <v>0</v>
      </c>
      <c r="AP259" s="182">
        <f t="shared" si="178"/>
        <v>4</v>
      </c>
      <c r="AQ259" s="182">
        <v>1.5</v>
      </c>
      <c r="AR259" s="187" t="e">
        <f t="shared" si="186"/>
        <v>#REF!</v>
      </c>
      <c r="AS259" s="187" t="e">
        <f t="shared" si="187"/>
        <v>#REF!</v>
      </c>
      <c r="AT259" s="187" t="e">
        <f t="shared" si="188"/>
        <v>#REF!</v>
      </c>
      <c r="AU259" s="187" t="e">
        <f t="shared" si="189"/>
        <v>#REF!</v>
      </c>
      <c r="AV259" s="187" t="e">
        <f t="shared" si="179"/>
        <v>#REF!</v>
      </c>
      <c r="AW259" s="187" t="e">
        <f t="shared" si="190"/>
        <v>#REF!</v>
      </c>
      <c r="AX259" s="187">
        <f t="shared" si="191"/>
        <v>6</v>
      </c>
      <c r="AY259" s="190"/>
      <c r="AZ259" s="240"/>
      <c r="BA259" s="232"/>
      <c r="BF259" s="206"/>
      <c r="BG259" s="206"/>
      <c r="BK259" s="126"/>
      <c r="BL259" s="126"/>
      <c r="BN259" s="126"/>
      <c r="BO259" s="126"/>
      <c r="BQ259" s="126"/>
      <c r="BR259" s="126"/>
      <c r="BT259" s="126"/>
      <c r="BU259" s="126"/>
      <c r="BW259" s="126"/>
      <c r="BX259" s="126"/>
      <c r="BZ259" s="126"/>
      <c r="CA259" s="126"/>
      <c r="CC259" s="126"/>
      <c r="CD259" s="126"/>
      <c r="CF259" s="126"/>
      <c r="CG259" s="126"/>
    </row>
    <row r="260" spans="1:85" s="197" customFormat="1" x14ac:dyDescent="0.3">
      <c r="A260" s="182" t="s">
        <v>227</v>
      </c>
      <c r="B260" s="183">
        <v>1</v>
      </c>
      <c r="C260" s="184" t="s">
        <v>288</v>
      </c>
      <c r="D260" s="187">
        <v>2.74</v>
      </c>
      <c r="E260" s="187">
        <v>3.05</v>
      </c>
      <c r="F260" s="186">
        <v>0.125</v>
      </c>
      <c r="G260" s="187">
        <f t="shared" si="180"/>
        <v>1.0446249999999999</v>
      </c>
      <c r="H260" s="188">
        <f t="shared" si="209"/>
        <v>8.3569999999999993</v>
      </c>
      <c r="I260" s="183" t="e">
        <f>GETPIVOTDATA(#REF!,A260)</f>
        <v>#REF!</v>
      </c>
      <c r="J260" s="188" t="e">
        <f>GETPIVOTDATA(#REF!,A260)*2</f>
        <v>#REF!</v>
      </c>
      <c r="K260" s="183" t="e">
        <f>(ROUND(E260/J260,0)+1)*GETPIVOTDATA(#REF!,A260)</f>
        <v>#REF!</v>
      </c>
      <c r="L260" s="189" t="e">
        <f>GETPIVOTDATA(#REF!,A260)</f>
        <v>#REF!</v>
      </c>
      <c r="M260" s="189">
        <f>0.23*2</f>
        <v>0.46</v>
      </c>
      <c r="N260" s="189">
        <f t="shared" si="181"/>
        <v>-0.04</v>
      </c>
      <c r="O260" s="189">
        <f>2.7*0.3</f>
        <v>0.81</v>
      </c>
      <c r="P260" s="188" t="e">
        <f t="shared" si="195"/>
        <v>#REF!</v>
      </c>
      <c r="Q260" s="183" t="e">
        <f>GETPIVOTDATA(#REF!,A260)</f>
        <v>#REF!</v>
      </c>
      <c r="R260" s="188" t="e">
        <f>GETPIVOTDATA(#REF!,A260)*2</f>
        <v>#REF!</v>
      </c>
      <c r="S260" s="183" t="e">
        <f>(ROUND(E260/R260,0))*GETPIVOTDATA(#REF!,A260)</f>
        <v>#REF!</v>
      </c>
      <c r="T260" s="189" t="e">
        <f>GETPIVOTDATA(#REF!,A260)</f>
        <v>#REF!</v>
      </c>
      <c r="U260" s="189">
        <f>0.23*2</f>
        <v>0.46</v>
      </c>
      <c r="V260" s="189">
        <f t="shared" si="182"/>
        <v>-0.04</v>
      </c>
      <c r="W260" s="189">
        <f>2.29*0.3</f>
        <v>0.68699999999999994</v>
      </c>
      <c r="X260" s="188" t="e">
        <f t="shared" si="208"/>
        <v>#REF!</v>
      </c>
      <c r="Y260" s="183" t="e">
        <f>GETPIVOTDATA(#REF!,A260)</f>
        <v>#REF!</v>
      </c>
      <c r="Z260" s="188" t="e">
        <f>GETPIVOTDATA(#REF!,A260)*2</f>
        <v>#REF!</v>
      </c>
      <c r="AA260" s="183" t="e">
        <f>(ROUND(D260/Z260,0)+1)*GETPIVOTDATA(#REF!,A260)</f>
        <v>#REF!</v>
      </c>
      <c r="AB260" s="189" t="e">
        <f>GETPIVOTDATA(#REF!,A260)</f>
        <v>#REF!</v>
      </c>
      <c r="AC260" s="189">
        <v>0.23</v>
      </c>
      <c r="AD260" s="189">
        <f t="shared" si="183"/>
        <v>-0.04</v>
      </c>
      <c r="AE260" s="189">
        <f>2.43*0.3</f>
        <v>0.72899999999999998</v>
      </c>
      <c r="AF260" s="188" t="e">
        <f t="shared" si="184"/>
        <v>#REF!</v>
      </c>
      <c r="AG260" s="183" t="e">
        <f>GETPIVOTDATA(#REF!,A260)</f>
        <v>#REF!</v>
      </c>
      <c r="AH260" s="182" t="e">
        <f>GETPIVOTDATA(#REF!,A260)*2</f>
        <v>#REF!</v>
      </c>
      <c r="AI260" s="183" t="e">
        <f>(ROUND(D260/AH260,0))*GETPIVOTDATA(#REF!,A260)</f>
        <v>#REF!</v>
      </c>
      <c r="AJ260" s="189" t="e">
        <f>GETPIVOTDATA(#REF!,A260)</f>
        <v>#REF!</v>
      </c>
      <c r="AK260" s="189">
        <v>0.23</v>
      </c>
      <c r="AL260" s="189">
        <f t="shared" si="185"/>
        <v>-0.04</v>
      </c>
      <c r="AM260" s="189">
        <v>0</v>
      </c>
      <c r="AN260" s="188" t="e">
        <f t="shared" si="198"/>
        <v>#REF!</v>
      </c>
      <c r="AO260" s="183">
        <v>0</v>
      </c>
      <c r="AP260" s="182">
        <f t="shared" si="178"/>
        <v>8</v>
      </c>
      <c r="AQ260" s="182">
        <v>1.5</v>
      </c>
      <c r="AR260" s="187" t="e">
        <f t="shared" si="186"/>
        <v>#REF!</v>
      </c>
      <c r="AS260" s="187" t="e">
        <f t="shared" si="187"/>
        <v>#REF!</v>
      </c>
      <c r="AT260" s="187" t="e">
        <f t="shared" si="188"/>
        <v>#REF!</v>
      </c>
      <c r="AU260" s="187" t="e">
        <f t="shared" si="189"/>
        <v>#REF!</v>
      </c>
      <c r="AV260" s="187" t="e">
        <f t="shared" si="179"/>
        <v>#REF!</v>
      </c>
      <c r="AW260" s="187" t="e">
        <f t="shared" si="190"/>
        <v>#REF!</v>
      </c>
      <c r="AX260" s="187">
        <f t="shared" si="191"/>
        <v>12</v>
      </c>
      <c r="AY260" s="190"/>
      <c r="AZ260" s="240"/>
      <c r="BA260" s="232"/>
      <c r="BF260" s="206"/>
      <c r="BG260" s="206"/>
      <c r="BK260" s="126"/>
      <c r="BL260" s="126"/>
      <c r="BN260" s="126"/>
      <c r="BO260" s="126"/>
      <c r="BQ260" s="126"/>
      <c r="BR260" s="126"/>
      <c r="BT260" s="126"/>
      <c r="BU260" s="126"/>
      <c r="BW260" s="126"/>
      <c r="BX260" s="126"/>
      <c r="BZ260" s="126"/>
      <c r="CA260" s="126"/>
      <c r="CC260" s="126"/>
      <c r="CD260" s="126"/>
      <c r="CF260" s="126"/>
      <c r="CG260" s="126"/>
    </row>
    <row r="261" spans="1:85" s="197" customFormat="1" ht="27.6" x14ac:dyDescent="0.3">
      <c r="A261" s="182" t="s">
        <v>223</v>
      </c>
      <c r="B261" s="183">
        <v>1</v>
      </c>
      <c r="C261" s="184" t="s">
        <v>289</v>
      </c>
      <c r="D261" s="187">
        <v>2.29</v>
      </c>
      <c r="E261" s="187">
        <v>4.1900000000000004</v>
      </c>
      <c r="F261" s="186">
        <v>0.13</v>
      </c>
      <c r="G261" s="187">
        <f t="shared" si="180"/>
        <v>1.247363</v>
      </c>
      <c r="H261" s="188">
        <f t="shared" si="209"/>
        <v>9.5951000000000004</v>
      </c>
      <c r="I261" s="183" t="e">
        <f>GETPIVOTDATA(#REF!,A261)</f>
        <v>#REF!</v>
      </c>
      <c r="J261" s="188" t="e">
        <f>GETPIVOTDATA(#REF!,A261)*2</f>
        <v>#REF!</v>
      </c>
      <c r="K261" s="183" t="e">
        <f>(ROUND(E261/J261,0)+1)*GETPIVOTDATA(#REF!,A261)</f>
        <v>#REF!</v>
      </c>
      <c r="L261" s="189" t="e">
        <f>GETPIVOTDATA(#REF!,A261)</f>
        <v>#REF!</v>
      </c>
      <c r="M261" s="189">
        <f>0.23*2</f>
        <v>0.46</v>
      </c>
      <c r="N261" s="189">
        <f t="shared" si="181"/>
        <v>-0.04</v>
      </c>
      <c r="O261" s="189">
        <f>2.74*0.3</f>
        <v>0.82200000000000006</v>
      </c>
      <c r="P261" s="188" t="e">
        <f t="shared" si="195"/>
        <v>#REF!</v>
      </c>
      <c r="Q261" s="183" t="e">
        <f>GETPIVOTDATA(#REF!,A261)</f>
        <v>#REF!</v>
      </c>
      <c r="R261" s="188" t="e">
        <f>GETPIVOTDATA(#REF!,A261)*2</f>
        <v>#REF!</v>
      </c>
      <c r="S261" s="183" t="e">
        <f>(ROUND(E261/R261,0))*GETPIVOTDATA(#REF!,A261)</f>
        <v>#REF!</v>
      </c>
      <c r="T261" s="189" t="e">
        <f>GETPIVOTDATA(#REF!,A261)</f>
        <v>#REF!</v>
      </c>
      <c r="U261" s="189">
        <f>0.23*2</f>
        <v>0.46</v>
      </c>
      <c r="V261" s="189">
        <f t="shared" si="182"/>
        <v>-0.04</v>
      </c>
      <c r="W261" s="189">
        <f>3.07*0.3</f>
        <v>0.92099999999999993</v>
      </c>
      <c r="X261" s="188" t="e">
        <f t="shared" si="208"/>
        <v>#REF!</v>
      </c>
      <c r="Y261" s="183" t="e">
        <f>GETPIVOTDATA(#REF!,A261)</f>
        <v>#REF!</v>
      </c>
      <c r="Z261" s="188" t="e">
        <f>GETPIVOTDATA(#REF!,A261)*2</f>
        <v>#REF!</v>
      </c>
      <c r="AA261" s="183" t="e">
        <f>(ROUND(D261/Z261,0)+1)*GETPIVOTDATA(#REF!,A261)</f>
        <v>#REF!</v>
      </c>
      <c r="AB261" s="189" t="e">
        <f>GETPIVOTDATA(#REF!,A261)</f>
        <v>#REF!</v>
      </c>
      <c r="AC261" s="189">
        <f>0.3+0.23</f>
        <v>0.53</v>
      </c>
      <c r="AD261" s="189">
        <f t="shared" si="183"/>
        <v>-0.04</v>
      </c>
      <c r="AE261" s="189">
        <f>3.93*0.3</f>
        <v>1.179</v>
      </c>
      <c r="AF261" s="188" t="e">
        <f t="shared" si="184"/>
        <v>#REF!</v>
      </c>
      <c r="AG261" s="183" t="e">
        <f>GETPIVOTDATA(#REF!,A261)</f>
        <v>#REF!</v>
      </c>
      <c r="AH261" s="182" t="e">
        <f>GETPIVOTDATA(#REF!,A261)*2</f>
        <v>#REF!</v>
      </c>
      <c r="AI261" s="183" t="e">
        <f>(ROUND(D261/AH261,0))*GETPIVOTDATA(#REF!,A261)</f>
        <v>#REF!</v>
      </c>
      <c r="AJ261" s="189" t="e">
        <f>GETPIVOTDATA(#REF!,A261)</f>
        <v>#REF!</v>
      </c>
      <c r="AK261" s="189">
        <f>0.3+0.23</f>
        <v>0.53</v>
      </c>
      <c r="AL261" s="189">
        <f t="shared" si="185"/>
        <v>-0.04</v>
      </c>
      <c r="AM261" s="189">
        <f>1.29*0.3</f>
        <v>0.38700000000000001</v>
      </c>
      <c r="AN261" s="188" t="e">
        <f t="shared" si="198"/>
        <v>#REF!</v>
      </c>
      <c r="AO261" s="183">
        <v>0</v>
      </c>
      <c r="AP261" s="182">
        <f t="shared" si="178"/>
        <v>10</v>
      </c>
      <c r="AQ261" s="182">
        <v>1.5</v>
      </c>
      <c r="AR261" s="187" t="e">
        <f t="shared" si="186"/>
        <v>#REF!</v>
      </c>
      <c r="AS261" s="187" t="e">
        <f t="shared" si="187"/>
        <v>#REF!</v>
      </c>
      <c r="AT261" s="187" t="e">
        <f t="shared" si="188"/>
        <v>#REF!</v>
      </c>
      <c r="AU261" s="187" t="e">
        <f t="shared" si="189"/>
        <v>#REF!</v>
      </c>
      <c r="AV261" s="187" t="e">
        <f t="shared" si="179"/>
        <v>#REF!</v>
      </c>
      <c r="AW261" s="187" t="e">
        <f t="shared" si="190"/>
        <v>#REF!</v>
      </c>
      <c r="AX261" s="187">
        <f t="shared" si="191"/>
        <v>15</v>
      </c>
      <c r="AY261" s="190"/>
      <c r="AZ261" s="240"/>
      <c r="BA261" s="232"/>
      <c r="BF261" s="206"/>
      <c r="BG261" s="206"/>
      <c r="BK261" s="126"/>
      <c r="BL261" s="126"/>
      <c r="BN261" s="126"/>
      <c r="BO261" s="126"/>
      <c r="BQ261" s="126"/>
      <c r="BR261" s="126"/>
      <c r="BT261" s="126"/>
      <c r="BU261" s="126"/>
      <c r="BW261" s="126"/>
      <c r="BX261" s="126"/>
      <c r="BZ261" s="126"/>
      <c r="CA261" s="126"/>
      <c r="CC261" s="126"/>
      <c r="CD261" s="126"/>
      <c r="CF261" s="126"/>
      <c r="CG261" s="126"/>
    </row>
    <row r="262" spans="1:85" s="197" customFormat="1" x14ac:dyDescent="0.3">
      <c r="A262" s="182" t="s">
        <v>229</v>
      </c>
      <c r="B262" s="183">
        <v>1</v>
      </c>
      <c r="C262" s="184" t="s">
        <v>290</v>
      </c>
      <c r="D262" s="187">
        <v>1.9</v>
      </c>
      <c r="E262" s="187">
        <v>1.07</v>
      </c>
      <c r="F262" s="186">
        <v>0.13</v>
      </c>
      <c r="G262" s="187">
        <f t="shared" si="180"/>
        <v>0.26429000000000002</v>
      </c>
      <c r="H262" s="188">
        <f t="shared" si="209"/>
        <v>2.0329999999999999</v>
      </c>
      <c r="I262" s="183" t="e">
        <f>GETPIVOTDATA(#REF!,A262)</f>
        <v>#REF!</v>
      </c>
      <c r="J262" s="188" t="e">
        <f>GETPIVOTDATA(#REF!,A262)*2</f>
        <v>#REF!</v>
      </c>
      <c r="K262" s="183" t="e">
        <f>(ROUND(E262/J262,0)+1)*GETPIVOTDATA(#REF!,A262)</f>
        <v>#REF!</v>
      </c>
      <c r="L262" s="189" t="e">
        <f>GETPIVOTDATA(#REF!,A262)</f>
        <v>#REF!</v>
      </c>
      <c r="M262" s="189">
        <f>0.23*2</f>
        <v>0.46</v>
      </c>
      <c r="N262" s="189">
        <f t="shared" si="181"/>
        <v>-0.04</v>
      </c>
      <c r="O262" s="189">
        <f>2.29*0.3</f>
        <v>0.68699999999999994</v>
      </c>
      <c r="P262" s="188" t="e">
        <f t="shared" si="195"/>
        <v>#REF!</v>
      </c>
      <c r="Q262" s="183" t="e">
        <f>GETPIVOTDATA(#REF!,A262)</f>
        <v>#REF!</v>
      </c>
      <c r="R262" s="188" t="e">
        <f>GETPIVOTDATA(#REF!,A262)*2</f>
        <v>#REF!</v>
      </c>
      <c r="S262" s="183" t="e">
        <f>(ROUND(E262/R262,0))*GETPIVOTDATA(#REF!,A262)</f>
        <v>#REF!</v>
      </c>
      <c r="T262" s="189" t="e">
        <f>GETPIVOTDATA(#REF!,A262)</f>
        <v>#REF!</v>
      </c>
      <c r="U262" s="189">
        <f>0.23*2</f>
        <v>0.46</v>
      </c>
      <c r="V262" s="189">
        <f t="shared" si="182"/>
        <v>-0.04</v>
      </c>
      <c r="W262" s="189">
        <f>2.74*0.3</f>
        <v>0.82200000000000006</v>
      </c>
      <c r="X262" s="188" t="e">
        <f t="shared" si="208"/>
        <v>#REF!</v>
      </c>
      <c r="Y262" s="183" t="e">
        <f>GETPIVOTDATA(#REF!,A262)</f>
        <v>#REF!</v>
      </c>
      <c r="Z262" s="188" t="e">
        <f>GETPIVOTDATA(#REF!,A262)*2</f>
        <v>#REF!</v>
      </c>
      <c r="AA262" s="183" t="e">
        <f>(ROUND(D262/Z262,0)+1)*GETPIVOTDATA(#REF!,A262)</f>
        <v>#REF!</v>
      </c>
      <c r="AB262" s="189" t="e">
        <f>GETPIVOTDATA(#REF!,A262)</f>
        <v>#REF!</v>
      </c>
      <c r="AC262" s="189">
        <v>0.3</v>
      </c>
      <c r="AD262" s="189">
        <f t="shared" si="183"/>
        <v>-0.04</v>
      </c>
      <c r="AE262" s="189">
        <v>0</v>
      </c>
      <c r="AF262" s="188" t="e">
        <f t="shared" si="184"/>
        <v>#REF!</v>
      </c>
      <c r="AG262" s="183" t="e">
        <f>GETPIVOTDATA(#REF!,A262)</f>
        <v>#REF!</v>
      </c>
      <c r="AH262" s="182" t="e">
        <f>GETPIVOTDATA(#REF!,A262)*2</f>
        <v>#REF!</v>
      </c>
      <c r="AI262" s="183" t="e">
        <f>(ROUND(D262/AH262,0))*GETPIVOTDATA(#REF!,A262)</f>
        <v>#REF!</v>
      </c>
      <c r="AJ262" s="189" t="e">
        <f>GETPIVOTDATA(#REF!,A262)</f>
        <v>#REF!</v>
      </c>
      <c r="AK262" s="189">
        <v>0.3</v>
      </c>
      <c r="AL262" s="189">
        <f t="shared" si="185"/>
        <v>-0.04</v>
      </c>
      <c r="AM262" s="189">
        <f>1.29*0.3</f>
        <v>0.38700000000000001</v>
      </c>
      <c r="AN262" s="188" t="e">
        <f t="shared" si="198"/>
        <v>#REF!</v>
      </c>
      <c r="AO262" s="183">
        <v>0</v>
      </c>
      <c r="AP262" s="182">
        <f t="shared" si="178"/>
        <v>4</v>
      </c>
      <c r="AQ262" s="182">
        <v>1.5</v>
      </c>
      <c r="AR262" s="187" t="e">
        <f t="shared" si="186"/>
        <v>#REF!</v>
      </c>
      <c r="AS262" s="187" t="e">
        <f t="shared" si="187"/>
        <v>#REF!</v>
      </c>
      <c r="AT262" s="187" t="e">
        <f t="shared" si="188"/>
        <v>#REF!</v>
      </c>
      <c r="AU262" s="187" t="e">
        <f t="shared" si="189"/>
        <v>#REF!</v>
      </c>
      <c r="AV262" s="187" t="e">
        <f t="shared" si="179"/>
        <v>#REF!</v>
      </c>
      <c r="AW262" s="187" t="e">
        <f t="shared" si="190"/>
        <v>#REF!</v>
      </c>
      <c r="AX262" s="187">
        <f t="shared" si="191"/>
        <v>6</v>
      </c>
      <c r="AY262" s="190"/>
      <c r="AZ262" s="240"/>
      <c r="BA262" s="232"/>
      <c r="BF262" s="206"/>
      <c r="BG262" s="206"/>
      <c r="BK262" s="126"/>
      <c r="BL262" s="126"/>
      <c r="BN262" s="126"/>
      <c r="BO262" s="126"/>
      <c r="BQ262" s="126"/>
      <c r="BR262" s="126"/>
      <c r="BT262" s="126"/>
      <c r="BU262" s="126"/>
      <c r="BW262" s="126"/>
      <c r="BX262" s="126"/>
      <c r="BZ262" s="126"/>
      <c r="CA262" s="126"/>
      <c r="CC262" s="126"/>
      <c r="CD262" s="126"/>
      <c r="CF262" s="126"/>
      <c r="CG262" s="126"/>
    </row>
    <row r="263" spans="1:85" s="197" customFormat="1" x14ac:dyDescent="0.3">
      <c r="A263" s="182" t="s">
        <v>229</v>
      </c>
      <c r="B263" s="183">
        <v>1</v>
      </c>
      <c r="C263" s="184" t="s">
        <v>290</v>
      </c>
      <c r="D263" s="187">
        <v>3.07</v>
      </c>
      <c r="E263" s="187">
        <v>3.05</v>
      </c>
      <c r="F263" s="186">
        <v>0.13</v>
      </c>
      <c r="G263" s="187">
        <f t="shared" si="180"/>
        <v>1.2172549999999998</v>
      </c>
      <c r="H263" s="188">
        <f t="shared" si="209"/>
        <v>9.3634999999999984</v>
      </c>
      <c r="I263" s="183" t="e">
        <f>GETPIVOTDATA(#REF!,A263)</f>
        <v>#REF!</v>
      </c>
      <c r="J263" s="188" t="e">
        <f>GETPIVOTDATA(#REF!,A263)*2</f>
        <v>#REF!</v>
      </c>
      <c r="K263" s="183" t="e">
        <f>(ROUND(E263/J263,0)+1)*GETPIVOTDATA(#REF!,A263)</f>
        <v>#REF!</v>
      </c>
      <c r="L263" s="189" t="e">
        <f>GETPIVOTDATA(#REF!,A263)</f>
        <v>#REF!</v>
      </c>
      <c r="M263" s="189">
        <f>0.23*2</f>
        <v>0.46</v>
      </c>
      <c r="N263" s="189">
        <f t="shared" si="181"/>
        <v>-0.04</v>
      </c>
      <c r="O263" s="189">
        <f>2.29*0.3</f>
        <v>0.68699999999999994</v>
      </c>
      <c r="P263" s="188" t="e">
        <f t="shared" si="195"/>
        <v>#REF!</v>
      </c>
      <c r="Q263" s="183" t="e">
        <f>GETPIVOTDATA(#REF!,A263)</f>
        <v>#REF!</v>
      </c>
      <c r="R263" s="188" t="e">
        <f>GETPIVOTDATA(#REF!,A263)*2</f>
        <v>#REF!</v>
      </c>
      <c r="S263" s="183" t="e">
        <f>(ROUND(E263/R263,0))*GETPIVOTDATA(#REF!,A263)</f>
        <v>#REF!</v>
      </c>
      <c r="T263" s="189" t="e">
        <f>GETPIVOTDATA(#REF!,A263)</f>
        <v>#REF!</v>
      </c>
      <c r="U263" s="189">
        <f>0.23*2</f>
        <v>0.46</v>
      </c>
      <c r="V263" s="189">
        <f t="shared" si="182"/>
        <v>-0.04</v>
      </c>
      <c r="W263" s="189">
        <f>2.05*0.3</f>
        <v>0.61499999999999988</v>
      </c>
      <c r="X263" s="188" t="e">
        <f t="shared" si="208"/>
        <v>#REF!</v>
      </c>
      <c r="Y263" s="183" t="e">
        <f>GETPIVOTDATA(#REF!,A263)</f>
        <v>#REF!</v>
      </c>
      <c r="Z263" s="188" t="e">
        <f>GETPIVOTDATA(#REF!,A263)*2</f>
        <v>#REF!</v>
      </c>
      <c r="AA263" s="183" t="e">
        <f>(ROUND(D263/Z263,0)+1)*GETPIVOTDATA(#REF!,A263)</f>
        <v>#REF!</v>
      </c>
      <c r="AB263" s="189" t="e">
        <f>GETPIVOTDATA(#REF!,A263)</f>
        <v>#REF!</v>
      </c>
      <c r="AC263" s="189">
        <v>0.3</v>
      </c>
      <c r="AD263" s="189">
        <f t="shared" si="183"/>
        <v>-0.04</v>
      </c>
      <c r="AE263" s="189">
        <f>3.93*0.3</f>
        <v>1.179</v>
      </c>
      <c r="AF263" s="188" t="e">
        <f t="shared" si="184"/>
        <v>#REF!</v>
      </c>
      <c r="AG263" s="183" t="e">
        <f>GETPIVOTDATA(#REF!,A263)</f>
        <v>#REF!</v>
      </c>
      <c r="AH263" s="182" t="e">
        <f>GETPIVOTDATA(#REF!,A263)*2</f>
        <v>#REF!</v>
      </c>
      <c r="AI263" s="183" t="e">
        <f>(ROUND(D263/AH263,0))*GETPIVOTDATA(#REF!,A263)</f>
        <v>#REF!</v>
      </c>
      <c r="AJ263" s="189" t="e">
        <f>GETPIVOTDATA(#REF!,A263)</f>
        <v>#REF!</v>
      </c>
      <c r="AK263" s="189">
        <v>0.3</v>
      </c>
      <c r="AL263" s="189">
        <f t="shared" si="185"/>
        <v>-0.04</v>
      </c>
      <c r="AM263" s="189">
        <v>0</v>
      </c>
      <c r="AN263" s="188" t="e">
        <f t="shared" si="198"/>
        <v>#REF!</v>
      </c>
      <c r="AO263" s="183">
        <v>0</v>
      </c>
      <c r="AP263" s="182">
        <f t="shared" si="178"/>
        <v>8</v>
      </c>
      <c r="AQ263" s="182">
        <v>1.5</v>
      </c>
      <c r="AR263" s="187" t="e">
        <f t="shared" si="186"/>
        <v>#REF!</v>
      </c>
      <c r="AS263" s="187" t="e">
        <f t="shared" si="187"/>
        <v>#REF!</v>
      </c>
      <c r="AT263" s="187" t="e">
        <f t="shared" si="188"/>
        <v>#REF!</v>
      </c>
      <c r="AU263" s="187" t="e">
        <f t="shared" si="189"/>
        <v>#REF!</v>
      </c>
      <c r="AV263" s="187" t="e">
        <f t="shared" si="179"/>
        <v>#REF!</v>
      </c>
      <c r="AW263" s="187" t="e">
        <f t="shared" si="190"/>
        <v>#REF!</v>
      </c>
      <c r="AX263" s="187">
        <f t="shared" si="191"/>
        <v>12</v>
      </c>
      <c r="AY263" s="190"/>
      <c r="AZ263" s="240"/>
      <c r="BA263" s="232"/>
      <c r="BF263" s="206"/>
      <c r="BG263" s="206"/>
      <c r="BK263" s="126"/>
      <c r="BL263" s="126"/>
      <c r="BN263" s="126"/>
      <c r="BO263" s="126"/>
      <c r="BQ263" s="126"/>
      <c r="BR263" s="126"/>
      <c r="BT263" s="126"/>
      <c r="BU263" s="126"/>
      <c r="BW263" s="126"/>
      <c r="BX263" s="126"/>
      <c r="BZ263" s="126"/>
      <c r="CA263" s="126"/>
      <c r="CC263" s="126"/>
      <c r="CD263" s="126"/>
      <c r="CF263" s="126"/>
      <c r="CG263" s="126"/>
    </row>
    <row r="264" spans="1:85" s="197" customFormat="1" ht="27.6" x14ac:dyDescent="0.3">
      <c r="A264" s="182" t="s">
        <v>229</v>
      </c>
      <c r="B264" s="183">
        <v>1</v>
      </c>
      <c r="C264" s="184" t="s">
        <v>291</v>
      </c>
      <c r="D264" s="187">
        <v>2.0499999999999998</v>
      </c>
      <c r="E264" s="187">
        <v>3.1</v>
      </c>
      <c r="F264" s="186">
        <v>0.13</v>
      </c>
      <c r="G264" s="187">
        <f t="shared" si="180"/>
        <v>0.82614999999999994</v>
      </c>
      <c r="H264" s="188">
        <f t="shared" si="209"/>
        <v>6.3549999999999995</v>
      </c>
      <c r="I264" s="183" t="e">
        <f>GETPIVOTDATA(#REF!,A264)</f>
        <v>#REF!</v>
      </c>
      <c r="J264" s="188" t="e">
        <f>GETPIVOTDATA(#REF!,A264)*2</f>
        <v>#REF!</v>
      </c>
      <c r="K264" s="183" t="e">
        <f>(ROUND(E264/J264,0)+1)*GETPIVOTDATA(#REF!,A264)</f>
        <v>#REF!</v>
      </c>
      <c r="L264" s="189" t="e">
        <f>GETPIVOTDATA(#REF!,A264)</f>
        <v>#REF!</v>
      </c>
      <c r="M264" s="189">
        <f>0.23+0.3</f>
        <v>0.53</v>
      </c>
      <c r="N264" s="189">
        <f t="shared" si="181"/>
        <v>-0.04</v>
      </c>
      <c r="O264" s="189">
        <f>3.07*0.3</f>
        <v>0.92099999999999993</v>
      </c>
      <c r="P264" s="188" t="e">
        <f t="shared" si="195"/>
        <v>#REF!</v>
      </c>
      <c r="Q264" s="183" t="e">
        <f>GETPIVOTDATA(#REF!,A264)</f>
        <v>#REF!</v>
      </c>
      <c r="R264" s="188" t="e">
        <f>GETPIVOTDATA(#REF!,A264)*2</f>
        <v>#REF!</v>
      </c>
      <c r="S264" s="183" t="e">
        <f>(ROUND(E264/R264,0))*GETPIVOTDATA(#REF!,A264)</f>
        <v>#REF!</v>
      </c>
      <c r="T264" s="189" t="e">
        <f>GETPIVOTDATA(#REF!,A264)</f>
        <v>#REF!</v>
      </c>
      <c r="U264" s="189">
        <f>0.23+0.3</f>
        <v>0.53</v>
      </c>
      <c r="V264" s="189">
        <f t="shared" si="182"/>
        <v>-0.04</v>
      </c>
      <c r="W264" s="189">
        <f>5.29*0.3</f>
        <v>1.587</v>
      </c>
      <c r="X264" s="188" t="e">
        <f t="shared" si="208"/>
        <v>#REF!</v>
      </c>
      <c r="Y264" s="183" t="e">
        <f>GETPIVOTDATA(#REF!,A264)</f>
        <v>#REF!</v>
      </c>
      <c r="Z264" s="188" t="e">
        <f>GETPIVOTDATA(#REF!,A264)*2</f>
        <v>#REF!</v>
      </c>
      <c r="AA264" s="183" t="e">
        <f>(ROUND(D264/Z264,0)+1)*GETPIVOTDATA(#REF!,A264)</f>
        <v>#REF!</v>
      </c>
      <c r="AB264" s="189" t="e">
        <f>GETPIVOTDATA(#REF!,A264)</f>
        <v>#REF!</v>
      </c>
      <c r="AC264" s="189">
        <f t="shared" si="203"/>
        <v>0.6</v>
      </c>
      <c r="AD264" s="189">
        <f t="shared" si="183"/>
        <v>-0.04</v>
      </c>
      <c r="AE264" s="189">
        <f>1.86*0.3</f>
        <v>0.55800000000000005</v>
      </c>
      <c r="AF264" s="188" t="e">
        <f t="shared" si="184"/>
        <v>#REF!</v>
      </c>
      <c r="AG264" s="183" t="e">
        <f>GETPIVOTDATA(#REF!,A264)</f>
        <v>#REF!</v>
      </c>
      <c r="AH264" s="182" t="e">
        <f>GETPIVOTDATA(#REF!,A264)*2</f>
        <v>#REF!</v>
      </c>
      <c r="AI264" s="183" t="e">
        <f>(ROUND(D264/AH264,0))*GETPIVOTDATA(#REF!,A264)</f>
        <v>#REF!</v>
      </c>
      <c r="AJ264" s="189" t="e">
        <f>GETPIVOTDATA(#REF!,A264)</f>
        <v>#REF!</v>
      </c>
      <c r="AK264" s="189">
        <f t="shared" si="204"/>
        <v>0.6</v>
      </c>
      <c r="AL264" s="189">
        <f t="shared" si="185"/>
        <v>-0.04</v>
      </c>
      <c r="AM264" s="189">
        <f>2.52*0.3</f>
        <v>0.75600000000000001</v>
      </c>
      <c r="AN264" s="188" t="e">
        <f t="shared" si="198"/>
        <v>#REF!</v>
      </c>
      <c r="AO264" s="183">
        <v>0</v>
      </c>
      <c r="AP264" s="182">
        <f t="shared" si="178"/>
        <v>6</v>
      </c>
      <c r="AQ264" s="182">
        <v>1.5</v>
      </c>
      <c r="AR264" s="187" t="e">
        <f t="shared" si="186"/>
        <v>#REF!</v>
      </c>
      <c r="AS264" s="187" t="e">
        <f t="shared" si="187"/>
        <v>#REF!</v>
      </c>
      <c r="AT264" s="187" t="e">
        <f t="shared" si="188"/>
        <v>#REF!</v>
      </c>
      <c r="AU264" s="187" t="e">
        <f t="shared" si="189"/>
        <v>#REF!</v>
      </c>
      <c r="AV264" s="187" t="e">
        <f t="shared" si="179"/>
        <v>#REF!</v>
      </c>
      <c r="AW264" s="187" t="e">
        <f t="shared" si="190"/>
        <v>#REF!</v>
      </c>
      <c r="AX264" s="187">
        <f t="shared" si="191"/>
        <v>9</v>
      </c>
      <c r="AY264" s="190"/>
      <c r="AZ264" s="240"/>
      <c r="BA264" s="232"/>
      <c r="BF264" s="206"/>
      <c r="BG264" s="206"/>
      <c r="BK264" s="126"/>
      <c r="BL264" s="126"/>
      <c r="BN264" s="126"/>
      <c r="BO264" s="126"/>
      <c r="BQ264" s="126"/>
      <c r="BR264" s="126"/>
      <c r="BT264" s="126"/>
      <c r="BU264" s="126"/>
      <c r="BW264" s="126"/>
      <c r="BX264" s="126"/>
      <c r="BZ264" s="126"/>
      <c r="CA264" s="126"/>
      <c r="CC264" s="126"/>
      <c r="CD264" s="126"/>
      <c r="CF264" s="126"/>
      <c r="CG264" s="126"/>
    </row>
    <row r="265" spans="1:85" s="197" customFormat="1" ht="27.6" x14ac:dyDescent="0.3">
      <c r="A265" s="182" t="s">
        <v>254</v>
      </c>
      <c r="B265" s="183">
        <v>1</v>
      </c>
      <c r="C265" s="184" t="s">
        <v>292</v>
      </c>
      <c r="D265" s="187">
        <v>5.29</v>
      </c>
      <c r="E265" s="187">
        <v>3.35</v>
      </c>
      <c r="F265" s="186">
        <v>0.15</v>
      </c>
      <c r="G265" s="187">
        <f t="shared" si="180"/>
        <v>2.6582249999999998</v>
      </c>
      <c r="H265" s="188">
        <f t="shared" si="209"/>
        <v>17.721499999999999</v>
      </c>
      <c r="I265" s="183" t="e">
        <f>GETPIVOTDATA(#REF!,A265)</f>
        <v>#REF!</v>
      </c>
      <c r="J265" s="188" t="e">
        <f>GETPIVOTDATA(#REF!,A265)*2</f>
        <v>#REF!</v>
      </c>
      <c r="K265" s="183" t="e">
        <f>(ROUND(E265/J265,0)+1)*GETPIVOTDATA(#REF!,A265)</f>
        <v>#REF!</v>
      </c>
      <c r="L265" s="189" t="e">
        <f>GETPIVOTDATA(#REF!,A265)</f>
        <v>#REF!</v>
      </c>
      <c r="M265" s="189">
        <f t="shared" si="199"/>
        <v>0.6</v>
      </c>
      <c r="N265" s="189">
        <f t="shared" si="181"/>
        <v>-0.04</v>
      </c>
      <c r="O265" s="189">
        <f>2.05*0.3</f>
        <v>0.61499999999999988</v>
      </c>
      <c r="P265" s="188" t="e">
        <f t="shared" si="195"/>
        <v>#REF!</v>
      </c>
      <c r="Q265" s="183" t="e">
        <f>GETPIVOTDATA(#REF!,A265)</f>
        <v>#REF!</v>
      </c>
      <c r="R265" s="188" t="e">
        <f>GETPIVOTDATA(#REF!,A265)*2</f>
        <v>#REF!</v>
      </c>
      <c r="S265" s="183" t="e">
        <f>(ROUND(E265/R265,0))*GETPIVOTDATA(#REF!,A265)</f>
        <v>#REF!</v>
      </c>
      <c r="T265" s="189" t="e">
        <f>GETPIVOTDATA(#REF!,A265)</f>
        <v>#REF!</v>
      </c>
      <c r="U265" s="189">
        <f t="shared" si="200"/>
        <v>0.6</v>
      </c>
      <c r="V265" s="189">
        <f t="shared" si="182"/>
        <v>-0.04</v>
      </c>
      <c r="W265" s="189">
        <f>4.84*0.3</f>
        <v>1.452</v>
      </c>
      <c r="X265" s="188" t="e">
        <f t="shared" si="208"/>
        <v>#REF!</v>
      </c>
      <c r="Y265" s="183" t="e">
        <f>GETPIVOTDATA(#REF!,A265)</f>
        <v>#REF!</v>
      </c>
      <c r="Z265" s="188" t="e">
        <f>GETPIVOTDATA(#REF!,A265)*2</f>
        <v>#REF!</v>
      </c>
      <c r="AA265" s="183" t="e">
        <f>(ROUND(D265/Z265,0)+1)*GETPIVOTDATA(#REF!,A265)</f>
        <v>#REF!</v>
      </c>
      <c r="AB265" s="189" t="e">
        <f>GETPIVOTDATA(#REF!,A265)</f>
        <v>#REF!</v>
      </c>
      <c r="AC265" s="189">
        <f t="shared" si="203"/>
        <v>0.6</v>
      </c>
      <c r="AD265" s="189">
        <f t="shared" si="183"/>
        <v>-0.04</v>
      </c>
      <c r="AE265" s="189">
        <f>2.27*0.3</f>
        <v>0.68099999999999994</v>
      </c>
      <c r="AF265" s="188" t="e">
        <f t="shared" si="184"/>
        <v>#REF!</v>
      </c>
      <c r="AG265" s="183" t="e">
        <f>GETPIVOTDATA(#REF!,A265)</f>
        <v>#REF!</v>
      </c>
      <c r="AH265" s="182" t="e">
        <f>GETPIVOTDATA(#REF!,A265)*2</f>
        <v>#REF!</v>
      </c>
      <c r="AI265" s="183" t="e">
        <f>(ROUND(D265/AH265,0))*GETPIVOTDATA(#REF!,A265)</f>
        <v>#REF!</v>
      </c>
      <c r="AJ265" s="189" t="e">
        <f>GETPIVOTDATA(#REF!,A265)</f>
        <v>#REF!</v>
      </c>
      <c r="AK265" s="189">
        <f t="shared" si="204"/>
        <v>0.6</v>
      </c>
      <c r="AL265" s="189">
        <f t="shared" si="185"/>
        <v>-0.04</v>
      </c>
      <c r="AM265" s="189">
        <f>5.64*0.3</f>
        <v>1.6919999999999999</v>
      </c>
      <c r="AN265" s="188" t="e">
        <f t="shared" si="198"/>
        <v>#REF!</v>
      </c>
      <c r="AO265" s="183">
        <v>0</v>
      </c>
      <c r="AP265" s="182">
        <f t="shared" si="178"/>
        <v>12</v>
      </c>
      <c r="AQ265" s="182">
        <v>1.5</v>
      </c>
      <c r="AR265" s="187" t="e">
        <f t="shared" si="186"/>
        <v>#REF!</v>
      </c>
      <c r="AS265" s="187" t="e">
        <f t="shared" si="187"/>
        <v>#REF!</v>
      </c>
      <c r="AT265" s="187" t="e">
        <f t="shared" si="188"/>
        <v>#REF!</v>
      </c>
      <c r="AU265" s="187" t="e">
        <f t="shared" si="189"/>
        <v>#REF!</v>
      </c>
      <c r="AV265" s="187" t="e">
        <f t="shared" si="179"/>
        <v>#REF!</v>
      </c>
      <c r="AW265" s="187" t="e">
        <f t="shared" si="190"/>
        <v>#REF!</v>
      </c>
      <c r="AX265" s="187">
        <f t="shared" si="191"/>
        <v>18</v>
      </c>
      <c r="AY265" s="190"/>
      <c r="AZ265" s="240"/>
      <c r="BA265" s="232"/>
      <c r="BF265" s="206"/>
      <c r="BG265" s="206"/>
      <c r="BK265" s="126"/>
      <c r="BL265" s="126"/>
      <c r="BN265" s="126"/>
      <c r="BO265" s="126"/>
      <c r="BQ265" s="126"/>
      <c r="BR265" s="126"/>
      <c r="BT265" s="126"/>
      <c r="BU265" s="126"/>
      <c r="BW265" s="126"/>
      <c r="BX265" s="126"/>
      <c r="BZ265" s="126"/>
      <c r="CA265" s="126"/>
      <c r="CC265" s="126"/>
      <c r="CD265" s="126"/>
      <c r="CF265" s="126"/>
      <c r="CG265" s="126"/>
    </row>
    <row r="266" spans="1:85" s="197" customFormat="1" ht="27.6" x14ac:dyDescent="0.3">
      <c r="A266" s="182" t="s">
        <v>254</v>
      </c>
      <c r="B266" s="183">
        <v>1</v>
      </c>
      <c r="C266" s="184" t="s">
        <v>293</v>
      </c>
      <c r="D266" s="187">
        <v>4.84</v>
      </c>
      <c r="E266" s="187">
        <v>3.47</v>
      </c>
      <c r="F266" s="186">
        <v>0.15</v>
      </c>
      <c r="G266" s="187">
        <f t="shared" si="180"/>
        <v>2.5192200000000002</v>
      </c>
      <c r="H266" s="188">
        <f t="shared" si="209"/>
        <v>16.794800000000002</v>
      </c>
      <c r="I266" s="183" t="e">
        <f>GETPIVOTDATA(#REF!,A266)</f>
        <v>#REF!</v>
      </c>
      <c r="J266" s="188" t="e">
        <f>GETPIVOTDATA(#REF!,A266)*2</f>
        <v>#REF!</v>
      </c>
      <c r="K266" s="183" t="e">
        <f>(ROUND(E266/J266,0)+1)*GETPIVOTDATA(#REF!,A266)</f>
        <v>#REF!</v>
      </c>
      <c r="L266" s="189" t="e">
        <f>GETPIVOTDATA(#REF!,A266)</f>
        <v>#REF!</v>
      </c>
      <c r="M266" s="189">
        <f t="shared" si="199"/>
        <v>0.6</v>
      </c>
      <c r="N266" s="189">
        <f t="shared" si="181"/>
        <v>-0.04</v>
      </c>
      <c r="O266" s="189">
        <f>5.29*0.3</f>
        <v>1.587</v>
      </c>
      <c r="P266" s="188" t="e">
        <f t="shared" si="195"/>
        <v>#REF!</v>
      </c>
      <c r="Q266" s="183" t="e">
        <f>GETPIVOTDATA(#REF!,A266)</f>
        <v>#REF!</v>
      </c>
      <c r="R266" s="188" t="e">
        <f>GETPIVOTDATA(#REF!,A266)*2</f>
        <v>#REF!</v>
      </c>
      <c r="S266" s="183" t="e">
        <f>(ROUND(E266/R266,0))*GETPIVOTDATA(#REF!,A266)</f>
        <v>#REF!</v>
      </c>
      <c r="T266" s="189" t="e">
        <f>GETPIVOTDATA(#REF!,A266)</f>
        <v>#REF!</v>
      </c>
      <c r="U266" s="189">
        <f t="shared" si="200"/>
        <v>0.6</v>
      </c>
      <c r="V266" s="189">
        <f t="shared" si="182"/>
        <v>-0.04</v>
      </c>
      <c r="W266" s="189">
        <f>4.84*0.3</f>
        <v>1.452</v>
      </c>
      <c r="X266" s="188" t="e">
        <f t="shared" si="208"/>
        <v>#REF!</v>
      </c>
      <c r="Y266" s="183" t="e">
        <f>GETPIVOTDATA(#REF!,A266)</f>
        <v>#REF!</v>
      </c>
      <c r="Z266" s="188" t="e">
        <f>GETPIVOTDATA(#REF!,A266)*2</f>
        <v>#REF!</v>
      </c>
      <c r="AA266" s="183" t="e">
        <f>(ROUND(D266/Z266,0)+1)*GETPIVOTDATA(#REF!,A266)</f>
        <v>#REF!</v>
      </c>
      <c r="AB266" s="189" t="e">
        <f>GETPIVOTDATA(#REF!,A266)</f>
        <v>#REF!</v>
      </c>
      <c r="AC266" s="189">
        <f t="shared" si="203"/>
        <v>0.6</v>
      </c>
      <c r="AD266" s="189">
        <f t="shared" si="183"/>
        <v>-0.04</v>
      </c>
      <c r="AE266" s="189">
        <f>4.42*0.3</f>
        <v>1.3259999999999998</v>
      </c>
      <c r="AF266" s="188" t="e">
        <f t="shared" si="184"/>
        <v>#REF!</v>
      </c>
      <c r="AG266" s="183" t="e">
        <f>GETPIVOTDATA(#REF!,A266)</f>
        <v>#REF!</v>
      </c>
      <c r="AH266" s="182" t="e">
        <f>GETPIVOTDATA(#REF!,A266)*2</f>
        <v>#REF!</v>
      </c>
      <c r="AI266" s="183" t="e">
        <f>(ROUND(D266/AH266,0))*GETPIVOTDATA(#REF!,A266)</f>
        <v>#REF!</v>
      </c>
      <c r="AJ266" s="189" t="e">
        <f>GETPIVOTDATA(#REF!,A266)</f>
        <v>#REF!</v>
      </c>
      <c r="AK266" s="189">
        <f t="shared" si="204"/>
        <v>0.6</v>
      </c>
      <c r="AL266" s="189">
        <f t="shared" si="185"/>
        <v>-0.04</v>
      </c>
      <c r="AM266" s="189">
        <f>5.615*0.3</f>
        <v>1.6845000000000001</v>
      </c>
      <c r="AN266" s="188" t="e">
        <f t="shared" si="198"/>
        <v>#REF!</v>
      </c>
      <c r="AO266" s="183">
        <v>0</v>
      </c>
      <c r="AP266" s="182">
        <f t="shared" si="178"/>
        <v>10</v>
      </c>
      <c r="AQ266" s="182">
        <v>1.5</v>
      </c>
      <c r="AR266" s="187" t="e">
        <f t="shared" si="186"/>
        <v>#REF!</v>
      </c>
      <c r="AS266" s="187" t="e">
        <f t="shared" si="187"/>
        <v>#REF!</v>
      </c>
      <c r="AT266" s="187" t="e">
        <f t="shared" si="188"/>
        <v>#REF!</v>
      </c>
      <c r="AU266" s="187" t="e">
        <f t="shared" si="189"/>
        <v>#REF!</v>
      </c>
      <c r="AV266" s="187" t="e">
        <f t="shared" si="179"/>
        <v>#REF!</v>
      </c>
      <c r="AW266" s="187" t="e">
        <f t="shared" si="190"/>
        <v>#REF!</v>
      </c>
      <c r="AX266" s="187">
        <f t="shared" si="191"/>
        <v>15</v>
      </c>
      <c r="AY266" s="190"/>
      <c r="AZ266" s="240"/>
      <c r="BA266" s="232"/>
      <c r="BF266" s="206"/>
      <c r="BG266" s="206"/>
      <c r="BK266" s="126"/>
      <c r="BL266" s="126"/>
      <c r="BN266" s="126"/>
      <c r="BO266" s="126"/>
      <c r="BQ266" s="126"/>
      <c r="BR266" s="126"/>
      <c r="BT266" s="126"/>
      <c r="BU266" s="126"/>
      <c r="BW266" s="126"/>
      <c r="BX266" s="126"/>
      <c r="BZ266" s="126"/>
      <c r="CA266" s="126"/>
      <c r="CC266" s="126"/>
      <c r="CD266" s="126"/>
      <c r="CF266" s="126"/>
      <c r="CG266" s="126"/>
    </row>
    <row r="267" spans="1:85" s="197" customFormat="1" ht="27.6" x14ac:dyDescent="0.3">
      <c r="A267" s="182" t="s">
        <v>243</v>
      </c>
      <c r="B267" s="183">
        <v>1</v>
      </c>
      <c r="C267" s="184" t="s">
        <v>294</v>
      </c>
      <c r="D267" s="187">
        <v>4.84</v>
      </c>
      <c r="E267" s="187">
        <v>3.75</v>
      </c>
      <c r="F267" s="186">
        <v>0.15</v>
      </c>
      <c r="G267" s="187">
        <f t="shared" si="180"/>
        <v>2.7224999999999997</v>
      </c>
      <c r="H267" s="188">
        <f t="shared" si="209"/>
        <v>18.149999999999999</v>
      </c>
      <c r="I267" s="183" t="e">
        <f>GETPIVOTDATA(#REF!,A267)</f>
        <v>#REF!</v>
      </c>
      <c r="J267" s="188" t="e">
        <f>GETPIVOTDATA(#REF!,A267)*2</f>
        <v>#REF!</v>
      </c>
      <c r="K267" s="183" t="e">
        <f>(ROUND(E267/J267,0)+1)*GETPIVOTDATA(#REF!,A267)</f>
        <v>#REF!</v>
      </c>
      <c r="L267" s="189" t="e">
        <f>GETPIVOTDATA(#REF!,A267)</f>
        <v>#REF!</v>
      </c>
      <c r="M267" s="189">
        <f t="shared" si="199"/>
        <v>0.6</v>
      </c>
      <c r="N267" s="189">
        <f t="shared" si="181"/>
        <v>-0.04</v>
      </c>
      <c r="O267" s="189">
        <f>4.84*0.3</f>
        <v>1.452</v>
      </c>
      <c r="P267" s="188" t="e">
        <f t="shared" si="195"/>
        <v>#REF!</v>
      </c>
      <c r="Q267" s="183" t="e">
        <f>GETPIVOTDATA(#REF!,A267)</f>
        <v>#REF!</v>
      </c>
      <c r="R267" s="188" t="e">
        <f>GETPIVOTDATA(#REF!,A267)*2</f>
        <v>#REF!</v>
      </c>
      <c r="S267" s="183" t="e">
        <f>(ROUND(E267/R267,0))*GETPIVOTDATA(#REF!,A267)</f>
        <v>#REF!</v>
      </c>
      <c r="T267" s="189" t="e">
        <f>GETPIVOTDATA(#REF!,A267)</f>
        <v>#REF!</v>
      </c>
      <c r="U267" s="189">
        <f t="shared" si="200"/>
        <v>0.6</v>
      </c>
      <c r="V267" s="189">
        <f t="shared" si="182"/>
        <v>-0.04</v>
      </c>
      <c r="W267" s="189">
        <f>4.3447*0.3</f>
        <v>1.3034099999999997</v>
      </c>
      <c r="X267" s="188" t="e">
        <f t="shared" si="208"/>
        <v>#REF!</v>
      </c>
      <c r="Y267" s="183" t="e">
        <f>GETPIVOTDATA(#REF!,A267)</f>
        <v>#REF!</v>
      </c>
      <c r="Z267" s="188" t="e">
        <f>GETPIVOTDATA(#REF!,A267)*2</f>
        <v>#REF!</v>
      </c>
      <c r="AA267" s="183" t="e">
        <f>(ROUND(D267/Z267,0)+1)*GETPIVOTDATA(#REF!,A267)</f>
        <v>#REF!</v>
      </c>
      <c r="AB267" s="189" t="e">
        <f>GETPIVOTDATA(#REF!,A267)</f>
        <v>#REF!</v>
      </c>
      <c r="AC267" s="189">
        <f t="shared" si="203"/>
        <v>0.6</v>
      </c>
      <c r="AD267" s="189">
        <f t="shared" si="183"/>
        <v>-0.04</v>
      </c>
      <c r="AE267" s="189">
        <f>5.615*0.3</f>
        <v>1.6845000000000001</v>
      </c>
      <c r="AF267" s="188" t="e">
        <f>+E267+SUM(AB267:AE267)</f>
        <v>#REF!</v>
      </c>
      <c r="AG267" s="183" t="e">
        <f>GETPIVOTDATA(#REF!,A267)</f>
        <v>#REF!</v>
      </c>
      <c r="AH267" s="182" t="e">
        <f>GETPIVOTDATA(#REF!,A267)*2</f>
        <v>#REF!</v>
      </c>
      <c r="AI267" s="183" t="e">
        <f>(ROUND(D267/AH267,0))*GETPIVOTDATA(#REF!,A267)</f>
        <v>#REF!</v>
      </c>
      <c r="AJ267" s="189" t="e">
        <f>GETPIVOTDATA(#REF!,A267)</f>
        <v>#REF!</v>
      </c>
      <c r="AK267" s="189">
        <f t="shared" si="204"/>
        <v>0.6</v>
      </c>
      <c r="AL267" s="189">
        <f t="shared" si="185"/>
        <v>-0.04</v>
      </c>
      <c r="AM267" s="189">
        <f>4.42*0.3</f>
        <v>1.3259999999999998</v>
      </c>
      <c r="AN267" s="188" t="e">
        <f t="shared" si="198"/>
        <v>#REF!</v>
      </c>
      <c r="AO267" s="183">
        <v>0</v>
      </c>
      <c r="AP267" s="182">
        <f t="shared" si="178"/>
        <v>12</v>
      </c>
      <c r="AQ267" s="182">
        <v>1.5</v>
      </c>
      <c r="AR267" s="187" t="e">
        <f t="shared" si="186"/>
        <v>#REF!</v>
      </c>
      <c r="AS267" s="187" t="e">
        <f t="shared" si="187"/>
        <v>#REF!</v>
      </c>
      <c r="AT267" s="187" t="e">
        <f t="shared" si="188"/>
        <v>#REF!</v>
      </c>
      <c r="AU267" s="187" t="e">
        <f t="shared" si="189"/>
        <v>#REF!</v>
      </c>
      <c r="AV267" s="187" t="e">
        <f t="shared" si="179"/>
        <v>#REF!</v>
      </c>
      <c r="AW267" s="187" t="e">
        <f t="shared" si="190"/>
        <v>#REF!</v>
      </c>
      <c r="AX267" s="187">
        <f t="shared" si="191"/>
        <v>18</v>
      </c>
      <c r="AY267" s="190"/>
      <c r="AZ267" s="240"/>
      <c r="BA267" s="232"/>
      <c r="BF267" s="206"/>
      <c r="BG267" s="206"/>
      <c r="BK267" s="126"/>
      <c r="BL267" s="126"/>
      <c r="BN267" s="126"/>
      <c r="BO267" s="126"/>
      <c r="BQ267" s="126"/>
      <c r="BR267" s="126"/>
      <c r="BT267" s="126"/>
      <c r="BU267" s="126"/>
      <c r="BW267" s="126"/>
      <c r="BX267" s="126"/>
      <c r="BZ267" s="126"/>
      <c r="CA267" s="126"/>
      <c r="CC267" s="126"/>
      <c r="CD267" s="126"/>
      <c r="CF267" s="126"/>
      <c r="CG267" s="126"/>
    </row>
    <row r="268" spans="1:85" s="197" customFormat="1" ht="27.6" x14ac:dyDescent="0.3">
      <c r="A268" s="182" t="s">
        <v>254</v>
      </c>
      <c r="B268" s="183">
        <v>1</v>
      </c>
      <c r="C268" s="184" t="s">
        <v>295</v>
      </c>
      <c r="D268" s="187">
        <v>4.3446999999999996</v>
      </c>
      <c r="E268" s="187">
        <v>4.1559999999999997</v>
      </c>
      <c r="F268" s="186">
        <v>0.15</v>
      </c>
      <c r="G268" s="187">
        <f t="shared" si="180"/>
        <v>2.7084859799999994</v>
      </c>
      <c r="H268" s="188">
        <f t="shared" si="209"/>
        <v>18.056573199999995</v>
      </c>
      <c r="I268" s="183" t="e">
        <f>GETPIVOTDATA(#REF!,A268)</f>
        <v>#REF!</v>
      </c>
      <c r="J268" s="188" t="e">
        <f>GETPIVOTDATA(#REF!,A268)*2</f>
        <v>#REF!</v>
      </c>
      <c r="K268" s="183" t="e">
        <f>(ROUND(E268/J268,0)+1)*GETPIVOTDATA(#REF!,A268)</f>
        <v>#REF!</v>
      </c>
      <c r="L268" s="189" t="e">
        <f>GETPIVOTDATA(#REF!,A268)</f>
        <v>#REF!</v>
      </c>
      <c r="M268" s="189">
        <f>0.3+0.74</f>
        <v>1.04</v>
      </c>
      <c r="N268" s="189">
        <f t="shared" si="181"/>
        <v>-0.04</v>
      </c>
      <c r="O268" s="189">
        <f>4.84*0.3</f>
        <v>1.452</v>
      </c>
      <c r="P268" s="188" t="e">
        <f t="shared" si="195"/>
        <v>#REF!</v>
      </c>
      <c r="Q268" s="183" t="e">
        <f>GETPIVOTDATA(#REF!,A268)</f>
        <v>#REF!</v>
      </c>
      <c r="R268" s="188" t="e">
        <f>GETPIVOTDATA(#REF!,A268)*2</f>
        <v>#REF!</v>
      </c>
      <c r="S268" s="183" t="e">
        <f>(ROUND(E268/R268,0))*GETPIVOTDATA(#REF!,A268)</f>
        <v>#REF!</v>
      </c>
      <c r="T268" s="189" t="e">
        <f>GETPIVOTDATA(#REF!,A268)</f>
        <v>#REF!</v>
      </c>
      <c r="U268" s="189">
        <f>0.3+0.74</f>
        <v>1.04</v>
      </c>
      <c r="V268" s="189">
        <f t="shared" si="182"/>
        <v>-0.04</v>
      </c>
      <c r="W268" s="189">
        <f>6.27*0.3</f>
        <v>1.8809999999999998</v>
      </c>
      <c r="X268" s="188" t="e">
        <f t="shared" si="208"/>
        <v>#REF!</v>
      </c>
      <c r="Y268" s="183" t="e">
        <f>GETPIVOTDATA(#REF!,A268)</f>
        <v>#REF!</v>
      </c>
      <c r="Z268" s="188" t="e">
        <f>GETPIVOTDATA(#REF!,A268)*2</f>
        <v>#REF!</v>
      </c>
      <c r="AA268" s="183" t="e">
        <f>(ROUND(D268/Z268,0)+1)*GETPIVOTDATA(#REF!,A268)</f>
        <v>#REF!</v>
      </c>
      <c r="AB268" s="189" t="e">
        <f>GETPIVOTDATA(#REF!,A268)</f>
        <v>#REF!</v>
      </c>
      <c r="AC268" s="189">
        <f>0.3+0.47</f>
        <v>0.77</v>
      </c>
      <c r="AD268" s="189">
        <f t="shared" si="183"/>
        <v>-0.04</v>
      </c>
      <c r="AE268" s="189">
        <f>3.74*0.3</f>
        <v>1.1220000000000001</v>
      </c>
      <c r="AF268" s="188" t="e">
        <f t="shared" ref="AF268:AF285" si="210">+E268+SUM(AB268:AE268)</f>
        <v>#REF!</v>
      </c>
      <c r="AG268" s="183" t="e">
        <f>GETPIVOTDATA(#REF!,A268)</f>
        <v>#REF!</v>
      </c>
      <c r="AH268" s="182" t="e">
        <f>GETPIVOTDATA(#REF!,A268)*2</f>
        <v>#REF!</v>
      </c>
      <c r="AI268" s="183" t="e">
        <f>(ROUND(D268/AH268,0))*GETPIVOTDATA(#REF!,A268)</f>
        <v>#REF!</v>
      </c>
      <c r="AJ268" s="189" t="e">
        <f>GETPIVOTDATA(#REF!,A268)</f>
        <v>#REF!</v>
      </c>
      <c r="AK268" s="189">
        <f>0.3+0.47</f>
        <v>0.77</v>
      </c>
      <c r="AL268" s="189">
        <f t="shared" si="185"/>
        <v>-0.04</v>
      </c>
      <c r="AM268" s="189">
        <f>2.42*0.3</f>
        <v>0.72599999999999998</v>
      </c>
      <c r="AN268" s="188" t="e">
        <f t="shared" si="198"/>
        <v>#REF!</v>
      </c>
      <c r="AO268" s="183">
        <v>0</v>
      </c>
      <c r="AP268" s="182">
        <f t="shared" si="178"/>
        <v>12</v>
      </c>
      <c r="AQ268" s="182">
        <v>1.5</v>
      </c>
      <c r="AR268" s="187" t="e">
        <f t="shared" si="186"/>
        <v>#REF!</v>
      </c>
      <c r="AS268" s="187" t="e">
        <f t="shared" si="187"/>
        <v>#REF!</v>
      </c>
      <c r="AT268" s="187" t="e">
        <f t="shared" si="188"/>
        <v>#REF!</v>
      </c>
      <c r="AU268" s="187" t="e">
        <f t="shared" si="189"/>
        <v>#REF!</v>
      </c>
      <c r="AV268" s="187" t="e">
        <f t="shared" si="179"/>
        <v>#REF!</v>
      </c>
      <c r="AW268" s="187" t="e">
        <f t="shared" si="190"/>
        <v>#REF!</v>
      </c>
      <c r="AX268" s="187">
        <f t="shared" si="191"/>
        <v>18</v>
      </c>
      <c r="AY268" s="190"/>
      <c r="AZ268" s="240"/>
      <c r="BA268" s="232"/>
      <c r="BF268" s="206"/>
      <c r="BG268" s="206"/>
      <c r="BK268" s="126"/>
      <c r="BL268" s="126"/>
      <c r="BN268" s="126"/>
      <c r="BO268" s="126"/>
      <c r="BQ268" s="126"/>
      <c r="BR268" s="126"/>
      <c r="BT268" s="126"/>
      <c r="BU268" s="126"/>
      <c r="BW268" s="126"/>
      <c r="BX268" s="126"/>
      <c r="BZ268" s="126"/>
      <c r="CA268" s="126"/>
      <c r="CC268" s="126"/>
      <c r="CD268" s="126"/>
      <c r="CF268" s="126"/>
      <c r="CG268" s="126"/>
    </row>
    <row r="269" spans="1:85" s="197" customFormat="1" x14ac:dyDescent="0.3">
      <c r="A269" s="182" t="s">
        <v>232</v>
      </c>
      <c r="B269" s="183">
        <v>1</v>
      </c>
      <c r="C269" s="184" t="s">
        <v>296</v>
      </c>
      <c r="D269" s="187">
        <v>2.7</v>
      </c>
      <c r="E269" s="187">
        <v>2.73</v>
      </c>
      <c r="F269" s="186">
        <v>0.13</v>
      </c>
      <c r="G269" s="187">
        <f t="shared" si="180"/>
        <v>0.95823000000000014</v>
      </c>
      <c r="H269" s="188">
        <f t="shared" si="209"/>
        <v>7.3710000000000004</v>
      </c>
      <c r="I269" s="183" t="e">
        <f>GETPIVOTDATA(#REF!,A269)</f>
        <v>#REF!</v>
      </c>
      <c r="J269" s="188" t="e">
        <f>GETPIVOTDATA(#REF!,A269)*2</f>
        <v>#REF!</v>
      </c>
      <c r="K269" s="183" t="e">
        <f>(ROUND(E269/J269,0)+1)*GETPIVOTDATA(#REF!,A269)</f>
        <v>#REF!</v>
      </c>
      <c r="L269" s="189" t="e">
        <f>GETPIVOTDATA(#REF!,A269)</f>
        <v>#REF!</v>
      </c>
      <c r="M269" s="189">
        <f>0.3+0.23</f>
        <v>0.53</v>
      </c>
      <c r="N269" s="189">
        <f t="shared" si="181"/>
        <v>-0.04</v>
      </c>
      <c r="O269" s="189">
        <f>2.595*0.3</f>
        <v>0.77850000000000008</v>
      </c>
      <c r="P269" s="188" t="e">
        <f t="shared" si="195"/>
        <v>#REF!</v>
      </c>
      <c r="Q269" s="183" t="e">
        <f>GETPIVOTDATA(#REF!,A269)</f>
        <v>#REF!</v>
      </c>
      <c r="R269" s="188" t="e">
        <f>GETPIVOTDATA(#REF!,A269)*2</f>
        <v>#REF!</v>
      </c>
      <c r="S269" s="183" t="e">
        <f>(ROUND(E269/R269,0))*GETPIVOTDATA(#REF!,A269)</f>
        <v>#REF!</v>
      </c>
      <c r="T269" s="189" t="e">
        <f>GETPIVOTDATA(#REF!,A269)</f>
        <v>#REF!</v>
      </c>
      <c r="U269" s="189">
        <f>0.3+0.23</f>
        <v>0.53</v>
      </c>
      <c r="V269" s="189">
        <f t="shared" si="182"/>
        <v>-0.04</v>
      </c>
      <c r="W269" s="189">
        <f>2.74*0.3</f>
        <v>0.82200000000000006</v>
      </c>
      <c r="X269" s="188" t="e">
        <f t="shared" si="208"/>
        <v>#REF!</v>
      </c>
      <c r="Y269" s="183" t="e">
        <f>GETPIVOTDATA(#REF!,A269)</f>
        <v>#REF!</v>
      </c>
      <c r="Z269" s="188" t="e">
        <f>GETPIVOTDATA(#REF!,A269)*2</f>
        <v>#REF!</v>
      </c>
      <c r="AA269" s="183" t="e">
        <f>(ROUND(D269/Z269,0)+1)*GETPIVOTDATA(#REF!,A269)</f>
        <v>#REF!</v>
      </c>
      <c r="AB269" s="189" t="e">
        <f>GETPIVOTDATA(#REF!,A269)</f>
        <v>#REF!</v>
      </c>
      <c r="AC269" s="189">
        <f>0.3+0.23</f>
        <v>0.53</v>
      </c>
      <c r="AD269" s="189">
        <f t="shared" si="183"/>
        <v>-0.04</v>
      </c>
      <c r="AE269" s="189">
        <f>3.93*0.3</f>
        <v>1.179</v>
      </c>
      <c r="AF269" s="188" t="e">
        <f t="shared" si="210"/>
        <v>#REF!</v>
      </c>
      <c r="AG269" s="183" t="e">
        <f>GETPIVOTDATA(#REF!,A269)</f>
        <v>#REF!</v>
      </c>
      <c r="AH269" s="182" t="e">
        <f>GETPIVOTDATA(#REF!,A269)*2</f>
        <v>#REF!</v>
      </c>
      <c r="AI269" s="183" t="e">
        <f>(ROUND(D269/AH269,0))*GETPIVOTDATA(#REF!,A269)</f>
        <v>#REF!</v>
      </c>
      <c r="AJ269" s="189" t="e">
        <f>GETPIVOTDATA(#REF!,A269)</f>
        <v>#REF!</v>
      </c>
      <c r="AK269" s="189">
        <f>0.3+0.23</f>
        <v>0.53</v>
      </c>
      <c r="AL269" s="189">
        <f t="shared" si="185"/>
        <v>-0.04</v>
      </c>
      <c r="AM269" s="189">
        <f>3.05*0.3</f>
        <v>0.91499999999999992</v>
      </c>
      <c r="AN269" s="188" t="e">
        <f t="shared" si="198"/>
        <v>#REF!</v>
      </c>
      <c r="AO269" s="183">
        <v>0</v>
      </c>
      <c r="AP269" s="182">
        <f t="shared" si="178"/>
        <v>8</v>
      </c>
      <c r="AQ269" s="182">
        <v>1.5</v>
      </c>
      <c r="AR269" s="187" t="e">
        <f t="shared" si="186"/>
        <v>#REF!</v>
      </c>
      <c r="AS269" s="187" t="e">
        <f t="shared" si="187"/>
        <v>#REF!</v>
      </c>
      <c r="AT269" s="187" t="e">
        <f t="shared" si="188"/>
        <v>#REF!</v>
      </c>
      <c r="AU269" s="187" t="e">
        <f t="shared" si="189"/>
        <v>#REF!</v>
      </c>
      <c r="AV269" s="187" t="e">
        <f t="shared" si="179"/>
        <v>#REF!</v>
      </c>
      <c r="AW269" s="187" t="e">
        <f t="shared" si="190"/>
        <v>#REF!</v>
      </c>
      <c r="AX269" s="187">
        <f t="shared" si="191"/>
        <v>12</v>
      </c>
      <c r="AY269" s="190"/>
      <c r="AZ269" s="240"/>
      <c r="BA269" s="232"/>
      <c r="BF269" s="206"/>
      <c r="BG269" s="206"/>
      <c r="BK269" s="126"/>
      <c r="BL269" s="126"/>
      <c r="BN269" s="126"/>
      <c r="BO269" s="126"/>
      <c r="BQ269" s="126"/>
      <c r="BR269" s="126"/>
      <c r="BT269" s="126"/>
      <c r="BU269" s="126"/>
      <c r="BW269" s="126"/>
      <c r="BX269" s="126"/>
      <c r="BZ269" s="126"/>
      <c r="CA269" s="126"/>
      <c r="CC269" s="126"/>
      <c r="CD269" s="126"/>
      <c r="CF269" s="126"/>
      <c r="CG269" s="126"/>
    </row>
    <row r="270" spans="1:85" s="197" customFormat="1" x14ac:dyDescent="0.3">
      <c r="A270" s="182" t="s">
        <v>239</v>
      </c>
      <c r="B270" s="183">
        <v>1</v>
      </c>
      <c r="C270" s="184" t="s">
        <v>297</v>
      </c>
      <c r="D270" s="187">
        <v>2.74</v>
      </c>
      <c r="E270" s="187">
        <v>2.4300000000000002</v>
      </c>
      <c r="F270" s="186">
        <v>0.125</v>
      </c>
      <c r="G270" s="187">
        <f t="shared" si="180"/>
        <v>0.8322750000000001</v>
      </c>
      <c r="H270" s="188">
        <f t="shared" si="209"/>
        <v>6.6582000000000008</v>
      </c>
      <c r="I270" s="183" t="e">
        <f>GETPIVOTDATA(#REF!,A270)</f>
        <v>#REF!</v>
      </c>
      <c r="J270" s="188" t="e">
        <f>GETPIVOTDATA(#REF!,A270)*2</f>
        <v>#REF!</v>
      </c>
      <c r="K270" s="183" t="e">
        <f>(ROUND(E270/J270,0)+1)*GETPIVOTDATA(#REF!,A270)</f>
        <v>#REF!</v>
      </c>
      <c r="L270" s="189" t="e">
        <f>GETPIVOTDATA(#REF!,A270)</f>
        <v>#REF!</v>
      </c>
      <c r="M270" s="189">
        <f>0.23*2</f>
        <v>0.46</v>
      </c>
      <c r="N270" s="189">
        <f t="shared" si="181"/>
        <v>-0.04</v>
      </c>
      <c r="O270" s="189">
        <f>2.7*0.3</f>
        <v>0.81</v>
      </c>
      <c r="P270" s="188" t="e">
        <f t="shared" si="195"/>
        <v>#REF!</v>
      </c>
      <c r="Q270" s="183" t="e">
        <f>GETPIVOTDATA(#REF!,A270)</f>
        <v>#REF!</v>
      </c>
      <c r="R270" s="188" t="e">
        <f>GETPIVOTDATA(#REF!,A270)*2</f>
        <v>#REF!</v>
      </c>
      <c r="S270" s="183" t="e">
        <f>(ROUND(E270/R270,0))*GETPIVOTDATA(#REF!,A270)</f>
        <v>#REF!</v>
      </c>
      <c r="T270" s="189" t="e">
        <f>GETPIVOTDATA(#REF!,A270)</f>
        <v>#REF!</v>
      </c>
      <c r="U270" s="189">
        <f>0.23*2</f>
        <v>0.46</v>
      </c>
      <c r="V270" s="189">
        <f t="shared" si="182"/>
        <v>-0.04</v>
      </c>
      <c r="W270" s="189">
        <f>2.29*0.3</f>
        <v>0.68699999999999994</v>
      </c>
      <c r="X270" s="188" t="e">
        <f t="shared" si="208"/>
        <v>#REF!</v>
      </c>
      <c r="Y270" s="183" t="e">
        <f>GETPIVOTDATA(#REF!,A270)</f>
        <v>#REF!</v>
      </c>
      <c r="Z270" s="188" t="e">
        <f>GETPIVOTDATA(#REF!,A270)*2</f>
        <v>#REF!</v>
      </c>
      <c r="AA270" s="183" t="e">
        <f>(ROUND(D270/Z270,0)+1)*GETPIVOTDATA(#REF!,A270)</f>
        <v>#REF!</v>
      </c>
      <c r="AB270" s="189" t="e">
        <f>GETPIVOTDATA(#REF!,A270)</f>
        <v>#REF!</v>
      </c>
      <c r="AC270" s="189">
        <f>0.23+0.3</f>
        <v>0.53</v>
      </c>
      <c r="AD270" s="189">
        <f t="shared" si="183"/>
        <v>-0.04</v>
      </c>
      <c r="AE270" s="189">
        <v>0</v>
      </c>
      <c r="AF270" s="188" t="e">
        <f t="shared" si="210"/>
        <v>#REF!</v>
      </c>
      <c r="AG270" s="183" t="e">
        <f>GETPIVOTDATA(#REF!,A270)</f>
        <v>#REF!</v>
      </c>
      <c r="AH270" s="182" t="e">
        <f>GETPIVOTDATA(#REF!,A270)*2</f>
        <v>#REF!</v>
      </c>
      <c r="AI270" s="183" t="e">
        <f>(ROUND(D270/AH270,0))*GETPIVOTDATA(#REF!,A270)</f>
        <v>#REF!</v>
      </c>
      <c r="AJ270" s="189" t="e">
        <f>GETPIVOTDATA(#REF!,A270)</f>
        <v>#REF!</v>
      </c>
      <c r="AK270" s="189">
        <f>0.23+0.3</f>
        <v>0.53</v>
      </c>
      <c r="AL270" s="189">
        <f t="shared" si="185"/>
        <v>-0.04</v>
      </c>
      <c r="AM270" s="189">
        <f>4.19*0.3</f>
        <v>1.2570000000000001</v>
      </c>
      <c r="AN270" s="188" t="e">
        <f t="shared" si="198"/>
        <v>#REF!</v>
      </c>
      <c r="AO270" s="183">
        <v>0</v>
      </c>
      <c r="AP270" s="182">
        <f t="shared" ref="AP270:AP333" si="211">(ROUND(D270/1.5,0)+ROUND(E270/1.5,0))*2</f>
        <v>8</v>
      </c>
      <c r="AQ270" s="182">
        <v>1.5</v>
      </c>
      <c r="AR270" s="187" t="e">
        <f t="shared" si="186"/>
        <v>#REF!</v>
      </c>
      <c r="AS270" s="187" t="e">
        <f t="shared" si="187"/>
        <v>#REF!</v>
      </c>
      <c r="AT270" s="187" t="e">
        <f t="shared" si="188"/>
        <v>#REF!</v>
      </c>
      <c r="AU270" s="187" t="e">
        <f t="shared" si="189"/>
        <v>#REF!</v>
      </c>
      <c r="AV270" s="187" t="e">
        <f t="shared" ref="AV270:AV333" si="212">IF(AG270=10,AI270*AN270*B270,0)+IF(Y270=10,B270*AA270*AF270,0)</f>
        <v>#REF!</v>
      </c>
      <c r="AW270" s="187" t="e">
        <f t="shared" si="190"/>
        <v>#REF!</v>
      </c>
      <c r="AX270" s="187">
        <f t="shared" si="191"/>
        <v>12</v>
      </c>
      <c r="AY270" s="190"/>
      <c r="AZ270" s="240"/>
      <c r="BA270" s="232"/>
      <c r="BF270" s="206"/>
      <c r="BG270" s="206"/>
      <c r="BK270" s="126"/>
      <c r="BL270" s="126"/>
      <c r="BN270" s="126"/>
      <c r="BO270" s="126"/>
      <c r="BQ270" s="126"/>
      <c r="BR270" s="126"/>
      <c r="BT270" s="126"/>
      <c r="BU270" s="126"/>
      <c r="BW270" s="126"/>
      <c r="BX270" s="126"/>
      <c r="BZ270" s="126"/>
      <c r="CA270" s="126"/>
      <c r="CC270" s="126"/>
      <c r="CD270" s="126"/>
      <c r="CF270" s="126"/>
      <c r="CG270" s="126"/>
    </row>
    <row r="271" spans="1:85" s="197" customFormat="1" x14ac:dyDescent="0.3">
      <c r="A271" s="182" t="s">
        <v>223</v>
      </c>
      <c r="B271" s="183">
        <v>1</v>
      </c>
      <c r="C271" s="184" t="s">
        <v>298</v>
      </c>
      <c r="D271" s="187">
        <v>2.29</v>
      </c>
      <c r="E271" s="187">
        <v>3.93</v>
      </c>
      <c r="F271" s="186">
        <v>0.13</v>
      </c>
      <c r="G271" s="187">
        <f t="shared" ref="G271:G334" si="213">D271*E271*F271*B271</f>
        <v>1.169961</v>
      </c>
      <c r="H271" s="188">
        <f t="shared" si="209"/>
        <v>8.9997000000000007</v>
      </c>
      <c r="I271" s="183" t="e">
        <f>GETPIVOTDATA(#REF!,A271)</f>
        <v>#REF!</v>
      </c>
      <c r="J271" s="188" t="e">
        <f>GETPIVOTDATA(#REF!,A271)*2</f>
        <v>#REF!</v>
      </c>
      <c r="K271" s="183" t="e">
        <f>(ROUND(E271/J271,0)+1)*GETPIVOTDATA(#REF!,A271)</f>
        <v>#REF!</v>
      </c>
      <c r="L271" s="189" t="e">
        <f>GETPIVOTDATA(#REF!,A271)</f>
        <v>#REF!</v>
      </c>
      <c r="M271" s="189">
        <f>0.23*2</f>
        <v>0.46</v>
      </c>
      <c r="N271" s="189">
        <f t="shared" ref="N271:N334" si="214">-(0.02*2)</f>
        <v>-0.04</v>
      </c>
      <c r="O271" s="189">
        <f>2.74*0.3</f>
        <v>0.82200000000000006</v>
      </c>
      <c r="P271" s="188" t="e">
        <f t="shared" ref="P271:P283" si="215">+D271+SUM(L271:O271)</f>
        <v>#REF!</v>
      </c>
      <c r="Q271" s="183" t="e">
        <f>GETPIVOTDATA(#REF!,A271)</f>
        <v>#REF!</v>
      </c>
      <c r="R271" s="188" t="e">
        <f>GETPIVOTDATA(#REF!,A271)*2</f>
        <v>#REF!</v>
      </c>
      <c r="S271" s="183" t="e">
        <f>(ROUND(E271/R271,0))*GETPIVOTDATA(#REF!,A271)</f>
        <v>#REF!</v>
      </c>
      <c r="T271" s="189" t="e">
        <f>GETPIVOTDATA(#REF!,A271)</f>
        <v>#REF!</v>
      </c>
      <c r="U271" s="189">
        <f>0.23*2</f>
        <v>0.46</v>
      </c>
      <c r="V271" s="189">
        <f t="shared" ref="V271:V334" si="216">-(0.02*2)</f>
        <v>-0.04</v>
      </c>
      <c r="W271" s="189">
        <f>2.5*0.3</f>
        <v>0.75</v>
      </c>
      <c r="X271" s="188" t="e">
        <f t="shared" si="208"/>
        <v>#REF!</v>
      </c>
      <c r="Y271" s="183" t="e">
        <f>GETPIVOTDATA(#REF!,A271)</f>
        <v>#REF!</v>
      </c>
      <c r="Z271" s="188" t="e">
        <f>GETPIVOTDATA(#REF!,A271)*2</f>
        <v>#REF!</v>
      </c>
      <c r="AA271" s="183" t="e">
        <f>(ROUND(D271/Z271,0)+1)*GETPIVOTDATA(#REF!,A271)</f>
        <v>#REF!</v>
      </c>
      <c r="AB271" s="189" t="e">
        <f>GETPIVOTDATA(#REF!,A271)</f>
        <v>#REF!</v>
      </c>
      <c r="AC271" s="189">
        <f>0.23*2</f>
        <v>0.46</v>
      </c>
      <c r="AD271" s="189">
        <f t="shared" ref="AD271:AD334" si="217">-(0.02*2)</f>
        <v>-0.04</v>
      </c>
      <c r="AE271" s="189">
        <f>2.5*0.3</f>
        <v>0.75</v>
      </c>
      <c r="AF271" s="188" t="e">
        <f t="shared" si="210"/>
        <v>#REF!</v>
      </c>
      <c r="AG271" s="183" t="e">
        <f>GETPIVOTDATA(#REF!,A271)</f>
        <v>#REF!</v>
      </c>
      <c r="AH271" s="182" t="e">
        <f>GETPIVOTDATA(#REF!,A271)*2</f>
        <v>#REF!</v>
      </c>
      <c r="AI271" s="183" t="e">
        <f>(ROUND(D271/AH271,0))*GETPIVOTDATA(#REF!,A271)</f>
        <v>#REF!</v>
      </c>
      <c r="AJ271" s="189" t="e">
        <f>GETPIVOTDATA(#REF!,A271)</f>
        <v>#REF!</v>
      </c>
      <c r="AK271" s="189">
        <f>0.23*2</f>
        <v>0.46</v>
      </c>
      <c r="AL271" s="189">
        <f t="shared" ref="AL271:AL334" si="218">-(0.02*2)</f>
        <v>-0.04</v>
      </c>
      <c r="AM271" s="189">
        <f>4.19*0.3</f>
        <v>1.2570000000000001</v>
      </c>
      <c r="AN271" s="188" t="e">
        <f t="shared" si="198"/>
        <v>#REF!</v>
      </c>
      <c r="AO271" s="183">
        <v>0</v>
      </c>
      <c r="AP271" s="182">
        <f t="shared" si="211"/>
        <v>10</v>
      </c>
      <c r="AQ271" s="182">
        <v>1.5</v>
      </c>
      <c r="AR271" s="187" t="e">
        <f t="shared" ref="AR271:AR334" si="219">IF(I271=8,K271*P271*B271,0)+IF(Q271=8,S271*X271*B271,0)</f>
        <v>#REF!</v>
      </c>
      <c r="AS271" s="187" t="e">
        <f t="shared" ref="AS271:AS334" si="220">IF(I271=10,K271*P271*B271,0)+IF(Q271=10,S271*X271*B271,0)</f>
        <v>#REF!</v>
      </c>
      <c r="AT271" s="187" t="e">
        <f t="shared" ref="AT271:AT334" si="221">IF(I271=12,K271*P271*B271,0)+IF(Q271=12,S271*X271*B271,0)</f>
        <v>#REF!</v>
      </c>
      <c r="AU271" s="187" t="e">
        <f t="shared" ref="AU271:AU334" si="222">IF(AG271=8,AI271*AN271*B271,0)+IF(Y271=8,B271*AA271*AF271,0)</f>
        <v>#REF!</v>
      </c>
      <c r="AV271" s="187" t="e">
        <f t="shared" si="212"/>
        <v>#REF!</v>
      </c>
      <c r="AW271" s="187" t="e">
        <f t="shared" ref="AW271:AW334" si="223">IF(AG271=12,AI271*AN271*B271,0)+IF(Y271=12,B271*AA271*AF271,0)</f>
        <v>#REF!</v>
      </c>
      <c r="AX271" s="187">
        <f t="shared" ref="AX271:AX334" si="224">AP271*AQ271*B271</f>
        <v>15</v>
      </c>
      <c r="AY271" s="190"/>
      <c r="AZ271" s="240"/>
      <c r="BA271" s="232"/>
      <c r="BF271" s="206"/>
      <c r="BG271" s="206"/>
      <c r="BK271" s="126"/>
      <c r="BL271" s="126"/>
      <c r="BN271" s="126"/>
      <c r="BO271" s="126"/>
      <c r="BQ271" s="126"/>
      <c r="BR271" s="126"/>
      <c r="BT271" s="126"/>
      <c r="BU271" s="126"/>
      <c r="BW271" s="126"/>
      <c r="BX271" s="126"/>
      <c r="BZ271" s="126"/>
      <c r="CA271" s="126"/>
      <c r="CC271" s="126"/>
      <c r="CD271" s="126"/>
      <c r="CF271" s="126"/>
      <c r="CG271" s="126"/>
    </row>
    <row r="272" spans="1:85" s="197" customFormat="1" ht="27.6" x14ac:dyDescent="0.3">
      <c r="A272" s="182" t="s">
        <v>223</v>
      </c>
      <c r="B272" s="183">
        <v>1</v>
      </c>
      <c r="C272" s="184" t="s">
        <v>299</v>
      </c>
      <c r="D272" s="187">
        <v>2.5</v>
      </c>
      <c r="E272" s="187">
        <v>3.93</v>
      </c>
      <c r="F272" s="186">
        <v>0.13</v>
      </c>
      <c r="G272" s="187">
        <f t="shared" si="213"/>
        <v>1.2772500000000002</v>
      </c>
      <c r="H272" s="188">
        <f t="shared" si="209"/>
        <v>9.8250000000000011</v>
      </c>
      <c r="I272" s="183" t="e">
        <f>GETPIVOTDATA(#REF!,A272)</f>
        <v>#REF!</v>
      </c>
      <c r="J272" s="188" t="e">
        <f>GETPIVOTDATA(#REF!,A272)*2</f>
        <v>#REF!</v>
      </c>
      <c r="K272" s="183" t="e">
        <f>(ROUND(E272/J272,0)+1)*GETPIVOTDATA(#REF!,A272)</f>
        <v>#REF!</v>
      </c>
      <c r="L272" s="189" t="e">
        <f>GETPIVOTDATA(#REF!,A272)</f>
        <v>#REF!</v>
      </c>
      <c r="M272" s="189">
        <f>0.23*2</f>
        <v>0.46</v>
      </c>
      <c r="N272" s="189">
        <f t="shared" si="214"/>
        <v>-0.04</v>
      </c>
      <c r="O272" s="189">
        <f>2.29*0.3</f>
        <v>0.68699999999999994</v>
      </c>
      <c r="P272" s="188" t="e">
        <f t="shared" si="215"/>
        <v>#REF!</v>
      </c>
      <c r="Q272" s="183" t="e">
        <f>GETPIVOTDATA(#REF!,A272)</f>
        <v>#REF!</v>
      </c>
      <c r="R272" s="188" t="e">
        <f>GETPIVOTDATA(#REF!,A272)*2</f>
        <v>#REF!</v>
      </c>
      <c r="S272" s="183" t="e">
        <f>(ROUND(E272/R272,0))*GETPIVOTDATA(#REF!,A272)</f>
        <v>#REF!</v>
      </c>
      <c r="T272" s="189" t="e">
        <f>GETPIVOTDATA(#REF!,A272)</f>
        <v>#REF!</v>
      </c>
      <c r="U272" s="189">
        <f>0.23*2</f>
        <v>0.46</v>
      </c>
      <c r="V272" s="189">
        <f t="shared" si="216"/>
        <v>-0.04</v>
      </c>
      <c r="W272" s="189">
        <f>4.19*0.3</f>
        <v>1.2570000000000001</v>
      </c>
      <c r="X272" s="188" t="e">
        <f t="shared" si="208"/>
        <v>#REF!</v>
      </c>
      <c r="Y272" s="183" t="e">
        <f>GETPIVOTDATA(#REF!,A272)</f>
        <v>#REF!</v>
      </c>
      <c r="Z272" s="188" t="e">
        <f>GETPIVOTDATA(#REF!,A272)*2</f>
        <v>#REF!</v>
      </c>
      <c r="AA272" s="183" t="e">
        <f>(ROUND(D272/Z272,0)+1)*GETPIVOTDATA(#REF!,A272)</f>
        <v>#REF!</v>
      </c>
      <c r="AB272" s="189" t="e">
        <f>GETPIVOTDATA(#REF!,A272)</f>
        <v>#REF!</v>
      </c>
      <c r="AC272" s="189">
        <f>0.3+0.23</f>
        <v>0.53</v>
      </c>
      <c r="AD272" s="189">
        <f t="shared" si="217"/>
        <v>-0.04</v>
      </c>
      <c r="AE272" s="189">
        <v>0</v>
      </c>
      <c r="AF272" s="188" t="e">
        <f t="shared" si="210"/>
        <v>#REF!</v>
      </c>
      <c r="AG272" s="183" t="e">
        <f>GETPIVOTDATA(#REF!,A272)</f>
        <v>#REF!</v>
      </c>
      <c r="AH272" s="182" t="e">
        <f>GETPIVOTDATA(#REF!,A272)*2</f>
        <v>#REF!</v>
      </c>
      <c r="AI272" s="183" t="e">
        <f>(ROUND(D272/AH272,0))*GETPIVOTDATA(#REF!,A272)</f>
        <v>#REF!</v>
      </c>
      <c r="AJ272" s="189" t="e">
        <f>GETPIVOTDATA(#REF!,A272)</f>
        <v>#REF!</v>
      </c>
      <c r="AK272" s="189">
        <f>0.3+0.23</f>
        <v>0.53</v>
      </c>
      <c r="AL272" s="189">
        <f t="shared" si="218"/>
        <v>-0.04</v>
      </c>
      <c r="AM272" s="189">
        <f>3.05*0.3</f>
        <v>0.91499999999999992</v>
      </c>
      <c r="AN272" s="188" t="e">
        <f t="shared" si="198"/>
        <v>#REF!</v>
      </c>
      <c r="AO272" s="183">
        <v>0</v>
      </c>
      <c r="AP272" s="182">
        <f t="shared" si="211"/>
        <v>10</v>
      </c>
      <c r="AQ272" s="182">
        <v>1.5</v>
      </c>
      <c r="AR272" s="187" t="e">
        <f t="shared" si="219"/>
        <v>#REF!</v>
      </c>
      <c r="AS272" s="187" t="e">
        <f t="shared" si="220"/>
        <v>#REF!</v>
      </c>
      <c r="AT272" s="187" t="e">
        <f t="shared" si="221"/>
        <v>#REF!</v>
      </c>
      <c r="AU272" s="187" t="e">
        <f t="shared" si="222"/>
        <v>#REF!</v>
      </c>
      <c r="AV272" s="187" t="e">
        <f t="shared" si="212"/>
        <v>#REF!</v>
      </c>
      <c r="AW272" s="187" t="e">
        <f t="shared" si="223"/>
        <v>#REF!</v>
      </c>
      <c r="AX272" s="187">
        <f t="shared" si="224"/>
        <v>15</v>
      </c>
      <c r="AY272" s="190"/>
      <c r="AZ272" s="240"/>
      <c r="BA272" s="232"/>
      <c r="BF272" s="206"/>
      <c r="BG272" s="206"/>
      <c r="BK272" s="126"/>
      <c r="BL272" s="126"/>
      <c r="BN272" s="126"/>
      <c r="BO272" s="126"/>
      <c r="BQ272" s="126"/>
      <c r="BR272" s="126"/>
      <c r="BT272" s="126"/>
      <c r="BU272" s="126"/>
      <c r="BW272" s="126"/>
      <c r="BX272" s="126"/>
      <c r="BZ272" s="126"/>
      <c r="CA272" s="126"/>
      <c r="CC272" s="126"/>
      <c r="CD272" s="126"/>
      <c r="CF272" s="126"/>
      <c r="CG272" s="126"/>
    </row>
    <row r="273" spans="1:85" s="197" customFormat="1" ht="27.6" x14ac:dyDescent="0.3">
      <c r="A273" s="182" t="s">
        <v>218</v>
      </c>
      <c r="B273" s="183">
        <v>1</v>
      </c>
      <c r="C273" s="184" t="s">
        <v>300</v>
      </c>
      <c r="D273" s="187">
        <v>4.1900000000000004</v>
      </c>
      <c r="E273" s="187">
        <v>1.86</v>
      </c>
      <c r="F273" s="186">
        <v>0.16500000000000001</v>
      </c>
      <c r="G273" s="187">
        <f t="shared" si="213"/>
        <v>1.2859110000000002</v>
      </c>
      <c r="H273" s="188">
        <f t="shared" si="209"/>
        <v>7.793400000000001</v>
      </c>
      <c r="I273" s="183" t="e">
        <f>GETPIVOTDATA(#REF!,A273)</f>
        <v>#REF!</v>
      </c>
      <c r="J273" s="188" t="e">
        <f>GETPIVOTDATA(#REF!,A273)*2</f>
        <v>#REF!</v>
      </c>
      <c r="K273" s="183" t="e">
        <f>(ROUND(E273/J273,0)+1)*GETPIVOTDATA(#REF!,A273)</f>
        <v>#REF!</v>
      </c>
      <c r="L273" s="189" t="e">
        <f>GETPIVOTDATA(#REF!,A273)</f>
        <v>#REF!</v>
      </c>
      <c r="M273" s="189">
        <f>0.23+0.3</f>
        <v>0.53</v>
      </c>
      <c r="N273" s="189">
        <f t="shared" si="214"/>
        <v>-0.04</v>
      </c>
      <c r="O273" s="189">
        <f>2.5*0.3</f>
        <v>0.75</v>
      </c>
      <c r="P273" s="188" t="e">
        <f t="shared" si="215"/>
        <v>#REF!</v>
      </c>
      <c r="Q273" s="183" t="e">
        <f>GETPIVOTDATA(#REF!,A273)</f>
        <v>#REF!</v>
      </c>
      <c r="R273" s="188" t="e">
        <f>GETPIVOTDATA(#REF!,A273)*2</f>
        <v>#REF!</v>
      </c>
      <c r="S273" s="183" t="e">
        <f>(ROUND(E273/R273,0))*GETPIVOTDATA(#REF!,A273)</f>
        <v>#REF!</v>
      </c>
      <c r="T273" s="189" t="e">
        <f>GETPIVOTDATA(#REF!,A273)</f>
        <v>#REF!</v>
      </c>
      <c r="U273" s="189">
        <f>0.23+0.3</f>
        <v>0.53</v>
      </c>
      <c r="V273" s="189">
        <f t="shared" si="216"/>
        <v>-0.04</v>
      </c>
      <c r="W273" s="189">
        <f>2.75*0.3</f>
        <v>0.82499999999999996</v>
      </c>
      <c r="X273" s="188" t="e">
        <f t="shared" si="208"/>
        <v>#REF!</v>
      </c>
      <c r="Y273" s="183" t="e">
        <f>GETPIVOTDATA(#REF!,A273)</f>
        <v>#REF!</v>
      </c>
      <c r="Z273" s="188" t="e">
        <f>GETPIVOTDATA(#REF!,A273)*2</f>
        <v>#REF!</v>
      </c>
      <c r="AA273" s="183" t="e">
        <f>(ROUND(D273/Z273,0)+1)*GETPIVOTDATA(#REF!,A273)</f>
        <v>#REF!</v>
      </c>
      <c r="AB273" s="189" t="e">
        <f>GETPIVOTDATA(#REF!,A273)</f>
        <v>#REF!</v>
      </c>
      <c r="AC273" s="189">
        <f>0.23+0.3</f>
        <v>0.53</v>
      </c>
      <c r="AD273" s="189">
        <f t="shared" si="217"/>
        <v>-0.04</v>
      </c>
      <c r="AE273" s="189">
        <f>1.83*0.3</f>
        <v>0.54900000000000004</v>
      </c>
      <c r="AF273" s="188" t="e">
        <f t="shared" si="210"/>
        <v>#REF!</v>
      </c>
      <c r="AG273" s="183" t="e">
        <f>GETPIVOTDATA(#REF!,A273)</f>
        <v>#REF!</v>
      </c>
      <c r="AH273" s="182" t="e">
        <f>GETPIVOTDATA(#REF!,A273)*2</f>
        <v>#REF!</v>
      </c>
      <c r="AI273" s="183" t="e">
        <f>(ROUND(D273/AH273,0))*GETPIVOTDATA(#REF!,A273)</f>
        <v>#REF!</v>
      </c>
      <c r="AJ273" s="189" t="e">
        <f>GETPIVOTDATA(#REF!,A273)</f>
        <v>#REF!</v>
      </c>
      <c r="AK273" s="189">
        <f>0.23+0.3</f>
        <v>0.53</v>
      </c>
      <c r="AL273" s="189">
        <f t="shared" si="218"/>
        <v>-0.04</v>
      </c>
      <c r="AM273" s="189">
        <f>3.1*0.3</f>
        <v>0.92999999999999994</v>
      </c>
      <c r="AN273" s="188" t="e">
        <f t="shared" si="198"/>
        <v>#REF!</v>
      </c>
      <c r="AO273" s="183">
        <v>0</v>
      </c>
      <c r="AP273" s="182">
        <f t="shared" si="211"/>
        <v>8</v>
      </c>
      <c r="AQ273" s="182">
        <v>1.5</v>
      </c>
      <c r="AR273" s="187" t="e">
        <f t="shared" si="219"/>
        <v>#REF!</v>
      </c>
      <c r="AS273" s="187" t="e">
        <f t="shared" si="220"/>
        <v>#REF!</v>
      </c>
      <c r="AT273" s="187" t="e">
        <f t="shared" si="221"/>
        <v>#REF!</v>
      </c>
      <c r="AU273" s="187" t="e">
        <f t="shared" si="222"/>
        <v>#REF!</v>
      </c>
      <c r="AV273" s="187" t="e">
        <f t="shared" si="212"/>
        <v>#REF!</v>
      </c>
      <c r="AW273" s="187" t="e">
        <f t="shared" si="223"/>
        <v>#REF!</v>
      </c>
      <c r="AX273" s="187">
        <f t="shared" si="224"/>
        <v>12</v>
      </c>
      <c r="AY273" s="190"/>
      <c r="AZ273" s="240"/>
      <c r="BA273" s="232"/>
      <c r="BF273" s="206"/>
      <c r="BG273" s="206"/>
      <c r="BK273" s="126"/>
      <c r="BL273" s="126"/>
      <c r="BN273" s="126"/>
      <c r="BO273" s="126"/>
      <c r="BQ273" s="126"/>
      <c r="BR273" s="126"/>
      <c r="BT273" s="126"/>
      <c r="BU273" s="126"/>
      <c r="BW273" s="126"/>
      <c r="BX273" s="126"/>
      <c r="BZ273" s="126"/>
      <c r="CA273" s="126"/>
      <c r="CC273" s="126"/>
      <c r="CD273" s="126"/>
      <c r="CF273" s="126"/>
      <c r="CG273" s="126"/>
    </row>
    <row r="274" spans="1:85" s="197" customFormat="1" ht="27.6" x14ac:dyDescent="0.3">
      <c r="A274" s="182" t="s">
        <v>218</v>
      </c>
      <c r="B274" s="183">
        <v>1</v>
      </c>
      <c r="C274" s="184" t="s">
        <v>301</v>
      </c>
      <c r="D274" s="187">
        <v>4.1900000000000004</v>
      </c>
      <c r="E274" s="187">
        <v>1.83</v>
      </c>
      <c r="F274" s="186">
        <v>0.16500000000000001</v>
      </c>
      <c r="G274" s="187">
        <f t="shared" si="213"/>
        <v>1.2651705000000002</v>
      </c>
      <c r="H274" s="188">
        <f t="shared" si="209"/>
        <v>7.6677000000000008</v>
      </c>
      <c r="I274" s="183" t="e">
        <f>GETPIVOTDATA(#REF!,A274)</f>
        <v>#REF!</v>
      </c>
      <c r="J274" s="188" t="e">
        <f>GETPIVOTDATA(#REF!,A274)*2</f>
        <v>#REF!</v>
      </c>
      <c r="K274" s="183" t="e">
        <f>(ROUND(E274/J274,0)+1)*GETPIVOTDATA(#REF!,A274)</f>
        <v>#REF!</v>
      </c>
      <c r="L274" s="189" t="e">
        <f>GETPIVOTDATA(#REF!,A274)</f>
        <v>#REF!</v>
      </c>
      <c r="M274" s="189">
        <f>0.23+0.3</f>
        <v>0.53</v>
      </c>
      <c r="N274" s="189">
        <f t="shared" si="214"/>
        <v>-0.04</v>
      </c>
      <c r="O274" s="189">
        <f>2.5*0.3</f>
        <v>0.75</v>
      </c>
      <c r="P274" s="188" t="e">
        <f t="shared" ref="P274" si="225">+D274+SUM(L274:O274)</f>
        <v>#REF!</v>
      </c>
      <c r="Q274" s="183" t="e">
        <f>GETPIVOTDATA(#REF!,A274)</f>
        <v>#REF!</v>
      </c>
      <c r="R274" s="188" t="e">
        <f>GETPIVOTDATA(#REF!,A274)*2</f>
        <v>#REF!</v>
      </c>
      <c r="S274" s="183" t="e">
        <f>(ROUND(E274/R274,0))*GETPIVOTDATA(#REF!,A274)</f>
        <v>#REF!</v>
      </c>
      <c r="T274" s="189" t="e">
        <f>GETPIVOTDATA(#REF!,A274)</f>
        <v>#REF!</v>
      </c>
      <c r="U274" s="189">
        <f>0.23+0.3</f>
        <v>0.53</v>
      </c>
      <c r="V274" s="189">
        <f t="shared" si="216"/>
        <v>-0.04</v>
      </c>
      <c r="W274" s="189">
        <f>2.75*0.3</f>
        <v>0.82499999999999996</v>
      </c>
      <c r="X274" s="188" t="e">
        <f t="shared" si="208"/>
        <v>#REF!</v>
      </c>
      <c r="Y274" s="183" t="e">
        <f>GETPIVOTDATA(#REF!,A274)</f>
        <v>#REF!</v>
      </c>
      <c r="Z274" s="188" t="e">
        <f>GETPIVOTDATA(#REF!,A274)*2</f>
        <v>#REF!</v>
      </c>
      <c r="AA274" s="183" t="e">
        <f>(ROUND(D274/Z274,0)+1)*GETPIVOTDATA(#REF!,A274)</f>
        <v>#REF!</v>
      </c>
      <c r="AB274" s="189" t="e">
        <f>GETPIVOTDATA(#REF!,A274)</f>
        <v>#REF!</v>
      </c>
      <c r="AC274" s="189">
        <f>0.23*2</f>
        <v>0.46</v>
      </c>
      <c r="AD274" s="189">
        <f t="shared" si="217"/>
        <v>-0.04</v>
      </c>
      <c r="AE274" s="189">
        <f>2.64*0.3</f>
        <v>0.79200000000000004</v>
      </c>
      <c r="AF274" s="188" t="e">
        <f t="shared" si="210"/>
        <v>#REF!</v>
      </c>
      <c r="AG274" s="183" t="e">
        <f>GETPIVOTDATA(#REF!,A274)</f>
        <v>#REF!</v>
      </c>
      <c r="AH274" s="182" t="e">
        <f>GETPIVOTDATA(#REF!,A274)*2</f>
        <v>#REF!</v>
      </c>
      <c r="AI274" s="183" t="e">
        <f>(ROUND(D274/AH274,0))*GETPIVOTDATA(#REF!,A274)</f>
        <v>#REF!</v>
      </c>
      <c r="AJ274" s="189" t="e">
        <f>GETPIVOTDATA(#REF!,A274)</f>
        <v>#REF!</v>
      </c>
      <c r="AK274" s="189">
        <f>0.23*2</f>
        <v>0.46</v>
      </c>
      <c r="AL274" s="189">
        <f t="shared" si="218"/>
        <v>-0.04</v>
      </c>
      <c r="AM274" s="189">
        <f>1.86*0.3</f>
        <v>0.55800000000000005</v>
      </c>
      <c r="AN274" s="188" t="e">
        <f t="shared" si="198"/>
        <v>#REF!</v>
      </c>
      <c r="AO274" s="183">
        <v>0</v>
      </c>
      <c r="AP274" s="182">
        <f t="shared" si="211"/>
        <v>8</v>
      </c>
      <c r="AQ274" s="182">
        <v>1.5</v>
      </c>
      <c r="AR274" s="187" t="e">
        <f t="shared" si="219"/>
        <v>#REF!</v>
      </c>
      <c r="AS274" s="187" t="e">
        <f t="shared" si="220"/>
        <v>#REF!</v>
      </c>
      <c r="AT274" s="187" t="e">
        <f t="shared" si="221"/>
        <v>#REF!</v>
      </c>
      <c r="AU274" s="187" t="e">
        <f t="shared" si="222"/>
        <v>#REF!</v>
      </c>
      <c r="AV274" s="187" t="e">
        <f t="shared" si="212"/>
        <v>#REF!</v>
      </c>
      <c r="AW274" s="187" t="e">
        <f t="shared" si="223"/>
        <v>#REF!</v>
      </c>
      <c r="AX274" s="187">
        <f t="shared" si="224"/>
        <v>12</v>
      </c>
      <c r="AY274" s="190"/>
      <c r="AZ274" s="240"/>
      <c r="BA274" s="232"/>
      <c r="BF274" s="206"/>
      <c r="BG274" s="206"/>
      <c r="BK274" s="126"/>
      <c r="BL274" s="126"/>
      <c r="BN274" s="126"/>
      <c r="BO274" s="126"/>
      <c r="BQ274" s="126"/>
      <c r="BR274" s="126"/>
      <c r="BT274" s="126"/>
      <c r="BU274" s="126"/>
      <c r="BW274" s="126"/>
      <c r="BX274" s="126"/>
      <c r="BZ274" s="126"/>
      <c r="CA274" s="126"/>
      <c r="CC274" s="126"/>
      <c r="CD274" s="126"/>
      <c r="CF274" s="126"/>
      <c r="CG274" s="126"/>
    </row>
    <row r="275" spans="1:85" s="197" customFormat="1" x14ac:dyDescent="0.3">
      <c r="A275" s="182" t="s">
        <v>232</v>
      </c>
      <c r="B275" s="183">
        <v>1</v>
      </c>
      <c r="C275" s="184" t="s">
        <v>302</v>
      </c>
      <c r="D275" s="187">
        <v>2.75</v>
      </c>
      <c r="E275" s="187">
        <v>2.27</v>
      </c>
      <c r="F275" s="186">
        <v>0.13</v>
      </c>
      <c r="G275" s="187">
        <f t="shared" si="213"/>
        <v>0.81152499999999994</v>
      </c>
      <c r="H275" s="188">
        <f t="shared" si="209"/>
        <v>6.2424999999999997</v>
      </c>
      <c r="I275" s="183" t="e">
        <f>GETPIVOTDATA(#REF!,A275)</f>
        <v>#REF!</v>
      </c>
      <c r="J275" s="188" t="e">
        <f>GETPIVOTDATA(#REF!,A275)*2</f>
        <v>#REF!</v>
      </c>
      <c r="K275" s="183" t="e">
        <f>(ROUND(E275/J275,0)+1)*GETPIVOTDATA(#REF!,A275)</f>
        <v>#REF!</v>
      </c>
      <c r="L275" s="189" t="e">
        <f>GETPIVOTDATA(#REF!,A275)</f>
        <v>#REF!</v>
      </c>
      <c r="M275" s="189">
        <f t="shared" si="199"/>
        <v>0.6</v>
      </c>
      <c r="N275" s="189">
        <f t="shared" si="214"/>
        <v>-0.04</v>
      </c>
      <c r="O275" s="189">
        <f>4.19*0.3</f>
        <v>1.2570000000000001</v>
      </c>
      <c r="P275" s="188" t="e">
        <f t="shared" si="215"/>
        <v>#REF!</v>
      </c>
      <c r="Q275" s="183" t="e">
        <f>GETPIVOTDATA(#REF!,A275)</f>
        <v>#REF!</v>
      </c>
      <c r="R275" s="188" t="e">
        <f>GETPIVOTDATA(#REF!,A275)*2</f>
        <v>#REF!</v>
      </c>
      <c r="S275" s="183" t="e">
        <f>(ROUND(E275/R275,0))*GETPIVOTDATA(#REF!,A275)</f>
        <v>#REF!</v>
      </c>
      <c r="T275" s="189" t="e">
        <f>GETPIVOTDATA(#REF!,A275)</f>
        <v>#REF!</v>
      </c>
      <c r="U275" s="189">
        <f t="shared" si="200"/>
        <v>0.6</v>
      </c>
      <c r="V275" s="189">
        <f t="shared" si="216"/>
        <v>-0.04</v>
      </c>
      <c r="W275" s="189">
        <f>1.9*0.3</f>
        <v>0.56999999999999995</v>
      </c>
      <c r="X275" s="188" t="e">
        <f t="shared" si="208"/>
        <v>#REF!</v>
      </c>
      <c r="Y275" s="183" t="e">
        <f>GETPIVOTDATA(#REF!,A275)</f>
        <v>#REF!</v>
      </c>
      <c r="Z275" s="188" t="e">
        <f>GETPIVOTDATA(#REF!,A275)*2</f>
        <v>#REF!</v>
      </c>
      <c r="AA275" s="183" t="e">
        <f>(ROUND(D275/Z275,0)+1)*GETPIVOTDATA(#REF!,A275)</f>
        <v>#REF!</v>
      </c>
      <c r="AB275" s="189" t="e">
        <f>GETPIVOTDATA(#REF!,A275)</f>
        <v>#REF!</v>
      </c>
      <c r="AC275" s="189">
        <f>0.3+0.23</f>
        <v>0.53</v>
      </c>
      <c r="AD275" s="189">
        <f t="shared" si="217"/>
        <v>-0.04</v>
      </c>
      <c r="AE275" s="189">
        <f>2.09*0.3</f>
        <v>0.62699999999999989</v>
      </c>
      <c r="AF275" s="188" t="e">
        <f t="shared" si="210"/>
        <v>#REF!</v>
      </c>
      <c r="AG275" s="183" t="e">
        <f>GETPIVOTDATA(#REF!,A275)</f>
        <v>#REF!</v>
      </c>
      <c r="AH275" s="182" t="e">
        <f>GETPIVOTDATA(#REF!,A275)*2</f>
        <v>#REF!</v>
      </c>
      <c r="AI275" s="183" t="e">
        <f>(ROUND(D275/AH275,0))*GETPIVOTDATA(#REF!,A275)</f>
        <v>#REF!</v>
      </c>
      <c r="AJ275" s="189" t="e">
        <f>GETPIVOTDATA(#REF!,A275)</f>
        <v>#REF!</v>
      </c>
      <c r="AK275" s="189">
        <f>0.3+0.23</f>
        <v>0.53</v>
      </c>
      <c r="AL275" s="189">
        <f t="shared" si="218"/>
        <v>-0.04</v>
      </c>
      <c r="AM275" s="189">
        <f>3.35*0.3</f>
        <v>1.0049999999999999</v>
      </c>
      <c r="AN275" s="188" t="e">
        <f t="shared" ref="AN275:AN285" si="226">+E275+SUM(AJ275:AM275)</f>
        <v>#REF!</v>
      </c>
      <c r="AO275" s="183">
        <v>0</v>
      </c>
      <c r="AP275" s="182">
        <f t="shared" si="211"/>
        <v>8</v>
      </c>
      <c r="AQ275" s="182">
        <v>1.5</v>
      </c>
      <c r="AR275" s="187" t="e">
        <f t="shared" si="219"/>
        <v>#REF!</v>
      </c>
      <c r="AS275" s="187" t="e">
        <f t="shared" si="220"/>
        <v>#REF!</v>
      </c>
      <c r="AT275" s="187" t="e">
        <f t="shared" si="221"/>
        <v>#REF!</v>
      </c>
      <c r="AU275" s="187" t="e">
        <f t="shared" si="222"/>
        <v>#REF!</v>
      </c>
      <c r="AV275" s="187" t="e">
        <f t="shared" si="212"/>
        <v>#REF!</v>
      </c>
      <c r="AW275" s="187" t="e">
        <f t="shared" si="223"/>
        <v>#REF!</v>
      </c>
      <c r="AX275" s="187">
        <f t="shared" si="224"/>
        <v>12</v>
      </c>
      <c r="AY275" s="190"/>
      <c r="AZ275" s="240"/>
      <c r="BA275" s="232"/>
      <c r="BF275" s="206"/>
      <c r="BG275" s="206"/>
      <c r="BK275" s="126"/>
      <c r="BL275" s="126"/>
      <c r="BN275" s="126"/>
      <c r="BO275" s="126"/>
      <c r="BQ275" s="126"/>
      <c r="BR275" s="126"/>
      <c r="BT275" s="126"/>
      <c r="BU275" s="126"/>
      <c r="BW275" s="126"/>
      <c r="BX275" s="126"/>
      <c r="BZ275" s="126"/>
      <c r="CA275" s="126"/>
      <c r="CC275" s="126"/>
      <c r="CD275" s="126"/>
      <c r="CF275" s="126"/>
      <c r="CG275" s="126"/>
    </row>
    <row r="276" spans="1:85" s="197" customFormat="1" x14ac:dyDescent="0.3">
      <c r="A276" s="182" t="s">
        <v>239</v>
      </c>
      <c r="B276" s="183">
        <v>1</v>
      </c>
      <c r="C276" s="184" t="s">
        <v>303</v>
      </c>
      <c r="D276" s="187">
        <v>2.79</v>
      </c>
      <c r="E276" s="187">
        <v>2.09</v>
      </c>
      <c r="F276" s="186">
        <v>0.125</v>
      </c>
      <c r="G276" s="187">
        <f t="shared" si="213"/>
        <v>0.72888749999999991</v>
      </c>
      <c r="H276" s="188">
        <f t="shared" si="209"/>
        <v>5.8310999999999993</v>
      </c>
      <c r="I276" s="183" t="e">
        <f>GETPIVOTDATA(#REF!,A276)</f>
        <v>#REF!</v>
      </c>
      <c r="J276" s="188" t="e">
        <f>GETPIVOTDATA(#REF!,A276)*2</f>
        <v>#REF!</v>
      </c>
      <c r="K276" s="183" t="e">
        <f>(ROUND(E276/J276,0)+1)*GETPIVOTDATA(#REF!,A276)</f>
        <v>#REF!</v>
      </c>
      <c r="L276" s="189" t="e">
        <f>GETPIVOTDATA(#REF!,A276)</f>
        <v>#REF!</v>
      </c>
      <c r="M276" s="189">
        <f>0.3+0.23</f>
        <v>0.53</v>
      </c>
      <c r="N276" s="189">
        <f t="shared" si="214"/>
        <v>-0.04</v>
      </c>
      <c r="O276" s="189">
        <f>4.19*0.3</f>
        <v>1.2570000000000001</v>
      </c>
      <c r="P276" s="188" t="e">
        <f t="shared" si="215"/>
        <v>#REF!</v>
      </c>
      <c r="Q276" s="183" t="e">
        <f>GETPIVOTDATA(#REF!,A276)</f>
        <v>#REF!</v>
      </c>
      <c r="R276" s="188" t="e">
        <f>GETPIVOTDATA(#REF!,A276)*2</f>
        <v>#REF!</v>
      </c>
      <c r="S276" s="183" t="e">
        <f>(ROUND(E276/R276,0))*GETPIVOTDATA(#REF!,A276)</f>
        <v>#REF!</v>
      </c>
      <c r="T276" s="189" t="e">
        <f>GETPIVOTDATA(#REF!,A276)</f>
        <v>#REF!</v>
      </c>
      <c r="U276" s="189">
        <f>0.3+0.23</f>
        <v>0.53</v>
      </c>
      <c r="V276" s="189">
        <f t="shared" si="216"/>
        <v>-0.04</v>
      </c>
      <c r="W276" s="189">
        <f>2.215*0.3</f>
        <v>0.66449999999999998</v>
      </c>
      <c r="X276" s="188" t="e">
        <f t="shared" si="208"/>
        <v>#REF!</v>
      </c>
      <c r="Y276" s="183" t="e">
        <f>GETPIVOTDATA(#REF!,A276)</f>
        <v>#REF!</v>
      </c>
      <c r="Z276" s="188" t="e">
        <f>GETPIVOTDATA(#REF!,A276)*2</f>
        <v>#REF!</v>
      </c>
      <c r="AA276" s="183" t="e">
        <f>(ROUND(D276/Z276,0)+1)*GETPIVOTDATA(#REF!,A276)</f>
        <v>#REF!</v>
      </c>
      <c r="AB276" s="189" t="e">
        <f>GETPIVOTDATA(#REF!,A276)</f>
        <v>#REF!</v>
      </c>
      <c r="AC276" s="189">
        <f>0.23*2</f>
        <v>0.46</v>
      </c>
      <c r="AD276" s="189">
        <f t="shared" si="217"/>
        <v>-0.04</v>
      </c>
      <c r="AE276" s="189">
        <f>1.72*0.3</f>
        <v>0.51600000000000001</v>
      </c>
      <c r="AF276" s="188" t="e">
        <f t="shared" si="210"/>
        <v>#REF!</v>
      </c>
      <c r="AG276" s="183" t="e">
        <f>GETPIVOTDATA(#REF!,A276)</f>
        <v>#REF!</v>
      </c>
      <c r="AH276" s="182" t="e">
        <f>GETPIVOTDATA(#REF!,A276)*2</f>
        <v>#REF!</v>
      </c>
      <c r="AI276" s="183" t="e">
        <f>(ROUND(D276/AH276,0))*GETPIVOTDATA(#REF!,A276)</f>
        <v>#REF!</v>
      </c>
      <c r="AJ276" s="189" t="e">
        <f>GETPIVOTDATA(#REF!,A276)</f>
        <v>#REF!</v>
      </c>
      <c r="AK276" s="189">
        <f>0.23*2</f>
        <v>0.46</v>
      </c>
      <c r="AL276" s="189">
        <f t="shared" si="218"/>
        <v>-0.04</v>
      </c>
      <c r="AM276" s="189">
        <f>2.27*0.3</f>
        <v>0.68099999999999994</v>
      </c>
      <c r="AN276" s="188" t="e">
        <f t="shared" si="226"/>
        <v>#REF!</v>
      </c>
      <c r="AO276" s="183">
        <v>0</v>
      </c>
      <c r="AP276" s="182">
        <f t="shared" si="211"/>
        <v>6</v>
      </c>
      <c r="AQ276" s="182">
        <v>1.5</v>
      </c>
      <c r="AR276" s="187" t="e">
        <f t="shared" si="219"/>
        <v>#REF!</v>
      </c>
      <c r="AS276" s="187" t="e">
        <f t="shared" si="220"/>
        <v>#REF!</v>
      </c>
      <c r="AT276" s="187" t="e">
        <f t="shared" si="221"/>
        <v>#REF!</v>
      </c>
      <c r="AU276" s="187" t="e">
        <f t="shared" si="222"/>
        <v>#REF!</v>
      </c>
      <c r="AV276" s="187" t="e">
        <f t="shared" si="212"/>
        <v>#REF!</v>
      </c>
      <c r="AW276" s="187" t="e">
        <f t="shared" si="223"/>
        <v>#REF!</v>
      </c>
      <c r="AX276" s="187">
        <f t="shared" si="224"/>
        <v>9</v>
      </c>
      <c r="AY276" s="190"/>
      <c r="AZ276" s="240"/>
      <c r="BA276" s="232"/>
      <c r="BF276" s="206"/>
      <c r="BG276" s="206"/>
      <c r="BK276" s="126"/>
      <c r="BL276" s="126"/>
      <c r="BN276" s="126"/>
      <c r="BO276" s="126"/>
      <c r="BQ276" s="126"/>
      <c r="BR276" s="126"/>
      <c r="BT276" s="126"/>
      <c r="BU276" s="126"/>
      <c r="BW276" s="126"/>
      <c r="BX276" s="126"/>
      <c r="BZ276" s="126"/>
      <c r="CA276" s="126"/>
      <c r="CC276" s="126"/>
      <c r="CD276" s="126"/>
      <c r="CF276" s="126"/>
      <c r="CG276" s="126"/>
    </row>
    <row r="277" spans="1:85" s="197" customFormat="1" ht="27.6" x14ac:dyDescent="0.3">
      <c r="A277" s="182" t="s">
        <v>223</v>
      </c>
      <c r="B277" s="183">
        <v>1</v>
      </c>
      <c r="C277" s="184" t="s">
        <v>304</v>
      </c>
      <c r="D277" s="187">
        <v>2.2149999999999999</v>
      </c>
      <c r="E277" s="187">
        <v>4.4320000000000004</v>
      </c>
      <c r="F277" s="186">
        <v>0.13</v>
      </c>
      <c r="G277" s="187">
        <f t="shared" si="213"/>
        <v>1.2761944000000001</v>
      </c>
      <c r="H277" s="188">
        <f t="shared" si="209"/>
        <v>9.8168799999999994</v>
      </c>
      <c r="I277" s="183" t="e">
        <f>GETPIVOTDATA(#REF!,A277)</f>
        <v>#REF!</v>
      </c>
      <c r="J277" s="188" t="e">
        <f>GETPIVOTDATA(#REF!,A277)*2</f>
        <v>#REF!</v>
      </c>
      <c r="K277" s="183" t="e">
        <f>(ROUND(E277/J277,0)+1)*GETPIVOTDATA(#REF!,A277)</f>
        <v>#REF!</v>
      </c>
      <c r="L277" s="189" t="e">
        <f>GETPIVOTDATA(#REF!,A277)</f>
        <v>#REF!</v>
      </c>
      <c r="M277" s="189">
        <f t="shared" si="199"/>
        <v>0.6</v>
      </c>
      <c r="N277" s="189">
        <f t="shared" si="214"/>
        <v>-0.04</v>
      </c>
      <c r="O277" s="189">
        <f>2.75*0.3</f>
        <v>0.82499999999999996</v>
      </c>
      <c r="P277" s="188" t="e">
        <f t="shared" si="215"/>
        <v>#REF!</v>
      </c>
      <c r="Q277" s="183" t="e">
        <f>GETPIVOTDATA(#REF!,A277)</f>
        <v>#REF!</v>
      </c>
      <c r="R277" s="188" t="e">
        <f>GETPIVOTDATA(#REF!,A277)*2</f>
        <v>#REF!</v>
      </c>
      <c r="S277" s="183" t="e">
        <f>(ROUND(E277/R277,0))*GETPIVOTDATA(#REF!,A277)</f>
        <v>#REF!</v>
      </c>
      <c r="T277" s="189" t="e">
        <f>GETPIVOTDATA(#REF!,A277)</f>
        <v>#REF!</v>
      </c>
      <c r="U277" s="189">
        <f t="shared" si="200"/>
        <v>0.6</v>
      </c>
      <c r="V277" s="189">
        <f t="shared" si="216"/>
        <v>-0.04</v>
      </c>
      <c r="W277" s="189">
        <f>1.9*0.3</f>
        <v>0.56999999999999995</v>
      </c>
      <c r="X277" s="188" t="e">
        <f t="shared" si="208"/>
        <v>#REF!</v>
      </c>
      <c r="Y277" s="183" t="e">
        <f>GETPIVOTDATA(#REF!,A277)</f>
        <v>#REF!</v>
      </c>
      <c r="Z277" s="188" t="e">
        <f>GETPIVOTDATA(#REF!,A277)*2</f>
        <v>#REF!</v>
      </c>
      <c r="AA277" s="183" t="e">
        <f>(ROUND(D277/Z277,0)+1)*GETPIVOTDATA(#REF!,A277)</f>
        <v>#REF!</v>
      </c>
      <c r="AB277" s="189" t="e">
        <f>GETPIVOTDATA(#REF!,A277)</f>
        <v>#REF!</v>
      </c>
      <c r="AC277" s="189">
        <f>0.3+0.23</f>
        <v>0.53</v>
      </c>
      <c r="AD277" s="189">
        <f t="shared" si="217"/>
        <v>-0.04</v>
      </c>
      <c r="AE277" s="189">
        <f>2.895*0.3</f>
        <v>0.86849999999999994</v>
      </c>
      <c r="AF277" s="188" t="e">
        <f t="shared" si="210"/>
        <v>#REF!</v>
      </c>
      <c r="AG277" s="183" t="e">
        <f>GETPIVOTDATA(#REF!,A277)</f>
        <v>#REF!</v>
      </c>
      <c r="AH277" s="182" t="e">
        <f>GETPIVOTDATA(#REF!,A277)*2</f>
        <v>#REF!</v>
      </c>
      <c r="AI277" s="183" t="e">
        <f>(ROUND(D277/AH277,0))*GETPIVOTDATA(#REF!,A277)</f>
        <v>#REF!</v>
      </c>
      <c r="AJ277" s="189" t="e">
        <f>GETPIVOTDATA(#REF!,A277)</f>
        <v>#REF!</v>
      </c>
      <c r="AK277" s="189">
        <f>0.3+0.23</f>
        <v>0.53</v>
      </c>
      <c r="AL277" s="189">
        <f t="shared" si="218"/>
        <v>-0.04</v>
      </c>
      <c r="AM277" s="189">
        <f>3.465*0.3</f>
        <v>1.0394999999999999</v>
      </c>
      <c r="AN277" s="188" t="e">
        <f t="shared" si="226"/>
        <v>#REF!</v>
      </c>
      <c r="AO277" s="183">
        <v>0</v>
      </c>
      <c r="AP277" s="182">
        <f t="shared" si="211"/>
        <v>8</v>
      </c>
      <c r="AQ277" s="182">
        <v>1.5</v>
      </c>
      <c r="AR277" s="187" t="e">
        <f t="shared" si="219"/>
        <v>#REF!</v>
      </c>
      <c r="AS277" s="187" t="e">
        <f t="shared" si="220"/>
        <v>#REF!</v>
      </c>
      <c r="AT277" s="187" t="e">
        <f t="shared" si="221"/>
        <v>#REF!</v>
      </c>
      <c r="AU277" s="187" t="e">
        <f t="shared" si="222"/>
        <v>#REF!</v>
      </c>
      <c r="AV277" s="187" t="e">
        <f t="shared" si="212"/>
        <v>#REF!</v>
      </c>
      <c r="AW277" s="187" t="e">
        <f t="shared" si="223"/>
        <v>#REF!</v>
      </c>
      <c r="AX277" s="187">
        <f t="shared" si="224"/>
        <v>12</v>
      </c>
      <c r="AY277" s="190"/>
      <c r="AZ277" s="240"/>
      <c r="BA277" s="232"/>
      <c r="BF277" s="206"/>
      <c r="BG277" s="206"/>
      <c r="BK277" s="126"/>
      <c r="BL277" s="126"/>
      <c r="BN277" s="126"/>
      <c r="BO277" s="126"/>
      <c r="BQ277" s="126"/>
      <c r="BR277" s="126"/>
      <c r="BT277" s="126"/>
      <c r="BU277" s="126"/>
      <c r="BW277" s="126"/>
      <c r="BX277" s="126"/>
      <c r="BZ277" s="126"/>
      <c r="CA277" s="126"/>
      <c r="CC277" s="126"/>
      <c r="CD277" s="126"/>
      <c r="CF277" s="126"/>
      <c r="CG277" s="126"/>
    </row>
    <row r="278" spans="1:85" s="197" customFormat="1" ht="27.6" x14ac:dyDescent="0.3">
      <c r="A278" s="182" t="s">
        <v>227</v>
      </c>
      <c r="B278" s="183">
        <v>1</v>
      </c>
      <c r="C278" s="184" t="s">
        <v>305</v>
      </c>
      <c r="D278" s="187">
        <v>1.9</v>
      </c>
      <c r="E278" s="187">
        <v>4.42</v>
      </c>
      <c r="F278" s="186">
        <v>0.125</v>
      </c>
      <c r="G278" s="187">
        <f t="shared" si="213"/>
        <v>1.04975</v>
      </c>
      <c r="H278" s="188">
        <f t="shared" si="209"/>
        <v>8.3979999999999997</v>
      </c>
      <c r="I278" s="183" t="e">
        <f>GETPIVOTDATA(#REF!,A278)</f>
        <v>#REF!</v>
      </c>
      <c r="J278" s="188" t="e">
        <f>GETPIVOTDATA(#REF!,A278)*2</f>
        <v>#REF!</v>
      </c>
      <c r="K278" s="183" t="e">
        <f>(ROUND(E278/J278,0)+1)*GETPIVOTDATA(#REF!,A278)</f>
        <v>#REF!</v>
      </c>
      <c r="L278" s="189" t="e">
        <f>GETPIVOTDATA(#REF!,A278)</f>
        <v>#REF!</v>
      </c>
      <c r="M278" s="189">
        <f t="shared" si="199"/>
        <v>0.6</v>
      </c>
      <c r="N278" s="189">
        <f t="shared" si="214"/>
        <v>-0.04</v>
      </c>
      <c r="O278" s="189">
        <f>2.215*0.3</f>
        <v>0.66449999999999998</v>
      </c>
      <c r="P278" s="188" t="e">
        <f t="shared" si="215"/>
        <v>#REF!</v>
      </c>
      <c r="Q278" s="183" t="e">
        <f>GETPIVOTDATA(#REF!,A278)</f>
        <v>#REF!</v>
      </c>
      <c r="R278" s="188" t="e">
        <f>GETPIVOTDATA(#REF!,A278)*2</f>
        <v>#REF!</v>
      </c>
      <c r="S278" s="183" t="e">
        <f>(ROUND(E278/R278,0))*GETPIVOTDATA(#REF!,A278)</f>
        <v>#REF!</v>
      </c>
      <c r="T278" s="189" t="e">
        <f>GETPIVOTDATA(#REF!,A278)</f>
        <v>#REF!</v>
      </c>
      <c r="U278" s="189">
        <f t="shared" si="200"/>
        <v>0.6</v>
      </c>
      <c r="V278" s="189">
        <f t="shared" si="216"/>
        <v>-0.04</v>
      </c>
      <c r="W278" s="189">
        <f>4.87*0.3</f>
        <v>1.4610000000000001</v>
      </c>
      <c r="X278" s="188" t="e">
        <f t="shared" si="208"/>
        <v>#REF!</v>
      </c>
      <c r="Y278" s="183" t="e">
        <f>GETPIVOTDATA(#REF!,A278)</f>
        <v>#REF!</v>
      </c>
      <c r="Z278" s="188" t="e">
        <f>GETPIVOTDATA(#REF!,A278)*2</f>
        <v>#REF!</v>
      </c>
      <c r="AA278" s="183" t="e">
        <f>(ROUND(D278/Z278,0)+1)*GETPIVOTDATA(#REF!,A278)</f>
        <v>#REF!</v>
      </c>
      <c r="AB278" s="189" t="e">
        <f>GETPIVOTDATA(#REF!,A278)</f>
        <v>#REF!</v>
      </c>
      <c r="AC278" s="189">
        <f t="shared" si="203"/>
        <v>0.6</v>
      </c>
      <c r="AD278" s="189">
        <f t="shared" si="217"/>
        <v>-0.04</v>
      </c>
      <c r="AE278" s="189">
        <f>2.895*0.3</f>
        <v>0.86849999999999994</v>
      </c>
      <c r="AF278" s="188" t="e">
        <f t="shared" si="210"/>
        <v>#REF!</v>
      </c>
      <c r="AG278" s="183" t="e">
        <f>GETPIVOTDATA(#REF!,A278)</f>
        <v>#REF!</v>
      </c>
      <c r="AH278" s="182" t="e">
        <f>GETPIVOTDATA(#REF!,A278)*2</f>
        <v>#REF!</v>
      </c>
      <c r="AI278" s="183" t="e">
        <f>(ROUND(D278/AH278,0))*GETPIVOTDATA(#REF!,A278)</f>
        <v>#REF!</v>
      </c>
      <c r="AJ278" s="189" t="e">
        <f>GETPIVOTDATA(#REF!,A278)</f>
        <v>#REF!</v>
      </c>
      <c r="AK278" s="189">
        <f t="shared" si="204"/>
        <v>0.6</v>
      </c>
      <c r="AL278" s="189">
        <f t="shared" si="218"/>
        <v>-0.04</v>
      </c>
      <c r="AM278" s="189">
        <f>3.465*0.3</f>
        <v>1.0394999999999999</v>
      </c>
      <c r="AN278" s="188" t="e">
        <f t="shared" si="226"/>
        <v>#REF!</v>
      </c>
      <c r="AO278" s="183">
        <v>0</v>
      </c>
      <c r="AP278" s="182">
        <f t="shared" si="211"/>
        <v>8</v>
      </c>
      <c r="AQ278" s="182">
        <v>1.5</v>
      </c>
      <c r="AR278" s="187" t="e">
        <f t="shared" si="219"/>
        <v>#REF!</v>
      </c>
      <c r="AS278" s="187" t="e">
        <f t="shared" si="220"/>
        <v>#REF!</v>
      </c>
      <c r="AT278" s="187" t="e">
        <f t="shared" si="221"/>
        <v>#REF!</v>
      </c>
      <c r="AU278" s="187" t="e">
        <f t="shared" si="222"/>
        <v>#REF!</v>
      </c>
      <c r="AV278" s="187" t="e">
        <f t="shared" si="212"/>
        <v>#REF!</v>
      </c>
      <c r="AW278" s="187" t="e">
        <f t="shared" si="223"/>
        <v>#REF!</v>
      </c>
      <c r="AX278" s="187">
        <f t="shared" si="224"/>
        <v>12</v>
      </c>
      <c r="AY278" s="190"/>
      <c r="AZ278" s="240"/>
      <c r="BA278" s="232"/>
      <c r="BF278" s="206"/>
      <c r="BG278" s="206"/>
      <c r="BK278" s="126"/>
      <c r="BL278" s="126"/>
      <c r="BN278" s="126"/>
      <c r="BO278" s="126"/>
      <c r="BQ278" s="126"/>
      <c r="BR278" s="126"/>
      <c r="BT278" s="126"/>
      <c r="BU278" s="126"/>
      <c r="BW278" s="126"/>
      <c r="BX278" s="126"/>
      <c r="BZ278" s="126"/>
      <c r="CA278" s="126"/>
      <c r="CC278" s="126"/>
      <c r="CD278" s="126"/>
      <c r="CF278" s="126"/>
      <c r="CG278" s="126"/>
    </row>
    <row r="279" spans="1:85" s="197" customFormat="1" ht="27.6" x14ac:dyDescent="0.3">
      <c r="A279" s="182" t="s">
        <v>259</v>
      </c>
      <c r="B279" s="183">
        <v>1</v>
      </c>
      <c r="C279" s="184" t="s">
        <v>306</v>
      </c>
      <c r="D279" s="187">
        <v>4.87</v>
      </c>
      <c r="E279" s="187">
        <v>4.42</v>
      </c>
      <c r="F279" s="186">
        <v>0.17499999999999999</v>
      </c>
      <c r="G279" s="187">
        <f t="shared" si="213"/>
        <v>3.7669449999999998</v>
      </c>
      <c r="H279" s="188">
        <f t="shared" si="209"/>
        <v>21.525400000000001</v>
      </c>
      <c r="I279" s="183" t="e">
        <f>GETPIVOTDATA(#REF!,A279)</f>
        <v>#REF!</v>
      </c>
      <c r="J279" s="188" t="e">
        <f>GETPIVOTDATA(#REF!,A279)*2</f>
        <v>#REF!</v>
      </c>
      <c r="K279" s="183" t="e">
        <f>(ROUND(E279/J279,0)+1)*GETPIVOTDATA(#REF!,A279)</f>
        <v>#REF!</v>
      </c>
      <c r="L279" s="189" t="e">
        <f>GETPIVOTDATA(#REF!,A279)</f>
        <v>#REF!</v>
      </c>
      <c r="M279" s="189">
        <f t="shared" si="199"/>
        <v>0.6</v>
      </c>
      <c r="N279" s="189">
        <f t="shared" si="214"/>
        <v>-0.04</v>
      </c>
      <c r="O279" s="189">
        <f>1.9*0.3</f>
        <v>0.56999999999999995</v>
      </c>
      <c r="P279" s="188" t="e">
        <f t="shared" si="215"/>
        <v>#REF!</v>
      </c>
      <c r="Q279" s="183" t="e">
        <f>GETPIVOTDATA(#REF!,A279)</f>
        <v>#REF!</v>
      </c>
      <c r="R279" s="188" t="e">
        <f>GETPIVOTDATA(#REF!,A279)*2</f>
        <v>#REF!</v>
      </c>
      <c r="S279" s="183" t="e">
        <f>(ROUND(E279/R279,0))*GETPIVOTDATA(#REF!,A279)</f>
        <v>#REF!</v>
      </c>
      <c r="T279" s="189" t="e">
        <f>GETPIVOTDATA(#REF!,A279)</f>
        <v>#REF!</v>
      </c>
      <c r="U279" s="189">
        <f t="shared" si="200"/>
        <v>0.6</v>
      </c>
      <c r="V279" s="189">
        <f t="shared" si="216"/>
        <v>-0.04</v>
      </c>
      <c r="W279" s="189">
        <f>4.315*0.3</f>
        <v>1.2945</v>
      </c>
      <c r="X279" s="188" t="e">
        <f t="shared" si="208"/>
        <v>#REF!</v>
      </c>
      <c r="Y279" s="183" t="e">
        <f>GETPIVOTDATA(#REF!,A279)</f>
        <v>#REF!</v>
      </c>
      <c r="Z279" s="188" t="e">
        <f>GETPIVOTDATA(#REF!,A279)*2</f>
        <v>#REF!</v>
      </c>
      <c r="AA279" s="183" t="e">
        <f>(ROUND(D279/Z279,0)+1)*GETPIVOTDATA(#REF!,A279)</f>
        <v>#REF!</v>
      </c>
      <c r="AB279" s="189" t="e">
        <f>GETPIVOTDATA(#REF!,A279)</f>
        <v>#REF!</v>
      </c>
      <c r="AC279" s="189">
        <f>0.3+0.34</f>
        <v>0.64</v>
      </c>
      <c r="AD279" s="189">
        <f t="shared" si="217"/>
        <v>-0.04</v>
      </c>
      <c r="AE279" s="189">
        <f>2.745*0.3</f>
        <v>0.82350000000000001</v>
      </c>
      <c r="AF279" s="188" t="e">
        <f t="shared" si="210"/>
        <v>#REF!</v>
      </c>
      <c r="AG279" s="183" t="e">
        <f>GETPIVOTDATA(#REF!,A279)</f>
        <v>#REF!</v>
      </c>
      <c r="AH279" s="182" t="e">
        <f>GETPIVOTDATA(#REF!,A279)*2</f>
        <v>#REF!</v>
      </c>
      <c r="AI279" s="183" t="e">
        <f>(ROUND(D279/AH279,0))*GETPIVOTDATA(#REF!,A279)</f>
        <v>#REF!</v>
      </c>
      <c r="AJ279" s="189" t="e">
        <f>GETPIVOTDATA(#REF!,A279)</f>
        <v>#REF!</v>
      </c>
      <c r="AK279" s="189">
        <f>0.3+0.34</f>
        <v>0.64</v>
      </c>
      <c r="AL279" s="189">
        <f t="shared" si="218"/>
        <v>-0.04</v>
      </c>
      <c r="AM279" s="189">
        <f>3.75*0.3</f>
        <v>1.125</v>
      </c>
      <c r="AN279" s="188" t="e">
        <f t="shared" si="226"/>
        <v>#REF!</v>
      </c>
      <c r="AO279" s="183">
        <v>0</v>
      </c>
      <c r="AP279" s="182">
        <f t="shared" si="211"/>
        <v>12</v>
      </c>
      <c r="AQ279" s="182">
        <v>1.5</v>
      </c>
      <c r="AR279" s="187" t="e">
        <f t="shared" si="219"/>
        <v>#REF!</v>
      </c>
      <c r="AS279" s="187" t="e">
        <f t="shared" si="220"/>
        <v>#REF!</v>
      </c>
      <c r="AT279" s="187" t="e">
        <f t="shared" si="221"/>
        <v>#REF!</v>
      </c>
      <c r="AU279" s="187" t="e">
        <f t="shared" si="222"/>
        <v>#REF!</v>
      </c>
      <c r="AV279" s="187" t="e">
        <f t="shared" si="212"/>
        <v>#REF!</v>
      </c>
      <c r="AW279" s="187" t="e">
        <f t="shared" si="223"/>
        <v>#REF!</v>
      </c>
      <c r="AX279" s="187">
        <f t="shared" si="224"/>
        <v>18</v>
      </c>
      <c r="AY279" s="190"/>
      <c r="AZ279" s="240"/>
      <c r="BA279" s="232"/>
      <c r="BF279" s="206"/>
      <c r="BG279" s="206"/>
      <c r="BK279" s="126"/>
      <c r="BL279" s="126"/>
      <c r="BN279" s="126"/>
      <c r="BO279" s="126"/>
      <c r="BQ279" s="126"/>
      <c r="BR279" s="126"/>
      <c r="BT279" s="126"/>
      <c r="BU279" s="126"/>
      <c r="BW279" s="126"/>
      <c r="BX279" s="126"/>
      <c r="BZ279" s="126"/>
      <c r="CA279" s="126"/>
      <c r="CC279" s="126"/>
      <c r="CD279" s="126"/>
      <c r="CF279" s="126"/>
      <c r="CG279" s="126"/>
    </row>
    <row r="280" spans="1:85" s="197" customFormat="1" ht="27.6" x14ac:dyDescent="0.3">
      <c r="A280" s="182" t="s">
        <v>243</v>
      </c>
      <c r="B280" s="183">
        <v>1</v>
      </c>
      <c r="C280" s="184" t="s">
        <v>307</v>
      </c>
      <c r="D280" s="187">
        <v>4.3150000000000004</v>
      </c>
      <c r="E280" s="187">
        <v>3.74</v>
      </c>
      <c r="F280" s="186">
        <v>0.15</v>
      </c>
      <c r="G280" s="187">
        <f t="shared" si="213"/>
        <v>2.420715</v>
      </c>
      <c r="H280" s="188">
        <f t="shared" si="209"/>
        <v>16.138100000000001</v>
      </c>
      <c r="I280" s="183" t="e">
        <f>GETPIVOTDATA(#REF!,A280)</f>
        <v>#REF!</v>
      </c>
      <c r="J280" s="188" t="e">
        <f>GETPIVOTDATA(#REF!,A280)*2</f>
        <v>#REF!</v>
      </c>
      <c r="K280" s="183" t="e">
        <f>(ROUND(E280/J280,0)+1)*GETPIVOTDATA(#REF!,A280)</f>
        <v>#REF!</v>
      </c>
      <c r="L280" s="189" t="e">
        <f>GETPIVOTDATA(#REF!,A280)</f>
        <v>#REF!</v>
      </c>
      <c r="M280" s="189">
        <f>0.3+0.38</f>
        <v>0.67999999999999994</v>
      </c>
      <c r="N280" s="189">
        <f t="shared" si="214"/>
        <v>-0.04</v>
      </c>
      <c r="O280" s="189">
        <f>4.87*0.3</f>
        <v>1.4610000000000001</v>
      </c>
      <c r="P280" s="188" t="e">
        <f t="shared" si="215"/>
        <v>#REF!</v>
      </c>
      <c r="Q280" s="183" t="e">
        <f>GETPIVOTDATA(#REF!,A280)</f>
        <v>#REF!</v>
      </c>
      <c r="R280" s="188" t="e">
        <f>GETPIVOTDATA(#REF!,A280)*2</f>
        <v>#REF!</v>
      </c>
      <c r="S280" s="183" t="e">
        <f>(ROUND(E280/R280,0))*GETPIVOTDATA(#REF!,A280)</f>
        <v>#REF!</v>
      </c>
      <c r="T280" s="189" t="e">
        <f>GETPIVOTDATA(#REF!,A280)</f>
        <v>#REF!</v>
      </c>
      <c r="U280" s="189">
        <f>0.3+0.38</f>
        <v>0.67999999999999994</v>
      </c>
      <c r="V280" s="189">
        <f t="shared" si="216"/>
        <v>-0.04</v>
      </c>
      <c r="W280" s="189">
        <f>6*0.3</f>
        <v>1.7999999999999998</v>
      </c>
      <c r="X280" s="188" t="e">
        <f t="shared" si="208"/>
        <v>#REF!</v>
      </c>
      <c r="Y280" s="183" t="e">
        <f>GETPIVOTDATA(#REF!,A280)</f>
        <v>#REF!</v>
      </c>
      <c r="Z280" s="188" t="e">
        <f>GETPIVOTDATA(#REF!,A280)*2</f>
        <v>#REF!</v>
      </c>
      <c r="AA280" s="183" t="e">
        <f>(ROUND(D280/Z280,0)+1)*GETPIVOTDATA(#REF!,A280)</f>
        <v>#REF!</v>
      </c>
      <c r="AB280" s="189" t="e">
        <f>GETPIVOTDATA(#REF!,A280)</f>
        <v>#REF!</v>
      </c>
      <c r="AC280" s="189">
        <f>0.3+0.34</f>
        <v>0.64</v>
      </c>
      <c r="AD280" s="189">
        <f t="shared" si="217"/>
        <v>-0.04</v>
      </c>
      <c r="AE280" s="189">
        <f>2.75*0.3</f>
        <v>0.82499999999999996</v>
      </c>
      <c r="AF280" s="188" t="e">
        <f t="shared" si="210"/>
        <v>#REF!</v>
      </c>
      <c r="AG280" s="183" t="e">
        <f>GETPIVOTDATA(#REF!,A280)</f>
        <v>#REF!</v>
      </c>
      <c r="AH280" s="182" t="e">
        <f>GETPIVOTDATA(#REF!,A280)*2</f>
        <v>#REF!</v>
      </c>
      <c r="AI280" s="183" t="e">
        <f>(ROUND(D280/AH280,0))*GETPIVOTDATA(#REF!,A280)</f>
        <v>#REF!</v>
      </c>
      <c r="AJ280" s="189" t="e">
        <f>GETPIVOTDATA(#REF!,A280)</f>
        <v>#REF!</v>
      </c>
      <c r="AK280" s="189">
        <f>0.3+0.34</f>
        <v>0.64</v>
      </c>
      <c r="AL280" s="189">
        <f t="shared" si="218"/>
        <v>-0.04</v>
      </c>
      <c r="AM280" s="189">
        <f>4.156*0.3</f>
        <v>1.2467999999999999</v>
      </c>
      <c r="AN280" s="188" t="e">
        <f t="shared" si="226"/>
        <v>#REF!</v>
      </c>
      <c r="AO280" s="183">
        <v>0</v>
      </c>
      <c r="AP280" s="182">
        <f t="shared" si="211"/>
        <v>10</v>
      </c>
      <c r="AQ280" s="182">
        <v>1.5</v>
      </c>
      <c r="AR280" s="187" t="e">
        <f t="shared" si="219"/>
        <v>#REF!</v>
      </c>
      <c r="AS280" s="187" t="e">
        <f t="shared" si="220"/>
        <v>#REF!</v>
      </c>
      <c r="AT280" s="187" t="e">
        <f t="shared" si="221"/>
        <v>#REF!</v>
      </c>
      <c r="AU280" s="187" t="e">
        <f t="shared" si="222"/>
        <v>#REF!</v>
      </c>
      <c r="AV280" s="187" t="e">
        <f t="shared" si="212"/>
        <v>#REF!</v>
      </c>
      <c r="AW280" s="187" t="e">
        <f t="shared" si="223"/>
        <v>#REF!</v>
      </c>
      <c r="AX280" s="187">
        <f t="shared" si="224"/>
        <v>15</v>
      </c>
      <c r="AY280" s="190"/>
      <c r="AZ280" s="240"/>
      <c r="BA280" s="232"/>
      <c r="BF280" s="206"/>
      <c r="BG280" s="206"/>
      <c r="BK280" s="126"/>
      <c r="BL280" s="126"/>
      <c r="BN280" s="126"/>
      <c r="BO280" s="126"/>
      <c r="BQ280" s="126"/>
      <c r="BR280" s="126"/>
      <c r="BT280" s="126"/>
      <c r="BU280" s="126"/>
      <c r="BW280" s="126"/>
      <c r="BX280" s="126"/>
      <c r="BZ280" s="126"/>
      <c r="CA280" s="126"/>
      <c r="CC280" s="126"/>
      <c r="CD280" s="126"/>
      <c r="CF280" s="126"/>
      <c r="CG280" s="126"/>
    </row>
    <row r="281" spans="1:85" s="197" customFormat="1" x14ac:dyDescent="0.3">
      <c r="A281" s="182" t="s">
        <v>239</v>
      </c>
      <c r="B281" s="183">
        <v>1</v>
      </c>
      <c r="C281" s="184" t="s">
        <v>308</v>
      </c>
      <c r="D281" s="187">
        <v>2.9</v>
      </c>
      <c r="E281" s="187">
        <v>2.0099999999999998</v>
      </c>
      <c r="F281" s="186">
        <v>0.125</v>
      </c>
      <c r="G281" s="187">
        <f t="shared" si="213"/>
        <v>0.72862499999999986</v>
      </c>
      <c r="H281" s="188">
        <f t="shared" si="209"/>
        <v>5.8289999999999988</v>
      </c>
      <c r="I281" s="183" t="e">
        <f>GETPIVOTDATA(#REF!,A281)</f>
        <v>#REF!</v>
      </c>
      <c r="J281" s="188" t="e">
        <f>GETPIVOTDATA(#REF!,A281)*2</f>
        <v>#REF!</v>
      </c>
      <c r="K281" s="183" t="e">
        <f>(ROUND(E281/J281,0)+1)*GETPIVOTDATA(#REF!,A281)</f>
        <v>#REF!</v>
      </c>
      <c r="L281" s="189" t="e">
        <f>GETPIVOTDATA(#REF!,A281)</f>
        <v>#REF!</v>
      </c>
      <c r="M281" s="189">
        <f>0.3+0.23</f>
        <v>0.53</v>
      </c>
      <c r="N281" s="189">
        <f t="shared" si="214"/>
        <v>-0.04</v>
      </c>
      <c r="O281" s="189">
        <f>0+(F281-0.02*2)</f>
        <v>8.4999999999999992E-2</v>
      </c>
      <c r="P281" s="188" t="e">
        <f>+D281+SUM(L281:O281)</f>
        <v>#REF!</v>
      </c>
      <c r="Q281" s="183" t="e">
        <f>GETPIVOTDATA(#REF!,A281)</f>
        <v>#REF!</v>
      </c>
      <c r="R281" s="188" t="e">
        <f>GETPIVOTDATA(#REF!,A281)*2</f>
        <v>#REF!</v>
      </c>
      <c r="S281" s="183" t="e">
        <f>(ROUND(E281/R281,0))*GETPIVOTDATA(#REF!,A281)</f>
        <v>#REF!</v>
      </c>
      <c r="T281" s="189" t="e">
        <f>GETPIVOTDATA(#REF!,A281)</f>
        <v>#REF!</v>
      </c>
      <c r="U281" s="189">
        <f>0.3+0.23</f>
        <v>0.53</v>
      </c>
      <c r="V281" s="189">
        <f t="shared" si="216"/>
        <v>-0.04</v>
      </c>
      <c r="W281" s="189">
        <f>2.82*0.3</f>
        <v>0.84599999999999997</v>
      </c>
      <c r="X281" s="188" t="e">
        <f t="shared" si="208"/>
        <v>#REF!</v>
      </c>
      <c r="Y281" s="183" t="e">
        <f>GETPIVOTDATA(#REF!,A281)</f>
        <v>#REF!</v>
      </c>
      <c r="Z281" s="188" t="e">
        <f>GETPIVOTDATA(#REF!,A281)*2</f>
        <v>#REF!</v>
      </c>
      <c r="AA281" s="183" t="e">
        <f>(ROUND(D281/Z281,0)+1)*GETPIVOTDATA(#REF!,A281)</f>
        <v>#REF!</v>
      </c>
      <c r="AB281" s="189" t="e">
        <f>GETPIVOTDATA(#REF!,A281)</f>
        <v>#REF!</v>
      </c>
      <c r="AC281" s="189">
        <f t="shared" si="203"/>
        <v>0.6</v>
      </c>
      <c r="AD281" s="189">
        <f t="shared" si="217"/>
        <v>-0.04</v>
      </c>
      <c r="AE281" s="189">
        <f>2.11*0.3</f>
        <v>0.6329999999999999</v>
      </c>
      <c r="AF281" s="188" t="e">
        <f t="shared" si="210"/>
        <v>#REF!</v>
      </c>
      <c r="AG281" s="183" t="e">
        <f>GETPIVOTDATA(#REF!,A281)</f>
        <v>#REF!</v>
      </c>
      <c r="AH281" s="182" t="e">
        <f>GETPIVOTDATA(#REF!,A281)*2</f>
        <v>#REF!</v>
      </c>
      <c r="AI281" s="183" t="e">
        <f>(ROUND(D281/AH281,0))*GETPIVOTDATA(#REF!,A281)</f>
        <v>#REF!</v>
      </c>
      <c r="AJ281" s="189" t="e">
        <f>GETPIVOTDATA(#REF!,A281)</f>
        <v>#REF!</v>
      </c>
      <c r="AK281" s="189">
        <f t="shared" si="204"/>
        <v>0.6</v>
      </c>
      <c r="AL281" s="189">
        <f t="shared" si="218"/>
        <v>-0.04</v>
      </c>
      <c r="AM281" s="189">
        <f>10.19*0.3</f>
        <v>3.0569999999999999</v>
      </c>
      <c r="AN281" s="188" t="e">
        <f>+E281+SUM(AJ281:AM281)</f>
        <v>#REF!</v>
      </c>
      <c r="AO281" s="183">
        <v>0</v>
      </c>
      <c r="AP281" s="182">
        <f t="shared" si="211"/>
        <v>6</v>
      </c>
      <c r="AQ281" s="182">
        <v>1.5</v>
      </c>
      <c r="AR281" s="187" t="e">
        <f t="shared" si="219"/>
        <v>#REF!</v>
      </c>
      <c r="AS281" s="187" t="e">
        <f t="shared" si="220"/>
        <v>#REF!</v>
      </c>
      <c r="AT281" s="187" t="e">
        <f t="shared" si="221"/>
        <v>#REF!</v>
      </c>
      <c r="AU281" s="187" t="e">
        <f t="shared" si="222"/>
        <v>#REF!</v>
      </c>
      <c r="AV281" s="187" t="e">
        <f t="shared" si="212"/>
        <v>#REF!</v>
      </c>
      <c r="AW281" s="187" t="e">
        <f t="shared" si="223"/>
        <v>#REF!</v>
      </c>
      <c r="AX281" s="187">
        <f t="shared" si="224"/>
        <v>9</v>
      </c>
      <c r="AY281" s="190"/>
      <c r="AZ281" s="240"/>
      <c r="BA281" s="232"/>
      <c r="BF281" s="206"/>
      <c r="BG281" s="206"/>
      <c r="BK281" s="126"/>
      <c r="BL281" s="126"/>
      <c r="BN281" s="126"/>
      <c r="BO281" s="126"/>
      <c r="BQ281" s="126"/>
      <c r="BR281" s="126"/>
      <c r="BT281" s="126"/>
      <c r="BU281" s="126"/>
      <c r="BW281" s="126"/>
      <c r="BX281" s="126"/>
      <c r="BZ281" s="126"/>
      <c r="CA281" s="126"/>
      <c r="CC281" s="126"/>
      <c r="CD281" s="126"/>
      <c r="CF281" s="126"/>
      <c r="CG281" s="126"/>
    </row>
    <row r="282" spans="1:85" s="197" customFormat="1" x14ac:dyDescent="0.3">
      <c r="A282" s="182" t="s">
        <v>239</v>
      </c>
      <c r="B282" s="183">
        <v>1</v>
      </c>
      <c r="C282" s="184" t="s">
        <v>309</v>
      </c>
      <c r="D282" s="187">
        <v>3.04</v>
      </c>
      <c r="E282" s="187">
        <v>2.11</v>
      </c>
      <c r="F282" s="186">
        <v>0.125</v>
      </c>
      <c r="G282" s="187">
        <f t="shared" si="213"/>
        <v>0.80179999999999996</v>
      </c>
      <c r="H282" s="188">
        <f t="shared" si="209"/>
        <v>6.4143999999999997</v>
      </c>
      <c r="I282" s="183" t="e">
        <f>GETPIVOTDATA(#REF!,A282)</f>
        <v>#REF!</v>
      </c>
      <c r="J282" s="188" t="e">
        <f>GETPIVOTDATA(#REF!,A282)*2</f>
        <v>#REF!</v>
      </c>
      <c r="K282" s="183" t="e">
        <f>(ROUND(E282/J282,0)+1)*GETPIVOTDATA(#REF!,A282)</f>
        <v>#REF!</v>
      </c>
      <c r="L282" s="189" t="e">
        <f>GETPIVOTDATA(#REF!,A282)</f>
        <v>#REF!</v>
      </c>
      <c r="M282" s="189">
        <f>0.23*2</f>
        <v>0.46</v>
      </c>
      <c r="N282" s="189">
        <f t="shared" si="214"/>
        <v>-0.04</v>
      </c>
      <c r="O282" s="189">
        <f>0+(F282-0.02*2)</f>
        <v>8.4999999999999992E-2</v>
      </c>
      <c r="P282" s="188" t="e">
        <f t="shared" si="215"/>
        <v>#REF!</v>
      </c>
      <c r="Q282" s="183" t="e">
        <f>GETPIVOTDATA(#REF!,A282)</f>
        <v>#REF!</v>
      </c>
      <c r="R282" s="188" t="e">
        <f>GETPIVOTDATA(#REF!,A282)*2</f>
        <v>#REF!</v>
      </c>
      <c r="S282" s="183" t="e">
        <f>(ROUND(E282/R282,0))*GETPIVOTDATA(#REF!,A282)</f>
        <v>#REF!</v>
      </c>
      <c r="T282" s="189" t="e">
        <f>GETPIVOTDATA(#REF!,A282)</f>
        <v>#REF!</v>
      </c>
      <c r="U282" s="189">
        <f>0.23*2</f>
        <v>0.46</v>
      </c>
      <c r="V282" s="189">
        <f t="shared" si="216"/>
        <v>-0.04</v>
      </c>
      <c r="W282" s="189">
        <f>2.785*0.3</f>
        <v>0.83550000000000002</v>
      </c>
      <c r="X282" s="188" t="e">
        <f t="shared" si="208"/>
        <v>#REF!</v>
      </c>
      <c r="Y282" s="183" t="e">
        <f>GETPIVOTDATA(#REF!,A282)</f>
        <v>#REF!</v>
      </c>
      <c r="Z282" s="188" t="e">
        <f>GETPIVOTDATA(#REF!,A282)*2</f>
        <v>#REF!</v>
      </c>
      <c r="AA282" s="183" t="e">
        <f>(ROUND(D282/Z282,0)+1)*GETPIVOTDATA(#REF!,A282)</f>
        <v>#REF!</v>
      </c>
      <c r="AB282" s="189" t="e">
        <f>GETPIVOTDATA(#REF!,A282)</f>
        <v>#REF!</v>
      </c>
      <c r="AC282" s="189">
        <f>0.3+0.23</f>
        <v>0.53</v>
      </c>
      <c r="AD282" s="189">
        <f t="shared" si="217"/>
        <v>-0.04</v>
      </c>
      <c r="AE282" s="189">
        <f>2.01*0.3</f>
        <v>0.60299999999999987</v>
      </c>
      <c r="AF282" s="188" t="e">
        <f t="shared" si="210"/>
        <v>#REF!</v>
      </c>
      <c r="AG282" s="183" t="e">
        <f>GETPIVOTDATA(#REF!,A282)</f>
        <v>#REF!</v>
      </c>
      <c r="AH282" s="182" t="e">
        <f>GETPIVOTDATA(#REF!,A282)*2</f>
        <v>#REF!</v>
      </c>
      <c r="AI282" s="183" t="e">
        <f>(ROUND(D282/AH282,0))*GETPIVOTDATA(#REF!,A282)</f>
        <v>#REF!</v>
      </c>
      <c r="AJ282" s="189" t="e">
        <f>GETPIVOTDATA(#REF!,A282)</f>
        <v>#REF!</v>
      </c>
      <c r="AK282" s="189">
        <f>0.3+0.23</f>
        <v>0.53</v>
      </c>
      <c r="AL282" s="189">
        <f t="shared" si="218"/>
        <v>-0.04</v>
      </c>
      <c r="AM282" s="189">
        <v>0</v>
      </c>
      <c r="AN282" s="188" t="e">
        <f t="shared" si="226"/>
        <v>#REF!</v>
      </c>
      <c r="AO282" s="183">
        <v>0</v>
      </c>
      <c r="AP282" s="182">
        <f t="shared" si="211"/>
        <v>6</v>
      </c>
      <c r="AQ282" s="182">
        <v>1.5</v>
      </c>
      <c r="AR282" s="187" t="e">
        <f t="shared" si="219"/>
        <v>#REF!</v>
      </c>
      <c r="AS282" s="187" t="e">
        <f t="shared" si="220"/>
        <v>#REF!</v>
      </c>
      <c r="AT282" s="187" t="e">
        <f t="shared" si="221"/>
        <v>#REF!</v>
      </c>
      <c r="AU282" s="187" t="e">
        <f t="shared" si="222"/>
        <v>#REF!</v>
      </c>
      <c r="AV282" s="187" t="e">
        <f t="shared" si="212"/>
        <v>#REF!</v>
      </c>
      <c r="AW282" s="187" t="e">
        <f t="shared" si="223"/>
        <v>#REF!</v>
      </c>
      <c r="AX282" s="187">
        <f t="shared" si="224"/>
        <v>9</v>
      </c>
      <c r="AY282" s="190"/>
      <c r="AZ282" s="240"/>
      <c r="BA282" s="232"/>
      <c r="BF282" s="206"/>
      <c r="BG282" s="206"/>
      <c r="BK282" s="126"/>
      <c r="BL282" s="126"/>
      <c r="BN282" s="126"/>
      <c r="BO282" s="126"/>
      <c r="BQ282" s="126"/>
      <c r="BR282" s="126"/>
      <c r="BT282" s="126"/>
      <c r="BU282" s="126"/>
      <c r="BW282" s="126"/>
      <c r="BX282" s="126"/>
      <c r="BZ282" s="126"/>
      <c r="CA282" s="126"/>
      <c r="CC282" s="126"/>
      <c r="CD282" s="126"/>
      <c r="CF282" s="126"/>
      <c r="CG282" s="126"/>
    </row>
    <row r="283" spans="1:85" s="197" customFormat="1" x14ac:dyDescent="0.3">
      <c r="A283" s="182" t="s">
        <v>232</v>
      </c>
      <c r="B283" s="183">
        <v>1</v>
      </c>
      <c r="C283" s="184" t="s">
        <v>310</v>
      </c>
      <c r="D283" s="187">
        <v>2.82</v>
      </c>
      <c r="E283" s="187">
        <v>2.85</v>
      </c>
      <c r="F283" s="186">
        <v>0.13</v>
      </c>
      <c r="G283" s="187">
        <f t="shared" si="213"/>
        <v>1.04481</v>
      </c>
      <c r="H283" s="188">
        <f t="shared" si="209"/>
        <v>8.036999999999999</v>
      </c>
      <c r="I283" s="183" t="e">
        <f>GETPIVOTDATA(#REF!,A283)</f>
        <v>#REF!</v>
      </c>
      <c r="J283" s="188" t="e">
        <f>GETPIVOTDATA(#REF!,A283)*2</f>
        <v>#REF!</v>
      </c>
      <c r="K283" s="183" t="e">
        <f>(ROUND(E283/J283,0)+1)*GETPIVOTDATA(#REF!,A283)</f>
        <v>#REF!</v>
      </c>
      <c r="L283" s="189" t="e">
        <f>GETPIVOTDATA(#REF!,A283)</f>
        <v>#REF!</v>
      </c>
      <c r="M283" s="189">
        <f>0.23+0.3</f>
        <v>0.53</v>
      </c>
      <c r="N283" s="189">
        <f t="shared" si="214"/>
        <v>-0.04</v>
      </c>
      <c r="O283" s="189">
        <f>2.9*0.3</f>
        <v>0.87</v>
      </c>
      <c r="P283" s="188" t="e">
        <f t="shared" si="215"/>
        <v>#REF!</v>
      </c>
      <c r="Q283" s="183" t="e">
        <f>GETPIVOTDATA(#REF!,A283)</f>
        <v>#REF!</v>
      </c>
      <c r="R283" s="188" t="e">
        <f>GETPIVOTDATA(#REF!,A283)*2</f>
        <v>#REF!</v>
      </c>
      <c r="S283" s="183" t="e">
        <f>(ROUND(E283/R283,0))*GETPIVOTDATA(#REF!,A283)</f>
        <v>#REF!</v>
      </c>
      <c r="T283" s="189" t="e">
        <f>GETPIVOTDATA(#REF!,A283)</f>
        <v>#REF!</v>
      </c>
      <c r="U283" s="189">
        <f>0.23+0.3</f>
        <v>0.53</v>
      </c>
      <c r="V283" s="189">
        <f t="shared" si="216"/>
        <v>-0.04</v>
      </c>
      <c r="W283" s="189">
        <f>5.49*0.3</f>
        <v>1.647</v>
      </c>
      <c r="X283" s="188" t="e">
        <f t="shared" si="208"/>
        <v>#REF!</v>
      </c>
      <c r="Y283" s="183" t="e">
        <f>GETPIVOTDATA(#REF!,A283)</f>
        <v>#REF!</v>
      </c>
      <c r="Z283" s="188" t="e">
        <f>GETPIVOTDATA(#REF!,A283)*2</f>
        <v>#REF!</v>
      </c>
      <c r="AA283" s="183" t="e">
        <f>(ROUND(D283/Z283,0)+1)*GETPIVOTDATA(#REF!,A283)</f>
        <v>#REF!</v>
      </c>
      <c r="AB283" s="189" t="e">
        <f>GETPIVOTDATA(#REF!,A283)</f>
        <v>#REF!</v>
      </c>
      <c r="AC283" s="189">
        <f t="shared" si="203"/>
        <v>0.6</v>
      </c>
      <c r="AD283" s="189">
        <f t="shared" si="217"/>
        <v>-0.04</v>
      </c>
      <c r="AE283" s="189">
        <f>1.87*0.3</f>
        <v>0.56100000000000005</v>
      </c>
      <c r="AF283" s="188" t="e">
        <f t="shared" si="210"/>
        <v>#REF!</v>
      </c>
      <c r="AG283" s="183" t="e">
        <f>GETPIVOTDATA(#REF!,A283)</f>
        <v>#REF!</v>
      </c>
      <c r="AH283" s="182" t="e">
        <f>GETPIVOTDATA(#REF!,A283)*2</f>
        <v>#REF!</v>
      </c>
      <c r="AI283" s="183" t="e">
        <f>(ROUND(D283/AH283,0))*GETPIVOTDATA(#REF!,A283)</f>
        <v>#REF!</v>
      </c>
      <c r="AJ283" s="189" t="e">
        <f>GETPIVOTDATA(#REF!,A283)</f>
        <v>#REF!</v>
      </c>
      <c r="AK283" s="189">
        <f t="shared" si="204"/>
        <v>0.6</v>
      </c>
      <c r="AL283" s="189">
        <f t="shared" si="218"/>
        <v>-0.04</v>
      </c>
      <c r="AM283" s="189">
        <f>9.59*0.3</f>
        <v>2.8769999999999998</v>
      </c>
      <c r="AN283" s="188" t="e">
        <f t="shared" si="226"/>
        <v>#REF!</v>
      </c>
      <c r="AO283" s="183">
        <v>0</v>
      </c>
      <c r="AP283" s="182">
        <f t="shared" si="211"/>
        <v>8</v>
      </c>
      <c r="AQ283" s="182">
        <v>1.5</v>
      </c>
      <c r="AR283" s="187" t="e">
        <f t="shared" si="219"/>
        <v>#REF!</v>
      </c>
      <c r="AS283" s="187" t="e">
        <f t="shared" si="220"/>
        <v>#REF!</v>
      </c>
      <c r="AT283" s="187" t="e">
        <f t="shared" si="221"/>
        <v>#REF!</v>
      </c>
      <c r="AU283" s="187" t="e">
        <f t="shared" si="222"/>
        <v>#REF!</v>
      </c>
      <c r="AV283" s="187" t="e">
        <f t="shared" si="212"/>
        <v>#REF!</v>
      </c>
      <c r="AW283" s="187" t="e">
        <f t="shared" si="223"/>
        <v>#REF!</v>
      </c>
      <c r="AX283" s="187">
        <f t="shared" si="224"/>
        <v>12</v>
      </c>
      <c r="AY283" s="190"/>
      <c r="AZ283" s="240"/>
      <c r="BA283" s="232"/>
      <c r="BF283" s="206"/>
      <c r="BG283" s="206"/>
      <c r="BK283" s="126"/>
      <c r="BL283" s="126"/>
      <c r="BN283" s="126"/>
      <c r="BO283" s="126"/>
      <c r="BQ283" s="126"/>
      <c r="BR283" s="126"/>
      <c r="BT283" s="126"/>
      <c r="BU283" s="126"/>
      <c r="BW283" s="126"/>
      <c r="BX283" s="126"/>
      <c r="BZ283" s="126"/>
      <c r="CA283" s="126"/>
      <c r="CC283" s="126"/>
      <c r="CD283" s="126"/>
      <c r="CF283" s="126"/>
      <c r="CG283" s="126"/>
    </row>
    <row r="284" spans="1:85" s="197" customFormat="1" x14ac:dyDescent="0.3">
      <c r="A284" s="182" t="s">
        <v>239</v>
      </c>
      <c r="B284" s="183">
        <v>1</v>
      </c>
      <c r="C284" s="184" t="s">
        <v>311</v>
      </c>
      <c r="D284" s="187">
        <v>2.7850000000000001</v>
      </c>
      <c r="E284" s="187">
        <v>1.87</v>
      </c>
      <c r="F284" s="186">
        <v>0.125</v>
      </c>
      <c r="G284" s="187">
        <f t="shared" si="213"/>
        <v>0.65099375000000004</v>
      </c>
      <c r="H284" s="188">
        <f t="shared" si="209"/>
        <v>5.2079500000000003</v>
      </c>
      <c r="I284" s="183" t="e">
        <f>GETPIVOTDATA(#REF!,A284)</f>
        <v>#REF!</v>
      </c>
      <c r="J284" s="188" t="e">
        <f>GETPIVOTDATA(#REF!,A284)*2</f>
        <v>#REF!</v>
      </c>
      <c r="K284" s="183" t="e">
        <f>(ROUND(E284/J284,0)+1)*GETPIVOTDATA(#REF!,A284)</f>
        <v>#REF!</v>
      </c>
      <c r="L284" s="189" t="e">
        <f>GETPIVOTDATA(#REF!,A284)</f>
        <v>#REF!</v>
      </c>
      <c r="M284" s="189">
        <f>0.23*2</f>
        <v>0.46</v>
      </c>
      <c r="N284" s="189">
        <f t="shared" si="214"/>
        <v>-0.04</v>
      </c>
      <c r="O284" s="189">
        <f>3.04*0.3</f>
        <v>0.91199999999999992</v>
      </c>
      <c r="P284" s="188" t="e">
        <f t="shared" ref="P284:P347" si="227">+D284+SUM(L284:O284)</f>
        <v>#REF!</v>
      </c>
      <c r="Q284" s="183" t="e">
        <f>GETPIVOTDATA(#REF!,A284)</f>
        <v>#REF!</v>
      </c>
      <c r="R284" s="188" t="e">
        <f>GETPIVOTDATA(#REF!,A284)*2</f>
        <v>#REF!</v>
      </c>
      <c r="S284" s="183" t="e">
        <f>(ROUND(E284/R284,0))*GETPIVOTDATA(#REF!,A284)</f>
        <v>#REF!</v>
      </c>
      <c r="T284" s="189" t="e">
        <f>GETPIVOTDATA(#REF!,A284)</f>
        <v>#REF!</v>
      </c>
      <c r="U284" s="189">
        <f>0.23*2</f>
        <v>0.46</v>
      </c>
      <c r="V284" s="189">
        <f t="shared" si="216"/>
        <v>-0.04</v>
      </c>
      <c r="W284" s="189">
        <f>5.49*0.3</f>
        <v>1.647</v>
      </c>
      <c r="X284" s="188" t="e">
        <f t="shared" si="208"/>
        <v>#REF!</v>
      </c>
      <c r="Y284" s="183" t="e">
        <f>GETPIVOTDATA(#REF!,A284)</f>
        <v>#REF!</v>
      </c>
      <c r="Z284" s="188" t="e">
        <f>GETPIVOTDATA(#REF!,A284)*2</f>
        <v>#REF!</v>
      </c>
      <c r="AA284" s="183" t="e">
        <f>(ROUND(D284/Z284,0)+1)*GETPIVOTDATA(#REF!,A284)</f>
        <v>#REF!</v>
      </c>
      <c r="AB284" s="189" t="e">
        <f>GETPIVOTDATA(#REF!,A284)</f>
        <v>#REF!</v>
      </c>
      <c r="AC284" s="189">
        <f>0.3+0.23</f>
        <v>0.53</v>
      </c>
      <c r="AD284" s="189">
        <f t="shared" si="217"/>
        <v>-0.04</v>
      </c>
      <c r="AE284" s="189">
        <f>4.25*0.3</f>
        <v>1.2749999999999999</v>
      </c>
      <c r="AF284" s="188" t="e">
        <f t="shared" si="210"/>
        <v>#REF!</v>
      </c>
      <c r="AG284" s="183" t="e">
        <f>GETPIVOTDATA(#REF!,A284)</f>
        <v>#REF!</v>
      </c>
      <c r="AH284" s="182" t="e">
        <f>GETPIVOTDATA(#REF!,A284)*2</f>
        <v>#REF!</v>
      </c>
      <c r="AI284" s="183" t="e">
        <f>(ROUND(D284/AH284,0))*GETPIVOTDATA(#REF!,A284)</f>
        <v>#REF!</v>
      </c>
      <c r="AJ284" s="189" t="e">
        <f>GETPIVOTDATA(#REF!,A284)</f>
        <v>#REF!</v>
      </c>
      <c r="AK284" s="189">
        <f>0.3+0.23</f>
        <v>0.53</v>
      </c>
      <c r="AL284" s="189">
        <f t="shared" si="218"/>
        <v>-0.04</v>
      </c>
      <c r="AM284" s="189">
        <f>2.85*0.3</f>
        <v>0.85499999999999998</v>
      </c>
      <c r="AN284" s="188" t="e">
        <f t="shared" si="226"/>
        <v>#REF!</v>
      </c>
      <c r="AO284" s="183">
        <v>0</v>
      </c>
      <c r="AP284" s="182">
        <f t="shared" si="211"/>
        <v>6</v>
      </c>
      <c r="AQ284" s="182">
        <v>1.5</v>
      </c>
      <c r="AR284" s="187" t="e">
        <f t="shared" si="219"/>
        <v>#REF!</v>
      </c>
      <c r="AS284" s="187" t="e">
        <f t="shared" si="220"/>
        <v>#REF!</v>
      </c>
      <c r="AT284" s="187" t="e">
        <f t="shared" si="221"/>
        <v>#REF!</v>
      </c>
      <c r="AU284" s="187" t="e">
        <f t="shared" si="222"/>
        <v>#REF!</v>
      </c>
      <c r="AV284" s="187" t="e">
        <f t="shared" si="212"/>
        <v>#REF!</v>
      </c>
      <c r="AW284" s="187" t="e">
        <f t="shared" si="223"/>
        <v>#REF!</v>
      </c>
      <c r="AX284" s="187">
        <f t="shared" si="224"/>
        <v>9</v>
      </c>
      <c r="AY284" s="190"/>
      <c r="AZ284" s="240"/>
      <c r="BA284" s="232"/>
      <c r="BF284" s="206"/>
      <c r="BG284" s="206"/>
      <c r="BK284" s="126"/>
      <c r="BL284" s="126"/>
      <c r="BN284" s="126"/>
      <c r="BO284" s="126"/>
      <c r="BQ284" s="126"/>
      <c r="BR284" s="126"/>
      <c r="BT284" s="126"/>
      <c r="BU284" s="126"/>
      <c r="BW284" s="126"/>
      <c r="BX284" s="126"/>
      <c r="BZ284" s="126"/>
      <c r="CA284" s="126"/>
      <c r="CC284" s="126"/>
      <c r="CD284" s="126"/>
      <c r="CF284" s="126"/>
      <c r="CG284" s="126"/>
    </row>
    <row r="285" spans="1:85" s="197" customFormat="1" x14ac:dyDescent="0.3">
      <c r="A285" s="182" t="s">
        <v>254</v>
      </c>
      <c r="B285" s="183">
        <v>1</v>
      </c>
      <c r="C285" s="184" t="s">
        <v>312</v>
      </c>
      <c r="D285" s="187">
        <v>5.49</v>
      </c>
      <c r="E285" s="187">
        <v>3.64</v>
      </c>
      <c r="F285" s="186">
        <v>0.15</v>
      </c>
      <c r="G285" s="187">
        <f t="shared" si="213"/>
        <v>2.9975400000000003</v>
      </c>
      <c r="H285" s="188">
        <f t="shared" si="209"/>
        <v>19.983600000000003</v>
      </c>
      <c r="I285" s="183" t="e">
        <f>GETPIVOTDATA(#REF!,A285)</f>
        <v>#REF!</v>
      </c>
      <c r="J285" s="188" t="e">
        <f>GETPIVOTDATA(#REF!,A285)*2</f>
        <v>#REF!</v>
      </c>
      <c r="K285" s="183" t="e">
        <f>(ROUND(E285/J285,0)+1)*GETPIVOTDATA(#REF!,A285)</f>
        <v>#REF!</v>
      </c>
      <c r="L285" s="189" t="e">
        <f>GETPIVOTDATA(#REF!,A285)</f>
        <v>#REF!</v>
      </c>
      <c r="M285" s="189">
        <f t="shared" ref="M285:M344" si="228">0.3*2</f>
        <v>0.6</v>
      </c>
      <c r="N285" s="189">
        <f t="shared" si="214"/>
        <v>-0.04</v>
      </c>
      <c r="O285" s="189">
        <f>2.785*0.3</f>
        <v>0.83550000000000002</v>
      </c>
      <c r="P285" s="188" t="e">
        <f t="shared" si="227"/>
        <v>#REF!</v>
      </c>
      <c r="Q285" s="183" t="e">
        <f>GETPIVOTDATA(#REF!,A285)</f>
        <v>#REF!</v>
      </c>
      <c r="R285" s="188" t="e">
        <f>GETPIVOTDATA(#REF!,A285)*2</f>
        <v>#REF!</v>
      </c>
      <c r="S285" s="183" t="e">
        <f>(ROUND(E285/R285,0))*GETPIVOTDATA(#REF!,A285)</f>
        <v>#REF!</v>
      </c>
      <c r="T285" s="189" t="e">
        <f>GETPIVOTDATA(#REF!,A285)</f>
        <v>#REF!</v>
      </c>
      <c r="U285" s="189">
        <f t="shared" ref="U285:U347" si="229">0.3*2</f>
        <v>0.6</v>
      </c>
      <c r="V285" s="189">
        <f t="shared" si="216"/>
        <v>-0.04</v>
      </c>
      <c r="W285" s="189">
        <f>3.75*0.3</f>
        <v>1.125</v>
      </c>
      <c r="X285" s="188" t="e">
        <f t="shared" si="208"/>
        <v>#REF!</v>
      </c>
      <c r="Y285" s="183" t="e">
        <f>GETPIVOTDATA(#REF!,A285)</f>
        <v>#REF!</v>
      </c>
      <c r="Z285" s="188" t="e">
        <f>GETPIVOTDATA(#REF!,A285)*2</f>
        <v>#REF!</v>
      </c>
      <c r="AA285" s="183" t="e">
        <f>(ROUND(D285/Z285,0)+1)*GETPIVOTDATA(#REF!,A285)</f>
        <v>#REF!</v>
      </c>
      <c r="AB285" s="189" t="e">
        <f>GETPIVOTDATA(#REF!,A285)</f>
        <v>#REF!</v>
      </c>
      <c r="AC285" s="189">
        <f>0.3+0.23</f>
        <v>0.53</v>
      </c>
      <c r="AD285" s="189">
        <f t="shared" si="217"/>
        <v>-0.04</v>
      </c>
      <c r="AE285" s="189">
        <f>4.25*0.3</f>
        <v>1.2749999999999999</v>
      </c>
      <c r="AF285" s="188" t="e">
        <f t="shared" si="210"/>
        <v>#REF!</v>
      </c>
      <c r="AG285" s="183" t="e">
        <f>GETPIVOTDATA(#REF!,A285)</f>
        <v>#REF!</v>
      </c>
      <c r="AH285" s="182" t="e">
        <f>GETPIVOTDATA(#REF!,A285)*2</f>
        <v>#REF!</v>
      </c>
      <c r="AI285" s="183" t="e">
        <f>(ROUND(D285/AH285,0))*GETPIVOTDATA(#REF!,A285)</f>
        <v>#REF!</v>
      </c>
      <c r="AJ285" s="189" t="e">
        <f>GETPIVOTDATA(#REF!,A285)</f>
        <v>#REF!</v>
      </c>
      <c r="AK285" s="189">
        <f>0.3+0.23</f>
        <v>0.53</v>
      </c>
      <c r="AL285" s="189">
        <f t="shared" si="218"/>
        <v>-0.04</v>
      </c>
      <c r="AM285" s="189">
        <f>5.05*0.3</f>
        <v>1.5149999999999999</v>
      </c>
      <c r="AN285" s="188" t="e">
        <f t="shared" si="226"/>
        <v>#REF!</v>
      </c>
      <c r="AO285" s="183">
        <v>0</v>
      </c>
      <c r="AP285" s="182">
        <f t="shared" si="211"/>
        <v>12</v>
      </c>
      <c r="AQ285" s="182">
        <v>1.5</v>
      </c>
      <c r="AR285" s="187" t="e">
        <f t="shared" si="219"/>
        <v>#REF!</v>
      </c>
      <c r="AS285" s="187" t="e">
        <f t="shared" si="220"/>
        <v>#REF!</v>
      </c>
      <c r="AT285" s="187" t="e">
        <f t="shared" si="221"/>
        <v>#REF!</v>
      </c>
      <c r="AU285" s="187" t="e">
        <f t="shared" si="222"/>
        <v>#REF!</v>
      </c>
      <c r="AV285" s="187" t="e">
        <f t="shared" si="212"/>
        <v>#REF!</v>
      </c>
      <c r="AW285" s="187" t="e">
        <f t="shared" si="223"/>
        <v>#REF!</v>
      </c>
      <c r="AX285" s="187">
        <f t="shared" si="224"/>
        <v>18</v>
      </c>
      <c r="AY285" s="190"/>
      <c r="AZ285" s="240"/>
      <c r="BA285" s="232"/>
      <c r="BF285" s="206"/>
      <c r="BG285" s="206"/>
      <c r="BK285" s="126"/>
      <c r="BL285" s="126"/>
      <c r="BN285" s="126"/>
      <c r="BO285" s="126"/>
      <c r="BQ285" s="126"/>
      <c r="BR285" s="126"/>
      <c r="BT285" s="126"/>
      <c r="BU285" s="126"/>
      <c r="BW285" s="126"/>
      <c r="BX285" s="126"/>
      <c r="BZ285" s="126"/>
      <c r="CA285" s="126"/>
      <c r="CC285" s="126"/>
      <c r="CD285" s="126"/>
      <c r="CF285" s="126"/>
      <c r="CG285" s="126"/>
    </row>
    <row r="286" spans="1:85" s="197" customFormat="1" x14ac:dyDescent="0.3">
      <c r="A286" s="182" t="s">
        <v>245</v>
      </c>
      <c r="B286" s="183">
        <v>1</v>
      </c>
      <c r="C286" s="184" t="s">
        <v>313</v>
      </c>
      <c r="D286" s="187">
        <v>1.62</v>
      </c>
      <c r="E286" s="187">
        <v>3.93</v>
      </c>
      <c r="F286" s="186">
        <v>0.14000000000000001</v>
      </c>
      <c r="G286" s="187">
        <f t="shared" si="213"/>
        <v>0.89132400000000023</v>
      </c>
      <c r="H286" s="188">
        <f t="shared" si="209"/>
        <v>6.3666000000000009</v>
      </c>
      <c r="I286" s="183" t="e">
        <f>GETPIVOTDATA(#REF!,A286)</f>
        <v>#REF!</v>
      </c>
      <c r="J286" s="188" t="e">
        <f>GETPIVOTDATA(#REF!,A286)*2</f>
        <v>#REF!</v>
      </c>
      <c r="K286" s="183" t="e">
        <f>(ROUND(E286/J286,0)+1)*GETPIVOTDATA(#REF!,A286)</f>
        <v>#REF!</v>
      </c>
      <c r="L286" s="189" t="e">
        <f>GETPIVOTDATA(#REF!,A286)</f>
        <v>#REF!</v>
      </c>
      <c r="M286" s="189">
        <f>0.3+0.23</f>
        <v>0.53</v>
      </c>
      <c r="N286" s="189">
        <f t="shared" si="214"/>
        <v>-0.04</v>
      </c>
      <c r="O286" s="189">
        <f>3.93*0.3</f>
        <v>1.179</v>
      </c>
      <c r="P286" s="188" t="e">
        <f t="shared" si="227"/>
        <v>#REF!</v>
      </c>
      <c r="Q286" s="183" t="e">
        <f>GETPIVOTDATA(#REF!,A286)</f>
        <v>#REF!</v>
      </c>
      <c r="R286" s="188" t="e">
        <f>GETPIVOTDATA(#REF!,A286)*2</f>
        <v>#REF!</v>
      </c>
      <c r="S286" s="183" t="e">
        <f>(ROUND(E286/R286,0))*GETPIVOTDATA(#REF!,A286)</f>
        <v>#REF!</v>
      </c>
      <c r="T286" s="189" t="e">
        <f>GETPIVOTDATA(#REF!,A286)</f>
        <v>#REF!</v>
      </c>
      <c r="U286" s="189">
        <f>0.3+0.23</f>
        <v>0.53</v>
      </c>
      <c r="V286" s="189">
        <f t="shared" si="216"/>
        <v>-0.04</v>
      </c>
      <c r="W286" s="189">
        <f>2.29*0.3</f>
        <v>0.68699999999999994</v>
      </c>
      <c r="X286" s="188" t="e">
        <f t="shared" si="208"/>
        <v>#REF!</v>
      </c>
      <c r="Y286" s="183" t="e">
        <f>GETPIVOTDATA(#REF!,A286)</f>
        <v>#REF!</v>
      </c>
      <c r="Z286" s="188" t="e">
        <f>GETPIVOTDATA(#REF!,A286)*2</f>
        <v>#REF!</v>
      </c>
      <c r="AA286" s="183" t="e">
        <f>(ROUND(D286/Z286,0)+1)*GETPIVOTDATA(#REF!,A286)</f>
        <v>#REF!</v>
      </c>
      <c r="AB286" s="189" t="e">
        <f>GETPIVOTDATA(#REF!,A286)</f>
        <v>#REF!</v>
      </c>
      <c r="AC286" s="189">
        <f t="shared" si="203"/>
        <v>0.6</v>
      </c>
      <c r="AD286" s="189">
        <f t="shared" si="217"/>
        <v>-0.04</v>
      </c>
      <c r="AE286" s="189">
        <v>0</v>
      </c>
      <c r="AF286" s="188" t="e">
        <f>+E286+SUM(AB286:AE286)</f>
        <v>#REF!</v>
      </c>
      <c r="AG286" s="183" t="e">
        <f>GETPIVOTDATA(#REF!,A286)</f>
        <v>#REF!</v>
      </c>
      <c r="AH286" s="182" t="e">
        <f>GETPIVOTDATA(#REF!,A286)*2</f>
        <v>#REF!</v>
      </c>
      <c r="AI286" s="183" t="e">
        <f>(ROUND(D286/AH286,0))*GETPIVOTDATA(#REF!,A286)</f>
        <v>#REF!</v>
      </c>
      <c r="AJ286" s="189" t="e">
        <f>GETPIVOTDATA(#REF!,A286)</f>
        <v>#REF!</v>
      </c>
      <c r="AK286" s="189">
        <f t="shared" si="204"/>
        <v>0.6</v>
      </c>
      <c r="AL286" s="189">
        <f t="shared" si="218"/>
        <v>-0.04</v>
      </c>
      <c r="AM286" s="189">
        <v>0</v>
      </c>
      <c r="AN286" s="188" t="e">
        <f>+E286+SUM(AJ286:AM286)</f>
        <v>#REF!</v>
      </c>
      <c r="AO286" s="183">
        <v>0</v>
      </c>
      <c r="AP286" s="182">
        <f t="shared" si="211"/>
        <v>8</v>
      </c>
      <c r="AQ286" s="182">
        <v>1.5</v>
      </c>
      <c r="AR286" s="187" t="e">
        <f t="shared" si="219"/>
        <v>#REF!</v>
      </c>
      <c r="AS286" s="187" t="e">
        <f t="shared" si="220"/>
        <v>#REF!</v>
      </c>
      <c r="AT286" s="187" t="e">
        <f t="shared" si="221"/>
        <v>#REF!</v>
      </c>
      <c r="AU286" s="187" t="e">
        <f t="shared" si="222"/>
        <v>#REF!</v>
      </c>
      <c r="AV286" s="187" t="e">
        <f t="shared" si="212"/>
        <v>#REF!</v>
      </c>
      <c r="AW286" s="187" t="e">
        <f t="shared" si="223"/>
        <v>#REF!</v>
      </c>
      <c r="AX286" s="187">
        <f t="shared" si="224"/>
        <v>12</v>
      </c>
      <c r="AY286" s="190"/>
      <c r="AZ286" s="240"/>
      <c r="BA286" s="232"/>
      <c r="BF286" s="206"/>
      <c r="BG286" s="206"/>
      <c r="BK286" s="126"/>
      <c r="BL286" s="126"/>
      <c r="BN286" s="126"/>
      <c r="BO286" s="126"/>
      <c r="BQ286" s="126"/>
      <c r="BR286" s="126"/>
      <c r="BT286" s="126"/>
      <c r="BU286" s="126"/>
      <c r="BW286" s="126"/>
      <c r="BX286" s="126"/>
      <c r="BZ286" s="126"/>
      <c r="CA286" s="126"/>
      <c r="CC286" s="126"/>
      <c r="CD286" s="126"/>
      <c r="CF286" s="126"/>
      <c r="CG286" s="126"/>
    </row>
    <row r="287" spans="1:85" s="197" customFormat="1" x14ac:dyDescent="0.3">
      <c r="A287" s="182" t="s">
        <v>239</v>
      </c>
      <c r="B287" s="183">
        <v>1</v>
      </c>
      <c r="C287" s="184" t="s">
        <v>314</v>
      </c>
      <c r="D287" s="187">
        <v>2.29</v>
      </c>
      <c r="E287" s="187">
        <v>2.5</v>
      </c>
      <c r="F287" s="186">
        <v>0.125</v>
      </c>
      <c r="G287" s="187">
        <f t="shared" si="213"/>
        <v>0.71562499999999996</v>
      </c>
      <c r="H287" s="188">
        <f t="shared" si="209"/>
        <v>5.7249999999999996</v>
      </c>
      <c r="I287" s="183" t="e">
        <f>GETPIVOTDATA(#REF!,A287)</f>
        <v>#REF!</v>
      </c>
      <c r="J287" s="188" t="e">
        <f>GETPIVOTDATA(#REF!,A287)*2</f>
        <v>#REF!</v>
      </c>
      <c r="K287" s="183" t="e">
        <f>(ROUND(E287/J287,0)+1)*GETPIVOTDATA(#REF!,A287)</f>
        <v>#REF!</v>
      </c>
      <c r="L287" s="189" t="e">
        <f>GETPIVOTDATA(#REF!,A287)</f>
        <v>#REF!</v>
      </c>
      <c r="M287" s="189">
        <f>0.23*2</f>
        <v>0.46</v>
      </c>
      <c r="N287" s="189">
        <f t="shared" si="214"/>
        <v>-0.04</v>
      </c>
      <c r="O287" s="189">
        <f>1.62*0.3</f>
        <v>0.48599999999999999</v>
      </c>
      <c r="P287" s="188" t="e">
        <f t="shared" si="227"/>
        <v>#REF!</v>
      </c>
      <c r="Q287" s="183" t="e">
        <f>GETPIVOTDATA(#REF!,A287)</f>
        <v>#REF!</v>
      </c>
      <c r="R287" s="188" t="e">
        <f>GETPIVOTDATA(#REF!,A287)*2</f>
        <v>#REF!</v>
      </c>
      <c r="S287" s="183" t="e">
        <f>(ROUND(E287/R287,0))*GETPIVOTDATA(#REF!,A287)</f>
        <v>#REF!</v>
      </c>
      <c r="T287" s="189" t="e">
        <f>GETPIVOTDATA(#REF!,A287)</f>
        <v>#REF!</v>
      </c>
      <c r="U287" s="189">
        <f>0.23*2</f>
        <v>0.46</v>
      </c>
      <c r="V287" s="189">
        <f t="shared" si="216"/>
        <v>-0.04</v>
      </c>
      <c r="W287" s="189">
        <v>0</v>
      </c>
      <c r="X287" s="188" t="e">
        <f t="shared" si="208"/>
        <v>#REF!</v>
      </c>
      <c r="Y287" s="183" t="e">
        <f>GETPIVOTDATA(#REF!,A287)</f>
        <v>#REF!</v>
      </c>
      <c r="Z287" s="188" t="e">
        <f>GETPIVOTDATA(#REF!,A287)*2</f>
        <v>#REF!</v>
      </c>
      <c r="AA287" s="183" t="e">
        <f>(ROUND(D287/Z287,0)+1)*GETPIVOTDATA(#REF!,A287)</f>
        <v>#REF!</v>
      </c>
      <c r="AB287" s="189" t="e">
        <f>GETPIVOTDATA(#REF!,A287)</f>
        <v>#REF!</v>
      </c>
      <c r="AC287" s="189">
        <f>0.23*2</f>
        <v>0.46</v>
      </c>
      <c r="AD287" s="189">
        <f t="shared" si="217"/>
        <v>-0.04</v>
      </c>
      <c r="AE287" s="189">
        <f>2.29*0.3</f>
        <v>0.68699999999999994</v>
      </c>
      <c r="AF287" s="188" t="e">
        <f t="shared" ref="AF287:AF350" si="230">+E287+SUM(AB287:AE287)</f>
        <v>#REF!</v>
      </c>
      <c r="AG287" s="183" t="e">
        <f>GETPIVOTDATA(#REF!,A287)</f>
        <v>#REF!</v>
      </c>
      <c r="AH287" s="182" t="e">
        <f>GETPIVOTDATA(#REF!,A287)*2</f>
        <v>#REF!</v>
      </c>
      <c r="AI287" s="183" t="e">
        <f>(ROUND(D287/AH287,0))*GETPIVOTDATA(#REF!,A287)</f>
        <v>#REF!</v>
      </c>
      <c r="AJ287" s="189" t="e">
        <f>GETPIVOTDATA(#REF!,A287)</f>
        <v>#REF!</v>
      </c>
      <c r="AK287" s="189">
        <f>0.23*2</f>
        <v>0.46</v>
      </c>
      <c r="AL287" s="189">
        <f t="shared" si="218"/>
        <v>-0.04</v>
      </c>
      <c r="AM287" s="189">
        <f>3.93*0.3</f>
        <v>1.179</v>
      </c>
      <c r="AN287" s="188" t="e">
        <f t="shared" ref="AN287:AN350" si="231">+E287+SUM(AJ287:AM287)</f>
        <v>#REF!</v>
      </c>
      <c r="AO287" s="183">
        <v>0</v>
      </c>
      <c r="AP287" s="182">
        <f t="shared" si="211"/>
        <v>8</v>
      </c>
      <c r="AQ287" s="182">
        <v>1.5</v>
      </c>
      <c r="AR287" s="187" t="e">
        <f t="shared" si="219"/>
        <v>#REF!</v>
      </c>
      <c r="AS287" s="187" t="e">
        <f t="shared" si="220"/>
        <v>#REF!</v>
      </c>
      <c r="AT287" s="187" t="e">
        <f t="shared" si="221"/>
        <v>#REF!</v>
      </c>
      <c r="AU287" s="187" t="e">
        <f t="shared" si="222"/>
        <v>#REF!</v>
      </c>
      <c r="AV287" s="187" t="e">
        <f t="shared" si="212"/>
        <v>#REF!</v>
      </c>
      <c r="AW287" s="187" t="e">
        <f t="shared" si="223"/>
        <v>#REF!</v>
      </c>
      <c r="AX287" s="187">
        <f t="shared" si="224"/>
        <v>12</v>
      </c>
      <c r="AY287" s="190"/>
      <c r="AZ287" s="240"/>
      <c r="BA287" s="232"/>
      <c r="BF287" s="206"/>
      <c r="BG287" s="206"/>
      <c r="BK287" s="126"/>
      <c r="BL287" s="126"/>
      <c r="BN287" s="126"/>
      <c r="BO287" s="126"/>
      <c r="BQ287" s="126"/>
      <c r="BR287" s="126"/>
      <c r="BT287" s="126"/>
      <c r="BU287" s="126"/>
      <c r="BW287" s="126"/>
      <c r="BX287" s="126"/>
      <c r="BZ287" s="126"/>
      <c r="CA287" s="126"/>
      <c r="CC287" s="126"/>
      <c r="CD287" s="126"/>
      <c r="CF287" s="126"/>
      <c r="CG287" s="126"/>
    </row>
    <row r="288" spans="1:85" s="197" customFormat="1" x14ac:dyDescent="0.3">
      <c r="A288" s="182" t="s">
        <v>245</v>
      </c>
      <c r="B288" s="183">
        <v>1</v>
      </c>
      <c r="C288" s="184" t="s">
        <v>315</v>
      </c>
      <c r="D288" s="187">
        <v>2.5</v>
      </c>
      <c r="E288" s="187">
        <v>1.6</v>
      </c>
      <c r="F288" s="186">
        <v>0.14000000000000001</v>
      </c>
      <c r="G288" s="187">
        <f t="shared" si="213"/>
        <v>0.56000000000000005</v>
      </c>
      <c r="H288" s="188">
        <f t="shared" si="209"/>
        <v>4</v>
      </c>
      <c r="I288" s="183" t="e">
        <f>GETPIVOTDATA(#REF!,A288)</f>
        <v>#REF!</v>
      </c>
      <c r="J288" s="188" t="e">
        <f>GETPIVOTDATA(#REF!,A288)*2</f>
        <v>#REF!</v>
      </c>
      <c r="K288" s="183" t="e">
        <f>(ROUND(E288/J288,0)+1)*GETPIVOTDATA(#REF!,A288)</f>
        <v>#REF!</v>
      </c>
      <c r="L288" s="189" t="e">
        <f>GETPIVOTDATA(#REF!,A288)</f>
        <v>#REF!</v>
      </c>
      <c r="M288" s="189">
        <f>0.23*2</f>
        <v>0.46</v>
      </c>
      <c r="N288" s="189">
        <f t="shared" si="214"/>
        <v>-0.04</v>
      </c>
      <c r="O288" s="189">
        <f>2.29*0.3</f>
        <v>0.68699999999999994</v>
      </c>
      <c r="P288" s="188" t="e">
        <f t="shared" si="227"/>
        <v>#REF!</v>
      </c>
      <c r="Q288" s="183" t="e">
        <f>GETPIVOTDATA(#REF!,A288)</f>
        <v>#REF!</v>
      </c>
      <c r="R288" s="188" t="e">
        <f>GETPIVOTDATA(#REF!,A288)*2</f>
        <v>#REF!</v>
      </c>
      <c r="S288" s="183" t="e">
        <f>(ROUND(E288/R288,0))*GETPIVOTDATA(#REF!,A288)</f>
        <v>#REF!</v>
      </c>
      <c r="T288" s="189" t="e">
        <f>GETPIVOTDATA(#REF!,A288)</f>
        <v>#REF!</v>
      </c>
      <c r="U288" s="189">
        <f>0.23*2</f>
        <v>0.46</v>
      </c>
      <c r="V288" s="189">
        <f t="shared" si="216"/>
        <v>-0.04</v>
      </c>
      <c r="W288" s="189">
        <f>1.83*0.3</f>
        <v>0.54900000000000004</v>
      </c>
      <c r="X288" s="188" t="e">
        <f t="shared" si="208"/>
        <v>#REF!</v>
      </c>
      <c r="Y288" s="183" t="e">
        <f>GETPIVOTDATA(#REF!,A288)</f>
        <v>#REF!</v>
      </c>
      <c r="Z288" s="188" t="e">
        <f>GETPIVOTDATA(#REF!,A288)*2</f>
        <v>#REF!</v>
      </c>
      <c r="AA288" s="183" t="e">
        <f>(ROUND(D288/Z288,0)+1)*GETPIVOTDATA(#REF!,A288)</f>
        <v>#REF!</v>
      </c>
      <c r="AB288" s="189" t="e">
        <f>GETPIVOTDATA(#REF!,A288)</f>
        <v>#REF!</v>
      </c>
      <c r="AC288" s="189">
        <f>0.3+0.23</f>
        <v>0.53</v>
      </c>
      <c r="AD288" s="189">
        <f t="shared" si="217"/>
        <v>-0.04</v>
      </c>
      <c r="AE288" s="189">
        <v>0</v>
      </c>
      <c r="AF288" s="188" t="e">
        <f t="shared" si="230"/>
        <v>#REF!</v>
      </c>
      <c r="AG288" s="183" t="e">
        <f>GETPIVOTDATA(#REF!,A288)</f>
        <v>#REF!</v>
      </c>
      <c r="AH288" s="182" t="e">
        <f>GETPIVOTDATA(#REF!,A288)*2</f>
        <v>#REF!</v>
      </c>
      <c r="AI288" s="183" t="e">
        <f>(ROUND(D288/AH288,0))*GETPIVOTDATA(#REF!,A288)</f>
        <v>#REF!</v>
      </c>
      <c r="AJ288" s="189" t="e">
        <f>GETPIVOTDATA(#REF!,A288)</f>
        <v>#REF!</v>
      </c>
      <c r="AK288" s="189">
        <f>0.3+0.23</f>
        <v>0.53</v>
      </c>
      <c r="AL288" s="189">
        <f t="shared" si="218"/>
        <v>-0.04</v>
      </c>
      <c r="AM288" s="189">
        <v>0</v>
      </c>
      <c r="AN288" s="188" t="e">
        <f t="shared" si="231"/>
        <v>#REF!</v>
      </c>
      <c r="AO288" s="183">
        <v>0</v>
      </c>
      <c r="AP288" s="182">
        <f t="shared" si="211"/>
        <v>6</v>
      </c>
      <c r="AQ288" s="182">
        <v>1.5</v>
      </c>
      <c r="AR288" s="187" t="e">
        <f t="shared" si="219"/>
        <v>#REF!</v>
      </c>
      <c r="AS288" s="187" t="e">
        <f t="shared" si="220"/>
        <v>#REF!</v>
      </c>
      <c r="AT288" s="187" t="e">
        <f t="shared" si="221"/>
        <v>#REF!</v>
      </c>
      <c r="AU288" s="187" t="e">
        <f t="shared" si="222"/>
        <v>#REF!</v>
      </c>
      <c r="AV288" s="187" t="e">
        <f t="shared" si="212"/>
        <v>#REF!</v>
      </c>
      <c r="AW288" s="187" t="e">
        <f t="shared" si="223"/>
        <v>#REF!</v>
      </c>
      <c r="AX288" s="187">
        <f t="shared" si="224"/>
        <v>9</v>
      </c>
      <c r="AY288" s="190"/>
      <c r="AZ288" s="240"/>
      <c r="BA288" s="232"/>
      <c r="BF288" s="206"/>
      <c r="BG288" s="206"/>
      <c r="BK288" s="126"/>
      <c r="BL288" s="126"/>
      <c r="BN288" s="126"/>
      <c r="BO288" s="126"/>
      <c r="BQ288" s="126"/>
      <c r="BR288" s="126"/>
      <c r="BT288" s="126"/>
      <c r="BU288" s="126"/>
      <c r="BW288" s="126"/>
      <c r="BX288" s="126"/>
      <c r="BZ288" s="126"/>
      <c r="CA288" s="126"/>
      <c r="CC288" s="126"/>
      <c r="CD288" s="126"/>
      <c r="CF288" s="126"/>
      <c r="CG288" s="126"/>
    </row>
    <row r="289" spans="1:85" s="197" customFormat="1" ht="27.6" x14ac:dyDescent="0.3">
      <c r="A289" s="182" t="s">
        <v>239</v>
      </c>
      <c r="B289" s="183">
        <v>1</v>
      </c>
      <c r="C289" s="184" t="s">
        <v>316</v>
      </c>
      <c r="D289" s="187">
        <v>2.29</v>
      </c>
      <c r="E289" s="187">
        <v>2.64</v>
      </c>
      <c r="F289" s="186">
        <v>0.125</v>
      </c>
      <c r="G289" s="187">
        <f t="shared" si="213"/>
        <v>0.75570000000000004</v>
      </c>
      <c r="H289" s="188">
        <f t="shared" si="209"/>
        <v>6.0456000000000003</v>
      </c>
      <c r="I289" s="183" t="e">
        <f>GETPIVOTDATA(#REF!,A289)</f>
        <v>#REF!</v>
      </c>
      <c r="J289" s="188" t="e">
        <f>GETPIVOTDATA(#REF!,A289)*2</f>
        <v>#REF!</v>
      </c>
      <c r="K289" s="183" t="e">
        <f>(ROUND(E289/J289,0)+1)*GETPIVOTDATA(#REF!,A289)</f>
        <v>#REF!</v>
      </c>
      <c r="L289" s="189" t="e">
        <f>GETPIVOTDATA(#REF!,A289)</f>
        <v>#REF!</v>
      </c>
      <c r="M289" s="189">
        <f t="shared" si="228"/>
        <v>0.6</v>
      </c>
      <c r="N289" s="189">
        <f t="shared" si="214"/>
        <v>-0.04</v>
      </c>
      <c r="O289" s="189">
        <f>1.6*0.3</f>
        <v>0.48</v>
      </c>
      <c r="P289" s="188" t="e">
        <f t="shared" si="227"/>
        <v>#REF!</v>
      </c>
      <c r="Q289" s="183" t="e">
        <f>GETPIVOTDATA(#REF!,A289)</f>
        <v>#REF!</v>
      </c>
      <c r="R289" s="188" t="e">
        <f>GETPIVOTDATA(#REF!,A289)*2</f>
        <v>#REF!</v>
      </c>
      <c r="S289" s="183" t="e">
        <f>(ROUND(E289/R289,0))*GETPIVOTDATA(#REF!,A289)</f>
        <v>#REF!</v>
      </c>
      <c r="T289" s="189" t="e">
        <f>GETPIVOTDATA(#REF!,A289)</f>
        <v>#REF!</v>
      </c>
      <c r="U289" s="189">
        <f t="shared" si="229"/>
        <v>0.6</v>
      </c>
      <c r="V289" s="189">
        <f t="shared" si="216"/>
        <v>-0.04</v>
      </c>
      <c r="W289" s="189">
        <f>4.12*0.3</f>
        <v>1.236</v>
      </c>
      <c r="X289" s="188" t="e">
        <f t="shared" si="208"/>
        <v>#REF!</v>
      </c>
      <c r="Y289" s="183" t="e">
        <f>GETPIVOTDATA(#REF!,A289)</f>
        <v>#REF!</v>
      </c>
      <c r="Z289" s="188" t="e">
        <f>GETPIVOTDATA(#REF!,A289)*2</f>
        <v>#REF!</v>
      </c>
      <c r="AA289" s="183" t="e">
        <f>(ROUND(D289/Z289,0)+1)*GETPIVOTDATA(#REF!,A289)</f>
        <v>#REF!</v>
      </c>
      <c r="AB289" s="189" t="e">
        <f>GETPIVOTDATA(#REF!,A289)</f>
        <v>#REF!</v>
      </c>
      <c r="AC289" s="189">
        <f>0.23*2</f>
        <v>0.46</v>
      </c>
      <c r="AD289" s="189">
        <f t="shared" si="217"/>
        <v>-0.04</v>
      </c>
      <c r="AE289" s="189">
        <f>2.19*0.3</f>
        <v>0.65699999999999992</v>
      </c>
      <c r="AF289" s="188" t="e">
        <f t="shared" si="230"/>
        <v>#REF!</v>
      </c>
      <c r="AG289" s="183" t="e">
        <f>GETPIVOTDATA(#REF!,A289)</f>
        <v>#REF!</v>
      </c>
      <c r="AH289" s="182" t="e">
        <f>GETPIVOTDATA(#REF!,A289)*2</f>
        <v>#REF!</v>
      </c>
      <c r="AI289" s="183" t="e">
        <f>(ROUND(D289/AH289,0))*GETPIVOTDATA(#REF!,A289)</f>
        <v>#REF!</v>
      </c>
      <c r="AJ289" s="189" t="e">
        <f>GETPIVOTDATA(#REF!,A289)</f>
        <v>#REF!</v>
      </c>
      <c r="AK289" s="189">
        <f>0.23*2</f>
        <v>0.46</v>
      </c>
      <c r="AL289" s="189">
        <f t="shared" si="218"/>
        <v>-0.04</v>
      </c>
      <c r="AM289" s="189">
        <f>1.83*0.3</f>
        <v>0.54900000000000004</v>
      </c>
      <c r="AN289" s="188" t="e">
        <f t="shared" si="231"/>
        <v>#REF!</v>
      </c>
      <c r="AO289" s="183">
        <v>0</v>
      </c>
      <c r="AP289" s="182">
        <f t="shared" si="211"/>
        <v>8</v>
      </c>
      <c r="AQ289" s="182">
        <v>1.5</v>
      </c>
      <c r="AR289" s="187" t="e">
        <f t="shared" si="219"/>
        <v>#REF!</v>
      </c>
      <c r="AS289" s="187" t="e">
        <f t="shared" si="220"/>
        <v>#REF!</v>
      </c>
      <c r="AT289" s="187" t="e">
        <f t="shared" si="221"/>
        <v>#REF!</v>
      </c>
      <c r="AU289" s="187" t="e">
        <f t="shared" si="222"/>
        <v>#REF!</v>
      </c>
      <c r="AV289" s="187" t="e">
        <f t="shared" si="212"/>
        <v>#REF!</v>
      </c>
      <c r="AW289" s="187" t="e">
        <f t="shared" si="223"/>
        <v>#REF!</v>
      </c>
      <c r="AX289" s="187">
        <f t="shared" si="224"/>
        <v>12</v>
      </c>
      <c r="AY289" s="190"/>
      <c r="AZ289" s="240"/>
      <c r="BA289" s="232"/>
      <c r="BF289" s="206"/>
      <c r="BG289" s="206"/>
      <c r="BK289" s="126"/>
      <c r="BL289" s="126"/>
      <c r="BN289" s="126"/>
      <c r="BO289" s="126"/>
      <c r="BQ289" s="126"/>
      <c r="BR289" s="126"/>
      <c r="BT289" s="126"/>
      <c r="BU289" s="126"/>
      <c r="BW289" s="126"/>
      <c r="BX289" s="126"/>
      <c r="BZ289" s="126"/>
      <c r="CA289" s="126"/>
      <c r="CC289" s="126"/>
      <c r="CD289" s="126"/>
      <c r="CF289" s="126"/>
      <c r="CG289" s="126"/>
    </row>
    <row r="290" spans="1:85" s="197" customFormat="1" x14ac:dyDescent="0.3">
      <c r="A290" s="182" t="s">
        <v>227</v>
      </c>
      <c r="B290" s="183">
        <v>1</v>
      </c>
      <c r="C290" s="184" t="s">
        <v>317</v>
      </c>
      <c r="D290" s="187">
        <v>4.12</v>
      </c>
      <c r="E290" s="187">
        <v>1.72</v>
      </c>
      <c r="F290" s="186">
        <v>0.125</v>
      </c>
      <c r="G290" s="187">
        <f t="shared" si="213"/>
        <v>0.88580000000000003</v>
      </c>
      <c r="H290" s="188">
        <f t="shared" si="209"/>
        <v>7.0864000000000003</v>
      </c>
      <c r="I290" s="183" t="e">
        <f>GETPIVOTDATA(#REF!,A290)</f>
        <v>#REF!</v>
      </c>
      <c r="J290" s="188" t="e">
        <f>GETPIVOTDATA(#REF!,A290)*2</f>
        <v>#REF!</v>
      </c>
      <c r="K290" s="183" t="e">
        <f>(ROUND(E290/J290,0)+1)*GETPIVOTDATA(#REF!,A290)</f>
        <v>#REF!</v>
      </c>
      <c r="L290" s="189" t="e">
        <f>GETPIVOTDATA(#REF!,A290)</f>
        <v>#REF!</v>
      </c>
      <c r="M290" s="189">
        <f t="shared" si="228"/>
        <v>0.6</v>
      </c>
      <c r="N290" s="189">
        <f t="shared" si="214"/>
        <v>-0.04</v>
      </c>
      <c r="O290" s="189">
        <f>2.29*0.3</f>
        <v>0.68699999999999994</v>
      </c>
      <c r="P290" s="188" t="e">
        <f t="shared" si="227"/>
        <v>#REF!</v>
      </c>
      <c r="Q290" s="183" t="e">
        <f>GETPIVOTDATA(#REF!,A290)</f>
        <v>#REF!</v>
      </c>
      <c r="R290" s="188" t="e">
        <f>GETPIVOTDATA(#REF!,A290)*2</f>
        <v>#REF!</v>
      </c>
      <c r="S290" s="183" t="e">
        <f>(ROUND(E290/R290,0))*GETPIVOTDATA(#REF!,A290)</f>
        <v>#REF!</v>
      </c>
      <c r="T290" s="189" t="e">
        <f>GETPIVOTDATA(#REF!,A290)</f>
        <v>#REF!</v>
      </c>
      <c r="U290" s="189">
        <f t="shared" si="229"/>
        <v>0.6</v>
      </c>
      <c r="V290" s="189">
        <f t="shared" si="216"/>
        <v>-0.04</v>
      </c>
      <c r="W290" s="189">
        <f>3.01*0.3</f>
        <v>0.90299999999999991</v>
      </c>
      <c r="X290" s="188" t="e">
        <f t="shared" si="208"/>
        <v>#REF!</v>
      </c>
      <c r="Y290" s="183" t="e">
        <f>GETPIVOTDATA(#REF!,A290)</f>
        <v>#REF!</v>
      </c>
      <c r="Z290" s="188" t="e">
        <f>GETPIVOTDATA(#REF!,A290)*2</f>
        <v>#REF!</v>
      </c>
      <c r="AA290" s="183" t="e">
        <f>(ROUND(D290/Z290,0)+1)*GETPIVOTDATA(#REF!,A290)</f>
        <v>#REF!</v>
      </c>
      <c r="AB290" s="189" t="e">
        <f>GETPIVOTDATA(#REF!,A290)</f>
        <v>#REF!</v>
      </c>
      <c r="AC290" s="189">
        <f>0.23*2</f>
        <v>0.46</v>
      </c>
      <c r="AD290" s="189">
        <f t="shared" si="217"/>
        <v>-0.04</v>
      </c>
      <c r="AE290" s="189">
        <f>2.19*0.3</f>
        <v>0.65699999999999992</v>
      </c>
      <c r="AF290" s="188" t="e">
        <f t="shared" si="230"/>
        <v>#REF!</v>
      </c>
      <c r="AG290" s="183" t="e">
        <f>GETPIVOTDATA(#REF!,A290)</f>
        <v>#REF!</v>
      </c>
      <c r="AH290" s="182" t="e">
        <f>GETPIVOTDATA(#REF!,A290)*2</f>
        <v>#REF!</v>
      </c>
      <c r="AI290" s="183" t="e">
        <f>(ROUND(D290/AH290,0))*GETPIVOTDATA(#REF!,A290)</f>
        <v>#REF!</v>
      </c>
      <c r="AJ290" s="189" t="e">
        <f>GETPIVOTDATA(#REF!,A290)</f>
        <v>#REF!</v>
      </c>
      <c r="AK290" s="189">
        <f>0.23*2</f>
        <v>0.46</v>
      </c>
      <c r="AL290" s="189">
        <f t="shared" si="218"/>
        <v>-0.04</v>
      </c>
      <c r="AM290" s="189">
        <f>2.09*0.3</f>
        <v>0.62699999999999989</v>
      </c>
      <c r="AN290" s="188" t="e">
        <f t="shared" si="231"/>
        <v>#REF!</v>
      </c>
      <c r="AO290" s="183">
        <v>0</v>
      </c>
      <c r="AP290" s="182">
        <f t="shared" si="211"/>
        <v>8</v>
      </c>
      <c r="AQ290" s="182">
        <v>1.5</v>
      </c>
      <c r="AR290" s="187" t="e">
        <f t="shared" si="219"/>
        <v>#REF!</v>
      </c>
      <c r="AS290" s="187" t="e">
        <f t="shared" si="220"/>
        <v>#REF!</v>
      </c>
      <c r="AT290" s="187" t="e">
        <f t="shared" si="221"/>
        <v>#REF!</v>
      </c>
      <c r="AU290" s="187" t="e">
        <f t="shared" si="222"/>
        <v>#REF!</v>
      </c>
      <c r="AV290" s="187" t="e">
        <f t="shared" si="212"/>
        <v>#REF!</v>
      </c>
      <c r="AW290" s="187" t="e">
        <f t="shared" si="223"/>
        <v>#REF!</v>
      </c>
      <c r="AX290" s="187">
        <f t="shared" si="224"/>
        <v>12</v>
      </c>
      <c r="AY290" s="190"/>
      <c r="AZ290" s="240"/>
      <c r="BA290" s="232"/>
      <c r="BF290" s="206"/>
      <c r="BG290" s="206"/>
      <c r="BK290" s="126"/>
      <c r="BL290" s="126"/>
      <c r="BN290" s="126"/>
      <c r="BO290" s="126"/>
      <c r="BQ290" s="126"/>
      <c r="BR290" s="126"/>
      <c r="BT290" s="126"/>
      <c r="BU290" s="126"/>
      <c r="BW290" s="126"/>
      <c r="BX290" s="126"/>
      <c r="BZ290" s="126"/>
      <c r="CA290" s="126"/>
      <c r="CC290" s="126"/>
      <c r="CD290" s="126"/>
      <c r="CF290" s="126"/>
      <c r="CG290" s="126"/>
    </row>
    <row r="291" spans="1:85" s="197" customFormat="1" x14ac:dyDescent="0.3">
      <c r="A291" s="182" t="s">
        <v>239</v>
      </c>
      <c r="B291" s="183">
        <v>1</v>
      </c>
      <c r="C291" s="184" t="s">
        <v>318</v>
      </c>
      <c r="D291" s="187">
        <v>3.01</v>
      </c>
      <c r="E291" s="187">
        <v>2.895</v>
      </c>
      <c r="F291" s="186">
        <v>0.125</v>
      </c>
      <c r="G291" s="187">
        <f t="shared" si="213"/>
        <v>1.0892437499999998</v>
      </c>
      <c r="H291" s="188">
        <f t="shared" si="209"/>
        <v>8.7139499999999988</v>
      </c>
      <c r="I291" s="183" t="e">
        <f>GETPIVOTDATA(#REF!,A291)</f>
        <v>#REF!</v>
      </c>
      <c r="J291" s="188" t="e">
        <f>GETPIVOTDATA(#REF!,A291)*2</f>
        <v>#REF!</v>
      </c>
      <c r="K291" s="183" t="e">
        <f>(ROUND(E291/J291,0)+1)*GETPIVOTDATA(#REF!,A291)</f>
        <v>#REF!</v>
      </c>
      <c r="L291" s="189" t="e">
        <f>GETPIVOTDATA(#REF!,A291)</f>
        <v>#REF!</v>
      </c>
      <c r="M291" s="189">
        <f t="shared" si="228"/>
        <v>0.6</v>
      </c>
      <c r="N291" s="189">
        <f t="shared" si="214"/>
        <v>-0.04</v>
      </c>
      <c r="O291" s="189">
        <f>4.12*0.3</f>
        <v>1.236</v>
      </c>
      <c r="P291" s="188" t="e">
        <f t="shared" si="227"/>
        <v>#REF!</v>
      </c>
      <c r="Q291" s="183" t="e">
        <f>GETPIVOTDATA(#REF!,A291)</f>
        <v>#REF!</v>
      </c>
      <c r="R291" s="188" t="e">
        <f>GETPIVOTDATA(#REF!,A291)*2</f>
        <v>#REF!</v>
      </c>
      <c r="S291" s="183" t="e">
        <f>(ROUND(E291/R291,0))*GETPIVOTDATA(#REF!,A291)</f>
        <v>#REF!</v>
      </c>
      <c r="T291" s="189" t="e">
        <f>GETPIVOTDATA(#REF!,A291)</f>
        <v>#REF!</v>
      </c>
      <c r="U291" s="189">
        <f t="shared" si="229"/>
        <v>0.6</v>
      </c>
      <c r="V291" s="189">
        <f t="shared" si="216"/>
        <v>-0.04</v>
      </c>
      <c r="W291" s="189">
        <f>4.871*0.3</f>
        <v>1.4613</v>
      </c>
      <c r="X291" s="188" t="e">
        <f t="shared" si="208"/>
        <v>#REF!</v>
      </c>
      <c r="Y291" s="183" t="e">
        <f>GETPIVOTDATA(#REF!,A291)</f>
        <v>#REF!</v>
      </c>
      <c r="Z291" s="188" t="e">
        <f>GETPIVOTDATA(#REF!,A291)*2</f>
        <v>#REF!</v>
      </c>
      <c r="AA291" s="183" t="e">
        <f>(ROUND(D291/Z291,0)+1)*GETPIVOTDATA(#REF!,A291)</f>
        <v>#REF!</v>
      </c>
      <c r="AB291" s="189" t="e">
        <f>GETPIVOTDATA(#REF!,A291)</f>
        <v>#REF!</v>
      </c>
      <c r="AC291" s="189">
        <f t="shared" ref="AC291:AC351" si="232">0.3*2</f>
        <v>0.6</v>
      </c>
      <c r="AD291" s="189">
        <f t="shared" si="217"/>
        <v>-0.04</v>
      </c>
      <c r="AE291" s="189">
        <f>2.895*0.3</f>
        <v>0.86849999999999994</v>
      </c>
      <c r="AF291" s="188" t="e">
        <f t="shared" si="230"/>
        <v>#REF!</v>
      </c>
      <c r="AG291" s="183" t="e">
        <f>GETPIVOTDATA(#REF!,A291)</f>
        <v>#REF!</v>
      </c>
      <c r="AH291" s="182" t="e">
        <f>GETPIVOTDATA(#REF!,A291)*2</f>
        <v>#REF!</v>
      </c>
      <c r="AI291" s="183" t="e">
        <f>(ROUND(D291/AH291,0))*GETPIVOTDATA(#REF!,A291)</f>
        <v>#REF!</v>
      </c>
      <c r="AJ291" s="189" t="e">
        <f>GETPIVOTDATA(#REF!,A291)</f>
        <v>#REF!</v>
      </c>
      <c r="AK291" s="189">
        <f t="shared" ref="AK291:AK351" si="233">0.3*2</f>
        <v>0.6</v>
      </c>
      <c r="AL291" s="189">
        <f t="shared" si="218"/>
        <v>-0.04</v>
      </c>
      <c r="AM291" s="189">
        <f>4.42*0.3</f>
        <v>1.3259999999999998</v>
      </c>
      <c r="AN291" s="188" t="e">
        <f t="shared" si="231"/>
        <v>#REF!</v>
      </c>
      <c r="AO291" s="183">
        <v>0</v>
      </c>
      <c r="AP291" s="182">
        <f t="shared" si="211"/>
        <v>8</v>
      </c>
      <c r="AQ291" s="182">
        <v>1.5</v>
      </c>
      <c r="AR291" s="187" t="e">
        <f t="shared" si="219"/>
        <v>#REF!</v>
      </c>
      <c r="AS291" s="187" t="e">
        <f t="shared" si="220"/>
        <v>#REF!</v>
      </c>
      <c r="AT291" s="187" t="e">
        <f t="shared" si="221"/>
        <v>#REF!</v>
      </c>
      <c r="AU291" s="187" t="e">
        <f t="shared" si="222"/>
        <v>#REF!</v>
      </c>
      <c r="AV291" s="187" t="e">
        <f t="shared" si="212"/>
        <v>#REF!</v>
      </c>
      <c r="AW291" s="187" t="e">
        <f t="shared" si="223"/>
        <v>#REF!</v>
      </c>
      <c r="AX291" s="187">
        <f t="shared" si="224"/>
        <v>12</v>
      </c>
      <c r="AY291" s="190"/>
      <c r="AZ291" s="240"/>
      <c r="BA291" s="232"/>
      <c r="BF291" s="206"/>
      <c r="BG291" s="206"/>
      <c r="BK291" s="126"/>
      <c r="BL291" s="126"/>
      <c r="BN291" s="126"/>
      <c r="BO291" s="126"/>
      <c r="BQ291" s="126"/>
      <c r="BR291" s="126"/>
      <c r="BT291" s="126"/>
      <c r="BU291" s="126"/>
      <c r="BW291" s="126"/>
      <c r="BX291" s="126"/>
      <c r="BZ291" s="126"/>
      <c r="CA291" s="126"/>
      <c r="CC291" s="126"/>
      <c r="CD291" s="126"/>
      <c r="CF291" s="126"/>
      <c r="CG291" s="126"/>
    </row>
    <row r="292" spans="1:85" s="197" customFormat="1" ht="27.6" x14ac:dyDescent="0.3">
      <c r="A292" s="182" t="s">
        <v>243</v>
      </c>
      <c r="B292" s="183">
        <v>1</v>
      </c>
      <c r="C292" s="184" t="s">
        <v>319</v>
      </c>
      <c r="D292" s="187">
        <v>4.8710000000000004</v>
      </c>
      <c r="E292" s="187">
        <v>2.75</v>
      </c>
      <c r="F292" s="186">
        <v>0.15</v>
      </c>
      <c r="G292" s="187">
        <f t="shared" si="213"/>
        <v>2.0092875000000001</v>
      </c>
      <c r="H292" s="188">
        <f t="shared" si="209"/>
        <v>13.395250000000001</v>
      </c>
      <c r="I292" s="183" t="e">
        <f>GETPIVOTDATA(#REF!,A292)</f>
        <v>#REF!</v>
      </c>
      <c r="J292" s="188" t="e">
        <f>GETPIVOTDATA(#REF!,A292)*2</f>
        <v>#REF!</v>
      </c>
      <c r="K292" s="183" t="e">
        <f>(ROUND(E292/J292,0)+1)*GETPIVOTDATA(#REF!,A292)</f>
        <v>#REF!</v>
      </c>
      <c r="L292" s="189" t="e">
        <f>GETPIVOTDATA(#REF!,A292)</f>
        <v>#REF!</v>
      </c>
      <c r="M292" s="189">
        <f t="shared" si="228"/>
        <v>0.6</v>
      </c>
      <c r="N292" s="189">
        <f t="shared" si="214"/>
        <v>-0.04</v>
      </c>
      <c r="O292" s="189">
        <f>3.01*0.3</f>
        <v>0.90299999999999991</v>
      </c>
      <c r="P292" s="188" t="e">
        <f t="shared" si="227"/>
        <v>#REF!</v>
      </c>
      <c r="Q292" s="183" t="e">
        <f>GETPIVOTDATA(#REF!,A292)</f>
        <v>#REF!</v>
      </c>
      <c r="R292" s="188" t="e">
        <f>GETPIVOTDATA(#REF!,A292)*2</f>
        <v>#REF!</v>
      </c>
      <c r="S292" s="183" t="e">
        <f>(ROUND(E292/R292,0))*GETPIVOTDATA(#REF!,A292)</f>
        <v>#REF!</v>
      </c>
      <c r="T292" s="189" t="e">
        <f>GETPIVOTDATA(#REF!,A292)</f>
        <v>#REF!</v>
      </c>
      <c r="U292" s="189">
        <f t="shared" si="229"/>
        <v>0.6</v>
      </c>
      <c r="V292" s="189">
        <f t="shared" si="216"/>
        <v>-0.04</v>
      </c>
      <c r="W292" s="189">
        <f>3.66*0.3</f>
        <v>1.0980000000000001</v>
      </c>
      <c r="X292" s="188" t="e">
        <f t="shared" si="208"/>
        <v>#REF!</v>
      </c>
      <c r="Y292" s="183" t="e">
        <f>GETPIVOTDATA(#REF!,A292)</f>
        <v>#REF!</v>
      </c>
      <c r="Z292" s="188" t="e">
        <f>GETPIVOTDATA(#REF!,A292)*2</f>
        <v>#REF!</v>
      </c>
      <c r="AA292" s="183" t="e">
        <f>(ROUND(D292/Z292,0)+1)*GETPIVOTDATA(#REF!,A292)</f>
        <v>#REF!</v>
      </c>
      <c r="AB292" s="189" t="e">
        <f>GETPIVOTDATA(#REF!,A292)</f>
        <v>#REF!</v>
      </c>
      <c r="AC292" s="189">
        <f>0.38+0.34</f>
        <v>0.72</v>
      </c>
      <c r="AD292" s="189">
        <f t="shared" si="217"/>
        <v>-0.04</v>
      </c>
      <c r="AE292" s="189">
        <f>2.75*0.3</f>
        <v>0.82499999999999996</v>
      </c>
      <c r="AF292" s="188" t="e">
        <f t="shared" si="230"/>
        <v>#REF!</v>
      </c>
      <c r="AG292" s="183" t="e">
        <f>GETPIVOTDATA(#REF!,A292)</f>
        <v>#REF!</v>
      </c>
      <c r="AH292" s="182" t="e">
        <f>GETPIVOTDATA(#REF!,A292)*2</f>
        <v>#REF!</v>
      </c>
      <c r="AI292" s="183" t="e">
        <f>(ROUND(D292/AH292,0))*GETPIVOTDATA(#REF!,A292)</f>
        <v>#REF!</v>
      </c>
      <c r="AJ292" s="189" t="e">
        <f>GETPIVOTDATA(#REF!,A292)</f>
        <v>#REF!</v>
      </c>
      <c r="AK292" s="189">
        <f>0.38+0.34</f>
        <v>0.72</v>
      </c>
      <c r="AL292" s="189">
        <f t="shared" si="218"/>
        <v>-0.04</v>
      </c>
      <c r="AM292" s="189">
        <f>4.42*0.3</f>
        <v>1.3259999999999998</v>
      </c>
      <c r="AN292" s="188" t="e">
        <f t="shared" si="231"/>
        <v>#REF!</v>
      </c>
      <c r="AO292" s="183">
        <v>0</v>
      </c>
      <c r="AP292" s="182">
        <f t="shared" si="211"/>
        <v>10</v>
      </c>
      <c r="AQ292" s="182">
        <v>1.5</v>
      </c>
      <c r="AR292" s="187" t="e">
        <f t="shared" si="219"/>
        <v>#REF!</v>
      </c>
      <c r="AS292" s="187" t="e">
        <f t="shared" si="220"/>
        <v>#REF!</v>
      </c>
      <c r="AT292" s="187" t="e">
        <f t="shared" si="221"/>
        <v>#REF!</v>
      </c>
      <c r="AU292" s="187" t="e">
        <f t="shared" si="222"/>
        <v>#REF!</v>
      </c>
      <c r="AV292" s="187" t="e">
        <f t="shared" si="212"/>
        <v>#REF!</v>
      </c>
      <c r="AW292" s="187" t="e">
        <f t="shared" si="223"/>
        <v>#REF!</v>
      </c>
      <c r="AX292" s="187">
        <f t="shared" si="224"/>
        <v>15</v>
      </c>
      <c r="AY292" s="190"/>
      <c r="AZ292" s="240"/>
      <c r="BA292" s="232"/>
      <c r="BF292" s="206"/>
      <c r="BG292" s="206"/>
      <c r="BK292" s="126"/>
      <c r="BL292" s="126"/>
      <c r="BN292" s="126"/>
      <c r="BO292" s="126"/>
      <c r="BQ292" s="126"/>
      <c r="BR292" s="126"/>
      <c r="BT292" s="126"/>
      <c r="BU292" s="126"/>
      <c r="BW292" s="126"/>
      <c r="BX292" s="126"/>
      <c r="BZ292" s="126"/>
      <c r="CA292" s="126"/>
      <c r="CC292" s="126"/>
      <c r="CD292" s="126"/>
      <c r="CF292" s="126"/>
      <c r="CG292" s="126"/>
    </row>
    <row r="293" spans="1:85" s="197" customFormat="1" ht="27.6" x14ac:dyDescent="0.3">
      <c r="A293" s="182" t="s">
        <v>232</v>
      </c>
      <c r="B293" s="183">
        <v>1</v>
      </c>
      <c r="C293" s="184" t="s">
        <v>320</v>
      </c>
      <c r="D293" s="187">
        <v>3.66</v>
      </c>
      <c r="E293" s="187">
        <v>2.75</v>
      </c>
      <c r="F293" s="186">
        <v>0.13</v>
      </c>
      <c r="G293" s="187">
        <f t="shared" si="213"/>
        <v>1.3084500000000001</v>
      </c>
      <c r="H293" s="188">
        <f t="shared" si="209"/>
        <v>10.065000000000001</v>
      </c>
      <c r="I293" s="183" t="e">
        <f>GETPIVOTDATA(#REF!,A293)</f>
        <v>#REF!</v>
      </c>
      <c r="J293" s="188" t="e">
        <f>GETPIVOTDATA(#REF!,A293)*2</f>
        <v>#REF!</v>
      </c>
      <c r="K293" s="183" t="e">
        <f>(ROUND(E293/J293,0)+1)*GETPIVOTDATA(#REF!,A293)</f>
        <v>#REF!</v>
      </c>
      <c r="L293" s="189" t="e">
        <f>GETPIVOTDATA(#REF!,A293)</f>
        <v>#REF!</v>
      </c>
      <c r="M293" s="189">
        <f t="shared" si="228"/>
        <v>0.6</v>
      </c>
      <c r="N293" s="189">
        <f t="shared" si="214"/>
        <v>-0.04</v>
      </c>
      <c r="O293" s="189">
        <f>4.87*0.3</f>
        <v>1.4610000000000001</v>
      </c>
      <c r="P293" s="188" t="e">
        <f t="shared" si="227"/>
        <v>#REF!</v>
      </c>
      <c r="Q293" s="183" t="e">
        <f>GETPIVOTDATA(#REF!,A293)</f>
        <v>#REF!</v>
      </c>
      <c r="R293" s="188" t="e">
        <f>GETPIVOTDATA(#REF!,A293)*2</f>
        <v>#REF!</v>
      </c>
      <c r="S293" s="183" t="e">
        <f>(ROUND(E293/R293,0))*GETPIVOTDATA(#REF!,A293)</f>
        <v>#REF!</v>
      </c>
      <c r="T293" s="189" t="e">
        <f>GETPIVOTDATA(#REF!,A293)</f>
        <v>#REF!</v>
      </c>
      <c r="U293" s="189">
        <f t="shared" si="229"/>
        <v>0.6</v>
      </c>
      <c r="V293" s="189">
        <f t="shared" si="216"/>
        <v>-0.04</v>
      </c>
      <c r="W293" s="189">
        <f>6*0.3</f>
        <v>1.7999999999999998</v>
      </c>
      <c r="X293" s="188" t="e">
        <f t="shared" si="208"/>
        <v>#REF!</v>
      </c>
      <c r="Y293" s="183" t="e">
        <f>GETPIVOTDATA(#REF!,A293)</f>
        <v>#REF!</v>
      </c>
      <c r="Z293" s="188" t="e">
        <f>GETPIVOTDATA(#REF!,A293)*2</f>
        <v>#REF!</v>
      </c>
      <c r="AA293" s="183" t="e">
        <f>(ROUND(D293/Z293,0)+1)*GETPIVOTDATA(#REF!,A293)</f>
        <v>#REF!</v>
      </c>
      <c r="AB293" s="189" t="e">
        <f>GETPIVOTDATA(#REF!,A293)</f>
        <v>#REF!</v>
      </c>
      <c r="AC293" s="189">
        <f>0.38+0.34</f>
        <v>0.72</v>
      </c>
      <c r="AD293" s="189">
        <f t="shared" si="217"/>
        <v>-0.04</v>
      </c>
      <c r="AE293" s="189">
        <f>2.75*0.3</f>
        <v>0.82499999999999996</v>
      </c>
      <c r="AF293" s="188" t="e">
        <f t="shared" si="230"/>
        <v>#REF!</v>
      </c>
      <c r="AG293" s="183" t="e">
        <f>GETPIVOTDATA(#REF!,A293)</f>
        <v>#REF!</v>
      </c>
      <c r="AH293" s="182" t="e">
        <f>GETPIVOTDATA(#REF!,A293)*2</f>
        <v>#REF!</v>
      </c>
      <c r="AI293" s="183" t="e">
        <f>(ROUND(D293/AH293,0))*GETPIVOTDATA(#REF!,A293)</f>
        <v>#REF!</v>
      </c>
      <c r="AJ293" s="189" t="e">
        <f>GETPIVOTDATA(#REF!,A293)</f>
        <v>#REF!</v>
      </c>
      <c r="AK293" s="189">
        <f>0.38+0.34</f>
        <v>0.72</v>
      </c>
      <c r="AL293" s="189">
        <f t="shared" si="218"/>
        <v>-0.04</v>
      </c>
      <c r="AM293" s="189">
        <f>2.75*0.3</f>
        <v>0.82499999999999996</v>
      </c>
      <c r="AN293" s="188" t="e">
        <f t="shared" si="231"/>
        <v>#REF!</v>
      </c>
      <c r="AO293" s="183">
        <v>0</v>
      </c>
      <c r="AP293" s="182">
        <f t="shared" si="211"/>
        <v>8</v>
      </c>
      <c r="AQ293" s="182">
        <v>1.5</v>
      </c>
      <c r="AR293" s="187" t="e">
        <f t="shared" si="219"/>
        <v>#REF!</v>
      </c>
      <c r="AS293" s="187" t="e">
        <f t="shared" si="220"/>
        <v>#REF!</v>
      </c>
      <c r="AT293" s="187" t="e">
        <f t="shared" si="221"/>
        <v>#REF!</v>
      </c>
      <c r="AU293" s="187" t="e">
        <f t="shared" si="222"/>
        <v>#REF!</v>
      </c>
      <c r="AV293" s="187" t="e">
        <f t="shared" si="212"/>
        <v>#REF!</v>
      </c>
      <c r="AW293" s="187" t="e">
        <f t="shared" si="223"/>
        <v>#REF!</v>
      </c>
      <c r="AX293" s="187">
        <f t="shared" si="224"/>
        <v>12</v>
      </c>
      <c r="AY293" s="190"/>
      <c r="AZ293" s="240"/>
      <c r="BA293" s="232"/>
      <c r="BF293" s="206"/>
      <c r="BG293" s="206"/>
      <c r="BK293" s="126"/>
      <c r="BL293" s="126"/>
      <c r="BN293" s="126"/>
      <c r="BO293" s="126"/>
      <c r="BQ293" s="126"/>
      <c r="BR293" s="126"/>
      <c r="BT293" s="126"/>
      <c r="BU293" s="126"/>
      <c r="BW293" s="126"/>
      <c r="BX293" s="126"/>
      <c r="BZ293" s="126"/>
      <c r="CA293" s="126"/>
      <c r="CC293" s="126"/>
      <c r="CD293" s="126"/>
      <c r="CF293" s="126"/>
      <c r="CG293" s="126"/>
    </row>
    <row r="294" spans="1:85" s="197" customFormat="1" ht="27.6" x14ac:dyDescent="0.3">
      <c r="A294" s="182" t="s">
        <v>245</v>
      </c>
      <c r="B294" s="183">
        <v>1</v>
      </c>
      <c r="C294" s="184" t="s">
        <v>321</v>
      </c>
      <c r="D294" s="187">
        <v>1.36</v>
      </c>
      <c r="E294" s="187">
        <v>4.25</v>
      </c>
      <c r="F294" s="186">
        <v>0.14000000000000001</v>
      </c>
      <c r="G294" s="187">
        <f t="shared" si="213"/>
        <v>0.80920000000000014</v>
      </c>
      <c r="H294" s="188">
        <f t="shared" si="209"/>
        <v>5.78</v>
      </c>
      <c r="I294" s="183" t="e">
        <f>GETPIVOTDATA(#REF!,A294)</f>
        <v>#REF!</v>
      </c>
      <c r="J294" s="188" t="e">
        <f>GETPIVOTDATA(#REF!,A294)*2</f>
        <v>#REF!</v>
      </c>
      <c r="K294" s="183" t="e">
        <f>(ROUND(E294/J294,0)+1)*GETPIVOTDATA(#REF!,A294)</f>
        <v>#REF!</v>
      </c>
      <c r="L294" s="189" t="e">
        <f>GETPIVOTDATA(#REF!,A294)</f>
        <v>#REF!</v>
      </c>
      <c r="M294" s="189">
        <f>0.23*2</f>
        <v>0.46</v>
      </c>
      <c r="N294" s="189">
        <f t="shared" si="214"/>
        <v>-0.04</v>
      </c>
      <c r="O294" s="189">
        <v>0</v>
      </c>
      <c r="P294" s="188" t="e">
        <f t="shared" si="227"/>
        <v>#REF!</v>
      </c>
      <c r="Q294" s="183" t="e">
        <f>GETPIVOTDATA(#REF!,A294)</f>
        <v>#REF!</v>
      </c>
      <c r="R294" s="188" t="e">
        <f>GETPIVOTDATA(#REF!,A294)*2</f>
        <v>#REF!</v>
      </c>
      <c r="S294" s="183" t="e">
        <f>(ROUND(E294/R294,0))*GETPIVOTDATA(#REF!,A294)</f>
        <v>#REF!</v>
      </c>
      <c r="T294" s="189" t="e">
        <f>GETPIVOTDATA(#REF!,A294)</f>
        <v>#REF!</v>
      </c>
      <c r="U294" s="189">
        <f>0.23*2</f>
        <v>0.46</v>
      </c>
      <c r="V294" s="189">
        <f t="shared" si="216"/>
        <v>-0.04</v>
      </c>
      <c r="W294" s="189">
        <f>1.68*0.3</f>
        <v>0.504</v>
      </c>
      <c r="X294" s="188" t="e">
        <f t="shared" si="208"/>
        <v>#REF!</v>
      </c>
      <c r="Y294" s="183" t="e">
        <f>GETPIVOTDATA(#REF!,A294)</f>
        <v>#REF!</v>
      </c>
      <c r="Z294" s="188" t="e">
        <f>GETPIVOTDATA(#REF!,A294)*2</f>
        <v>#REF!</v>
      </c>
      <c r="AA294" s="183" t="e">
        <f>(ROUND(D294/Z294,0)+1)*GETPIVOTDATA(#REF!,A294)</f>
        <v>#REF!</v>
      </c>
      <c r="AB294" s="189" t="e">
        <f>GETPIVOTDATA(#REF!,A294)</f>
        <v>#REF!</v>
      </c>
      <c r="AC294" s="189">
        <f>0.23*2</f>
        <v>0.46</v>
      </c>
      <c r="AD294" s="189">
        <f t="shared" si="217"/>
        <v>-0.04</v>
      </c>
      <c r="AE294" s="189">
        <v>0</v>
      </c>
      <c r="AF294" s="188" t="e">
        <f t="shared" si="230"/>
        <v>#REF!</v>
      </c>
      <c r="AG294" s="183" t="e">
        <f>GETPIVOTDATA(#REF!,A294)</f>
        <v>#REF!</v>
      </c>
      <c r="AH294" s="182" t="e">
        <f>GETPIVOTDATA(#REF!,A294)*2</f>
        <v>#REF!</v>
      </c>
      <c r="AI294" s="183" t="e">
        <f>(ROUND(D294/AH294,0))*GETPIVOTDATA(#REF!,A294)</f>
        <v>#REF!</v>
      </c>
      <c r="AJ294" s="189" t="e">
        <f>GETPIVOTDATA(#REF!,A294)</f>
        <v>#REF!</v>
      </c>
      <c r="AK294" s="189">
        <f>0.23*2</f>
        <v>0.46</v>
      </c>
      <c r="AL294" s="189">
        <f t="shared" si="218"/>
        <v>-0.04</v>
      </c>
      <c r="AM294" s="189">
        <v>0</v>
      </c>
      <c r="AN294" s="188" t="e">
        <f t="shared" si="231"/>
        <v>#REF!</v>
      </c>
      <c r="AO294" s="183">
        <v>0</v>
      </c>
      <c r="AP294" s="182">
        <f t="shared" si="211"/>
        <v>8</v>
      </c>
      <c r="AQ294" s="182">
        <v>1.5</v>
      </c>
      <c r="AR294" s="187" t="e">
        <f t="shared" si="219"/>
        <v>#REF!</v>
      </c>
      <c r="AS294" s="187" t="e">
        <f t="shared" si="220"/>
        <v>#REF!</v>
      </c>
      <c r="AT294" s="187" t="e">
        <f t="shared" si="221"/>
        <v>#REF!</v>
      </c>
      <c r="AU294" s="187" t="e">
        <f t="shared" si="222"/>
        <v>#REF!</v>
      </c>
      <c r="AV294" s="187" t="e">
        <f t="shared" si="212"/>
        <v>#REF!</v>
      </c>
      <c r="AW294" s="187" t="e">
        <f t="shared" si="223"/>
        <v>#REF!</v>
      </c>
      <c r="AX294" s="187">
        <f t="shared" si="224"/>
        <v>12</v>
      </c>
      <c r="AY294" s="190"/>
      <c r="AZ294" s="240"/>
      <c r="BA294" s="232"/>
      <c r="BF294" s="206"/>
      <c r="BG294" s="206"/>
      <c r="BK294" s="126"/>
      <c r="BL294" s="126"/>
      <c r="BN294" s="126"/>
      <c r="BO294" s="126"/>
      <c r="BQ294" s="126"/>
      <c r="BR294" s="126"/>
      <c r="BT294" s="126"/>
      <c r="BU294" s="126"/>
      <c r="BW294" s="126"/>
      <c r="BX294" s="126"/>
      <c r="BZ294" s="126"/>
      <c r="CA294" s="126"/>
      <c r="CC294" s="126"/>
      <c r="CD294" s="126"/>
      <c r="CF294" s="126"/>
      <c r="CG294" s="126"/>
    </row>
    <row r="295" spans="1:85" s="197" customFormat="1" ht="27.6" x14ac:dyDescent="0.3">
      <c r="A295" s="182" t="s">
        <v>245</v>
      </c>
      <c r="B295" s="183">
        <v>1</v>
      </c>
      <c r="C295" s="184" t="s">
        <v>322</v>
      </c>
      <c r="D295" s="187">
        <v>1.68</v>
      </c>
      <c r="E295" s="187">
        <v>4.25</v>
      </c>
      <c r="F295" s="186">
        <v>0.14000000000000001</v>
      </c>
      <c r="G295" s="187">
        <f t="shared" si="213"/>
        <v>0.99960000000000004</v>
      </c>
      <c r="H295" s="188">
        <f t="shared" si="209"/>
        <v>7.14</v>
      </c>
      <c r="I295" s="183" t="e">
        <f>GETPIVOTDATA(#REF!,A295)</f>
        <v>#REF!</v>
      </c>
      <c r="J295" s="188" t="e">
        <f>GETPIVOTDATA(#REF!,A295)*2</f>
        <v>#REF!</v>
      </c>
      <c r="K295" s="183" t="e">
        <f>(ROUND(E295/J295,0)+1)*GETPIVOTDATA(#REF!,A295)</f>
        <v>#REF!</v>
      </c>
      <c r="L295" s="189" t="e">
        <f>GETPIVOTDATA(#REF!,A295)</f>
        <v>#REF!</v>
      </c>
      <c r="M295" s="189">
        <f>0.23*2</f>
        <v>0.46</v>
      </c>
      <c r="N295" s="189">
        <f t="shared" si="214"/>
        <v>-0.04</v>
      </c>
      <c r="O295" s="189">
        <f>1.36*0.3</f>
        <v>0.40800000000000003</v>
      </c>
      <c r="P295" s="188" t="e">
        <f t="shared" si="227"/>
        <v>#REF!</v>
      </c>
      <c r="Q295" s="183" t="e">
        <f>GETPIVOTDATA(#REF!,A295)</f>
        <v>#REF!</v>
      </c>
      <c r="R295" s="188" t="e">
        <f>GETPIVOTDATA(#REF!,A295)*2</f>
        <v>#REF!</v>
      </c>
      <c r="S295" s="183" t="e">
        <f>(ROUND(E295/R295,0))*GETPIVOTDATA(#REF!,A295)</f>
        <v>#REF!</v>
      </c>
      <c r="T295" s="189" t="e">
        <f>GETPIVOTDATA(#REF!,A295)</f>
        <v>#REF!</v>
      </c>
      <c r="U295" s="189">
        <f>0.23*2</f>
        <v>0.46</v>
      </c>
      <c r="V295" s="189">
        <f t="shared" si="216"/>
        <v>-0.04</v>
      </c>
      <c r="W295" s="189">
        <f>3.165*0.3</f>
        <v>0.94950000000000001</v>
      </c>
      <c r="X295" s="188" t="e">
        <f t="shared" si="208"/>
        <v>#REF!</v>
      </c>
      <c r="Y295" s="183" t="e">
        <f>GETPIVOTDATA(#REF!,A295)</f>
        <v>#REF!</v>
      </c>
      <c r="Z295" s="188" t="e">
        <f>GETPIVOTDATA(#REF!,A295)*2</f>
        <v>#REF!</v>
      </c>
      <c r="AA295" s="183" t="e">
        <f>(ROUND(D295/Z295,0)+1)*GETPIVOTDATA(#REF!,A295)</f>
        <v>#REF!</v>
      </c>
      <c r="AB295" s="189" t="e">
        <f>GETPIVOTDATA(#REF!,A295)</f>
        <v>#REF!</v>
      </c>
      <c r="AC295" s="189">
        <f>0.23*2</f>
        <v>0.46</v>
      </c>
      <c r="AD295" s="189">
        <f t="shared" si="217"/>
        <v>-0.04</v>
      </c>
      <c r="AE295" s="189">
        <v>0</v>
      </c>
      <c r="AF295" s="188" t="e">
        <f t="shared" si="230"/>
        <v>#REF!</v>
      </c>
      <c r="AG295" s="183" t="e">
        <f>GETPIVOTDATA(#REF!,A295)</f>
        <v>#REF!</v>
      </c>
      <c r="AH295" s="182" t="e">
        <f>GETPIVOTDATA(#REF!,A295)*2</f>
        <v>#REF!</v>
      </c>
      <c r="AI295" s="183" t="e">
        <f>(ROUND(D295/AH295,0))*GETPIVOTDATA(#REF!,A295)</f>
        <v>#REF!</v>
      </c>
      <c r="AJ295" s="189" t="e">
        <f>GETPIVOTDATA(#REF!,A295)</f>
        <v>#REF!</v>
      </c>
      <c r="AK295" s="189">
        <f>0.23*2</f>
        <v>0.46</v>
      </c>
      <c r="AL295" s="189">
        <f t="shared" si="218"/>
        <v>-0.04</v>
      </c>
      <c r="AM295" s="189">
        <v>0</v>
      </c>
      <c r="AN295" s="188" t="e">
        <f t="shared" si="231"/>
        <v>#REF!</v>
      </c>
      <c r="AO295" s="183">
        <v>0</v>
      </c>
      <c r="AP295" s="182">
        <f t="shared" si="211"/>
        <v>8</v>
      </c>
      <c r="AQ295" s="182">
        <v>1.5</v>
      </c>
      <c r="AR295" s="187" t="e">
        <f t="shared" si="219"/>
        <v>#REF!</v>
      </c>
      <c r="AS295" s="187" t="e">
        <f t="shared" si="220"/>
        <v>#REF!</v>
      </c>
      <c r="AT295" s="187" t="e">
        <f t="shared" si="221"/>
        <v>#REF!</v>
      </c>
      <c r="AU295" s="187" t="e">
        <f t="shared" si="222"/>
        <v>#REF!</v>
      </c>
      <c r="AV295" s="187" t="e">
        <f t="shared" si="212"/>
        <v>#REF!</v>
      </c>
      <c r="AW295" s="187" t="e">
        <f t="shared" si="223"/>
        <v>#REF!</v>
      </c>
      <c r="AX295" s="187">
        <f t="shared" si="224"/>
        <v>12</v>
      </c>
      <c r="AY295" s="190"/>
      <c r="AZ295" s="240"/>
      <c r="BA295" s="232"/>
      <c r="BF295" s="206"/>
      <c r="BG295" s="206"/>
      <c r="BK295" s="126"/>
      <c r="BL295" s="126"/>
      <c r="BN295" s="126"/>
      <c r="BO295" s="126"/>
      <c r="BQ295" s="126"/>
      <c r="BR295" s="126"/>
      <c r="BT295" s="126"/>
      <c r="BU295" s="126"/>
      <c r="BW295" s="126"/>
      <c r="BX295" s="126"/>
      <c r="BZ295" s="126"/>
      <c r="CA295" s="126"/>
      <c r="CC295" s="126"/>
      <c r="CD295" s="126"/>
      <c r="CF295" s="126"/>
      <c r="CG295" s="126"/>
    </row>
    <row r="296" spans="1:85" s="197" customFormat="1" ht="27.6" x14ac:dyDescent="0.3">
      <c r="A296" s="182" t="s">
        <v>243</v>
      </c>
      <c r="B296" s="183">
        <v>1</v>
      </c>
      <c r="C296" s="184" t="s">
        <v>323</v>
      </c>
      <c r="D296" s="187">
        <v>3.165</v>
      </c>
      <c r="E296" s="187">
        <v>4.25</v>
      </c>
      <c r="F296" s="186">
        <v>0.15</v>
      </c>
      <c r="G296" s="187">
        <f t="shared" si="213"/>
        <v>2.0176875000000001</v>
      </c>
      <c r="H296" s="188">
        <f t="shared" si="209"/>
        <v>13.45125</v>
      </c>
      <c r="I296" s="183" t="e">
        <f>GETPIVOTDATA(#REF!,A296)</f>
        <v>#REF!</v>
      </c>
      <c r="J296" s="188" t="e">
        <f>GETPIVOTDATA(#REF!,A296)*2</f>
        <v>#REF!</v>
      </c>
      <c r="K296" s="183" t="e">
        <f>(ROUND(E296/J296,0)+1)*GETPIVOTDATA(#REF!,A296)</f>
        <v>#REF!</v>
      </c>
      <c r="L296" s="189" t="e">
        <f>GETPIVOTDATA(#REF!,A296)</f>
        <v>#REF!</v>
      </c>
      <c r="M296" s="189">
        <f>0.3+0.23</f>
        <v>0.53</v>
      </c>
      <c r="N296" s="189">
        <f t="shared" si="214"/>
        <v>-0.04</v>
      </c>
      <c r="O296" s="189">
        <f>1.68*0.3</f>
        <v>0.504</v>
      </c>
      <c r="P296" s="188" t="e">
        <f t="shared" si="227"/>
        <v>#REF!</v>
      </c>
      <c r="Q296" s="183" t="e">
        <f>GETPIVOTDATA(#REF!,A296)</f>
        <v>#REF!</v>
      </c>
      <c r="R296" s="188" t="e">
        <f>GETPIVOTDATA(#REF!,A296)*2</f>
        <v>#REF!</v>
      </c>
      <c r="S296" s="183" t="e">
        <f>(ROUND(E296/R296,0))*GETPIVOTDATA(#REF!,A296)</f>
        <v>#REF!</v>
      </c>
      <c r="T296" s="189" t="e">
        <f>GETPIVOTDATA(#REF!,A296)</f>
        <v>#REF!</v>
      </c>
      <c r="U296" s="189">
        <f>0.3+0.23</f>
        <v>0.53</v>
      </c>
      <c r="V296" s="189">
        <f t="shared" si="216"/>
        <v>-0.04</v>
      </c>
      <c r="W296" s="189">
        <f>3.235*0.3</f>
        <v>0.97049999999999992</v>
      </c>
      <c r="X296" s="188" t="e">
        <f t="shared" si="208"/>
        <v>#REF!</v>
      </c>
      <c r="Y296" s="183" t="e">
        <f>GETPIVOTDATA(#REF!,A296)</f>
        <v>#REF!</v>
      </c>
      <c r="Z296" s="188" t="e">
        <f>GETPIVOTDATA(#REF!,A296)*2</f>
        <v>#REF!</v>
      </c>
      <c r="AA296" s="183" t="e">
        <f>(ROUND(D296/Z296,0)+1)*GETPIVOTDATA(#REF!,A296)</f>
        <v>#REF!</v>
      </c>
      <c r="AB296" s="189" t="e">
        <f>GETPIVOTDATA(#REF!,A296)</f>
        <v>#REF!</v>
      </c>
      <c r="AC296" s="189">
        <f>0.23*2</f>
        <v>0.46</v>
      </c>
      <c r="AD296" s="189">
        <f t="shared" si="217"/>
        <v>-0.04</v>
      </c>
      <c r="AE296" s="189">
        <f>1.95*0.3</f>
        <v>0.58499999999999996</v>
      </c>
      <c r="AF296" s="188" t="e">
        <f t="shared" si="230"/>
        <v>#REF!</v>
      </c>
      <c r="AG296" s="183" t="e">
        <f>GETPIVOTDATA(#REF!,A296)</f>
        <v>#REF!</v>
      </c>
      <c r="AH296" s="182" t="e">
        <f>GETPIVOTDATA(#REF!,A296)*2</f>
        <v>#REF!</v>
      </c>
      <c r="AI296" s="183" t="e">
        <f>(ROUND(D296/AH296,0))*GETPIVOTDATA(#REF!,A296)</f>
        <v>#REF!</v>
      </c>
      <c r="AJ296" s="189" t="e">
        <f>GETPIVOTDATA(#REF!,A296)</f>
        <v>#REF!</v>
      </c>
      <c r="AK296" s="189">
        <f>0.23*2</f>
        <v>0.46</v>
      </c>
      <c r="AL296" s="189">
        <f t="shared" si="218"/>
        <v>-0.04</v>
      </c>
      <c r="AM296" s="189">
        <f>3.64*0.3</f>
        <v>1.0920000000000001</v>
      </c>
      <c r="AN296" s="188" t="e">
        <f t="shared" si="231"/>
        <v>#REF!</v>
      </c>
      <c r="AO296" s="183">
        <v>0</v>
      </c>
      <c r="AP296" s="182">
        <f t="shared" si="211"/>
        <v>10</v>
      </c>
      <c r="AQ296" s="182">
        <v>1.5</v>
      </c>
      <c r="AR296" s="187" t="e">
        <f t="shared" si="219"/>
        <v>#REF!</v>
      </c>
      <c r="AS296" s="187" t="e">
        <f t="shared" si="220"/>
        <v>#REF!</v>
      </c>
      <c r="AT296" s="187" t="e">
        <f t="shared" si="221"/>
        <v>#REF!</v>
      </c>
      <c r="AU296" s="187" t="e">
        <f t="shared" si="222"/>
        <v>#REF!</v>
      </c>
      <c r="AV296" s="187" t="e">
        <f t="shared" si="212"/>
        <v>#REF!</v>
      </c>
      <c r="AW296" s="187" t="e">
        <f t="shared" si="223"/>
        <v>#REF!</v>
      </c>
      <c r="AX296" s="187">
        <f t="shared" si="224"/>
        <v>15</v>
      </c>
      <c r="AY296" s="190"/>
      <c r="AZ296" s="240"/>
      <c r="BA296" s="232"/>
      <c r="BF296" s="206"/>
      <c r="BG296" s="206"/>
      <c r="BK296" s="126"/>
      <c r="BL296" s="126"/>
      <c r="BN296" s="126"/>
      <c r="BO296" s="126"/>
      <c r="BQ296" s="126"/>
      <c r="BR296" s="126"/>
      <c r="BT296" s="126"/>
      <c r="BU296" s="126"/>
      <c r="BW296" s="126"/>
      <c r="BX296" s="126"/>
      <c r="BZ296" s="126"/>
      <c r="CA296" s="126"/>
      <c r="CC296" s="126"/>
      <c r="CD296" s="126"/>
      <c r="CF296" s="126"/>
      <c r="CG296" s="126"/>
    </row>
    <row r="297" spans="1:85" s="197" customFormat="1" ht="27.6" x14ac:dyDescent="0.3">
      <c r="A297" s="182" t="s">
        <v>243</v>
      </c>
      <c r="B297" s="183">
        <v>1</v>
      </c>
      <c r="C297" s="184" t="s">
        <v>324</v>
      </c>
      <c r="D297" s="187">
        <v>3.2349999999999999</v>
      </c>
      <c r="E297" s="187">
        <v>4.25</v>
      </c>
      <c r="F297" s="186">
        <v>0.15</v>
      </c>
      <c r="G297" s="187">
        <f t="shared" si="213"/>
        <v>2.0623125</v>
      </c>
      <c r="H297" s="188">
        <f t="shared" si="209"/>
        <v>13.748749999999999</v>
      </c>
      <c r="I297" s="183" t="e">
        <f>GETPIVOTDATA(#REF!,A297)</f>
        <v>#REF!</v>
      </c>
      <c r="J297" s="188" t="e">
        <f>GETPIVOTDATA(#REF!,A297)*2</f>
        <v>#REF!</v>
      </c>
      <c r="K297" s="183" t="e">
        <f>(ROUND(E297/J297,0)+1)*GETPIVOTDATA(#REF!,A297)</f>
        <v>#REF!</v>
      </c>
      <c r="L297" s="189" t="e">
        <f>GETPIVOTDATA(#REF!,A297)</f>
        <v>#REF!</v>
      </c>
      <c r="M297" s="189">
        <f>0.23*2</f>
        <v>0.46</v>
      </c>
      <c r="N297" s="189">
        <f t="shared" si="214"/>
        <v>-0.04</v>
      </c>
      <c r="O297" s="189">
        <f>3.165*0.3</f>
        <v>0.94950000000000001</v>
      </c>
      <c r="P297" s="188" t="e">
        <f t="shared" si="227"/>
        <v>#REF!</v>
      </c>
      <c r="Q297" s="183" t="e">
        <f>GETPIVOTDATA(#REF!,A297)</f>
        <v>#REF!</v>
      </c>
      <c r="R297" s="188" t="e">
        <f>GETPIVOTDATA(#REF!,A297)*2</f>
        <v>#REF!</v>
      </c>
      <c r="S297" s="183" t="e">
        <f>(ROUND(E297/R297,0))*GETPIVOTDATA(#REF!,A297)</f>
        <v>#REF!</v>
      </c>
      <c r="T297" s="189" t="e">
        <f>GETPIVOTDATA(#REF!,A297)</f>
        <v>#REF!</v>
      </c>
      <c r="U297" s="189">
        <f>0.23*2</f>
        <v>0.46</v>
      </c>
      <c r="V297" s="189">
        <f t="shared" si="216"/>
        <v>-0.04</v>
      </c>
      <c r="W297" s="189">
        <f>2.94*0.3</f>
        <v>0.88200000000000001</v>
      </c>
      <c r="X297" s="188" t="e">
        <f t="shared" si="208"/>
        <v>#REF!</v>
      </c>
      <c r="Y297" s="183" t="e">
        <f>GETPIVOTDATA(#REF!,A297)</f>
        <v>#REF!</v>
      </c>
      <c r="Z297" s="188" t="e">
        <f>GETPIVOTDATA(#REF!,A297)*2</f>
        <v>#REF!</v>
      </c>
      <c r="AA297" s="183" t="e">
        <f>(ROUND(D297/Z297,0)+1)*GETPIVOTDATA(#REF!,A297)</f>
        <v>#REF!</v>
      </c>
      <c r="AB297" s="189" t="e">
        <f>GETPIVOTDATA(#REF!,A297)</f>
        <v>#REF!</v>
      </c>
      <c r="AC297" s="189">
        <f>0.23*2</f>
        <v>0.46</v>
      </c>
      <c r="AD297" s="189">
        <f t="shared" si="217"/>
        <v>-0.04</v>
      </c>
      <c r="AE297" s="189">
        <f>1.95*0.3</f>
        <v>0.58499999999999996</v>
      </c>
      <c r="AF297" s="188" t="e">
        <f t="shared" si="230"/>
        <v>#REF!</v>
      </c>
      <c r="AG297" s="183" t="e">
        <f>GETPIVOTDATA(#REF!,A297)</f>
        <v>#REF!</v>
      </c>
      <c r="AH297" s="182" t="e">
        <f>GETPIVOTDATA(#REF!,A297)*2</f>
        <v>#REF!</v>
      </c>
      <c r="AI297" s="183" t="e">
        <f>(ROUND(D297/AH297,0))*GETPIVOTDATA(#REF!,A297)</f>
        <v>#REF!</v>
      </c>
      <c r="AJ297" s="189" t="e">
        <f>GETPIVOTDATA(#REF!,A297)</f>
        <v>#REF!</v>
      </c>
      <c r="AK297" s="189">
        <f>0.23*2</f>
        <v>0.46</v>
      </c>
      <c r="AL297" s="189">
        <f t="shared" si="218"/>
        <v>-0.04</v>
      </c>
      <c r="AM297" s="189">
        <f>3.64*0.3</f>
        <v>1.0920000000000001</v>
      </c>
      <c r="AN297" s="188" t="e">
        <f t="shared" si="231"/>
        <v>#REF!</v>
      </c>
      <c r="AO297" s="183">
        <v>0</v>
      </c>
      <c r="AP297" s="182">
        <f t="shared" si="211"/>
        <v>10</v>
      </c>
      <c r="AQ297" s="182">
        <v>1.5</v>
      </c>
      <c r="AR297" s="187" t="e">
        <f t="shared" si="219"/>
        <v>#REF!</v>
      </c>
      <c r="AS297" s="187" t="e">
        <f t="shared" si="220"/>
        <v>#REF!</v>
      </c>
      <c r="AT297" s="187" t="e">
        <f t="shared" si="221"/>
        <v>#REF!</v>
      </c>
      <c r="AU297" s="187" t="e">
        <f t="shared" si="222"/>
        <v>#REF!</v>
      </c>
      <c r="AV297" s="187" t="e">
        <f t="shared" si="212"/>
        <v>#REF!</v>
      </c>
      <c r="AW297" s="187" t="e">
        <f t="shared" si="223"/>
        <v>#REF!</v>
      </c>
      <c r="AX297" s="187">
        <f t="shared" si="224"/>
        <v>15</v>
      </c>
      <c r="AY297" s="190"/>
      <c r="AZ297" s="240"/>
      <c r="BA297" s="232"/>
      <c r="BF297" s="206"/>
      <c r="BG297" s="206"/>
      <c r="BK297" s="126"/>
      <c r="BL297" s="126"/>
      <c r="BN297" s="126"/>
      <c r="BO297" s="126"/>
      <c r="BQ297" s="126"/>
      <c r="BR297" s="126"/>
      <c r="BT297" s="126"/>
      <c r="BU297" s="126"/>
      <c r="BW297" s="126"/>
      <c r="BX297" s="126"/>
      <c r="BZ297" s="126"/>
      <c r="CA297" s="126"/>
      <c r="CC297" s="126"/>
      <c r="CD297" s="126"/>
      <c r="CF297" s="126"/>
      <c r="CG297" s="126"/>
    </row>
    <row r="298" spans="1:85" s="197" customFormat="1" x14ac:dyDescent="0.3">
      <c r="A298" s="182" t="s">
        <v>239</v>
      </c>
      <c r="B298" s="183">
        <v>1</v>
      </c>
      <c r="C298" s="184" t="s">
        <v>325</v>
      </c>
      <c r="D298" s="187">
        <v>2.94</v>
      </c>
      <c r="E298" s="187">
        <v>2.36</v>
      </c>
      <c r="F298" s="186">
        <v>0.125</v>
      </c>
      <c r="G298" s="187">
        <f t="shared" si="213"/>
        <v>0.86729999999999996</v>
      </c>
      <c r="H298" s="188">
        <f t="shared" si="209"/>
        <v>6.9383999999999997</v>
      </c>
      <c r="I298" s="183" t="e">
        <f>GETPIVOTDATA(#REF!,A298)</f>
        <v>#REF!</v>
      </c>
      <c r="J298" s="188" t="e">
        <f>GETPIVOTDATA(#REF!,A298)*2</f>
        <v>#REF!</v>
      </c>
      <c r="K298" s="183" t="e">
        <f>(ROUND(E298/J298,0)+1)*GETPIVOTDATA(#REF!,A298)</f>
        <v>#REF!</v>
      </c>
      <c r="L298" s="189" t="e">
        <f>GETPIVOTDATA(#REF!,A298)</f>
        <v>#REF!</v>
      </c>
      <c r="M298" s="189">
        <f>0.23*2</f>
        <v>0.46</v>
      </c>
      <c r="N298" s="189">
        <f t="shared" si="214"/>
        <v>-0.04</v>
      </c>
      <c r="O298" s="189">
        <f>3.24*0.3</f>
        <v>0.97199999999999998</v>
      </c>
      <c r="P298" s="188" t="e">
        <f t="shared" si="227"/>
        <v>#REF!</v>
      </c>
      <c r="Q298" s="183" t="e">
        <f>GETPIVOTDATA(#REF!,A298)</f>
        <v>#REF!</v>
      </c>
      <c r="R298" s="188" t="e">
        <f>GETPIVOTDATA(#REF!,A298)*2</f>
        <v>#REF!</v>
      </c>
      <c r="S298" s="183" t="e">
        <f>(ROUND(E298/R298,0))*GETPIVOTDATA(#REF!,A298)</f>
        <v>#REF!</v>
      </c>
      <c r="T298" s="189" t="e">
        <f>GETPIVOTDATA(#REF!,A298)</f>
        <v>#REF!</v>
      </c>
      <c r="U298" s="189">
        <f>0.23*2</f>
        <v>0.46</v>
      </c>
      <c r="V298" s="189">
        <f t="shared" si="216"/>
        <v>-0.04</v>
      </c>
      <c r="W298" s="189">
        <f>2.5*0.3</f>
        <v>0.75</v>
      </c>
      <c r="X298" s="188" t="e">
        <f t="shared" si="208"/>
        <v>#REF!</v>
      </c>
      <c r="Y298" s="183" t="e">
        <f>GETPIVOTDATA(#REF!,A298)</f>
        <v>#REF!</v>
      </c>
      <c r="Z298" s="188" t="e">
        <f>GETPIVOTDATA(#REF!,A298)*2</f>
        <v>#REF!</v>
      </c>
      <c r="AA298" s="183" t="e">
        <f>(ROUND(D298/Z298,0)+1)*GETPIVOTDATA(#REF!,A298)</f>
        <v>#REF!</v>
      </c>
      <c r="AB298" s="189" t="e">
        <f>GETPIVOTDATA(#REF!,A298)</f>
        <v>#REF!</v>
      </c>
      <c r="AC298" s="189">
        <f>0.23*2</f>
        <v>0.46</v>
      </c>
      <c r="AD298" s="189">
        <f t="shared" si="217"/>
        <v>-0.04</v>
      </c>
      <c r="AE298" s="189">
        <f>0.89*0.3</f>
        <v>0.26700000000000002</v>
      </c>
      <c r="AF298" s="188" t="e">
        <f t="shared" si="230"/>
        <v>#REF!</v>
      </c>
      <c r="AG298" s="183" t="e">
        <f>GETPIVOTDATA(#REF!,A298)</f>
        <v>#REF!</v>
      </c>
      <c r="AH298" s="182" t="e">
        <f>GETPIVOTDATA(#REF!,A298)*2</f>
        <v>#REF!</v>
      </c>
      <c r="AI298" s="183" t="e">
        <f>(ROUND(D298/AH298,0))*GETPIVOTDATA(#REF!,A298)</f>
        <v>#REF!</v>
      </c>
      <c r="AJ298" s="189" t="e">
        <f>GETPIVOTDATA(#REF!,A298)</f>
        <v>#REF!</v>
      </c>
      <c r="AK298" s="189">
        <f>0.23*2</f>
        <v>0.46</v>
      </c>
      <c r="AL298" s="189">
        <f t="shared" si="218"/>
        <v>-0.04</v>
      </c>
      <c r="AM298" s="189">
        <v>0</v>
      </c>
      <c r="AN298" s="188" t="e">
        <f t="shared" si="231"/>
        <v>#REF!</v>
      </c>
      <c r="AO298" s="183">
        <v>0</v>
      </c>
      <c r="AP298" s="182">
        <f t="shared" si="211"/>
        <v>8</v>
      </c>
      <c r="AQ298" s="182">
        <v>1.5</v>
      </c>
      <c r="AR298" s="187" t="e">
        <f t="shared" si="219"/>
        <v>#REF!</v>
      </c>
      <c r="AS298" s="187" t="e">
        <f t="shared" si="220"/>
        <v>#REF!</v>
      </c>
      <c r="AT298" s="187" t="e">
        <f t="shared" si="221"/>
        <v>#REF!</v>
      </c>
      <c r="AU298" s="187" t="e">
        <f t="shared" si="222"/>
        <v>#REF!</v>
      </c>
      <c r="AV298" s="187" t="e">
        <f t="shared" si="212"/>
        <v>#REF!</v>
      </c>
      <c r="AW298" s="187" t="e">
        <f t="shared" si="223"/>
        <v>#REF!</v>
      </c>
      <c r="AX298" s="187">
        <f t="shared" si="224"/>
        <v>12</v>
      </c>
      <c r="AY298" s="190"/>
      <c r="AZ298" s="240"/>
      <c r="BA298" s="232"/>
      <c r="BF298" s="206"/>
      <c r="BG298" s="206"/>
      <c r="BK298" s="126"/>
      <c r="BL298" s="126"/>
      <c r="BN298" s="126"/>
      <c r="BO298" s="126"/>
      <c r="BQ298" s="126"/>
      <c r="BR298" s="126"/>
      <c r="BT298" s="126"/>
      <c r="BU298" s="126"/>
      <c r="BW298" s="126"/>
      <c r="BX298" s="126"/>
      <c r="BZ298" s="126"/>
      <c r="CA298" s="126"/>
      <c r="CC298" s="126"/>
      <c r="CD298" s="126"/>
      <c r="CF298" s="126"/>
      <c r="CG298" s="126"/>
    </row>
    <row r="299" spans="1:85" s="197" customFormat="1" ht="41.4" x14ac:dyDescent="0.3">
      <c r="A299" s="182" t="s">
        <v>239</v>
      </c>
      <c r="B299" s="183">
        <v>2</v>
      </c>
      <c r="C299" s="184" t="s">
        <v>326</v>
      </c>
      <c r="D299" s="187">
        <v>2.5</v>
      </c>
      <c r="E299" s="187">
        <v>2.29</v>
      </c>
      <c r="F299" s="186">
        <v>0.125</v>
      </c>
      <c r="G299" s="187">
        <f t="shared" si="213"/>
        <v>1.4312499999999999</v>
      </c>
      <c r="H299" s="188">
        <f t="shared" si="209"/>
        <v>11.45</v>
      </c>
      <c r="I299" s="183" t="e">
        <f>GETPIVOTDATA(#REF!,A299)</f>
        <v>#REF!</v>
      </c>
      <c r="J299" s="188" t="e">
        <f>GETPIVOTDATA(#REF!,A299)*2</f>
        <v>#REF!</v>
      </c>
      <c r="K299" s="183" t="e">
        <f>(ROUND(E299/J299,0)+1)*GETPIVOTDATA(#REF!,A299)</f>
        <v>#REF!</v>
      </c>
      <c r="L299" s="189" t="e">
        <f>GETPIVOTDATA(#REF!,A299)</f>
        <v>#REF!</v>
      </c>
      <c r="M299" s="189">
        <f>0.23*2</f>
        <v>0.46</v>
      </c>
      <c r="N299" s="189">
        <f t="shared" si="214"/>
        <v>-0.04</v>
      </c>
      <c r="O299" s="189">
        <f>2.94*0.3</f>
        <v>0.88200000000000001</v>
      </c>
      <c r="P299" s="188" t="e">
        <f t="shared" si="227"/>
        <v>#REF!</v>
      </c>
      <c r="Q299" s="183" t="e">
        <f>GETPIVOTDATA(#REF!,A299)</f>
        <v>#REF!</v>
      </c>
      <c r="R299" s="188" t="e">
        <f>GETPIVOTDATA(#REF!,A299)*2</f>
        <v>#REF!</v>
      </c>
      <c r="S299" s="183" t="e">
        <f>(ROUND(E299/R299,0))*GETPIVOTDATA(#REF!,A299)</f>
        <v>#REF!</v>
      </c>
      <c r="T299" s="189" t="e">
        <f>GETPIVOTDATA(#REF!,A299)</f>
        <v>#REF!</v>
      </c>
      <c r="U299" s="189">
        <f>0.23*2</f>
        <v>0.46</v>
      </c>
      <c r="V299" s="189">
        <f t="shared" si="216"/>
        <v>-0.04</v>
      </c>
      <c r="W299" s="189">
        <f>2.29*0.3</f>
        <v>0.68699999999999994</v>
      </c>
      <c r="X299" s="188" t="e">
        <f t="shared" si="208"/>
        <v>#REF!</v>
      </c>
      <c r="Y299" s="183" t="e">
        <f>GETPIVOTDATA(#REF!,A299)</f>
        <v>#REF!</v>
      </c>
      <c r="Z299" s="188" t="e">
        <f>GETPIVOTDATA(#REF!,A299)*2</f>
        <v>#REF!</v>
      </c>
      <c r="AA299" s="183" t="e">
        <f>(ROUND(D299/Z299,0)+1)*GETPIVOTDATA(#REF!,A299)</f>
        <v>#REF!</v>
      </c>
      <c r="AB299" s="189" t="e">
        <f>GETPIVOTDATA(#REF!,A299)</f>
        <v>#REF!</v>
      </c>
      <c r="AC299" s="189">
        <f>0.3+0.23</f>
        <v>0.53</v>
      </c>
      <c r="AD299" s="189">
        <f t="shared" si="217"/>
        <v>-0.04</v>
      </c>
      <c r="AE299" s="189">
        <v>0</v>
      </c>
      <c r="AF299" s="188" t="e">
        <f t="shared" si="230"/>
        <v>#REF!</v>
      </c>
      <c r="AG299" s="183" t="e">
        <f>GETPIVOTDATA(#REF!,A299)</f>
        <v>#REF!</v>
      </c>
      <c r="AH299" s="182" t="e">
        <f>GETPIVOTDATA(#REF!,A299)*2</f>
        <v>#REF!</v>
      </c>
      <c r="AI299" s="183" t="e">
        <f>(ROUND(D299/AH299,0))*GETPIVOTDATA(#REF!,A299)</f>
        <v>#REF!</v>
      </c>
      <c r="AJ299" s="189" t="e">
        <f>GETPIVOTDATA(#REF!,A299)</f>
        <v>#REF!</v>
      </c>
      <c r="AK299" s="189">
        <f>0.3+0.23</f>
        <v>0.53</v>
      </c>
      <c r="AL299" s="189">
        <f t="shared" si="218"/>
        <v>-0.04</v>
      </c>
      <c r="AM299" s="189">
        <v>0</v>
      </c>
      <c r="AN299" s="188" t="e">
        <f t="shared" si="231"/>
        <v>#REF!</v>
      </c>
      <c r="AO299" s="183">
        <v>0</v>
      </c>
      <c r="AP299" s="182">
        <f t="shared" si="211"/>
        <v>8</v>
      </c>
      <c r="AQ299" s="182">
        <v>1.5</v>
      </c>
      <c r="AR299" s="187" t="e">
        <f t="shared" si="219"/>
        <v>#REF!</v>
      </c>
      <c r="AS299" s="187" t="e">
        <f t="shared" si="220"/>
        <v>#REF!</v>
      </c>
      <c r="AT299" s="187" t="e">
        <f t="shared" si="221"/>
        <v>#REF!</v>
      </c>
      <c r="AU299" s="187" t="e">
        <f t="shared" si="222"/>
        <v>#REF!</v>
      </c>
      <c r="AV299" s="187" t="e">
        <f t="shared" si="212"/>
        <v>#REF!</v>
      </c>
      <c r="AW299" s="187" t="e">
        <f t="shared" si="223"/>
        <v>#REF!</v>
      </c>
      <c r="AX299" s="187">
        <f t="shared" si="224"/>
        <v>24</v>
      </c>
      <c r="AY299" s="190"/>
      <c r="AZ299" s="240"/>
      <c r="BA299" s="232"/>
      <c r="BF299" s="206"/>
      <c r="BG299" s="206"/>
      <c r="BK299" s="126"/>
      <c r="BL299" s="126"/>
      <c r="BN299" s="126"/>
      <c r="BO299" s="126"/>
      <c r="BQ299" s="126"/>
      <c r="BR299" s="126"/>
      <c r="BT299" s="126"/>
      <c r="BU299" s="126"/>
      <c r="BW299" s="126"/>
      <c r="BX299" s="126"/>
      <c r="BZ299" s="126"/>
      <c r="CA299" s="126"/>
      <c r="CC299" s="126"/>
      <c r="CD299" s="126"/>
      <c r="CF299" s="126"/>
      <c r="CG299" s="126"/>
    </row>
    <row r="300" spans="1:85" s="197" customFormat="1" x14ac:dyDescent="0.3">
      <c r="A300" s="182" t="s">
        <v>239</v>
      </c>
      <c r="B300" s="183">
        <v>1</v>
      </c>
      <c r="C300" s="184" t="s">
        <v>327</v>
      </c>
      <c r="D300" s="187">
        <v>2.29</v>
      </c>
      <c r="E300" s="187">
        <v>2.29</v>
      </c>
      <c r="F300" s="186">
        <v>0.125</v>
      </c>
      <c r="G300" s="187">
        <f>D300*E300*F300*B300</f>
        <v>0.65551250000000005</v>
      </c>
      <c r="H300" s="188">
        <f t="shared" si="209"/>
        <v>5.2441000000000004</v>
      </c>
      <c r="I300" s="183" t="e">
        <f>GETPIVOTDATA(#REF!,A300)</f>
        <v>#REF!</v>
      </c>
      <c r="J300" s="188" t="e">
        <f>GETPIVOTDATA(#REF!,A300)*2</f>
        <v>#REF!</v>
      </c>
      <c r="K300" s="183" t="e">
        <f>(ROUND(E300/J300,0)+1)*GETPIVOTDATA(#REF!,A300)</f>
        <v>#REF!</v>
      </c>
      <c r="L300" s="189" t="e">
        <f>GETPIVOTDATA(#REF!,A300)</f>
        <v>#REF!</v>
      </c>
      <c r="M300" s="189">
        <f>0.23*2</f>
        <v>0.46</v>
      </c>
      <c r="N300" s="189">
        <f t="shared" si="214"/>
        <v>-0.04</v>
      </c>
      <c r="O300" s="189">
        <f>2.5*0.3</f>
        <v>0.75</v>
      </c>
      <c r="P300" s="188" t="e">
        <f t="shared" si="227"/>
        <v>#REF!</v>
      </c>
      <c r="Q300" s="183" t="e">
        <f>GETPIVOTDATA(#REF!,A300)</f>
        <v>#REF!</v>
      </c>
      <c r="R300" s="188" t="e">
        <f>GETPIVOTDATA(#REF!,A300)*2</f>
        <v>#REF!</v>
      </c>
      <c r="S300" s="183" t="e">
        <f>(ROUND(E300/R300,0))*GETPIVOTDATA(#REF!,A300)</f>
        <v>#REF!</v>
      </c>
      <c r="T300" s="189" t="e">
        <f>GETPIVOTDATA(#REF!,A300)</f>
        <v>#REF!</v>
      </c>
      <c r="U300" s="189">
        <f>0.23*2</f>
        <v>0.46</v>
      </c>
      <c r="V300" s="189">
        <f t="shared" si="216"/>
        <v>-0.04</v>
      </c>
      <c r="W300" s="189">
        <f>2.5*0.3</f>
        <v>0.75</v>
      </c>
      <c r="X300" s="188" t="e">
        <f t="shared" si="208"/>
        <v>#REF!</v>
      </c>
      <c r="Y300" s="183" t="e">
        <f>GETPIVOTDATA(#REF!,A300)</f>
        <v>#REF!</v>
      </c>
      <c r="Z300" s="188" t="e">
        <f>GETPIVOTDATA(#REF!,A300)*2</f>
        <v>#REF!</v>
      </c>
      <c r="AA300" s="183" t="e">
        <f>(ROUND(D300/Z300,0)+1)*GETPIVOTDATA(#REF!,A300)</f>
        <v>#REF!</v>
      </c>
      <c r="AB300" s="189" t="e">
        <f>GETPIVOTDATA(#REF!,A300)</f>
        <v>#REF!</v>
      </c>
      <c r="AC300" s="189">
        <f>0.23*2</f>
        <v>0.46</v>
      </c>
      <c r="AD300" s="189">
        <f t="shared" si="217"/>
        <v>-0.04</v>
      </c>
      <c r="AE300" s="189">
        <f>2.5*0.3</f>
        <v>0.75</v>
      </c>
      <c r="AF300" s="188" t="e">
        <f t="shared" si="230"/>
        <v>#REF!</v>
      </c>
      <c r="AG300" s="183" t="e">
        <f>GETPIVOTDATA(#REF!,A300)</f>
        <v>#REF!</v>
      </c>
      <c r="AH300" s="182" t="e">
        <f>GETPIVOTDATA(#REF!,A300)*2</f>
        <v>#REF!</v>
      </c>
      <c r="AI300" s="183" t="e">
        <f>(ROUND(D300/AH300,0))*GETPIVOTDATA(#REF!,A300)</f>
        <v>#REF!</v>
      </c>
      <c r="AJ300" s="189" t="e">
        <f>GETPIVOTDATA(#REF!,A300)</f>
        <v>#REF!</v>
      </c>
      <c r="AK300" s="189">
        <f>0.23*2</f>
        <v>0.46</v>
      </c>
      <c r="AL300" s="189">
        <f t="shared" si="218"/>
        <v>-0.04</v>
      </c>
      <c r="AM300" s="189">
        <f>2.5*0.3</f>
        <v>0.75</v>
      </c>
      <c r="AN300" s="188" t="e">
        <f t="shared" si="231"/>
        <v>#REF!</v>
      </c>
      <c r="AO300" s="183">
        <v>0</v>
      </c>
      <c r="AP300" s="182">
        <f t="shared" si="211"/>
        <v>8</v>
      </c>
      <c r="AQ300" s="182">
        <v>1.5</v>
      </c>
      <c r="AR300" s="187" t="e">
        <f t="shared" si="219"/>
        <v>#REF!</v>
      </c>
      <c r="AS300" s="187" t="e">
        <f t="shared" si="220"/>
        <v>#REF!</v>
      </c>
      <c r="AT300" s="187" t="e">
        <f t="shared" si="221"/>
        <v>#REF!</v>
      </c>
      <c r="AU300" s="187" t="e">
        <f t="shared" si="222"/>
        <v>#REF!</v>
      </c>
      <c r="AV300" s="187" t="e">
        <f t="shared" si="212"/>
        <v>#REF!</v>
      </c>
      <c r="AW300" s="187" t="e">
        <f t="shared" si="223"/>
        <v>#REF!</v>
      </c>
      <c r="AX300" s="187">
        <f t="shared" si="224"/>
        <v>12</v>
      </c>
      <c r="AY300" s="190"/>
      <c r="AZ300" s="240"/>
      <c r="BA300" s="232"/>
      <c r="BF300" s="206"/>
      <c r="BG300" s="206"/>
      <c r="BK300" s="126"/>
      <c r="BL300" s="126"/>
      <c r="BN300" s="126"/>
      <c r="BO300" s="126"/>
      <c r="BQ300" s="126"/>
      <c r="BR300" s="126"/>
      <c r="BT300" s="126"/>
      <c r="BU300" s="126"/>
      <c r="BW300" s="126"/>
      <c r="BX300" s="126"/>
      <c r="BZ300" s="126"/>
      <c r="CA300" s="126"/>
      <c r="CC300" s="126"/>
      <c r="CD300" s="126"/>
      <c r="CF300" s="126"/>
      <c r="CG300" s="126"/>
    </row>
    <row r="301" spans="1:85" s="197" customFormat="1" x14ac:dyDescent="0.3">
      <c r="A301" s="182" t="s">
        <v>239</v>
      </c>
      <c r="B301" s="183">
        <v>1</v>
      </c>
      <c r="C301" s="184" t="s">
        <v>328</v>
      </c>
      <c r="D301" s="187">
        <v>1.6</v>
      </c>
      <c r="E301" s="187">
        <v>2.29</v>
      </c>
      <c r="F301" s="186">
        <v>0.125</v>
      </c>
      <c r="G301" s="187">
        <f t="shared" si="213"/>
        <v>0.45800000000000002</v>
      </c>
      <c r="H301" s="188">
        <f t="shared" si="209"/>
        <v>3.6640000000000001</v>
      </c>
      <c r="I301" s="183" t="e">
        <f>GETPIVOTDATA(#REF!,A301)</f>
        <v>#REF!</v>
      </c>
      <c r="J301" s="188" t="e">
        <f>GETPIVOTDATA(#REF!,A301)*2</f>
        <v>#REF!</v>
      </c>
      <c r="K301" s="183" t="e">
        <f>(ROUND(E301/J301,0)+1)*GETPIVOTDATA(#REF!,A301)</f>
        <v>#REF!</v>
      </c>
      <c r="L301" s="189" t="e">
        <f>GETPIVOTDATA(#REF!,A301)</f>
        <v>#REF!</v>
      </c>
      <c r="M301" s="189">
        <f>0.23*2</f>
        <v>0.46</v>
      </c>
      <c r="N301" s="189">
        <f t="shared" si="214"/>
        <v>-0.04</v>
      </c>
      <c r="O301" s="189">
        <f>2.5*0.3</f>
        <v>0.75</v>
      </c>
      <c r="P301" s="188" t="e">
        <f t="shared" si="227"/>
        <v>#REF!</v>
      </c>
      <c r="Q301" s="183" t="e">
        <f>GETPIVOTDATA(#REF!,A301)</f>
        <v>#REF!</v>
      </c>
      <c r="R301" s="188" t="e">
        <f>GETPIVOTDATA(#REF!,A301)*2</f>
        <v>#REF!</v>
      </c>
      <c r="S301" s="183" t="e">
        <f>(ROUND(E301/R301,0))*GETPIVOTDATA(#REF!,A301)</f>
        <v>#REF!</v>
      </c>
      <c r="T301" s="189" t="e">
        <f>GETPIVOTDATA(#REF!,A301)</f>
        <v>#REF!</v>
      </c>
      <c r="U301" s="189">
        <f>0.23*2</f>
        <v>0.46</v>
      </c>
      <c r="V301" s="189">
        <f t="shared" si="216"/>
        <v>-0.04</v>
      </c>
      <c r="W301" s="189">
        <f>2.36*0.3</f>
        <v>0.70799999999999996</v>
      </c>
      <c r="X301" s="188" t="e">
        <f t="shared" si="208"/>
        <v>#REF!</v>
      </c>
      <c r="Y301" s="183" t="e">
        <f>GETPIVOTDATA(#REF!,A301)</f>
        <v>#REF!</v>
      </c>
      <c r="Z301" s="188" t="e">
        <f>GETPIVOTDATA(#REF!,A301)*2</f>
        <v>#REF!</v>
      </c>
      <c r="AA301" s="183" t="e">
        <f>(ROUND(D301/Z301,0)+1)*GETPIVOTDATA(#REF!,A301)</f>
        <v>#REF!</v>
      </c>
      <c r="AB301" s="189" t="e">
        <f>GETPIVOTDATA(#REF!,A301)</f>
        <v>#REF!</v>
      </c>
      <c r="AC301" s="189">
        <f>0.23*2</f>
        <v>0.46</v>
      </c>
      <c r="AD301" s="189">
        <f t="shared" si="217"/>
        <v>-0.04</v>
      </c>
      <c r="AE301" s="189">
        <v>0</v>
      </c>
      <c r="AF301" s="188" t="e">
        <f t="shared" si="230"/>
        <v>#REF!</v>
      </c>
      <c r="AG301" s="183" t="e">
        <f>GETPIVOTDATA(#REF!,A301)</f>
        <v>#REF!</v>
      </c>
      <c r="AH301" s="182" t="e">
        <f>GETPIVOTDATA(#REF!,A301)*2</f>
        <v>#REF!</v>
      </c>
      <c r="AI301" s="183" t="e">
        <f>(ROUND(D301/AH301,0))*GETPIVOTDATA(#REF!,A301)</f>
        <v>#REF!</v>
      </c>
      <c r="AJ301" s="189" t="e">
        <f>GETPIVOTDATA(#REF!,A301)</f>
        <v>#REF!</v>
      </c>
      <c r="AK301" s="189">
        <f>0.23*2</f>
        <v>0.46</v>
      </c>
      <c r="AL301" s="189">
        <f t="shared" si="218"/>
        <v>-0.04</v>
      </c>
      <c r="AM301" s="189">
        <f>2.5*0.3</f>
        <v>0.75</v>
      </c>
      <c r="AN301" s="188" t="e">
        <f t="shared" si="231"/>
        <v>#REF!</v>
      </c>
      <c r="AO301" s="183">
        <v>0</v>
      </c>
      <c r="AP301" s="182">
        <f t="shared" si="211"/>
        <v>6</v>
      </c>
      <c r="AQ301" s="182">
        <v>1.5</v>
      </c>
      <c r="AR301" s="187" t="e">
        <f t="shared" si="219"/>
        <v>#REF!</v>
      </c>
      <c r="AS301" s="187" t="e">
        <f t="shared" si="220"/>
        <v>#REF!</v>
      </c>
      <c r="AT301" s="187" t="e">
        <f t="shared" si="221"/>
        <v>#REF!</v>
      </c>
      <c r="AU301" s="187" t="e">
        <f t="shared" si="222"/>
        <v>#REF!</v>
      </c>
      <c r="AV301" s="187" t="e">
        <f t="shared" si="212"/>
        <v>#REF!</v>
      </c>
      <c r="AW301" s="187" t="e">
        <f t="shared" si="223"/>
        <v>#REF!</v>
      </c>
      <c r="AX301" s="187">
        <f t="shared" si="224"/>
        <v>9</v>
      </c>
      <c r="AY301" s="190"/>
      <c r="AZ301" s="240"/>
      <c r="BA301" s="232"/>
      <c r="BF301" s="206"/>
      <c r="BG301" s="206"/>
      <c r="BK301" s="126"/>
      <c r="BL301" s="126"/>
      <c r="BN301" s="126"/>
      <c r="BO301" s="126"/>
      <c r="BQ301" s="126"/>
      <c r="BR301" s="126"/>
      <c r="BT301" s="126"/>
      <c r="BU301" s="126"/>
      <c r="BW301" s="126"/>
      <c r="BX301" s="126"/>
      <c r="BZ301" s="126"/>
      <c r="CA301" s="126"/>
      <c r="CC301" s="126"/>
      <c r="CD301" s="126"/>
      <c r="CF301" s="126"/>
      <c r="CG301" s="126"/>
    </row>
    <row r="302" spans="1:85" s="197" customFormat="1" x14ac:dyDescent="0.3">
      <c r="A302" s="182" t="s">
        <v>239</v>
      </c>
      <c r="B302" s="183">
        <v>1</v>
      </c>
      <c r="C302" s="184" t="s">
        <v>329</v>
      </c>
      <c r="D302" s="187">
        <v>2.36</v>
      </c>
      <c r="E302" s="187">
        <v>2.19</v>
      </c>
      <c r="F302" s="186">
        <v>0.125</v>
      </c>
      <c r="G302" s="187">
        <f t="shared" si="213"/>
        <v>0.6460499999999999</v>
      </c>
      <c r="H302" s="188">
        <f t="shared" si="209"/>
        <v>5.1683999999999992</v>
      </c>
      <c r="I302" s="183" t="e">
        <f>GETPIVOTDATA(#REF!,A302)</f>
        <v>#REF!</v>
      </c>
      <c r="J302" s="188" t="e">
        <f>GETPIVOTDATA(#REF!,A302)*2</f>
        <v>#REF!</v>
      </c>
      <c r="K302" s="183" t="e">
        <f>(ROUND(E302/J302,0)+1)*GETPIVOTDATA(#REF!,A302)</f>
        <v>#REF!</v>
      </c>
      <c r="L302" s="189" t="e">
        <f>GETPIVOTDATA(#REF!,A302)</f>
        <v>#REF!</v>
      </c>
      <c r="M302" s="189">
        <f>0.23+0.3</f>
        <v>0.53</v>
      </c>
      <c r="N302" s="189">
        <f t="shared" si="214"/>
        <v>-0.04</v>
      </c>
      <c r="O302" s="189">
        <f>1.6*0.3</f>
        <v>0.48</v>
      </c>
      <c r="P302" s="188" t="e">
        <f t="shared" si="227"/>
        <v>#REF!</v>
      </c>
      <c r="Q302" s="183" t="e">
        <f>GETPIVOTDATA(#REF!,A302)</f>
        <v>#REF!</v>
      </c>
      <c r="R302" s="188" t="e">
        <f>GETPIVOTDATA(#REF!,A302)*2</f>
        <v>#REF!</v>
      </c>
      <c r="S302" s="183" t="e">
        <f>(ROUND(E302/R302,0))*GETPIVOTDATA(#REF!,A302)</f>
        <v>#REF!</v>
      </c>
      <c r="T302" s="189" t="e">
        <f>GETPIVOTDATA(#REF!,A302)</f>
        <v>#REF!</v>
      </c>
      <c r="U302" s="189">
        <f>0.23+0.3</f>
        <v>0.53</v>
      </c>
      <c r="V302" s="189">
        <f t="shared" si="216"/>
        <v>-0.04</v>
      </c>
      <c r="W302" s="189">
        <f>4.12*0.3</f>
        <v>1.236</v>
      </c>
      <c r="X302" s="188" t="e">
        <f t="shared" si="208"/>
        <v>#REF!</v>
      </c>
      <c r="Y302" s="183" t="e">
        <f>GETPIVOTDATA(#REF!,A302)</f>
        <v>#REF!</v>
      </c>
      <c r="Z302" s="188" t="e">
        <f>GETPIVOTDATA(#REF!,A302)*2</f>
        <v>#REF!</v>
      </c>
      <c r="AA302" s="183" t="e">
        <f>(ROUND(D302/Z302,0)+1)*GETPIVOTDATA(#REF!,A302)</f>
        <v>#REF!</v>
      </c>
      <c r="AB302" s="189" t="e">
        <f>GETPIVOTDATA(#REF!,A302)</f>
        <v>#REF!</v>
      </c>
      <c r="AC302" s="189">
        <f>0.23*2</f>
        <v>0.46</v>
      </c>
      <c r="AD302" s="189">
        <f t="shared" si="217"/>
        <v>-0.04</v>
      </c>
      <c r="AE302" s="189">
        <f>2.64*0.3</f>
        <v>0.79200000000000004</v>
      </c>
      <c r="AF302" s="188" t="e">
        <f t="shared" si="230"/>
        <v>#REF!</v>
      </c>
      <c r="AG302" s="183" t="e">
        <f>GETPIVOTDATA(#REF!,A302)</f>
        <v>#REF!</v>
      </c>
      <c r="AH302" s="182" t="e">
        <f>GETPIVOTDATA(#REF!,A302)*2</f>
        <v>#REF!</v>
      </c>
      <c r="AI302" s="183" t="e">
        <f>(ROUND(D302/AH302,0))*GETPIVOTDATA(#REF!,A302)</f>
        <v>#REF!</v>
      </c>
      <c r="AJ302" s="189" t="e">
        <f>GETPIVOTDATA(#REF!,A302)</f>
        <v>#REF!</v>
      </c>
      <c r="AK302" s="189">
        <f>0.23*2</f>
        <v>0.46</v>
      </c>
      <c r="AL302" s="189">
        <f t="shared" si="218"/>
        <v>-0.04</v>
      </c>
      <c r="AM302" s="189">
        <f>2.64*0.3</f>
        <v>0.79200000000000004</v>
      </c>
      <c r="AN302" s="188" t="e">
        <f t="shared" si="231"/>
        <v>#REF!</v>
      </c>
      <c r="AO302" s="183">
        <v>0</v>
      </c>
      <c r="AP302" s="182">
        <f t="shared" si="211"/>
        <v>6</v>
      </c>
      <c r="AQ302" s="182">
        <v>1.5</v>
      </c>
      <c r="AR302" s="187" t="e">
        <f t="shared" si="219"/>
        <v>#REF!</v>
      </c>
      <c r="AS302" s="187" t="e">
        <f t="shared" si="220"/>
        <v>#REF!</v>
      </c>
      <c r="AT302" s="187" t="e">
        <f t="shared" si="221"/>
        <v>#REF!</v>
      </c>
      <c r="AU302" s="187" t="e">
        <f t="shared" si="222"/>
        <v>#REF!</v>
      </c>
      <c r="AV302" s="187" t="e">
        <f t="shared" si="212"/>
        <v>#REF!</v>
      </c>
      <c r="AW302" s="187" t="e">
        <f t="shared" si="223"/>
        <v>#REF!</v>
      </c>
      <c r="AX302" s="187">
        <f t="shared" si="224"/>
        <v>9</v>
      </c>
      <c r="AY302" s="190"/>
      <c r="AZ302" s="240"/>
      <c r="BA302" s="232"/>
      <c r="BF302" s="206"/>
      <c r="BG302" s="206"/>
      <c r="BK302" s="126"/>
      <c r="BL302" s="126"/>
      <c r="BN302" s="126"/>
      <c r="BO302" s="126"/>
      <c r="BQ302" s="126"/>
      <c r="BR302" s="126"/>
      <c r="BT302" s="126"/>
      <c r="BU302" s="126"/>
      <c r="BW302" s="126"/>
      <c r="BX302" s="126"/>
      <c r="BZ302" s="126"/>
      <c r="CA302" s="126"/>
      <c r="CC302" s="126"/>
      <c r="CD302" s="126"/>
      <c r="CF302" s="126"/>
      <c r="CG302" s="126"/>
    </row>
    <row r="303" spans="1:85" s="197" customFormat="1" ht="27.6" x14ac:dyDescent="0.3">
      <c r="A303" s="182" t="s">
        <v>223</v>
      </c>
      <c r="B303" s="183">
        <v>1</v>
      </c>
      <c r="C303" s="184" t="s">
        <v>330</v>
      </c>
      <c r="D303" s="187">
        <v>4.12</v>
      </c>
      <c r="E303" s="187">
        <v>2.19</v>
      </c>
      <c r="F303" s="186">
        <v>0.13</v>
      </c>
      <c r="G303" s="187">
        <f t="shared" si="213"/>
        <v>1.1729640000000001</v>
      </c>
      <c r="H303" s="188">
        <f t="shared" si="209"/>
        <v>9.0228000000000002</v>
      </c>
      <c r="I303" s="183" t="e">
        <f>GETPIVOTDATA(#REF!,A303)</f>
        <v>#REF!</v>
      </c>
      <c r="J303" s="188" t="e">
        <f>GETPIVOTDATA(#REF!,A303)*2</f>
        <v>#REF!</v>
      </c>
      <c r="K303" s="183" t="e">
        <f>(ROUND(E303/J303,0)+1)*GETPIVOTDATA(#REF!,A303)</f>
        <v>#REF!</v>
      </c>
      <c r="L303" s="189" t="e">
        <f>GETPIVOTDATA(#REF!,A303)</f>
        <v>#REF!</v>
      </c>
      <c r="M303" s="189">
        <f t="shared" si="228"/>
        <v>0.6</v>
      </c>
      <c r="N303" s="189">
        <f t="shared" si="214"/>
        <v>-0.04</v>
      </c>
      <c r="O303" s="189">
        <f>2.36*0.3</f>
        <v>0.70799999999999996</v>
      </c>
      <c r="P303" s="188" t="e">
        <f t="shared" si="227"/>
        <v>#REF!</v>
      </c>
      <c r="Q303" s="183" t="e">
        <f>GETPIVOTDATA(#REF!,A303)</f>
        <v>#REF!</v>
      </c>
      <c r="R303" s="188" t="e">
        <f>GETPIVOTDATA(#REF!,A303)*2</f>
        <v>#REF!</v>
      </c>
      <c r="S303" s="183" t="e">
        <f>(ROUND(E303/R303,0))*GETPIVOTDATA(#REF!,A303)</f>
        <v>#REF!</v>
      </c>
      <c r="T303" s="189" t="e">
        <f>GETPIVOTDATA(#REF!,A303)</f>
        <v>#REF!</v>
      </c>
      <c r="U303" s="189">
        <f t="shared" si="229"/>
        <v>0.6</v>
      </c>
      <c r="V303" s="189">
        <f t="shared" si="216"/>
        <v>-0.04</v>
      </c>
      <c r="W303" s="189">
        <f>3.01*0.3</f>
        <v>0.90299999999999991</v>
      </c>
      <c r="X303" s="188" t="e">
        <f t="shared" si="208"/>
        <v>#REF!</v>
      </c>
      <c r="Y303" s="183" t="e">
        <f>GETPIVOTDATA(#REF!,A303)</f>
        <v>#REF!</v>
      </c>
      <c r="Z303" s="188" t="e">
        <f>GETPIVOTDATA(#REF!,A303)*2</f>
        <v>#REF!</v>
      </c>
      <c r="AA303" s="183" t="e">
        <f>(ROUND(D303/Z303,0)+1)*GETPIVOTDATA(#REF!,A303)</f>
        <v>#REF!</v>
      </c>
      <c r="AB303" s="189" t="e">
        <f>GETPIVOTDATA(#REF!,A303)</f>
        <v>#REF!</v>
      </c>
      <c r="AC303" s="189">
        <f>0.23*2</f>
        <v>0.46</v>
      </c>
      <c r="AD303" s="189">
        <f t="shared" si="217"/>
        <v>-0.04</v>
      </c>
      <c r="AE303" s="189">
        <f>1.72*0.3</f>
        <v>0.51600000000000001</v>
      </c>
      <c r="AF303" s="188" t="e">
        <f t="shared" si="230"/>
        <v>#REF!</v>
      </c>
      <c r="AG303" s="183" t="e">
        <f>GETPIVOTDATA(#REF!,A303)</f>
        <v>#REF!</v>
      </c>
      <c r="AH303" s="182" t="e">
        <f>GETPIVOTDATA(#REF!,A303)*2</f>
        <v>#REF!</v>
      </c>
      <c r="AI303" s="183" t="e">
        <f>(ROUND(D303/AH303,0))*GETPIVOTDATA(#REF!,A303)</f>
        <v>#REF!</v>
      </c>
      <c r="AJ303" s="189" t="e">
        <f>GETPIVOTDATA(#REF!,A303)</f>
        <v>#REF!</v>
      </c>
      <c r="AK303" s="189">
        <f>0.23*2</f>
        <v>0.46</v>
      </c>
      <c r="AL303" s="189">
        <f t="shared" si="218"/>
        <v>-0.04</v>
      </c>
      <c r="AM303" s="189">
        <f>1.72*0.3</f>
        <v>0.51600000000000001</v>
      </c>
      <c r="AN303" s="188" t="e">
        <f t="shared" si="231"/>
        <v>#REF!</v>
      </c>
      <c r="AO303" s="183">
        <v>0</v>
      </c>
      <c r="AP303" s="182">
        <f t="shared" si="211"/>
        <v>8</v>
      </c>
      <c r="AQ303" s="182">
        <v>1.5</v>
      </c>
      <c r="AR303" s="187" t="e">
        <f t="shared" si="219"/>
        <v>#REF!</v>
      </c>
      <c r="AS303" s="187" t="e">
        <f t="shared" si="220"/>
        <v>#REF!</v>
      </c>
      <c r="AT303" s="187" t="e">
        <f t="shared" si="221"/>
        <v>#REF!</v>
      </c>
      <c r="AU303" s="187" t="e">
        <f t="shared" si="222"/>
        <v>#REF!</v>
      </c>
      <c r="AV303" s="187" t="e">
        <f t="shared" si="212"/>
        <v>#REF!</v>
      </c>
      <c r="AW303" s="187" t="e">
        <f t="shared" si="223"/>
        <v>#REF!</v>
      </c>
      <c r="AX303" s="187">
        <f t="shared" si="224"/>
        <v>12</v>
      </c>
      <c r="AY303" s="190"/>
      <c r="AZ303" s="240"/>
      <c r="BA303" s="232"/>
      <c r="BF303" s="206"/>
      <c r="BG303" s="206"/>
      <c r="BK303" s="126"/>
      <c r="BL303" s="126"/>
      <c r="BN303" s="126"/>
      <c r="BO303" s="126"/>
      <c r="BQ303" s="126"/>
      <c r="BR303" s="126"/>
      <c r="BT303" s="126"/>
      <c r="BU303" s="126"/>
      <c r="BW303" s="126"/>
      <c r="BX303" s="126"/>
      <c r="BZ303" s="126"/>
      <c r="CA303" s="126"/>
      <c r="CC303" s="126"/>
      <c r="CD303" s="126"/>
      <c r="CF303" s="126"/>
      <c r="CG303" s="126"/>
    </row>
    <row r="304" spans="1:85" s="197" customFormat="1" x14ac:dyDescent="0.3">
      <c r="A304" s="182" t="s">
        <v>239</v>
      </c>
      <c r="B304" s="183">
        <v>1</v>
      </c>
      <c r="C304" s="184" t="s">
        <v>331</v>
      </c>
      <c r="D304" s="187">
        <v>3.01</v>
      </c>
      <c r="E304" s="187">
        <v>2.895</v>
      </c>
      <c r="F304" s="186">
        <v>0.125</v>
      </c>
      <c r="G304" s="187">
        <f t="shared" si="213"/>
        <v>1.0892437499999998</v>
      </c>
      <c r="H304" s="188">
        <f t="shared" si="209"/>
        <v>8.7139499999999988</v>
      </c>
      <c r="I304" s="183" t="e">
        <f>GETPIVOTDATA(#REF!,A304)</f>
        <v>#REF!</v>
      </c>
      <c r="J304" s="188" t="e">
        <f>GETPIVOTDATA(#REF!,A304)*2</f>
        <v>#REF!</v>
      </c>
      <c r="K304" s="183" t="e">
        <f>(ROUND(E304/J304,0)+1)*GETPIVOTDATA(#REF!,A304)</f>
        <v>#REF!</v>
      </c>
      <c r="L304" s="189" t="e">
        <f>GETPIVOTDATA(#REF!,A304)</f>
        <v>#REF!</v>
      </c>
      <c r="M304" s="189">
        <f t="shared" si="228"/>
        <v>0.6</v>
      </c>
      <c r="N304" s="189">
        <f t="shared" si="214"/>
        <v>-0.04</v>
      </c>
      <c r="O304" s="189">
        <f>4.12*0.3</f>
        <v>1.236</v>
      </c>
      <c r="P304" s="188" t="e">
        <f t="shared" si="227"/>
        <v>#REF!</v>
      </c>
      <c r="Q304" s="183" t="e">
        <f>GETPIVOTDATA(#REF!,A304)</f>
        <v>#REF!</v>
      </c>
      <c r="R304" s="188" t="e">
        <f>GETPIVOTDATA(#REF!,A304)*2</f>
        <v>#REF!</v>
      </c>
      <c r="S304" s="183" t="e">
        <f>(ROUND(E304/R304,0))*GETPIVOTDATA(#REF!,A304)</f>
        <v>#REF!</v>
      </c>
      <c r="T304" s="189" t="e">
        <f>GETPIVOTDATA(#REF!,A304)</f>
        <v>#REF!</v>
      </c>
      <c r="U304" s="189">
        <f t="shared" si="229"/>
        <v>0.6</v>
      </c>
      <c r="V304" s="189">
        <f t="shared" si="216"/>
        <v>-0.04</v>
      </c>
      <c r="W304" s="189">
        <f>4.871*0.3</f>
        <v>1.4613</v>
      </c>
      <c r="X304" s="188" t="e">
        <f t="shared" ref="X304:X367" si="234">+D304+SUM(T304:W304)</f>
        <v>#REF!</v>
      </c>
      <c r="Y304" s="183" t="e">
        <f>GETPIVOTDATA(#REF!,A304)</f>
        <v>#REF!</v>
      </c>
      <c r="Z304" s="188" t="e">
        <f>GETPIVOTDATA(#REF!,A304)*2</f>
        <v>#REF!</v>
      </c>
      <c r="AA304" s="183" t="e">
        <f>(ROUND(D304/Z304,0)+1)*GETPIVOTDATA(#REF!,A304)</f>
        <v>#REF!</v>
      </c>
      <c r="AB304" s="189" t="e">
        <f>GETPIVOTDATA(#REF!,A304)</f>
        <v>#REF!</v>
      </c>
      <c r="AC304" s="189">
        <f>0.3+0.23</f>
        <v>0.53</v>
      </c>
      <c r="AD304" s="189">
        <f t="shared" si="217"/>
        <v>-0.04</v>
      </c>
      <c r="AE304" s="189">
        <f>4.42*0.3</f>
        <v>1.3259999999999998</v>
      </c>
      <c r="AF304" s="188" t="e">
        <f t="shared" si="230"/>
        <v>#REF!</v>
      </c>
      <c r="AG304" s="183" t="e">
        <f>GETPIVOTDATA(#REF!,A304)</f>
        <v>#REF!</v>
      </c>
      <c r="AH304" s="182" t="e">
        <f>GETPIVOTDATA(#REF!,A304)*2</f>
        <v>#REF!</v>
      </c>
      <c r="AI304" s="183" t="e">
        <f>(ROUND(D304/AH304,0))*GETPIVOTDATA(#REF!,A304)</f>
        <v>#REF!</v>
      </c>
      <c r="AJ304" s="189" t="e">
        <f>GETPIVOTDATA(#REF!,A304)</f>
        <v>#REF!</v>
      </c>
      <c r="AK304" s="189">
        <f>0.3+0.23</f>
        <v>0.53</v>
      </c>
      <c r="AL304" s="189">
        <f t="shared" si="218"/>
        <v>-0.04</v>
      </c>
      <c r="AM304" s="189">
        <f>2.895*0.3</f>
        <v>0.86849999999999994</v>
      </c>
      <c r="AN304" s="188" t="e">
        <f t="shared" si="231"/>
        <v>#REF!</v>
      </c>
      <c r="AO304" s="183">
        <v>0</v>
      </c>
      <c r="AP304" s="182">
        <f t="shared" si="211"/>
        <v>8</v>
      </c>
      <c r="AQ304" s="182">
        <v>1.5</v>
      </c>
      <c r="AR304" s="187" t="e">
        <f t="shared" si="219"/>
        <v>#REF!</v>
      </c>
      <c r="AS304" s="187" t="e">
        <f t="shared" si="220"/>
        <v>#REF!</v>
      </c>
      <c r="AT304" s="187" t="e">
        <f t="shared" si="221"/>
        <v>#REF!</v>
      </c>
      <c r="AU304" s="187" t="e">
        <f t="shared" si="222"/>
        <v>#REF!</v>
      </c>
      <c r="AV304" s="187" t="e">
        <f t="shared" si="212"/>
        <v>#REF!</v>
      </c>
      <c r="AW304" s="187" t="e">
        <f t="shared" si="223"/>
        <v>#REF!</v>
      </c>
      <c r="AX304" s="187">
        <f t="shared" si="224"/>
        <v>12</v>
      </c>
      <c r="AY304" s="190"/>
      <c r="AZ304" s="240"/>
      <c r="BA304" s="232"/>
      <c r="BF304" s="206"/>
      <c r="BG304" s="206"/>
      <c r="BK304" s="126"/>
      <c r="BL304" s="126"/>
      <c r="BN304" s="126"/>
      <c r="BO304" s="126"/>
      <c r="BQ304" s="126"/>
      <c r="BR304" s="126"/>
      <c r="BT304" s="126"/>
      <c r="BU304" s="126"/>
      <c r="BW304" s="126"/>
      <c r="BX304" s="126"/>
      <c r="BZ304" s="126"/>
      <c r="CA304" s="126"/>
      <c r="CC304" s="126"/>
      <c r="CD304" s="126"/>
      <c r="CF304" s="126"/>
      <c r="CG304" s="126"/>
    </row>
    <row r="305" spans="1:85" s="197" customFormat="1" ht="27.6" x14ac:dyDescent="0.3">
      <c r="A305" s="182" t="s">
        <v>243</v>
      </c>
      <c r="B305" s="183">
        <v>1</v>
      </c>
      <c r="C305" s="184" t="s">
        <v>332</v>
      </c>
      <c r="D305" s="187">
        <v>4.8710000000000004</v>
      </c>
      <c r="E305" s="187">
        <v>2.7450000000000001</v>
      </c>
      <c r="F305" s="186">
        <v>0.15</v>
      </c>
      <c r="G305" s="187">
        <f t="shared" si="213"/>
        <v>2.00563425</v>
      </c>
      <c r="H305" s="188">
        <f t="shared" ref="H305:H368" si="235">D305*E305*B305</f>
        <v>13.370895000000001</v>
      </c>
      <c r="I305" s="183" t="e">
        <f>GETPIVOTDATA(#REF!,A305)</f>
        <v>#REF!</v>
      </c>
      <c r="J305" s="188" t="e">
        <f>GETPIVOTDATA(#REF!,A305)*2</f>
        <v>#REF!</v>
      </c>
      <c r="K305" s="183" t="e">
        <f>(ROUND(E305/J305,0)+1)*GETPIVOTDATA(#REF!,A305)</f>
        <v>#REF!</v>
      </c>
      <c r="L305" s="189" t="e">
        <f>GETPIVOTDATA(#REF!,A305)</f>
        <v>#REF!</v>
      </c>
      <c r="M305" s="189">
        <f t="shared" si="228"/>
        <v>0.6</v>
      </c>
      <c r="N305" s="189">
        <f t="shared" si="214"/>
        <v>-0.04</v>
      </c>
      <c r="O305" s="189">
        <f>3.01*0.3</f>
        <v>0.90299999999999991</v>
      </c>
      <c r="P305" s="188" t="e">
        <f t="shared" si="227"/>
        <v>#REF!</v>
      </c>
      <c r="Q305" s="183" t="e">
        <f>GETPIVOTDATA(#REF!,A305)</f>
        <v>#REF!</v>
      </c>
      <c r="R305" s="188" t="e">
        <f>GETPIVOTDATA(#REF!,A305)*2</f>
        <v>#REF!</v>
      </c>
      <c r="S305" s="183" t="e">
        <f>(ROUND(E305/R305,0))*GETPIVOTDATA(#REF!,A305)</f>
        <v>#REF!</v>
      </c>
      <c r="T305" s="189" t="e">
        <f>GETPIVOTDATA(#REF!,A305)</f>
        <v>#REF!</v>
      </c>
      <c r="U305" s="189">
        <f t="shared" si="229"/>
        <v>0.6</v>
      </c>
      <c r="V305" s="189">
        <f t="shared" si="216"/>
        <v>-0.04</v>
      </c>
      <c r="W305" s="189">
        <f>2.833*0.3</f>
        <v>0.84989999999999999</v>
      </c>
      <c r="X305" s="188" t="e">
        <f t="shared" si="234"/>
        <v>#REF!</v>
      </c>
      <c r="Y305" s="183" t="e">
        <f>GETPIVOTDATA(#REF!,A305)</f>
        <v>#REF!</v>
      </c>
      <c r="Z305" s="188" t="e">
        <f>GETPIVOTDATA(#REF!,A305)*2</f>
        <v>#REF!</v>
      </c>
      <c r="AA305" s="183" t="e">
        <f>(ROUND(D305/Z305,0)+1)*GETPIVOTDATA(#REF!,A305)</f>
        <v>#REF!</v>
      </c>
      <c r="AB305" s="189" t="e">
        <f>GETPIVOTDATA(#REF!,A305)</f>
        <v>#REF!</v>
      </c>
      <c r="AC305" s="189">
        <f>0.38*2</f>
        <v>0.76</v>
      </c>
      <c r="AD305" s="189">
        <f t="shared" si="217"/>
        <v>-0.04</v>
      </c>
      <c r="AE305" s="189">
        <f>4.34*0.3</f>
        <v>1.3019999999999998</v>
      </c>
      <c r="AF305" s="188" t="e">
        <f t="shared" si="230"/>
        <v>#REF!</v>
      </c>
      <c r="AG305" s="183" t="e">
        <f>GETPIVOTDATA(#REF!,A305)</f>
        <v>#REF!</v>
      </c>
      <c r="AH305" s="182" t="e">
        <f>GETPIVOTDATA(#REF!,A305)*2</f>
        <v>#REF!</v>
      </c>
      <c r="AI305" s="183" t="e">
        <f>(ROUND(D305/AH305,0))*GETPIVOTDATA(#REF!,A305)</f>
        <v>#REF!</v>
      </c>
      <c r="AJ305" s="189" t="e">
        <f>GETPIVOTDATA(#REF!,A305)</f>
        <v>#REF!</v>
      </c>
      <c r="AK305" s="189">
        <f>0.38*2</f>
        <v>0.76</v>
      </c>
      <c r="AL305" s="189">
        <f t="shared" si="218"/>
        <v>-0.04</v>
      </c>
      <c r="AM305" s="189">
        <f>2.75*0.3</f>
        <v>0.82499999999999996</v>
      </c>
      <c r="AN305" s="188" t="e">
        <f t="shared" si="231"/>
        <v>#REF!</v>
      </c>
      <c r="AO305" s="183">
        <v>0</v>
      </c>
      <c r="AP305" s="182">
        <f t="shared" si="211"/>
        <v>10</v>
      </c>
      <c r="AQ305" s="182">
        <v>1.5</v>
      </c>
      <c r="AR305" s="187" t="e">
        <f t="shared" si="219"/>
        <v>#REF!</v>
      </c>
      <c r="AS305" s="187" t="e">
        <f t="shared" si="220"/>
        <v>#REF!</v>
      </c>
      <c r="AT305" s="187" t="e">
        <f t="shared" si="221"/>
        <v>#REF!</v>
      </c>
      <c r="AU305" s="187" t="e">
        <f t="shared" si="222"/>
        <v>#REF!</v>
      </c>
      <c r="AV305" s="187" t="e">
        <f t="shared" si="212"/>
        <v>#REF!</v>
      </c>
      <c r="AW305" s="187" t="e">
        <f t="shared" si="223"/>
        <v>#REF!</v>
      </c>
      <c r="AX305" s="187">
        <f t="shared" si="224"/>
        <v>15</v>
      </c>
      <c r="AY305" s="190"/>
      <c r="AZ305" s="240"/>
      <c r="BA305" s="232"/>
      <c r="BF305" s="206"/>
      <c r="BG305" s="206"/>
      <c r="BK305" s="126"/>
      <c r="BL305" s="126"/>
      <c r="BN305" s="126"/>
      <c r="BO305" s="126"/>
      <c r="BQ305" s="126"/>
      <c r="BR305" s="126"/>
      <c r="BT305" s="126"/>
      <c r="BU305" s="126"/>
      <c r="BW305" s="126"/>
      <c r="BX305" s="126"/>
      <c r="BZ305" s="126"/>
      <c r="CA305" s="126"/>
      <c r="CC305" s="126"/>
      <c r="CD305" s="126"/>
      <c r="CF305" s="126"/>
      <c r="CG305" s="126"/>
    </row>
    <row r="306" spans="1:85" s="197" customFormat="1" ht="27.6" x14ac:dyDescent="0.3">
      <c r="A306" s="182" t="s">
        <v>239</v>
      </c>
      <c r="B306" s="183">
        <v>1</v>
      </c>
      <c r="C306" s="184" t="s">
        <v>333</v>
      </c>
      <c r="D306" s="187">
        <v>2.8330000000000002</v>
      </c>
      <c r="E306" s="187">
        <v>2.75</v>
      </c>
      <c r="F306" s="186">
        <v>0.125</v>
      </c>
      <c r="G306" s="187">
        <f t="shared" si="213"/>
        <v>0.97384375000000012</v>
      </c>
      <c r="H306" s="188">
        <f t="shared" si="235"/>
        <v>7.790750000000001</v>
      </c>
      <c r="I306" s="183" t="e">
        <f>GETPIVOTDATA(#REF!,A306)</f>
        <v>#REF!</v>
      </c>
      <c r="J306" s="188" t="e">
        <f>GETPIVOTDATA(#REF!,A306)*2</f>
        <v>#REF!</v>
      </c>
      <c r="K306" s="183" t="e">
        <f>(ROUND(E306/J306,0)+1)*GETPIVOTDATA(#REF!,A306)</f>
        <v>#REF!</v>
      </c>
      <c r="L306" s="189" t="e">
        <f>GETPIVOTDATA(#REF!,A306)</f>
        <v>#REF!</v>
      </c>
      <c r="M306" s="189">
        <f t="shared" si="228"/>
        <v>0.6</v>
      </c>
      <c r="N306" s="189">
        <f t="shared" si="214"/>
        <v>-0.04</v>
      </c>
      <c r="O306" s="189">
        <f>4.87*0.3</f>
        <v>1.4610000000000001</v>
      </c>
      <c r="P306" s="188" t="e">
        <f t="shared" si="227"/>
        <v>#REF!</v>
      </c>
      <c r="Q306" s="183" t="e">
        <f>GETPIVOTDATA(#REF!,A306)</f>
        <v>#REF!</v>
      </c>
      <c r="R306" s="188" t="e">
        <f>GETPIVOTDATA(#REF!,A306)*2</f>
        <v>#REF!</v>
      </c>
      <c r="S306" s="183" t="e">
        <f>(ROUND(E306/R306,0))*GETPIVOTDATA(#REF!,A306)</f>
        <v>#REF!</v>
      </c>
      <c r="T306" s="189" t="e">
        <f>GETPIVOTDATA(#REF!,A306)</f>
        <v>#REF!</v>
      </c>
      <c r="U306" s="189">
        <f t="shared" si="229"/>
        <v>0.6</v>
      </c>
      <c r="V306" s="189">
        <f t="shared" si="216"/>
        <v>-0.04</v>
      </c>
      <c r="W306" s="189">
        <f>6*0.3</f>
        <v>1.7999999999999998</v>
      </c>
      <c r="X306" s="188" t="e">
        <f t="shared" si="234"/>
        <v>#REF!</v>
      </c>
      <c r="Y306" s="183" t="e">
        <f>GETPIVOTDATA(#REF!,A306)</f>
        <v>#REF!</v>
      </c>
      <c r="Z306" s="188" t="e">
        <f>GETPIVOTDATA(#REF!,A306)*2</f>
        <v>#REF!</v>
      </c>
      <c r="AA306" s="183" t="e">
        <f>(ROUND(D306/Z306,0)+1)*GETPIVOTDATA(#REF!,A306)</f>
        <v>#REF!</v>
      </c>
      <c r="AB306" s="189" t="e">
        <f>GETPIVOTDATA(#REF!,A306)</f>
        <v>#REF!</v>
      </c>
      <c r="AC306" s="189">
        <f>0.38*2</f>
        <v>0.76</v>
      </c>
      <c r="AD306" s="189">
        <f t="shared" si="217"/>
        <v>-0.04</v>
      </c>
      <c r="AE306" s="189">
        <f>4.34*0.3</f>
        <v>1.3019999999999998</v>
      </c>
      <c r="AF306" s="188" t="e">
        <f t="shared" si="230"/>
        <v>#REF!</v>
      </c>
      <c r="AG306" s="183" t="e">
        <f>GETPIVOTDATA(#REF!,A306)</f>
        <v>#REF!</v>
      </c>
      <c r="AH306" s="182" t="e">
        <f>GETPIVOTDATA(#REF!,A306)*2</f>
        <v>#REF!</v>
      </c>
      <c r="AI306" s="183" t="e">
        <f>(ROUND(D306/AH306,0))*GETPIVOTDATA(#REF!,A306)</f>
        <v>#REF!</v>
      </c>
      <c r="AJ306" s="189" t="e">
        <f>GETPIVOTDATA(#REF!,A306)</f>
        <v>#REF!</v>
      </c>
      <c r="AK306" s="189">
        <f>0.38*2</f>
        <v>0.76</v>
      </c>
      <c r="AL306" s="189">
        <f t="shared" si="218"/>
        <v>-0.04</v>
      </c>
      <c r="AM306" s="189">
        <f>2.75*0.3</f>
        <v>0.82499999999999996</v>
      </c>
      <c r="AN306" s="188" t="e">
        <f t="shared" si="231"/>
        <v>#REF!</v>
      </c>
      <c r="AO306" s="183">
        <v>0</v>
      </c>
      <c r="AP306" s="182">
        <f t="shared" si="211"/>
        <v>8</v>
      </c>
      <c r="AQ306" s="182">
        <v>1.5</v>
      </c>
      <c r="AR306" s="187" t="e">
        <f t="shared" si="219"/>
        <v>#REF!</v>
      </c>
      <c r="AS306" s="187" t="e">
        <f t="shared" si="220"/>
        <v>#REF!</v>
      </c>
      <c r="AT306" s="187" t="e">
        <f t="shared" si="221"/>
        <v>#REF!</v>
      </c>
      <c r="AU306" s="187" t="e">
        <f t="shared" si="222"/>
        <v>#REF!</v>
      </c>
      <c r="AV306" s="187" t="e">
        <f t="shared" si="212"/>
        <v>#REF!</v>
      </c>
      <c r="AW306" s="187" t="e">
        <f t="shared" si="223"/>
        <v>#REF!</v>
      </c>
      <c r="AX306" s="187">
        <f t="shared" si="224"/>
        <v>12</v>
      </c>
      <c r="AY306" s="190"/>
      <c r="AZ306" s="240"/>
      <c r="BA306" s="232"/>
      <c r="BF306" s="206"/>
      <c r="BG306" s="206"/>
      <c r="BK306" s="126"/>
      <c r="BL306" s="126"/>
      <c r="BN306" s="126"/>
      <c r="BO306" s="126"/>
      <c r="BQ306" s="126"/>
      <c r="BR306" s="126"/>
      <c r="BT306" s="126"/>
      <c r="BU306" s="126"/>
      <c r="BW306" s="126"/>
      <c r="BX306" s="126"/>
      <c r="BZ306" s="126"/>
      <c r="CA306" s="126"/>
      <c r="CC306" s="126"/>
      <c r="CD306" s="126"/>
      <c r="CF306" s="126"/>
      <c r="CG306" s="126"/>
    </row>
    <row r="307" spans="1:85" s="197" customFormat="1" x14ac:dyDescent="0.3">
      <c r="A307" s="182" t="s">
        <v>239</v>
      </c>
      <c r="B307" s="183">
        <v>1</v>
      </c>
      <c r="C307" s="184" t="s">
        <v>334</v>
      </c>
      <c r="D307" s="187">
        <v>3.04</v>
      </c>
      <c r="E307" s="187">
        <v>2.11</v>
      </c>
      <c r="F307" s="186">
        <v>0.125</v>
      </c>
      <c r="G307" s="187">
        <f t="shared" si="213"/>
        <v>0.80179999999999996</v>
      </c>
      <c r="H307" s="188">
        <f t="shared" si="235"/>
        <v>6.4143999999999997</v>
      </c>
      <c r="I307" s="183" t="e">
        <f>GETPIVOTDATA(#REF!,A307)</f>
        <v>#REF!</v>
      </c>
      <c r="J307" s="188" t="e">
        <f>GETPIVOTDATA(#REF!,A307)*2</f>
        <v>#REF!</v>
      </c>
      <c r="K307" s="183" t="e">
        <f>(ROUND(E307/J307,0)+1)*GETPIVOTDATA(#REF!,A307)</f>
        <v>#REF!</v>
      </c>
      <c r="L307" s="189" t="e">
        <f>GETPIVOTDATA(#REF!,A307)</f>
        <v>#REF!</v>
      </c>
      <c r="M307" s="189">
        <f>0.23*2</f>
        <v>0.46</v>
      </c>
      <c r="N307" s="189">
        <f t="shared" si="214"/>
        <v>-0.04</v>
      </c>
      <c r="O307" s="189">
        <f>(F307-2*0.02)</f>
        <v>8.4999999999999992E-2</v>
      </c>
      <c r="P307" s="188" t="e">
        <f t="shared" si="227"/>
        <v>#REF!</v>
      </c>
      <c r="Q307" s="183" t="e">
        <f>GETPIVOTDATA(#REF!,A307)</f>
        <v>#REF!</v>
      </c>
      <c r="R307" s="188" t="e">
        <f>GETPIVOTDATA(#REF!,A307)*2</f>
        <v>#REF!</v>
      </c>
      <c r="S307" s="183" t="e">
        <f>(ROUND(E307/R307,0))*GETPIVOTDATA(#REF!,A307)</f>
        <v>#REF!</v>
      </c>
      <c r="T307" s="189" t="e">
        <f>GETPIVOTDATA(#REF!,A307)</f>
        <v>#REF!</v>
      </c>
      <c r="U307" s="189">
        <f>0.23*2</f>
        <v>0.46</v>
      </c>
      <c r="V307" s="189">
        <f t="shared" si="216"/>
        <v>-0.04</v>
      </c>
      <c r="W307" s="189">
        <f>2.785*0.3</f>
        <v>0.83550000000000002</v>
      </c>
      <c r="X307" s="188" t="e">
        <f t="shared" si="234"/>
        <v>#REF!</v>
      </c>
      <c r="Y307" s="183" t="e">
        <f>GETPIVOTDATA(#REF!,A307)</f>
        <v>#REF!</v>
      </c>
      <c r="Z307" s="188" t="e">
        <f>GETPIVOTDATA(#REF!,A307)*2</f>
        <v>#REF!</v>
      </c>
      <c r="AA307" s="183" t="e">
        <f>(ROUND(D307/Z307,0)+1)*GETPIVOTDATA(#REF!,A307)</f>
        <v>#REF!</v>
      </c>
      <c r="AB307" s="189" t="e">
        <f>GETPIVOTDATA(#REF!,A307)</f>
        <v>#REF!</v>
      </c>
      <c r="AC307" s="189">
        <f>0.23+0.3</f>
        <v>0.53</v>
      </c>
      <c r="AD307" s="189">
        <f t="shared" si="217"/>
        <v>-0.04</v>
      </c>
      <c r="AE307" s="189">
        <f>2.01*0.3</f>
        <v>0.60299999999999987</v>
      </c>
      <c r="AF307" s="188" t="e">
        <f t="shared" si="230"/>
        <v>#REF!</v>
      </c>
      <c r="AG307" s="183" t="e">
        <f>GETPIVOTDATA(#REF!,A307)</f>
        <v>#REF!</v>
      </c>
      <c r="AH307" s="182" t="e">
        <f>GETPIVOTDATA(#REF!,A307)*2</f>
        <v>#REF!</v>
      </c>
      <c r="AI307" s="183" t="e">
        <f>(ROUND(D307/AH307,0))*GETPIVOTDATA(#REF!,A307)</f>
        <v>#REF!</v>
      </c>
      <c r="AJ307" s="189" t="e">
        <f>GETPIVOTDATA(#REF!,A307)</f>
        <v>#REF!</v>
      </c>
      <c r="AK307" s="189">
        <f>0.23+0.3</f>
        <v>0.53</v>
      </c>
      <c r="AL307" s="189">
        <f t="shared" si="218"/>
        <v>-0.04</v>
      </c>
      <c r="AM307" s="189">
        <f>4.25*0.3</f>
        <v>1.2749999999999999</v>
      </c>
      <c r="AN307" s="188" t="e">
        <f t="shared" si="231"/>
        <v>#REF!</v>
      </c>
      <c r="AO307" s="183">
        <v>0</v>
      </c>
      <c r="AP307" s="182">
        <f t="shared" si="211"/>
        <v>6</v>
      </c>
      <c r="AQ307" s="182">
        <v>1.5</v>
      </c>
      <c r="AR307" s="187" t="e">
        <f t="shared" si="219"/>
        <v>#REF!</v>
      </c>
      <c r="AS307" s="187" t="e">
        <f t="shared" si="220"/>
        <v>#REF!</v>
      </c>
      <c r="AT307" s="187" t="e">
        <f t="shared" si="221"/>
        <v>#REF!</v>
      </c>
      <c r="AU307" s="187" t="e">
        <f t="shared" si="222"/>
        <v>#REF!</v>
      </c>
      <c r="AV307" s="187" t="e">
        <f t="shared" si="212"/>
        <v>#REF!</v>
      </c>
      <c r="AW307" s="187" t="e">
        <f t="shared" si="223"/>
        <v>#REF!</v>
      </c>
      <c r="AX307" s="187">
        <f t="shared" si="224"/>
        <v>9</v>
      </c>
      <c r="AY307" s="190"/>
      <c r="AZ307" s="240"/>
      <c r="BA307" s="232"/>
      <c r="BF307" s="206"/>
      <c r="BG307" s="206"/>
      <c r="BK307" s="126"/>
      <c r="BL307" s="126"/>
      <c r="BN307" s="126"/>
      <c r="BO307" s="126"/>
      <c r="BQ307" s="126"/>
      <c r="BR307" s="126"/>
      <c r="BT307" s="126"/>
      <c r="BU307" s="126"/>
      <c r="BW307" s="126"/>
      <c r="BX307" s="126"/>
      <c r="BZ307" s="126"/>
      <c r="CA307" s="126"/>
      <c r="CC307" s="126"/>
      <c r="CD307" s="126"/>
      <c r="CF307" s="126"/>
      <c r="CG307" s="126"/>
    </row>
    <row r="308" spans="1:85" s="197" customFormat="1" ht="27.6" x14ac:dyDescent="0.3">
      <c r="A308" s="182" t="s">
        <v>239</v>
      </c>
      <c r="B308" s="183">
        <v>1</v>
      </c>
      <c r="C308" s="184" t="s">
        <v>335</v>
      </c>
      <c r="D308" s="187">
        <v>2.7850000000000001</v>
      </c>
      <c r="E308" s="187">
        <v>1.87</v>
      </c>
      <c r="F308" s="186">
        <v>0.125</v>
      </c>
      <c r="G308" s="187">
        <f t="shared" si="213"/>
        <v>0.65099375000000004</v>
      </c>
      <c r="H308" s="188">
        <f t="shared" si="235"/>
        <v>5.2079500000000003</v>
      </c>
      <c r="I308" s="183" t="e">
        <f>GETPIVOTDATA(#REF!,A308)</f>
        <v>#REF!</v>
      </c>
      <c r="J308" s="188" t="e">
        <f>GETPIVOTDATA(#REF!,A308)*2</f>
        <v>#REF!</v>
      </c>
      <c r="K308" s="183" t="e">
        <f>(ROUND(E308/J308,0)+1)*GETPIVOTDATA(#REF!,A308)</f>
        <v>#REF!</v>
      </c>
      <c r="L308" s="189" t="e">
        <f>GETPIVOTDATA(#REF!,A308)</f>
        <v>#REF!</v>
      </c>
      <c r="M308" s="189">
        <f>0.23*2</f>
        <v>0.46</v>
      </c>
      <c r="N308" s="189">
        <f t="shared" si="214"/>
        <v>-0.04</v>
      </c>
      <c r="O308" s="189">
        <f>3.04*0.3</f>
        <v>0.91199999999999992</v>
      </c>
      <c r="P308" s="188" t="e">
        <f t="shared" si="227"/>
        <v>#REF!</v>
      </c>
      <c r="Q308" s="183" t="e">
        <f>GETPIVOTDATA(#REF!,A308)</f>
        <v>#REF!</v>
      </c>
      <c r="R308" s="188" t="e">
        <f>GETPIVOTDATA(#REF!,A308)*2</f>
        <v>#REF!</v>
      </c>
      <c r="S308" s="183" t="e">
        <f>(ROUND(E308/R308,0))*GETPIVOTDATA(#REF!,A308)</f>
        <v>#REF!</v>
      </c>
      <c r="T308" s="189" t="e">
        <f>GETPIVOTDATA(#REF!,A308)</f>
        <v>#REF!</v>
      </c>
      <c r="U308" s="189">
        <f>0.23*2</f>
        <v>0.46</v>
      </c>
      <c r="V308" s="189">
        <f t="shared" si="216"/>
        <v>-0.04</v>
      </c>
      <c r="W308" s="189">
        <f>5.41*0.3</f>
        <v>1.623</v>
      </c>
      <c r="X308" s="188" t="e">
        <f t="shared" si="234"/>
        <v>#REF!</v>
      </c>
      <c r="Y308" s="183" t="e">
        <f>GETPIVOTDATA(#REF!,A308)</f>
        <v>#REF!</v>
      </c>
      <c r="Z308" s="188" t="e">
        <f>GETPIVOTDATA(#REF!,A308)*2</f>
        <v>#REF!</v>
      </c>
      <c r="AA308" s="183" t="e">
        <f>(ROUND(D308/Z308,0)+1)*GETPIVOTDATA(#REF!,A308)</f>
        <v>#REF!</v>
      </c>
      <c r="AB308" s="189" t="e">
        <f>GETPIVOTDATA(#REF!,A308)</f>
        <v>#REF!</v>
      </c>
      <c r="AC308" s="189">
        <f>0.23+0.3</f>
        <v>0.53</v>
      </c>
      <c r="AD308" s="189">
        <f t="shared" si="217"/>
        <v>-0.04</v>
      </c>
      <c r="AE308" s="189">
        <f>3.25*0.3</f>
        <v>0.97499999999999998</v>
      </c>
      <c r="AF308" s="188" t="e">
        <f t="shared" si="230"/>
        <v>#REF!</v>
      </c>
      <c r="AG308" s="183" t="e">
        <f>GETPIVOTDATA(#REF!,A308)</f>
        <v>#REF!</v>
      </c>
      <c r="AH308" s="182" t="e">
        <f>GETPIVOTDATA(#REF!,A308)*2</f>
        <v>#REF!</v>
      </c>
      <c r="AI308" s="183" t="e">
        <f>(ROUND(D308/AH308,0))*GETPIVOTDATA(#REF!,A308)</f>
        <v>#REF!</v>
      </c>
      <c r="AJ308" s="189" t="e">
        <f>GETPIVOTDATA(#REF!,A308)</f>
        <v>#REF!</v>
      </c>
      <c r="AK308" s="189">
        <f>0.23+0.3</f>
        <v>0.53</v>
      </c>
      <c r="AL308" s="189">
        <f t="shared" si="218"/>
        <v>-0.04</v>
      </c>
      <c r="AM308" s="189">
        <f>4.25*0.3</f>
        <v>1.2749999999999999</v>
      </c>
      <c r="AN308" s="188" t="e">
        <f t="shared" si="231"/>
        <v>#REF!</v>
      </c>
      <c r="AO308" s="183">
        <v>0</v>
      </c>
      <c r="AP308" s="182">
        <f t="shared" si="211"/>
        <v>6</v>
      </c>
      <c r="AQ308" s="182">
        <v>1.5</v>
      </c>
      <c r="AR308" s="187" t="e">
        <f t="shared" si="219"/>
        <v>#REF!</v>
      </c>
      <c r="AS308" s="187" t="e">
        <f t="shared" si="220"/>
        <v>#REF!</v>
      </c>
      <c r="AT308" s="187" t="e">
        <f t="shared" si="221"/>
        <v>#REF!</v>
      </c>
      <c r="AU308" s="187" t="e">
        <f t="shared" si="222"/>
        <v>#REF!</v>
      </c>
      <c r="AV308" s="187" t="e">
        <f t="shared" si="212"/>
        <v>#REF!</v>
      </c>
      <c r="AW308" s="187" t="e">
        <f t="shared" si="223"/>
        <v>#REF!</v>
      </c>
      <c r="AX308" s="187">
        <f t="shared" si="224"/>
        <v>9</v>
      </c>
      <c r="AY308" s="190"/>
      <c r="AZ308" s="240"/>
      <c r="BA308" s="232"/>
      <c r="BF308" s="206"/>
      <c r="BG308" s="206"/>
      <c r="BK308" s="126"/>
      <c r="BL308" s="126"/>
      <c r="BN308" s="126"/>
      <c r="BO308" s="126"/>
      <c r="BQ308" s="126"/>
      <c r="BR308" s="126"/>
      <c r="BT308" s="126"/>
      <c r="BU308" s="126"/>
      <c r="BW308" s="126"/>
      <c r="BX308" s="126"/>
      <c r="BZ308" s="126"/>
      <c r="CA308" s="126"/>
      <c r="CC308" s="126"/>
      <c r="CD308" s="126"/>
      <c r="CF308" s="126"/>
      <c r="CG308" s="126"/>
    </row>
    <row r="309" spans="1:85" s="197" customFormat="1" x14ac:dyDescent="0.3">
      <c r="A309" s="182" t="s">
        <v>227</v>
      </c>
      <c r="B309" s="183">
        <v>1</v>
      </c>
      <c r="C309" s="184" t="s">
        <v>336</v>
      </c>
      <c r="D309" s="187">
        <v>5.41</v>
      </c>
      <c r="E309" s="187">
        <v>1.95</v>
      </c>
      <c r="F309" s="186">
        <v>0.125</v>
      </c>
      <c r="G309" s="187">
        <f t="shared" si="213"/>
        <v>1.3186875</v>
      </c>
      <c r="H309" s="188">
        <f t="shared" si="235"/>
        <v>10.5495</v>
      </c>
      <c r="I309" s="183" t="e">
        <f>GETPIVOTDATA(#REF!,A309)</f>
        <v>#REF!</v>
      </c>
      <c r="J309" s="188" t="e">
        <f>GETPIVOTDATA(#REF!,A309)*2</f>
        <v>#REF!</v>
      </c>
      <c r="K309" s="183" t="e">
        <f>(ROUND(E309/J309,0)+1)*GETPIVOTDATA(#REF!,A309)</f>
        <v>#REF!</v>
      </c>
      <c r="L309" s="189" t="e">
        <f>GETPIVOTDATA(#REF!,A309)</f>
        <v>#REF!</v>
      </c>
      <c r="M309" s="189">
        <f>0.23+0.38</f>
        <v>0.61</v>
      </c>
      <c r="N309" s="189">
        <f t="shared" si="214"/>
        <v>-0.04</v>
      </c>
      <c r="O309" s="189">
        <f>2.785*0.3</f>
        <v>0.83550000000000002</v>
      </c>
      <c r="P309" s="188" t="e">
        <f t="shared" si="227"/>
        <v>#REF!</v>
      </c>
      <c r="Q309" s="183" t="e">
        <f>GETPIVOTDATA(#REF!,A309)</f>
        <v>#REF!</v>
      </c>
      <c r="R309" s="188" t="e">
        <f>GETPIVOTDATA(#REF!,A309)*2</f>
        <v>#REF!</v>
      </c>
      <c r="S309" s="183" t="e">
        <f>(ROUND(E309/R309,0))*GETPIVOTDATA(#REF!,A309)</f>
        <v>#REF!</v>
      </c>
      <c r="T309" s="189" t="e">
        <f>GETPIVOTDATA(#REF!,A309)</f>
        <v>#REF!</v>
      </c>
      <c r="U309" s="189">
        <f>0.23+0.38</f>
        <v>0.61</v>
      </c>
      <c r="V309" s="189">
        <f t="shared" si="216"/>
        <v>-0.04</v>
      </c>
      <c r="W309" s="189">
        <v>0</v>
      </c>
      <c r="X309" s="188" t="e">
        <f t="shared" si="234"/>
        <v>#REF!</v>
      </c>
      <c r="Y309" s="183" t="e">
        <f>GETPIVOTDATA(#REF!,A309)</f>
        <v>#REF!</v>
      </c>
      <c r="Z309" s="188" t="e">
        <f>GETPIVOTDATA(#REF!,A309)*2</f>
        <v>#REF!</v>
      </c>
      <c r="AA309" s="183" t="e">
        <f>(ROUND(D309/Z309,0)+1)*GETPIVOTDATA(#REF!,A309)</f>
        <v>#REF!</v>
      </c>
      <c r="AB309" s="189" t="e">
        <f>GETPIVOTDATA(#REF!,A309)</f>
        <v>#REF!</v>
      </c>
      <c r="AC309" s="189">
        <f>0.3+0.23</f>
        <v>0.53</v>
      </c>
      <c r="AD309" s="189">
        <f t="shared" si="217"/>
        <v>-0.04</v>
      </c>
      <c r="AE309" s="189">
        <f>3.17*0.3</f>
        <v>0.95099999999999996</v>
      </c>
      <c r="AF309" s="188" t="e">
        <f t="shared" si="230"/>
        <v>#REF!</v>
      </c>
      <c r="AG309" s="183" t="e">
        <f>GETPIVOTDATA(#REF!,A309)</f>
        <v>#REF!</v>
      </c>
      <c r="AH309" s="182" t="e">
        <f>GETPIVOTDATA(#REF!,A309)*2</f>
        <v>#REF!</v>
      </c>
      <c r="AI309" s="183" t="e">
        <f>(ROUND(D309/AH309,0))*GETPIVOTDATA(#REF!,A309)</f>
        <v>#REF!</v>
      </c>
      <c r="AJ309" s="189" t="e">
        <f>GETPIVOTDATA(#REF!,A309)</f>
        <v>#REF!</v>
      </c>
      <c r="AK309" s="189">
        <f>0.3+0.23</f>
        <v>0.53</v>
      </c>
      <c r="AL309" s="189">
        <f t="shared" si="218"/>
        <v>-0.04</v>
      </c>
      <c r="AM309" s="189">
        <f>4.25*0.3</f>
        <v>1.2749999999999999</v>
      </c>
      <c r="AN309" s="188" t="e">
        <f t="shared" si="231"/>
        <v>#REF!</v>
      </c>
      <c r="AO309" s="183">
        <v>0</v>
      </c>
      <c r="AP309" s="182">
        <f t="shared" si="211"/>
        <v>10</v>
      </c>
      <c r="AQ309" s="182">
        <v>1.5</v>
      </c>
      <c r="AR309" s="187" t="e">
        <f t="shared" si="219"/>
        <v>#REF!</v>
      </c>
      <c r="AS309" s="187" t="e">
        <f t="shared" si="220"/>
        <v>#REF!</v>
      </c>
      <c r="AT309" s="187" t="e">
        <f t="shared" si="221"/>
        <v>#REF!</v>
      </c>
      <c r="AU309" s="187" t="e">
        <f t="shared" si="222"/>
        <v>#REF!</v>
      </c>
      <c r="AV309" s="187" t="e">
        <f t="shared" si="212"/>
        <v>#REF!</v>
      </c>
      <c r="AW309" s="187" t="e">
        <f t="shared" si="223"/>
        <v>#REF!</v>
      </c>
      <c r="AX309" s="187">
        <f t="shared" si="224"/>
        <v>15</v>
      </c>
      <c r="AY309" s="190"/>
      <c r="AZ309" s="240"/>
      <c r="BA309" s="232"/>
      <c r="BF309" s="206"/>
      <c r="BG309" s="206"/>
      <c r="BK309" s="126"/>
      <c r="BL309" s="126"/>
      <c r="BN309" s="126"/>
      <c r="BO309" s="126"/>
      <c r="BQ309" s="126"/>
      <c r="BR309" s="126"/>
      <c r="BT309" s="126"/>
      <c r="BU309" s="126"/>
      <c r="BW309" s="126"/>
      <c r="BX309" s="126"/>
      <c r="BZ309" s="126"/>
      <c r="CA309" s="126"/>
      <c r="CC309" s="126"/>
      <c r="CD309" s="126"/>
      <c r="CF309" s="126"/>
      <c r="CG309" s="126"/>
    </row>
    <row r="310" spans="1:85" s="197" customFormat="1" ht="27.6" x14ac:dyDescent="0.3">
      <c r="A310" s="182" t="s">
        <v>218</v>
      </c>
      <c r="B310" s="183">
        <v>1</v>
      </c>
      <c r="C310" s="184" t="s">
        <v>337</v>
      </c>
      <c r="D310" s="187">
        <v>0.89</v>
      </c>
      <c r="E310" s="187">
        <v>2.94</v>
      </c>
      <c r="F310" s="186">
        <v>0.16500000000000001</v>
      </c>
      <c r="G310" s="187">
        <f t="shared" si="213"/>
        <v>0.43173900000000004</v>
      </c>
      <c r="H310" s="188">
        <f t="shared" si="235"/>
        <v>2.6166</v>
      </c>
      <c r="I310" s="183" t="e">
        <f>GETPIVOTDATA(#REF!,A310)</f>
        <v>#REF!</v>
      </c>
      <c r="J310" s="188" t="e">
        <f>GETPIVOTDATA(#REF!,A310)*2</f>
        <v>#REF!</v>
      </c>
      <c r="K310" s="183" t="e">
        <f>(ROUND(E310/J310,0)+1)*GETPIVOTDATA(#REF!,A310)</f>
        <v>#REF!</v>
      </c>
      <c r="L310" s="189" t="e">
        <f>GETPIVOTDATA(#REF!,A310)</f>
        <v>#REF!</v>
      </c>
      <c r="M310" s="189">
        <f>0.23*2</f>
        <v>0.46</v>
      </c>
      <c r="N310" s="189">
        <f t="shared" si="214"/>
        <v>-0.04</v>
      </c>
      <c r="O310" s="189">
        <f>1.98*0.3</f>
        <v>0.59399999999999997</v>
      </c>
      <c r="P310" s="188" t="e">
        <f t="shared" si="227"/>
        <v>#REF!</v>
      </c>
      <c r="Q310" s="183" t="e">
        <f>GETPIVOTDATA(#REF!,A310)</f>
        <v>#REF!</v>
      </c>
      <c r="R310" s="188" t="e">
        <f>GETPIVOTDATA(#REF!,A310)*2</f>
        <v>#REF!</v>
      </c>
      <c r="S310" s="183" t="e">
        <f>(ROUND(E310/R310,0))*GETPIVOTDATA(#REF!,A310)</f>
        <v>#REF!</v>
      </c>
      <c r="T310" s="189" t="e">
        <f>GETPIVOTDATA(#REF!,A310)</f>
        <v>#REF!</v>
      </c>
      <c r="U310" s="189">
        <f>0.23*2</f>
        <v>0.46</v>
      </c>
      <c r="V310" s="189">
        <f t="shared" si="216"/>
        <v>-0.04</v>
      </c>
      <c r="W310" s="189">
        <f>2.36*0.3</f>
        <v>0.70799999999999996</v>
      </c>
      <c r="X310" s="188" t="e">
        <f t="shared" si="234"/>
        <v>#REF!</v>
      </c>
      <c r="Y310" s="183" t="e">
        <f>GETPIVOTDATA(#REF!,A310)</f>
        <v>#REF!</v>
      </c>
      <c r="Z310" s="188" t="e">
        <f>GETPIVOTDATA(#REF!,A310)*2</f>
        <v>#REF!</v>
      </c>
      <c r="AA310" s="183" t="e">
        <f>(ROUND(D310/Z310,0)+1)*GETPIVOTDATA(#REF!,A310)</f>
        <v>#REF!</v>
      </c>
      <c r="AB310" s="189" t="e">
        <f>GETPIVOTDATA(#REF!,A310)</f>
        <v>#REF!</v>
      </c>
      <c r="AC310" s="189">
        <f>0.38+0.23</f>
        <v>0.61</v>
      </c>
      <c r="AD310" s="189">
        <f t="shared" si="217"/>
        <v>-0.04</v>
      </c>
      <c r="AE310" s="189">
        <v>0</v>
      </c>
      <c r="AF310" s="188" t="e">
        <f t="shared" si="230"/>
        <v>#REF!</v>
      </c>
      <c r="AG310" s="183" t="e">
        <f>GETPIVOTDATA(#REF!,A310)</f>
        <v>#REF!</v>
      </c>
      <c r="AH310" s="182" t="e">
        <f>GETPIVOTDATA(#REF!,A310)*2</f>
        <v>#REF!</v>
      </c>
      <c r="AI310" s="183" t="e">
        <f>(ROUND(D310/AH310,0))*GETPIVOTDATA(#REF!,A310)</f>
        <v>#REF!</v>
      </c>
      <c r="AJ310" s="189" t="e">
        <f>GETPIVOTDATA(#REF!,A310)</f>
        <v>#REF!</v>
      </c>
      <c r="AK310" s="189">
        <f>0.38+0.23</f>
        <v>0.61</v>
      </c>
      <c r="AL310" s="189">
        <f t="shared" si="218"/>
        <v>-0.04</v>
      </c>
      <c r="AM310" s="189">
        <v>0</v>
      </c>
      <c r="AN310" s="188" t="e">
        <f t="shared" si="231"/>
        <v>#REF!</v>
      </c>
      <c r="AO310" s="183">
        <v>0</v>
      </c>
      <c r="AP310" s="182">
        <f t="shared" si="211"/>
        <v>6</v>
      </c>
      <c r="AQ310" s="182">
        <v>1.5</v>
      </c>
      <c r="AR310" s="187" t="e">
        <f t="shared" si="219"/>
        <v>#REF!</v>
      </c>
      <c r="AS310" s="187" t="e">
        <f t="shared" si="220"/>
        <v>#REF!</v>
      </c>
      <c r="AT310" s="187" t="e">
        <f t="shared" si="221"/>
        <v>#REF!</v>
      </c>
      <c r="AU310" s="187" t="e">
        <f t="shared" si="222"/>
        <v>#REF!</v>
      </c>
      <c r="AV310" s="187" t="e">
        <f t="shared" si="212"/>
        <v>#REF!</v>
      </c>
      <c r="AW310" s="187" t="e">
        <f t="shared" si="223"/>
        <v>#REF!</v>
      </c>
      <c r="AX310" s="187">
        <f t="shared" si="224"/>
        <v>9</v>
      </c>
      <c r="AY310" s="190"/>
      <c r="AZ310" s="240"/>
      <c r="BA310" s="232"/>
      <c r="BF310" s="206"/>
      <c r="BG310" s="206"/>
      <c r="BK310" s="126"/>
      <c r="BL310" s="126"/>
      <c r="BN310" s="126"/>
      <c r="BO310" s="126"/>
      <c r="BQ310" s="126"/>
      <c r="BR310" s="126"/>
      <c r="BT310" s="126"/>
      <c r="BU310" s="126"/>
      <c r="BW310" s="126"/>
      <c r="BX310" s="126"/>
      <c r="BZ310" s="126"/>
      <c r="CA310" s="126"/>
      <c r="CC310" s="126"/>
      <c r="CD310" s="126"/>
      <c r="CF310" s="126"/>
      <c r="CG310" s="126"/>
    </row>
    <row r="311" spans="1:85" s="197" customFormat="1" x14ac:dyDescent="0.3">
      <c r="A311" s="182" t="s">
        <v>239</v>
      </c>
      <c r="B311" s="183">
        <v>1</v>
      </c>
      <c r="C311" s="184" t="s">
        <v>327</v>
      </c>
      <c r="D311" s="187">
        <v>2.29</v>
      </c>
      <c r="E311" s="187">
        <v>2.5</v>
      </c>
      <c r="F311" s="186">
        <v>0.125</v>
      </c>
      <c r="G311" s="187">
        <f t="shared" si="213"/>
        <v>0.71562499999999996</v>
      </c>
      <c r="H311" s="188">
        <f t="shared" si="235"/>
        <v>5.7249999999999996</v>
      </c>
      <c r="I311" s="183" t="e">
        <f>GETPIVOTDATA(#REF!,A311)</f>
        <v>#REF!</v>
      </c>
      <c r="J311" s="188" t="e">
        <f>GETPIVOTDATA(#REF!,A311)*2</f>
        <v>#REF!</v>
      </c>
      <c r="K311" s="183" t="e">
        <f>(ROUND(E311/J311,0)+1)*GETPIVOTDATA(#REF!,A311)</f>
        <v>#REF!</v>
      </c>
      <c r="L311" s="189" t="e">
        <f>GETPIVOTDATA(#REF!,A311)</f>
        <v>#REF!</v>
      </c>
      <c r="M311" s="189">
        <f>0.23*2</f>
        <v>0.46</v>
      </c>
      <c r="N311" s="189">
        <f t="shared" si="214"/>
        <v>-0.04</v>
      </c>
      <c r="O311" s="189">
        <v>0</v>
      </c>
      <c r="P311" s="188" t="e">
        <f t="shared" si="227"/>
        <v>#REF!</v>
      </c>
      <c r="Q311" s="183" t="e">
        <f>GETPIVOTDATA(#REF!,A311)</f>
        <v>#REF!</v>
      </c>
      <c r="R311" s="188" t="e">
        <f>GETPIVOTDATA(#REF!,A311)*2</f>
        <v>#REF!</v>
      </c>
      <c r="S311" s="183" t="e">
        <f>(ROUND(E311/R311,0))*GETPIVOTDATA(#REF!,A311)</f>
        <v>#REF!</v>
      </c>
      <c r="T311" s="189" t="e">
        <f>GETPIVOTDATA(#REF!,A311)</f>
        <v>#REF!</v>
      </c>
      <c r="U311" s="189">
        <f>0.23*2</f>
        <v>0.46</v>
      </c>
      <c r="V311" s="189">
        <f t="shared" si="216"/>
        <v>-0.04</v>
      </c>
      <c r="W311" s="189">
        <v>0</v>
      </c>
      <c r="X311" s="188" t="e">
        <f t="shared" si="234"/>
        <v>#REF!</v>
      </c>
      <c r="Y311" s="183" t="e">
        <f>GETPIVOTDATA(#REF!,A311)</f>
        <v>#REF!</v>
      </c>
      <c r="Z311" s="188" t="e">
        <f>GETPIVOTDATA(#REF!,A311)*2</f>
        <v>#REF!</v>
      </c>
      <c r="AA311" s="183" t="e">
        <f>(ROUND(D311/Z311,0)+1)*GETPIVOTDATA(#REF!,A311)</f>
        <v>#REF!</v>
      </c>
      <c r="AB311" s="189" t="e">
        <f>GETPIVOTDATA(#REF!,A311)</f>
        <v>#REF!</v>
      </c>
      <c r="AC311" s="189">
        <f>0.23*2</f>
        <v>0.46</v>
      </c>
      <c r="AD311" s="189">
        <f t="shared" si="217"/>
        <v>-0.04</v>
      </c>
      <c r="AE311" s="189">
        <f>3.93*0.3</f>
        <v>1.179</v>
      </c>
      <c r="AF311" s="188" t="e">
        <f t="shared" si="230"/>
        <v>#REF!</v>
      </c>
      <c r="AG311" s="183" t="e">
        <f>GETPIVOTDATA(#REF!,A311)</f>
        <v>#REF!</v>
      </c>
      <c r="AH311" s="182" t="e">
        <f>GETPIVOTDATA(#REF!,A311)*2</f>
        <v>#REF!</v>
      </c>
      <c r="AI311" s="183" t="e">
        <f>(ROUND(D311/AH311,0))*GETPIVOTDATA(#REF!,A311)</f>
        <v>#REF!</v>
      </c>
      <c r="AJ311" s="189" t="e">
        <f>GETPIVOTDATA(#REF!,A311)</f>
        <v>#REF!</v>
      </c>
      <c r="AK311" s="189">
        <f>0.23*2</f>
        <v>0.46</v>
      </c>
      <c r="AL311" s="189">
        <f t="shared" si="218"/>
        <v>-0.04</v>
      </c>
      <c r="AM311" s="189">
        <f>2.29*0.3</f>
        <v>0.68699999999999994</v>
      </c>
      <c r="AN311" s="188" t="e">
        <f t="shared" si="231"/>
        <v>#REF!</v>
      </c>
      <c r="AO311" s="183">
        <v>0</v>
      </c>
      <c r="AP311" s="182">
        <f t="shared" si="211"/>
        <v>8</v>
      </c>
      <c r="AQ311" s="182">
        <v>1.5</v>
      </c>
      <c r="AR311" s="187" t="e">
        <f t="shared" si="219"/>
        <v>#REF!</v>
      </c>
      <c r="AS311" s="187" t="e">
        <f t="shared" si="220"/>
        <v>#REF!</v>
      </c>
      <c r="AT311" s="187" t="e">
        <f t="shared" si="221"/>
        <v>#REF!</v>
      </c>
      <c r="AU311" s="187" t="e">
        <f t="shared" si="222"/>
        <v>#REF!</v>
      </c>
      <c r="AV311" s="187" t="e">
        <f t="shared" si="212"/>
        <v>#REF!</v>
      </c>
      <c r="AW311" s="187" t="e">
        <f t="shared" si="223"/>
        <v>#REF!</v>
      </c>
      <c r="AX311" s="187">
        <f t="shared" si="224"/>
        <v>12</v>
      </c>
      <c r="AY311" s="190"/>
      <c r="AZ311" s="240"/>
      <c r="BA311" s="232"/>
      <c r="BF311" s="206"/>
      <c r="BG311" s="206"/>
      <c r="BK311" s="126"/>
      <c r="BL311" s="126"/>
      <c r="BN311" s="126"/>
      <c r="BO311" s="126"/>
      <c r="BQ311" s="126"/>
      <c r="BR311" s="126"/>
      <c r="BT311" s="126"/>
      <c r="BU311" s="126"/>
      <c r="BW311" s="126"/>
      <c r="BX311" s="126"/>
      <c r="BZ311" s="126"/>
      <c r="CA311" s="126"/>
      <c r="CC311" s="126"/>
      <c r="CD311" s="126"/>
      <c r="CF311" s="126"/>
      <c r="CG311" s="126"/>
    </row>
    <row r="312" spans="1:85" s="197" customFormat="1" x14ac:dyDescent="0.3">
      <c r="A312" s="182" t="s">
        <v>239</v>
      </c>
      <c r="B312" s="183">
        <v>1</v>
      </c>
      <c r="C312" s="184" t="s">
        <v>338</v>
      </c>
      <c r="D312" s="187">
        <v>2.29</v>
      </c>
      <c r="E312" s="187">
        <v>2.64</v>
      </c>
      <c r="F312" s="186">
        <v>0.125</v>
      </c>
      <c r="G312" s="187">
        <f t="shared" si="213"/>
        <v>0.75570000000000004</v>
      </c>
      <c r="H312" s="188">
        <f t="shared" si="235"/>
        <v>6.0456000000000003</v>
      </c>
      <c r="I312" s="183" t="e">
        <f>GETPIVOTDATA(#REF!,A312)</f>
        <v>#REF!</v>
      </c>
      <c r="J312" s="188" t="e">
        <f>GETPIVOTDATA(#REF!,A312)*2</f>
        <v>#REF!</v>
      </c>
      <c r="K312" s="183" t="e">
        <f>(ROUND(E312/J312,0)+1)*GETPIVOTDATA(#REF!,A312)</f>
        <v>#REF!</v>
      </c>
      <c r="L312" s="189" t="e">
        <f>GETPIVOTDATA(#REF!,A312)</f>
        <v>#REF!</v>
      </c>
      <c r="M312" s="189">
        <f t="shared" si="228"/>
        <v>0.6</v>
      </c>
      <c r="N312" s="189">
        <f t="shared" si="214"/>
        <v>-0.04</v>
      </c>
      <c r="O312" s="189">
        <v>0</v>
      </c>
      <c r="P312" s="188" t="e">
        <f t="shared" si="227"/>
        <v>#REF!</v>
      </c>
      <c r="Q312" s="183" t="e">
        <f>GETPIVOTDATA(#REF!,A312)</f>
        <v>#REF!</v>
      </c>
      <c r="R312" s="188" t="e">
        <f>GETPIVOTDATA(#REF!,A312)*2</f>
        <v>#REF!</v>
      </c>
      <c r="S312" s="183" t="e">
        <f>(ROUND(E312/R312,0))*GETPIVOTDATA(#REF!,A312)</f>
        <v>#REF!</v>
      </c>
      <c r="T312" s="189" t="e">
        <f>GETPIVOTDATA(#REF!,A312)</f>
        <v>#REF!</v>
      </c>
      <c r="U312" s="189">
        <f t="shared" si="229"/>
        <v>0.6</v>
      </c>
      <c r="V312" s="189">
        <f t="shared" si="216"/>
        <v>-0.04</v>
      </c>
      <c r="W312" s="189">
        <f>4.12*0.3</f>
        <v>1.236</v>
      </c>
      <c r="X312" s="188" t="e">
        <f t="shared" si="234"/>
        <v>#REF!</v>
      </c>
      <c r="Y312" s="183" t="e">
        <f>GETPIVOTDATA(#REF!,A312)</f>
        <v>#REF!</v>
      </c>
      <c r="Z312" s="188" t="e">
        <f>GETPIVOTDATA(#REF!,A312)*2</f>
        <v>#REF!</v>
      </c>
      <c r="AA312" s="183" t="e">
        <f>(ROUND(D312/Z312,0)+1)*GETPIVOTDATA(#REF!,A312)</f>
        <v>#REF!</v>
      </c>
      <c r="AB312" s="189" t="e">
        <f>GETPIVOTDATA(#REF!,A312)</f>
        <v>#REF!</v>
      </c>
      <c r="AC312" s="189">
        <f>0.23*2</f>
        <v>0.46</v>
      </c>
      <c r="AD312" s="189">
        <f t="shared" si="217"/>
        <v>-0.04</v>
      </c>
      <c r="AE312" s="189">
        <f>1.72*0.3</f>
        <v>0.51600000000000001</v>
      </c>
      <c r="AF312" s="188" t="e">
        <f t="shared" si="230"/>
        <v>#REF!</v>
      </c>
      <c r="AG312" s="183" t="e">
        <f>GETPIVOTDATA(#REF!,A312)</f>
        <v>#REF!</v>
      </c>
      <c r="AH312" s="182" t="e">
        <f>GETPIVOTDATA(#REF!,A312)*2</f>
        <v>#REF!</v>
      </c>
      <c r="AI312" s="183" t="e">
        <f>(ROUND(D312/AH312,0))*GETPIVOTDATA(#REF!,A312)</f>
        <v>#REF!</v>
      </c>
      <c r="AJ312" s="189" t="e">
        <f>GETPIVOTDATA(#REF!,A312)</f>
        <v>#REF!</v>
      </c>
      <c r="AK312" s="189">
        <f>0.23*2</f>
        <v>0.46</v>
      </c>
      <c r="AL312" s="189">
        <f t="shared" si="218"/>
        <v>-0.04</v>
      </c>
      <c r="AM312" s="189">
        <f>2.19*0.3</f>
        <v>0.65699999999999992</v>
      </c>
      <c r="AN312" s="188" t="e">
        <f t="shared" si="231"/>
        <v>#REF!</v>
      </c>
      <c r="AO312" s="183">
        <v>0</v>
      </c>
      <c r="AP312" s="182">
        <f t="shared" si="211"/>
        <v>8</v>
      </c>
      <c r="AQ312" s="182">
        <v>1.5</v>
      </c>
      <c r="AR312" s="187" t="e">
        <f t="shared" si="219"/>
        <v>#REF!</v>
      </c>
      <c r="AS312" s="187" t="e">
        <f t="shared" si="220"/>
        <v>#REF!</v>
      </c>
      <c r="AT312" s="187" t="e">
        <f t="shared" si="221"/>
        <v>#REF!</v>
      </c>
      <c r="AU312" s="187" t="e">
        <f t="shared" si="222"/>
        <v>#REF!</v>
      </c>
      <c r="AV312" s="187" t="e">
        <f t="shared" si="212"/>
        <v>#REF!</v>
      </c>
      <c r="AW312" s="187" t="e">
        <f t="shared" si="223"/>
        <v>#REF!</v>
      </c>
      <c r="AX312" s="187">
        <f t="shared" si="224"/>
        <v>12</v>
      </c>
      <c r="AY312" s="190"/>
      <c r="AZ312" s="240"/>
      <c r="BA312" s="232"/>
      <c r="BF312" s="206"/>
      <c r="BG312" s="206"/>
      <c r="BK312" s="126"/>
      <c r="BL312" s="126"/>
      <c r="BN312" s="126"/>
      <c r="BO312" s="126"/>
      <c r="BQ312" s="126"/>
      <c r="BR312" s="126"/>
      <c r="BT312" s="126"/>
      <c r="BU312" s="126"/>
      <c r="BW312" s="126"/>
      <c r="BX312" s="126"/>
      <c r="BZ312" s="126"/>
      <c r="CA312" s="126"/>
      <c r="CC312" s="126"/>
      <c r="CD312" s="126"/>
      <c r="CF312" s="126"/>
      <c r="CG312" s="126"/>
    </row>
    <row r="313" spans="1:85" s="197" customFormat="1" x14ac:dyDescent="0.3">
      <c r="A313" s="182" t="s">
        <v>227</v>
      </c>
      <c r="B313" s="183">
        <v>1</v>
      </c>
      <c r="C313" s="184" t="s">
        <v>339</v>
      </c>
      <c r="D313" s="187">
        <v>4.12</v>
      </c>
      <c r="E313" s="187">
        <v>1.72</v>
      </c>
      <c r="F313" s="186">
        <v>0.125</v>
      </c>
      <c r="G313" s="187">
        <f t="shared" si="213"/>
        <v>0.88580000000000003</v>
      </c>
      <c r="H313" s="188">
        <f t="shared" si="235"/>
        <v>7.0864000000000003</v>
      </c>
      <c r="I313" s="183" t="e">
        <f>GETPIVOTDATA(#REF!,A313)</f>
        <v>#REF!</v>
      </c>
      <c r="J313" s="188" t="e">
        <f>GETPIVOTDATA(#REF!,A313)*2</f>
        <v>#REF!</v>
      </c>
      <c r="K313" s="183" t="e">
        <f>(ROUND(E313/J313,0)+1)*GETPIVOTDATA(#REF!,A313)</f>
        <v>#REF!</v>
      </c>
      <c r="L313" s="189" t="e">
        <f>GETPIVOTDATA(#REF!,A313)</f>
        <v>#REF!</v>
      </c>
      <c r="M313" s="189">
        <f t="shared" si="228"/>
        <v>0.6</v>
      </c>
      <c r="N313" s="189">
        <f t="shared" si="214"/>
        <v>-0.04</v>
      </c>
      <c r="O313" s="189">
        <f>2.29*0.3</f>
        <v>0.68699999999999994</v>
      </c>
      <c r="P313" s="188" t="e">
        <f t="shared" si="227"/>
        <v>#REF!</v>
      </c>
      <c r="Q313" s="183" t="e">
        <f>GETPIVOTDATA(#REF!,A313)</f>
        <v>#REF!</v>
      </c>
      <c r="R313" s="188" t="e">
        <f>GETPIVOTDATA(#REF!,A313)*2</f>
        <v>#REF!</v>
      </c>
      <c r="S313" s="183" t="e">
        <f>(ROUND(E313/R313,0))*GETPIVOTDATA(#REF!,A313)</f>
        <v>#REF!</v>
      </c>
      <c r="T313" s="189" t="e">
        <f>GETPIVOTDATA(#REF!,A313)</f>
        <v>#REF!</v>
      </c>
      <c r="U313" s="189">
        <f t="shared" si="229"/>
        <v>0.6</v>
      </c>
      <c r="V313" s="189">
        <f t="shared" si="216"/>
        <v>-0.04</v>
      </c>
      <c r="W313" s="189">
        <f>3.01*0.3</f>
        <v>0.90299999999999991</v>
      </c>
      <c r="X313" s="188" t="e">
        <f t="shared" si="234"/>
        <v>#REF!</v>
      </c>
      <c r="Y313" s="183" t="e">
        <f>GETPIVOTDATA(#REF!,A313)</f>
        <v>#REF!</v>
      </c>
      <c r="Z313" s="188" t="e">
        <f>GETPIVOTDATA(#REF!,A313)*2</f>
        <v>#REF!</v>
      </c>
      <c r="AA313" s="183" t="e">
        <f>(ROUND(D313/Z313,0)+1)*GETPIVOTDATA(#REF!,A313)</f>
        <v>#REF!</v>
      </c>
      <c r="AB313" s="189" t="e">
        <f>GETPIVOTDATA(#REF!,A313)</f>
        <v>#REF!</v>
      </c>
      <c r="AC313" s="189">
        <f>0.23*2</f>
        <v>0.46</v>
      </c>
      <c r="AD313" s="189">
        <f t="shared" si="217"/>
        <v>-0.04</v>
      </c>
      <c r="AE313" s="189">
        <f>2.09*0.3</f>
        <v>0.62699999999999989</v>
      </c>
      <c r="AF313" s="188" t="e">
        <f t="shared" si="230"/>
        <v>#REF!</v>
      </c>
      <c r="AG313" s="183" t="e">
        <f>GETPIVOTDATA(#REF!,A313)</f>
        <v>#REF!</v>
      </c>
      <c r="AH313" s="182" t="e">
        <f>GETPIVOTDATA(#REF!,A313)*2</f>
        <v>#REF!</v>
      </c>
      <c r="AI313" s="183" t="e">
        <f>(ROUND(D313/AH313,0))*GETPIVOTDATA(#REF!,A313)</f>
        <v>#REF!</v>
      </c>
      <c r="AJ313" s="189" t="e">
        <f>GETPIVOTDATA(#REF!,A313)</f>
        <v>#REF!</v>
      </c>
      <c r="AK313" s="189">
        <f>0.23*2</f>
        <v>0.46</v>
      </c>
      <c r="AL313" s="189">
        <f t="shared" si="218"/>
        <v>-0.04</v>
      </c>
      <c r="AM313" s="189">
        <f>2.19*0.3</f>
        <v>0.65699999999999992</v>
      </c>
      <c r="AN313" s="188" t="e">
        <f t="shared" si="231"/>
        <v>#REF!</v>
      </c>
      <c r="AO313" s="183">
        <v>0</v>
      </c>
      <c r="AP313" s="182">
        <f t="shared" si="211"/>
        <v>8</v>
      </c>
      <c r="AQ313" s="182">
        <v>1.5</v>
      </c>
      <c r="AR313" s="187" t="e">
        <f t="shared" si="219"/>
        <v>#REF!</v>
      </c>
      <c r="AS313" s="187" t="e">
        <f t="shared" si="220"/>
        <v>#REF!</v>
      </c>
      <c r="AT313" s="187" t="e">
        <f t="shared" si="221"/>
        <v>#REF!</v>
      </c>
      <c r="AU313" s="187" t="e">
        <f t="shared" si="222"/>
        <v>#REF!</v>
      </c>
      <c r="AV313" s="187" t="e">
        <f t="shared" si="212"/>
        <v>#REF!</v>
      </c>
      <c r="AW313" s="187" t="e">
        <f t="shared" si="223"/>
        <v>#REF!</v>
      </c>
      <c r="AX313" s="187">
        <f t="shared" si="224"/>
        <v>12</v>
      </c>
      <c r="AY313" s="190"/>
      <c r="AZ313" s="240"/>
      <c r="BA313" s="232"/>
      <c r="BF313" s="206"/>
      <c r="BG313" s="206"/>
      <c r="BK313" s="126"/>
      <c r="BL313" s="126"/>
      <c r="BN313" s="126"/>
      <c r="BO313" s="126"/>
      <c r="BQ313" s="126"/>
      <c r="BR313" s="126"/>
      <c r="BT313" s="126"/>
      <c r="BU313" s="126"/>
      <c r="BW313" s="126"/>
      <c r="BX313" s="126"/>
      <c r="BZ313" s="126"/>
      <c r="CA313" s="126"/>
      <c r="CC313" s="126"/>
      <c r="CD313" s="126"/>
      <c r="CF313" s="126"/>
      <c r="CG313" s="126"/>
    </row>
    <row r="314" spans="1:85" s="197" customFormat="1" x14ac:dyDescent="0.3">
      <c r="A314" s="182" t="s">
        <v>239</v>
      </c>
      <c r="B314" s="183">
        <v>1</v>
      </c>
      <c r="C314" s="184" t="s">
        <v>340</v>
      </c>
      <c r="D314" s="187">
        <v>2.9</v>
      </c>
      <c r="E314" s="187">
        <v>2.0099999999999998</v>
      </c>
      <c r="F314" s="186">
        <v>0.125</v>
      </c>
      <c r="G314" s="187">
        <f t="shared" si="213"/>
        <v>0.72862499999999986</v>
      </c>
      <c r="H314" s="188">
        <f t="shared" si="235"/>
        <v>5.8289999999999988</v>
      </c>
      <c r="I314" s="183" t="e">
        <f>GETPIVOTDATA(#REF!,A314)</f>
        <v>#REF!</v>
      </c>
      <c r="J314" s="188" t="e">
        <f>GETPIVOTDATA(#REF!,A314)*2</f>
        <v>#REF!</v>
      </c>
      <c r="K314" s="183" t="e">
        <f>(ROUND(E314/J314,0)+1)*GETPIVOTDATA(#REF!,A314)</f>
        <v>#REF!</v>
      </c>
      <c r="L314" s="189" t="e">
        <f>GETPIVOTDATA(#REF!,A314)</f>
        <v>#REF!</v>
      </c>
      <c r="M314" s="189">
        <f t="shared" si="228"/>
        <v>0.6</v>
      </c>
      <c r="N314" s="189">
        <f t="shared" si="214"/>
        <v>-0.04</v>
      </c>
      <c r="O314" s="189">
        <f>(F314-2*0.02)</f>
        <v>8.4999999999999992E-2</v>
      </c>
      <c r="P314" s="188" t="e">
        <f t="shared" si="227"/>
        <v>#REF!</v>
      </c>
      <c r="Q314" s="183" t="e">
        <f>GETPIVOTDATA(#REF!,A314)</f>
        <v>#REF!</v>
      </c>
      <c r="R314" s="188" t="e">
        <f>GETPIVOTDATA(#REF!,A314)*2</f>
        <v>#REF!</v>
      </c>
      <c r="S314" s="183" t="e">
        <f>(ROUND(E314/R314,0))*GETPIVOTDATA(#REF!,A314)</f>
        <v>#REF!</v>
      </c>
      <c r="T314" s="189" t="e">
        <f>GETPIVOTDATA(#REF!,A314)</f>
        <v>#REF!</v>
      </c>
      <c r="U314" s="189">
        <f t="shared" si="229"/>
        <v>0.6</v>
      </c>
      <c r="V314" s="189">
        <f t="shared" si="216"/>
        <v>-0.04</v>
      </c>
      <c r="W314" s="189">
        <f>2.75*0.3</f>
        <v>0.82499999999999996</v>
      </c>
      <c r="X314" s="188" t="e">
        <f t="shared" si="234"/>
        <v>#REF!</v>
      </c>
      <c r="Y314" s="183" t="e">
        <f>GETPIVOTDATA(#REF!,A314)</f>
        <v>#REF!</v>
      </c>
      <c r="Z314" s="188" t="e">
        <f>GETPIVOTDATA(#REF!,A314)*2</f>
        <v>#REF!</v>
      </c>
      <c r="AA314" s="183" t="e">
        <f>(ROUND(D314/Z314,0)+1)*GETPIVOTDATA(#REF!,A314)</f>
        <v>#REF!</v>
      </c>
      <c r="AB314" s="189" t="e">
        <f>GETPIVOTDATA(#REF!,A314)</f>
        <v>#REF!</v>
      </c>
      <c r="AC314" s="189">
        <f t="shared" si="232"/>
        <v>0.6</v>
      </c>
      <c r="AD314" s="189">
        <f t="shared" si="217"/>
        <v>-0.04</v>
      </c>
      <c r="AE314" s="189">
        <f>12.82*0.3</f>
        <v>3.8460000000000001</v>
      </c>
      <c r="AF314" s="188" t="e">
        <f t="shared" si="230"/>
        <v>#REF!</v>
      </c>
      <c r="AG314" s="183" t="e">
        <f>GETPIVOTDATA(#REF!,A314)</f>
        <v>#REF!</v>
      </c>
      <c r="AH314" s="182" t="e">
        <f>GETPIVOTDATA(#REF!,A314)*2</f>
        <v>#REF!</v>
      </c>
      <c r="AI314" s="183" t="e">
        <f>(ROUND(D314/AH314,0))*GETPIVOTDATA(#REF!,A314)</f>
        <v>#REF!</v>
      </c>
      <c r="AJ314" s="189" t="e">
        <f>GETPIVOTDATA(#REF!,A314)</f>
        <v>#REF!</v>
      </c>
      <c r="AK314" s="189">
        <f t="shared" si="233"/>
        <v>0.6</v>
      </c>
      <c r="AL314" s="189">
        <f t="shared" si="218"/>
        <v>-0.04</v>
      </c>
      <c r="AM314" s="189">
        <f>2.11*0.3</f>
        <v>0.6329999999999999</v>
      </c>
      <c r="AN314" s="188" t="e">
        <f t="shared" si="231"/>
        <v>#REF!</v>
      </c>
      <c r="AO314" s="183">
        <v>0</v>
      </c>
      <c r="AP314" s="182">
        <f t="shared" si="211"/>
        <v>6</v>
      </c>
      <c r="AQ314" s="182">
        <v>1.5</v>
      </c>
      <c r="AR314" s="187" t="e">
        <f t="shared" si="219"/>
        <v>#REF!</v>
      </c>
      <c r="AS314" s="187" t="e">
        <f t="shared" si="220"/>
        <v>#REF!</v>
      </c>
      <c r="AT314" s="187" t="e">
        <f t="shared" si="221"/>
        <v>#REF!</v>
      </c>
      <c r="AU314" s="187" t="e">
        <f t="shared" si="222"/>
        <v>#REF!</v>
      </c>
      <c r="AV314" s="187" t="e">
        <f t="shared" si="212"/>
        <v>#REF!</v>
      </c>
      <c r="AW314" s="187" t="e">
        <f t="shared" si="223"/>
        <v>#REF!</v>
      </c>
      <c r="AX314" s="187">
        <f t="shared" si="224"/>
        <v>9</v>
      </c>
      <c r="AY314" s="190"/>
      <c r="AZ314" s="240"/>
      <c r="BA314" s="232"/>
      <c r="BF314" s="206"/>
      <c r="BG314" s="206"/>
      <c r="BK314" s="126"/>
      <c r="BL314" s="126"/>
      <c r="BN314" s="126"/>
      <c r="BO314" s="126"/>
      <c r="BQ314" s="126"/>
      <c r="BR314" s="126"/>
      <c r="BT314" s="126"/>
      <c r="BU314" s="126"/>
      <c r="BW314" s="126"/>
      <c r="BX314" s="126"/>
      <c r="BZ314" s="126"/>
      <c r="CA314" s="126"/>
      <c r="CC314" s="126"/>
      <c r="CD314" s="126"/>
      <c r="CF314" s="126"/>
      <c r="CG314" s="126"/>
    </row>
    <row r="315" spans="1:85" s="197" customFormat="1" ht="27.6" x14ac:dyDescent="0.3">
      <c r="A315" s="182" t="s">
        <v>239</v>
      </c>
      <c r="B315" s="183">
        <v>1</v>
      </c>
      <c r="C315" s="184" t="s">
        <v>341</v>
      </c>
      <c r="D315" s="187">
        <v>2.75</v>
      </c>
      <c r="E315" s="187">
        <v>3.25</v>
      </c>
      <c r="F315" s="186">
        <v>0.125</v>
      </c>
      <c r="G315" s="187">
        <f t="shared" si="213"/>
        <v>1.1171875</v>
      </c>
      <c r="H315" s="188">
        <f t="shared" si="235"/>
        <v>8.9375</v>
      </c>
      <c r="I315" s="183" t="e">
        <f>GETPIVOTDATA(#REF!,A315)</f>
        <v>#REF!</v>
      </c>
      <c r="J315" s="188" t="e">
        <f>GETPIVOTDATA(#REF!,A315)*2</f>
        <v>#REF!</v>
      </c>
      <c r="K315" s="183" t="e">
        <f>(ROUND(E315/J315,0)+1)*GETPIVOTDATA(#REF!,A315)</f>
        <v>#REF!</v>
      </c>
      <c r="L315" s="189" t="e">
        <f>GETPIVOTDATA(#REF!,A315)</f>
        <v>#REF!</v>
      </c>
      <c r="M315" s="189">
        <f t="shared" si="228"/>
        <v>0.6</v>
      </c>
      <c r="N315" s="189">
        <f t="shared" si="214"/>
        <v>-0.04</v>
      </c>
      <c r="O315" s="189">
        <f>2.9*0.3</f>
        <v>0.87</v>
      </c>
      <c r="P315" s="188" t="e">
        <f t="shared" si="227"/>
        <v>#REF!</v>
      </c>
      <c r="Q315" s="183" t="e">
        <f>GETPIVOTDATA(#REF!,A315)</f>
        <v>#REF!</v>
      </c>
      <c r="R315" s="188" t="e">
        <f>GETPIVOTDATA(#REF!,A315)*2</f>
        <v>#REF!</v>
      </c>
      <c r="S315" s="183" t="e">
        <f>(ROUND(E315/R315,0))*GETPIVOTDATA(#REF!,A315)</f>
        <v>#REF!</v>
      </c>
      <c r="T315" s="189" t="e">
        <f>GETPIVOTDATA(#REF!,A315)</f>
        <v>#REF!</v>
      </c>
      <c r="U315" s="189">
        <f t="shared" si="229"/>
        <v>0.6</v>
      </c>
      <c r="V315" s="189">
        <f t="shared" si="216"/>
        <v>-0.04</v>
      </c>
      <c r="W315" s="189">
        <f>5.41*0.3</f>
        <v>1.623</v>
      </c>
      <c r="X315" s="188" t="e">
        <f t="shared" si="234"/>
        <v>#REF!</v>
      </c>
      <c r="Y315" s="183" t="e">
        <f>GETPIVOTDATA(#REF!,A315)</f>
        <v>#REF!</v>
      </c>
      <c r="Z315" s="188" t="e">
        <f>GETPIVOTDATA(#REF!,A315)*2</f>
        <v>#REF!</v>
      </c>
      <c r="AA315" s="183" t="e">
        <f>(ROUND(D315/Z315,0)+1)*GETPIVOTDATA(#REF!,A315)</f>
        <v>#REF!</v>
      </c>
      <c r="AB315" s="189" t="e">
        <f>GETPIVOTDATA(#REF!,A315)</f>
        <v>#REF!</v>
      </c>
      <c r="AC315" s="189">
        <f t="shared" si="232"/>
        <v>0.6</v>
      </c>
      <c r="AD315" s="189">
        <f t="shared" si="217"/>
        <v>-0.04</v>
      </c>
      <c r="AE315" s="189">
        <f>11.82*0.3</f>
        <v>3.5459999999999998</v>
      </c>
      <c r="AF315" s="188" t="e">
        <f t="shared" si="230"/>
        <v>#REF!</v>
      </c>
      <c r="AG315" s="183" t="e">
        <f>GETPIVOTDATA(#REF!,A315)</f>
        <v>#REF!</v>
      </c>
      <c r="AH315" s="182" t="e">
        <f>GETPIVOTDATA(#REF!,A315)*2</f>
        <v>#REF!</v>
      </c>
      <c r="AI315" s="183" t="e">
        <f>(ROUND(D315/AH315,0))*GETPIVOTDATA(#REF!,A315)</f>
        <v>#REF!</v>
      </c>
      <c r="AJ315" s="189" t="e">
        <f>GETPIVOTDATA(#REF!,A315)</f>
        <v>#REF!</v>
      </c>
      <c r="AK315" s="189">
        <f t="shared" si="233"/>
        <v>0.6</v>
      </c>
      <c r="AL315" s="189">
        <f t="shared" si="218"/>
        <v>-0.04</v>
      </c>
      <c r="AM315" s="189">
        <f>1.87*0.3</f>
        <v>0.56100000000000005</v>
      </c>
      <c r="AN315" s="188" t="e">
        <f t="shared" si="231"/>
        <v>#REF!</v>
      </c>
      <c r="AO315" s="183">
        <v>0</v>
      </c>
      <c r="AP315" s="182">
        <f t="shared" si="211"/>
        <v>8</v>
      </c>
      <c r="AQ315" s="182">
        <v>1.5</v>
      </c>
      <c r="AR315" s="187" t="e">
        <f t="shared" si="219"/>
        <v>#REF!</v>
      </c>
      <c r="AS315" s="187" t="e">
        <f t="shared" si="220"/>
        <v>#REF!</v>
      </c>
      <c r="AT315" s="187" t="e">
        <f t="shared" si="221"/>
        <v>#REF!</v>
      </c>
      <c r="AU315" s="187" t="e">
        <f t="shared" si="222"/>
        <v>#REF!</v>
      </c>
      <c r="AV315" s="187" t="e">
        <f t="shared" si="212"/>
        <v>#REF!</v>
      </c>
      <c r="AW315" s="187" t="e">
        <f t="shared" si="223"/>
        <v>#REF!</v>
      </c>
      <c r="AX315" s="187">
        <f t="shared" si="224"/>
        <v>12</v>
      </c>
      <c r="AY315" s="190"/>
      <c r="AZ315" s="240"/>
      <c r="BA315" s="232"/>
      <c r="BF315" s="206"/>
      <c r="BG315" s="206"/>
      <c r="BK315" s="126"/>
      <c r="BL315" s="126"/>
      <c r="BN315" s="126"/>
      <c r="BO315" s="126"/>
      <c r="BQ315" s="126"/>
      <c r="BR315" s="126"/>
      <c r="BT315" s="126"/>
      <c r="BU315" s="126"/>
      <c r="BW315" s="126"/>
      <c r="BX315" s="126"/>
      <c r="BZ315" s="126"/>
      <c r="CA315" s="126"/>
      <c r="CC315" s="126"/>
      <c r="CD315" s="126"/>
      <c r="CF315" s="126"/>
      <c r="CG315" s="126"/>
    </row>
    <row r="316" spans="1:85" s="197" customFormat="1" ht="27.6" x14ac:dyDescent="0.3">
      <c r="A316" s="182" t="s">
        <v>254</v>
      </c>
      <c r="B316" s="183">
        <v>1</v>
      </c>
      <c r="C316" s="184" t="s">
        <v>342</v>
      </c>
      <c r="D316" s="187">
        <v>5.41</v>
      </c>
      <c r="E316" s="187">
        <v>3.17</v>
      </c>
      <c r="F316" s="186">
        <v>0.15</v>
      </c>
      <c r="G316" s="187">
        <f t="shared" si="213"/>
        <v>2.5724549999999997</v>
      </c>
      <c r="H316" s="188">
        <f t="shared" si="235"/>
        <v>17.149699999999999</v>
      </c>
      <c r="I316" s="183" t="e">
        <f>GETPIVOTDATA(#REF!,A316)</f>
        <v>#REF!</v>
      </c>
      <c r="J316" s="188" t="e">
        <f>GETPIVOTDATA(#REF!,A316)*2</f>
        <v>#REF!</v>
      </c>
      <c r="K316" s="183" t="e">
        <f>(ROUND(E316/J316,0)+1)*GETPIVOTDATA(#REF!,A316)</f>
        <v>#REF!</v>
      </c>
      <c r="L316" s="189" t="e">
        <f>GETPIVOTDATA(#REF!,A316)</f>
        <v>#REF!</v>
      </c>
      <c r="M316" s="189">
        <f>0.3+0.34</f>
        <v>0.64</v>
      </c>
      <c r="N316" s="189">
        <f t="shared" si="214"/>
        <v>-0.04</v>
      </c>
      <c r="O316" s="189">
        <f>2.75*0.3</f>
        <v>0.82499999999999996</v>
      </c>
      <c r="P316" s="188" t="e">
        <f t="shared" si="227"/>
        <v>#REF!</v>
      </c>
      <c r="Q316" s="183" t="e">
        <f>GETPIVOTDATA(#REF!,A316)</f>
        <v>#REF!</v>
      </c>
      <c r="R316" s="188" t="e">
        <f>GETPIVOTDATA(#REF!,A316)*2</f>
        <v>#REF!</v>
      </c>
      <c r="S316" s="183" t="e">
        <f>(ROUND(E316/R316,0))*GETPIVOTDATA(#REF!,A316)</f>
        <v>#REF!</v>
      </c>
      <c r="T316" s="189" t="e">
        <f>GETPIVOTDATA(#REF!,A316)</f>
        <v>#REF!</v>
      </c>
      <c r="U316" s="189">
        <f>0.3+0.34</f>
        <v>0.64</v>
      </c>
      <c r="V316" s="189">
        <f t="shared" si="216"/>
        <v>-0.04</v>
      </c>
      <c r="W316" s="189">
        <f>2.98*0.3</f>
        <v>0.89400000000000002</v>
      </c>
      <c r="X316" s="188" t="e">
        <f t="shared" si="234"/>
        <v>#REF!</v>
      </c>
      <c r="Y316" s="183" t="e">
        <f>GETPIVOTDATA(#REF!,A316)</f>
        <v>#REF!</v>
      </c>
      <c r="Z316" s="188" t="e">
        <f>GETPIVOTDATA(#REF!,A316)*2</f>
        <v>#REF!</v>
      </c>
      <c r="AA316" s="183" t="e">
        <f>(ROUND(D316/Z316,0)+1)*GETPIVOTDATA(#REF!,A316)</f>
        <v>#REF!</v>
      </c>
      <c r="AB316" s="189" t="e">
        <f>GETPIVOTDATA(#REF!,A316)</f>
        <v>#REF!</v>
      </c>
      <c r="AC316" s="189">
        <f t="shared" si="232"/>
        <v>0.6</v>
      </c>
      <c r="AD316" s="189">
        <f t="shared" si="217"/>
        <v>-0.04</v>
      </c>
      <c r="AE316" s="189">
        <f>3.31*0.3</f>
        <v>0.99299999999999999</v>
      </c>
      <c r="AF316" s="188" t="e">
        <f t="shared" si="230"/>
        <v>#REF!</v>
      </c>
      <c r="AG316" s="183" t="e">
        <f>GETPIVOTDATA(#REF!,A316)</f>
        <v>#REF!</v>
      </c>
      <c r="AH316" s="182" t="e">
        <f>GETPIVOTDATA(#REF!,A316)*2</f>
        <v>#REF!</v>
      </c>
      <c r="AI316" s="183" t="e">
        <f>(ROUND(D316/AH316,0))*GETPIVOTDATA(#REF!,A316)</f>
        <v>#REF!</v>
      </c>
      <c r="AJ316" s="189" t="e">
        <f>GETPIVOTDATA(#REF!,A316)</f>
        <v>#REF!</v>
      </c>
      <c r="AK316" s="189">
        <f t="shared" si="233"/>
        <v>0.6</v>
      </c>
      <c r="AL316" s="189">
        <f t="shared" si="218"/>
        <v>-0.04</v>
      </c>
      <c r="AM316" s="189">
        <f>1.95*0.3</f>
        <v>0.58499999999999996</v>
      </c>
      <c r="AN316" s="188" t="e">
        <f t="shared" si="231"/>
        <v>#REF!</v>
      </c>
      <c r="AO316" s="183">
        <v>0</v>
      </c>
      <c r="AP316" s="182">
        <f t="shared" si="211"/>
        <v>12</v>
      </c>
      <c r="AQ316" s="182">
        <v>1.5</v>
      </c>
      <c r="AR316" s="187" t="e">
        <f t="shared" si="219"/>
        <v>#REF!</v>
      </c>
      <c r="AS316" s="187" t="e">
        <f t="shared" si="220"/>
        <v>#REF!</v>
      </c>
      <c r="AT316" s="187" t="e">
        <f t="shared" si="221"/>
        <v>#REF!</v>
      </c>
      <c r="AU316" s="187" t="e">
        <f t="shared" si="222"/>
        <v>#REF!</v>
      </c>
      <c r="AV316" s="187" t="e">
        <f t="shared" si="212"/>
        <v>#REF!</v>
      </c>
      <c r="AW316" s="187" t="e">
        <f t="shared" si="223"/>
        <v>#REF!</v>
      </c>
      <c r="AX316" s="187">
        <f t="shared" si="224"/>
        <v>18</v>
      </c>
      <c r="AY316" s="190"/>
      <c r="AZ316" s="240"/>
      <c r="BA316" s="232"/>
      <c r="BF316" s="206"/>
      <c r="BG316" s="206"/>
      <c r="BK316" s="126"/>
      <c r="BL316" s="126"/>
      <c r="BN316" s="126"/>
      <c r="BO316" s="126"/>
      <c r="BQ316" s="126"/>
      <c r="BR316" s="126"/>
      <c r="BT316" s="126"/>
      <c r="BU316" s="126"/>
      <c r="BW316" s="126"/>
      <c r="BX316" s="126"/>
      <c r="BZ316" s="126"/>
      <c r="CA316" s="126"/>
      <c r="CC316" s="126"/>
      <c r="CD316" s="126"/>
      <c r="CF316" s="126"/>
      <c r="CG316" s="126"/>
    </row>
    <row r="317" spans="1:85" s="197" customFormat="1" ht="27.6" x14ac:dyDescent="0.3">
      <c r="A317" s="182" t="s">
        <v>218</v>
      </c>
      <c r="B317" s="183">
        <v>1</v>
      </c>
      <c r="C317" s="184" t="s">
        <v>343</v>
      </c>
      <c r="D317" s="187">
        <v>0.97</v>
      </c>
      <c r="E317" s="187">
        <v>2.94</v>
      </c>
      <c r="F317" s="186">
        <v>0.16500000000000001</v>
      </c>
      <c r="G317" s="187">
        <f t="shared" si="213"/>
        <v>0.47054699999999999</v>
      </c>
      <c r="H317" s="188">
        <f t="shared" si="235"/>
        <v>2.8517999999999999</v>
      </c>
      <c r="I317" s="183" t="e">
        <f>GETPIVOTDATA(#REF!,A317)</f>
        <v>#REF!</v>
      </c>
      <c r="J317" s="188" t="e">
        <f>GETPIVOTDATA(#REF!,A317)*2</f>
        <v>#REF!</v>
      </c>
      <c r="K317" s="183" t="e">
        <f>(ROUND(E317/J317,0)+1)*GETPIVOTDATA(#REF!,A317)</f>
        <v>#REF!</v>
      </c>
      <c r="L317" s="189" t="e">
        <f>GETPIVOTDATA(#REF!,A317)</f>
        <v>#REF!</v>
      </c>
      <c r="M317" s="189">
        <f>0.23+0.15</f>
        <v>0.38</v>
      </c>
      <c r="N317" s="189">
        <f t="shared" si="214"/>
        <v>-0.04</v>
      </c>
      <c r="O317" s="189">
        <f>2.44*0.3</f>
        <v>0.73199999999999998</v>
      </c>
      <c r="P317" s="188" t="e">
        <f t="shared" si="227"/>
        <v>#REF!</v>
      </c>
      <c r="Q317" s="183" t="e">
        <f>GETPIVOTDATA(#REF!,A317)</f>
        <v>#REF!</v>
      </c>
      <c r="R317" s="188" t="e">
        <f>GETPIVOTDATA(#REF!,A317)*2</f>
        <v>#REF!</v>
      </c>
      <c r="S317" s="183" t="e">
        <f>(ROUND(E317/R317,0))*GETPIVOTDATA(#REF!,A317)</f>
        <v>#REF!</v>
      </c>
      <c r="T317" s="189" t="e">
        <f>GETPIVOTDATA(#REF!,A317)</f>
        <v>#REF!</v>
      </c>
      <c r="U317" s="189">
        <f>0.23+0.15</f>
        <v>0.38</v>
      </c>
      <c r="V317" s="189">
        <f t="shared" si="216"/>
        <v>-0.04</v>
      </c>
      <c r="W317" s="189">
        <f>1.98*0.3</f>
        <v>0.59399999999999997</v>
      </c>
      <c r="X317" s="188" t="e">
        <f t="shared" si="234"/>
        <v>#REF!</v>
      </c>
      <c r="Y317" s="183" t="e">
        <f>GETPIVOTDATA(#REF!,A317)</f>
        <v>#REF!</v>
      </c>
      <c r="Z317" s="188" t="e">
        <f>GETPIVOTDATA(#REF!,A317)*2</f>
        <v>#REF!</v>
      </c>
      <c r="AA317" s="183" t="e">
        <f>(ROUND(D317/Z317,0)+1)*GETPIVOTDATA(#REF!,A317)</f>
        <v>#REF!</v>
      </c>
      <c r="AB317" s="189" t="e">
        <f>GETPIVOTDATA(#REF!,A317)</f>
        <v>#REF!</v>
      </c>
      <c r="AC317" s="189">
        <f>0.38+0.23</f>
        <v>0.61</v>
      </c>
      <c r="AD317" s="189">
        <f t="shared" si="217"/>
        <v>-0.04</v>
      </c>
      <c r="AE317" s="189">
        <v>0</v>
      </c>
      <c r="AF317" s="188" t="e">
        <f t="shared" si="230"/>
        <v>#REF!</v>
      </c>
      <c r="AG317" s="183" t="e">
        <f>GETPIVOTDATA(#REF!,A317)</f>
        <v>#REF!</v>
      </c>
      <c r="AH317" s="182" t="e">
        <f>GETPIVOTDATA(#REF!,A317)*2</f>
        <v>#REF!</v>
      </c>
      <c r="AI317" s="183" t="e">
        <f>(ROUND(D317/AH317,0))*GETPIVOTDATA(#REF!,A317)</f>
        <v>#REF!</v>
      </c>
      <c r="AJ317" s="189" t="e">
        <f>GETPIVOTDATA(#REF!,A317)</f>
        <v>#REF!</v>
      </c>
      <c r="AK317" s="189">
        <f>0.38+0.23</f>
        <v>0.61</v>
      </c>
      <c r="AL317" s="189">
        <f t="shared" si="218"/>
        <v>-0.04</v>
      </c>
      <c r="AM317" s="189">
        <v>0</v>
      </c>
      <c r="AN317" s="188" t="e">
        <f t="shared" si="231"/>
        <v>#REF!</v>
      </c>
      <c r="AO317" s="183">
        <v>0</v>
      </c>
      <c r="AP317" s="182">
        <f t="shared" si="211"/>
        <v>6</v>
      </c>
      <c r="AQ317" s="182">
        <v>1.5</v>
      </c>
      <c r="AR317" s="187" t="e">
        <f t="shared" si="219"/>
        <v>#REF!</v>
      </c>
      <c r="AS317" s="187" t="e">
        <f t="shared" si="220"/>
        <v>#REF!</v>
      </c>
      <c r="AT317" s="187" t="e">
        <f t="shared" si="221"/>
        <v>#REF!</v>
      </c>
      <c r="AU317" s="187" t="e">
        <f t="shared" si="222"/>
        <v>#REF!</v>
      </c>
      <c r="AV317" s="187" t="e">
        <f t="shared" si="212"/>
        <v>#REF!</v>
      </c>
      <c r="AW317" s="187" t="e">
        <f t="shared" si="223"/>
        <v>#REF!</v>
      </c>
      <c r="AX317" s="187">
        <f t="shared" si="224"/>
        <v>9</v>
      </c>
      <c r="AY317" s="190"/>
      <c r="AZ317" s="240"/>
      <c r="BA317" s="232"/>
      <c r="BF317" s="206"/>
      <c r="BG317" s="206"/>
      <c r="BK317" s="126"/>
      <c r="BL317" s="126"/>
      <c r="BN317" s="126"/>
      <c r="BO317" s="126"/>
      <c r="BQ317" s="126"/>
      <c r="BR317" s="126"/>
      <c r="BT317" s="126"/>
      <c r="BU317" s="126"/>
      <c r="BW317" s="126"/>
      <c r="BX317" s="126"/>
      <c r="BZ317" s="126"/>
      <c r="CA317" s="126"/>
      <c r="CC317" s="126"/>
      <c r="CD317" s="126"/>
      <c r="CF317" s="126"/>
      <c r="CG317" s="126"/>
    </row>
    <row r="318" spans="1:85" s="197" customFormat="1" x14ac:dyDescent="0.3">
      <c r="A318" s="182" t="s">
        <v>239</v>
      </c>
      <c r="B318" s="183">
        <v>1</v>
      </c>
      <c r="C318" s="184" t="s">
        <v>344</v>
      </c>
      <c r="D318" s="187">
        <v>2.98</v>
      </c>
      <c r="E318" s="187">
        <v>2.44</v>
      </c>
      <c r="F318" s="186">
        <v>0.125</v>
      </c>
      <c r="G318" s="187">
        <f t="shared" si="213"/>
        <v>0.90889999999999993</v>
      </c>
      <c r="H318" s="188">
        <f t="shared" si="235"/>
        <v>7.2711999999999994</v>
      </c>
      <c r="I318" s="183" t="e">
        <f>GETPIVOTDATA(#REF!,A318)</f>
        <v>#REF!</v>
      </c>
      <c r="J318" s="188" t="e">
        <f>GETPIVOTDATA(#REF!,A318)*2</f>
        <v>#REF!</v>
      </c>
      <c r="K318" s="183" t="e">
        <f>(ROUND(E318/J318,0)+1)*GETPIVOTDATA(#REF!,A318)</f>
        <v>#REF!</v>
      </c>
      <c r="L318" s="189" t="e">
        <f>GETPIVOTDATA(#REF!,A318)</f>
        <v>#REF!</v>
      </c>
      <c r="M318" s="189">
        <f>0.3+0.34</f>
        <v>0.64</v>
      </c>
      <c r="N318" s="189">
        <f t="shared" si="214"/>
        <v>-0.04</v>
      </c>
      <c r="O318" s="189">
        <f>5.41*0.3</f>
        <v>1.623</v>
      </c>
      <c r="P318" s="188" t="e">
        <f t="shared" si="227"/>
        <v>#REF!</v>
      </c>
      <c r="Q318" s="183" t="e">
        <f>GETPIVOTDATA(#REF!,A318)</f>
        <v>#REF!</v>
      </c>
      <c r="R318" s="188" t="e">
        <f>GETPIVOTDATA(#REF!,A318)*2</f>
        <v>#REF!</v>
      </c>
      <c r="S318" s="183" t="e">
        <f>(ROUND(E318/R318,0))*GETPIVOTDATA(#REF!,A318)</f>
        <v>#REF!</v>
      </c>
      <c r="T318" s="189" t="e">
        <f>GETPIVOTDATA(#REF!,A318)</f>
        <v>#REF!</v>
      </c>
      <c r="U318" s="189">
        <f>0.3+0.34</f>
        <v>0.64</v>
      </c>
      <c r="V318" s="189">
        <f t="shared" si="216"/>
        <v>-0.04</v>
      </c>
      <c r="W318" s="189">
        <f>2.43*0.3</f>
        <v>0.72899999999999998</v>
      </c>
      <c r="X318" s="188" t="e">
        <f t="shared" si="234"/>
        <v>#REF!</v>
      </c>
      <c r="Y318" s="183" t="e">
        <f>GETPIVOTDATA(#REF!,A318)</f>
        <v>#REF!</v>
      </c>
      <c r="Z318" s="188" t="e">
        <f>GETPIVOTDATA(#REF!,A318)*2</f>
        <v>#REF!</v>
      </c>
      <c r="AA318" s="183" t="e">
        <f>(ROUND(D318/Z318,0)+1)*GETPIVOTDATA(#REF!,A318)</f>
        <v>#REF!</v>
      </c>
      <c r="AB318" s="189" t="e">
        <f>GETPIVOTDATA(#REF!,A318)</f>
        <v>#REF!</v>
      </c>
      <c r="AC318" s="189">
        <f>0.15+0.3</f>
        <v>0.44999999999999996</v>
      </c>
      <c r="AD318" s="189">
        <f t="shared" si="217"/>
        <v>-0.04</v>
      </c>
      <c r="AE318" s="189">
        <f>3.05*0.3</f>
        <v>0.91499999999999992</v>
      </c>
      <c r="AF318" s="188" t="e">
        <f t="shared" si="230"/>
        <v>#REF!</v>
      </c>
      <c r="AG318" s="183" t="e">
        <f>GETPIVOTDATA(#REF!,A318)</f>
        <v>#REF!</v>
      </c>
      <c r="AH318" s="182" t="e">
        <f>GETPIVOTDATA(#REF!,A318)*2</f>
        <v>#REF!</v>
      </c>
      <c r="AI318" s="183" t="e">
        <f>(ROUND(D318/AH318,0))*GETPIVOTDATA(#REF!,A318)</f>
        <v>#REF!</v>
      </c>
      <c r="AJ318" s="189" t="e">
        <f>GETPIVOTDATA(#REF!,A318)</f>
        <v>#REF!</v>
      </c>
      <c r="AK318" s="189">
        <f>0.15+0.3</f>
        <v>0.44999999999999996</v>
      </c>
      <c r="AL318" s="189">
        <f t="shared" si="218"/>
        <v>-0.04</v>
      </c>
      <c r="AM318" s="189">
        <f>0.97*0.3</f>
        <v>0.29099999999999998</v>
      </c>
      <c r="AN318" s="188" t="e">
        <f t="shared" si="231"/>
        <v>#REF!</v>
      </c>
      <c r="AO318" s="183">
        <v>0</v>
      </c>
      <c r="AP318" s="182">
        <f t="shared" si="211"/>
        <v>8</v>
      </c>
      <c r="AQ318" s="182">
        <v>1.5</v>
      </c>
      <c r="AR318" s="187" t="e">
        <f t="shared" si="219"/>
        <v>#REF!</v>
      </c>
      <c r="AS318" s="187" t="e">
        <f t="shared" si="220"/>
        <v>#REF!</v>
      </c>
      <c r="AT318" s="187" t="e">
        <f t="shared" si="221"/>
        <v>#REF!</v>
      </c>
      <c r="AU318" s="187" t="e">
        <f t="shared" si="222"/>
        <v>#REF!</v>
      </c>
      <c r="AV318" s="187" t="e">
        <f t="shared" si="212"/>
        <v>#REF!</v>
      </c>
      <c r="AW318" s="187" t="e">
        <f t="shared" si="223"/>
        <v>#REF!</v>
      </c>
      <c r="AX318" s="187">
        <f t="shared" si="224"/>
        <v>12</v>
      </c>
      <c r="AY318" s="190"/>
      <c r="AZ318" s="240"/>
      <c r="BA318" s="232"/>
      <c r="BF318" s="206"/>
      <c r="BG318" s="206"/>
      <c r="BK318" s="126"/>
      <c r="BL318" s="126"/>
      <c r="BN318" s="126"/>
      <c r="BO318" s="126"/>
      <c r="BQ318" s="126"/>
      <c r="BR318" s="126"/>
      <c r="BT318" s="126"/>
      <c r="BU318" s="126"/>
      <c r="BW318" s="126"/>
      <c r="BX318" s="126"/>
      <c r="BZ318" s="126"/>
      <c r="CA318" s="126"/>
      <c r="CC318" s="126"/>
      <c r="CD318" s="126"/>
      <c r="CF318" s="126"/>
      <c r="CG318" s="126"/>
    </row>
    <row r="319" spans="1:85" s="197" customFormat="1" ht="27.6" x14ac:dyDescent="0.3">
      <c r="A319" s="182" t="s">
        <v>239</v>
      </c>
      <c r="B319" s="183">
        <v>1</v>
      </c>
      <c r="C319" s="184" t="s">
        <v>345</v>
      </c>
      <c r="D319" s="187">
        <v>2.4300000000000002</v>
      </c>
      <c r="E319" s="187">
        <v>3.43</v>
      </c>
      <c r="F319" s="186">
        <v>0.125</v>
      </c>
      <c r="G319" s="187">
        <f t="shared" si="213"/>
        <v>1.0418625000000001</v>
      </c>
      <c r="H319" s="188">
        <f t="shared" si="235"/>
        <v>8.3349000000000011</v>
      </c>
      <c r="I319" s="183" t="e">
        <f>GETPIVOTDATA(#REF!,A319)</f>
        <v>#REF!</v>
      </c>
      <c r="J319" s="188" t="e">
        <f>GETPIVOTDATA(#REF!,A319)*2</f>
        <v>#REF!</v>
      </c>
      <c r="K319" s="183" t="e">
        <f>(ROUND(E319/J319,0)+1)*GETPIVOTDATA(#REF!,A319)</f>
        <v>#REF!</v>
      </c>
      <c r="L319" s="189" t="e">
        <f>GETPIVOTDATA(#REF!,A319)</f>
        <v>#REF!</v>
      </c>
      <c r="M319" s="189">
        <f>0.3+0.23</f>
        <v>0.53</v>
      </c>
      <c r="N319" s="189">
        <f t="shared" si="214"/>
        <v>-0.04</v>
      </c>
      <c r="O319" s="189">
        <f>2.98*0.3</f>
        <v>0.89400000000000002</v>
      </c>
      <c r="P319" s="188" t="e">
        <f t="shared" si="227"/>
        <v>#REF!</v>
      </c>
      <c r="Q319" s="183" t="e">
        <f>GETPIVOTDATA(#REF!,A319)</f>
        <v>#REF!</v>
      </c>
      <c r="R319" s="188" t="e">
        <f>GETPIVOTDATA(#REF!,A319)*2</f>
        <v>#REF!</v>
      </c>
      <c r="S319" s="183" t="e">
        <f>(ROUND(E319/R319,0))*GETPIVOTDATA(#REF!,A319)</f>
        <v>#REF!</v>
      </c>
      <c r="T319" s="189" t="e">
        <f>GETPIVOTDATA(#REF!,A319)</f>
        <v>#REF!</v>
      </c>
      <c r="U319" s="189">
        <f>0.3+0.23</f>
        <v>0.53</v>
      </c>
      <c r="V319" s="189">
        <f t="shared" si="216"/>
        <v>-0.04</v>
      </c>
      <c r="W319" s="189">
        <f>2.29*0.3</f>
        <v>0.68699999999999994</v>
      </c>
      <c r="X319" s="188" t="e">
        <f t="shared" si="234"/>
        <v>#REF!</v>
      </c>
      <c r="Y319" s="183" t="e">
        <f>GETPIVOTDATA(#REF!,A319)</f>
        <v>#REF!</v>
      </c>
      <c r="Z319" s="188" t="e">
        <f>GETPIVOTDATA(#REF!,A319)*2</f>
        <v>#REF!</v>
      </c>
      <c r="AA319" s="183" t="e">
        <f>(ROUND(D319/Z319,0)+1)*GETPIVOTDATA(#REF!,A319)</f>
        <v>#REF!</v>
      </c>
      <c r="AB319" s="189" t="e">
        <f>GETPIVOTDATA(#REF!,A319)</f>
        <v>#REF!</v>
      </c>
      <c r="AC319" s="189">
        <f>0.3+0.23</f>
        <v>0.53</v>
      </c>
      <c r="AD319" s="189">
        <f t="shared" si="217"/>
        <v>-0.04</v>
      </c>
      <c r="AE319" s="189">
        <f>4.12*0.3</f>
        <v>1.236</v>
      </c>
      <c r="AF319" s="188" t="e">
        <f t="shared" si="230"/>
        <v>#REF!</v>
      </c>
      <c r="AG319" s="183" t="e">
        <f>GETPIVOTDATA(#REF!,A319)</f>
        <v>#REF!</v>
      </c>
      <c r="AH319" s="182" t="e">
        <f>GETPIVOTDATA(#REF!,A319)*2</f>
        <v>#REF!</v>
      </c>
      <c r="AI319" s="183" t="e">
        <f>(ROUND(D319/AH319,0))*GETPIVOTDATA(#REF!,A319)</f>
        <v>#REF!</v>
      </c>
      <c r="AJ319" s="189" t="e">
        <f>GETPIVOTDATA(#REF!,A319)</f>
        <v>#REF!</v>
      </c>
      <c r="AK319" s="189">
        <f>0.3+0.23</f>
        <v>0.53</v>
      </c>
      <c r="AL319" s="189">
        <f t="shared" si="218"/>
        <v>-0.04</v>
      </c>
      <c r="AM319" s="189">
        <v>0</v>
      </c>
      <c r="AN319" s="188" t="e">
        <f t="shared" si="231"/>
        <v>#REF!</v>
      </c>
      <c r="AO319" s="183">
        <v>0</v>
      </c>
      <c r="AP319" s="182">
        <f t="shared" si="211"/>
        <v>8</v>
      </c>
      <c r="AQ319" s="182">
        <v>1.5</v>
      </c>
      <c r="AR319" s="187" t="e">
        <f t="shared" si="219"/>
        <v>#REF!</v>
      </c>
      <c r="AS319" s="187" t="e">
        <f t="shared" si="220"/>
        <v>#REF!</v>
      </c>
      <c r="AT319" s="187" t="e">
        <f t="shared" si="221"/>
        <v>#REF!</v>
      </c>
      <c r="AU319" s="187" t="e">
        <f t="shared" si="222"/>
        <v>#REF!</v>
      </c>
      <c r="AV319" s="187" t="e">
        <f t="shared" si="212"/>
        <v>#REF!</v>
      </c>
      <c r="AW319" s="187" t="e">
        <f t="shared" si="223"/>
        <v>#REF!</v>
      </c>
      <c r="AX319" s="187">
        <f t="shared" si="224"/>
        <v>12</v>
      </c>
      <c r="AY319" s="190"/>
      <c r="AZ319" s="240"/>
      <c r="BA319" s="232"/>
      <c r="BF319" s="206"/>
      <c r="BG319" s="206"/>
      <c r="BK319" s="126"/>
      <c r="BL319" s="126"/>
      <c r="BN319" s="126"/>
      <c r="BO319" s="126"/>
      <c r="BQ319" s="126"/>
      <c r="BR319" s="126"/>
      <c r="BT319" s="126"/>
      <c r="BU319" s="126"/>
      <c r="BW319" s="126"/>
      <c r="BX319" s="126"/>
      <c r="BZ319" s="126"/>
      <c r="CA319" s="126"/>
      <c r="CC319" s="126"/>
      <c r="CD319" s="126"/>
      <c r="CF319" s="126"/>
      <c r="CG319" s="126"/>
    </row>
    <row r="320" spans="1:85" s="197" customFormat="1" x14ac:dyDescent="0.3">
      <c r="A320" s="182" t="s">
        <v>223</v>
      </c>
      <c r="B320" s="183">
        <v>1</v>
      </c>
      <c r="C320" s="184" t="s">
        <v>346</v>
      </c>
      <c r="D320" s="187">
        <v>2.29</v>
      </c>
      <c r="E320" s="187">
        <v>3.93</v>
      </c>
      <c r="F320" s="186">
        <v>0.13</v>
      </c>
      <c r="G320" s="187">
        <f t="shared" si="213"/>
        <v>1.169961</v>
      </c>
      <c r="H320" s="188">
        <f t="shared" si="235"/>
        <v>8.9997000000000007</v>
      </c>
      <c r="I320" s="183" t="e">
        <f>GETPIVOTDATA(#REF!,A320)</f>
        <v>#REF!</v>
      </c>
      <c r="J320" s="188" t="e">
        <f>GETPIVOTDATA(#REF!,A320)*2</f>
        <v>#REF!</v>
      </c>
      <c r="K320" s="183" t="e">
        <f>(ROUND(E320/J320,0)+1)*GETPIVOTDATA(#REF!,A320)</f>
        <v>#REF!</v>
      </c>
      <c r="L320" s="189" t="e">
        <f>GETPIVOTDATA(#REF!,A320)</f>
        <v>#REF!</v>
      </c>
      <c r="M320" s="189">
        <f>0.23*2</f>
        <v>0.46</v>
      </c>
      <c r="N320" s="189">
        <f t="shared" si="214"/>
        <v>-0.04</v>
      </c>
      <c r="O320" s="189">
        <f>2.43*0.3</f>
        <v>0.72899999999999998</v>
      </c>
      <c r="P320" s="188" t="e">
        <f>+D320+SUM(L320:O320)</f>
        <v>#REF!</v>
      </c>
      <c r="Q320" s="183" t="e">
        <f>GETPIVOTDATA(#REF!,A320)</f>
        <v>#REF!</v>
      </c>
      <c r="R320" s="188" t="e">
        <f>GETPIVOTDATA(#REF!,A320)*2</f>
        <v>#REF!</v>
      </c>
      <c r="S320" s="183" t="e">
        <f>(ROUND(E320/R320,0))*GETPIVOTDATA(#REF!,A320)</f>
        <v>#REF!</v>
      </c>
      <c r="T320" s="189" t="e">
        <f>GETPIVOTDATA(#REF!,A320)</f>
        <v>#REF!</v>
      </c>
      <c r="U320" s="189">
        <f>0.23*2</f>
        <v>0.46</v>
      </c>
      <c r="V320" s="189">
        <f t="shared" si="216"/>
        <v>-0.04</v>
      </c>
      <c r="W320" s="189">
        <f>2.43*0.3</f>
        <v>0.72899999999999998</v>
      </c>
      <c r="X320" s="188" t="e">
        <f t="shared" si="234"/>
        <v>#REF!</v>
      </c>
      <c r="Y320" s="183" t="e">
        <f>GETPIVOTDATA(#REF!,A320)</f>
        <v>#REF!</v>
      </c>
      <c r="Z320" s="188" t="e">
        <f>GETPIVOTDATA(#REF!,A320)*2</f>
        <v>#REF!</v>
      </c>
      <c r="AA320" s="183" t="e">
        <f>(ROUND(D320/Z320,0)+1)*GETPIVOTDATA(#REF!,A320)</f>
        <v>#REF!</v>
      </c>
      <c r="AB320" s="189" t="e">
        <f>GETPIVOTDATA(#REF!,A320)</f>
        <v>#REF!</v>
      </c>
      <c r="AC320" s="189">
        <f>0.23*2</f>
        <v>0.46</v>
      </c>
      <c r="AD320" s="189">
        <f t="shared" si="217"/>
        <v>-0.04</v>
      </c>
      <c r="AE320" s="189">
        <f>4.12*0.3</f>
        <v>1.236</v>
      </c>
      <c r="AF320" s="188" t="e">
        <f t="shared" si="230"/>
        <v>#REF!</v>
      </c>
      <c r="AG320" s="183" t="e">
        <f>GETPIVOTDATA(#REF!,A320)</f>
        <v>#REF!</v>
      </c>
      <c r="AH320" s="182" t="e">
        <f>GETPIVOTDATA(#REF!,A320)*2</f>
        <v>#REF!</v>
      </c>
      <c r="AI320" s="183" t="e">
        <f>(ROUND(D320/AH320,0))*GETPIVOTDATA(#REF!,A320)</f>
        <v>#REF!</v>
      </c>
      <c r="AJ320" s="189" t="e">
        <f>GETPIVOTDATA(#REF!,A320)</f>
        <v>#REF!</v>
      </c>
      <c r="AK320" s="189">
        <f>0.23*2</f>
        <v>0.46</v>
      </c>
      <c r="AL320" s="189">
        <f t="shared" si="218"/>
        <v>-0.04</v>
      </c>
      <c r="AM320" s="189">
        <f>2.5*0.3</f>
        <v>0.75</v>
      </c>
      <c r="AN320" s="188" t="e">
        <f t="shared" si="231"/>
        <v>#REF!</v>
      </c>
      <c r="AO320" s="183">
        <v>0</v>
      </c>
      <c r="AP320" s="182">
        <f t="shared" si="211"/>
        <v>10</v>
      </c>
      <c r="AQ320" s="182">
        <v>1.5</v>
      </c>
      <c r="AR320" s="187" t="e">
        <f t="shared" si="219"/>
        <v>#REF!</v>
      </c>
      <c r="AS320" s="187" t="e">
        <f t="shared" si="220"/>
        <v>#REF!</v>
      </c>
      <c r="AT320" s="187" t="e">
        <f t="shared" si="221"/>
        <v>#REF!</v>
      </c>
      <c r="AU320" s="187" t="e">
        <f t="shared" si="222"/>
        <v>#REF!</v>
      </c>
      <c r="AV320" s="187" t="e">
        <f t="shared" si="212"/>
        <v>#REF!</v>
      </c>
      <c r="AW320" s="187" t="e">
        <f t="shared" si="223"/>
        <v>#REF!</v>
      </c>
      <c r="AX320" s="187">
        <f t="shared" si="224"/>
        <v>15</v>
      </c>
      <c r="AY320" s="190"/>
      <c r="AZ320" s="240"/>
      <c r="BA320" s="232"/>
      <c r="BF320" s="206"/>
      <c r="BG320" s="206"/>
      <c r="BK320" s="126"/>
      <c r="BL320" s="126"/>
      <c r="BN320" s="126"/>
      <c r="BO320" s="126"/>
      <c r="BQ320" s="126"/>
      <c r="BR320" s="126"/>
      <c r="BT320" s="126"/>
      <c r="BU320" s="126"/>
      <c r="BW320" s="126"/>
      <c r="BX320" s="126"/>
      <c r="BZ320" s="126"/>
      <c r="CA320" s="126"/>
      <c r="CC320" s="126"/>
      <c r="CD320" s="126"/>
      <c r="CF320" s="126"/>
      <c r="CG320" s="126"/>
    </row>
    <row r="321" spans="1:85" s="197" customFormat="1" ht="27.6" x14ac:dyDescent="0.3">
      <c r="A321" s="182" t="s">
        <v>223</v>
      </c>
      <c r="B321" s="183">
        <v>1</v>
      </c>
      <c r="C321" s="184" t="s">
        <v>347</v>
      </c>
      <c r="D321" s="187">
        <v>2.4300000000000002</v>
      </c>
      <c r="E321" s="187">
        <v>3.93</v>
      </c>
      <c r="F321" s="186">
        <v>0.13</v>
      </c>
      <c r="G321" s="187">
        <f t="shared" si="213"/>
        <v>1.2414870000000002</v>
      </c>
      <c r="H321" s="188">
        <f t="shared" si="235"/>
        <v>9.5499000000000009</v>
      </c>
      <c r="I321" s="183" t="e">
        <f>GETPIVOTDATA(#REF!,A321)</f>
        <v>#REF!</v>
      </c>
      <c r="J321" s="188" t="e">
        <f>GETPIVOTDATA(#REF!,A321)*2</f>
        <v>#REF!</v>
      </c>
      <c r="K321" s="183" t="e">
        <f>(ROUND(E321/J321,0)+1)*GETPIVOTDATA(#REF!,A321)</f>
        <v>#REF!</v>
      </c>
      <c r="L321" s="189" t="e">
        <f>GETPIVOTDATA(#REF!,A321)</f>
        <v>#REF!</v>
      </c>
      <c r="M321" s="189">
        <f>0.23+0.3</f>
        <v>0.53</v>
      </c>
      <c r="N321" s="189">
        <f t="shared" si="214"/>
        <v>-0.04</v>
      </c>
      <c r="O321" s="189">
        <f>2.29*0.3</f>
        <v>0.68699999999999994</v>
      </c>
      <c r="P321" s="188" t="e">
        <f t="shared" si="227"/>
        <v>#REF!</v>
      </c>
      <c r="Q321" s="183" t="e">
        <f>GETPIVOTDATA(#REF!,A321)</f>
        <v>#REF!</v>
      </c>
      <c r="R321" s="188" t="e">
        <f>GETPIVOTDATA(#REF!,A321)*2</f>
        <v>#REF!</v>
      </c>
      <c r="S321" s="183" t="e">
        <f>(ROUND(E321/R321,0))*GETPIVOTDATA(#REF!,A321)</f>
        <v>#REF!</v>
      </c>
      <c r="T321" s="189" t="e">
        <f>GETPIVOTDATA(#REF!,A321)</f>
        <v>#REF!</v>
      </c>
      <c r="U321" s="189">
        <f>0.23+0.3</f>
        <v>0.53</v>
      </c>
      <c r="V321" s="189">
        <f t="shared" si="216"/>
        <v>-0.04</v>
      </c>
      <c r="W321" s="189">
        <f>4.19*0.3</f>
        <v>1.2570000000000001</v>
      </c>
      <c r="X321" s="188" t="e">
        <f t="shared" si="234"/>
        <v>#REF!</v>
      </c>
      <c r="Y321" s="183" t="e">
        <f>GETPIVOTDATA(#REF!,A321)</f>
        <v>#REF!</v>
      </c>
      <c r="Z321" s="188" t="e">
        <f>GETPIVOTDATA(#REF!,A321)*2</f>
        <v>#REF!</v>
      </c>
      <c r="AA321" s="183" t="e">
        <f>(ROUND(D321/Z321,0)+1)*GETPIVOTDATA(#REF!,A321)</f>
        <v>#REF!</v>
      </c>
      <c r="AB321" s="189" t="e">
        <f>GETPIVOTDATA(#REF!,A321)</f>
        <v>#REF!</v>
      </c>
      <c r="AC321" s="189">
        <f>0.23+0.3</f>
        <v>0.53</v>
      </c>
      <c r="AD321" s="189">
        <f t="shared" si="217"/>
        <v>-0.04</v>
      </c>
      <c r="AE321" s="189">
        <f>4.12*0.3</f>
        <v>1.236</v>
      </c>
      <c r="AF321" s="188" t="e">
        <f t="shared" si="230"/>
        <v>#REF!</v>
      </c>
      <c r="AG321" s="183" t="e">
        <f>GETPIVOTDATA(#REF!,A321)</f>
        <v>#REF!</v>
      </c>
      <c r="AH321" s="182" t="e">
        <f>GETPIVOTDATA(#REF!,A321)*2</f>
        <v>#REF!</v>
      </c>
      <c r="AI321" s="183" t="e">
        <f>(ROUND(D321/AH321,0))*GETPIVOTDATA(#REF!,A321)</f>
        <v>#REF!</v>
      </c>
      <c r="AJ321" s="189" t="e">
        <f>GETPIVOTDATA(#REF!,A321)</f>
        <v>#REF!</v>
      </c>
      <c r="AK321" s="189">
        <f>0.23+0.3</f>
        <v>0.53</v>
      </c>
      <c r="AL321" s="189">
        <f t="shared" si="218"/>
        <v>-0.04</v>
      </c>
      <c r="AM321" s="189">
        <v>0</v>
      </c>
      <c r="AN321" s="188" t="e">
        <f t="shared" si="231"/>
        <v>#REF!</v>
      </c>
      <c r="AO321" s="183">
        <v>0</v>
      </c>
      <c r="AP321" s="182">
        <f t="shared" si="211"/>
        <v>10</v>
      </c>
      <c r="AQ321" s="182">
        <v>1.5</v>
      </c>
      <c r="AR321" s="187" t="e">
        <f t="shared" si="219"/>
        <v>#REF!</v>
      </c>
      <c r="AS321" s="187" t="e">
        <f t="shared" si="220"/>
        <v>#REF!</v>
      </c>
      <c r="AT321" s="187" t="e">
        <f t="shared" si="221"/>
        <v>#REF!</v>
      </c>
      <c r="AU321" s="187" t="e">
        <f t="shared" si="222"/>
        <v>#REF!</v>
      </c>
      <c r="AV321" s="187" t="e">
        <f t="shared" si="212"/>
        <v>#REF!</v>
      </c>
      <c r="AW321" s="187" t="e">
        <f t="shared" si="223"/>
        <v>#REF!</v>
      </c>
      <c r="AX321" s="187">
        <f t="shared" si="224"/>
        <v>15</v>
      </c>
      <c r="AY321" s="190"/>
      <c r="AZ321" s="240"/>
      <c r="BA321" s="232"/>
      <c r="BF321" s="206"/>
      <c r="BG321" s="206"/>
      <c r="BK321" s="126"/>
      <c r="BL321" s="126"/>
      <c r="BN321" s="126"/>
      <c r="BO321" s="126"/>
      <c r="BQ321" s="126"/>
      <c r="BR321" s="126"/>
      <c r="BT321" s="126"/>
      <c r="BU321" s="126"/>
      <c r="BW321" s="126"/>
      <c r="BX321" s="126"/>
      <c r="BZ321" s="126"/>
      <c r="CA321" s="126"/>
      <c r="CC321" s="126"/>
      <c r="CD321" s="126"/>
      <c r="CF321" s="126"/>
      <c r="CG321" s="126"/>
    </row>
    <row r="322" spans="1:85" s="197" customFormat="1" ht="27.6" x14ac:dyDescent="0.3">
      <c r="A322" s="182" t="s">
        <v>223</v>
      </c>
      <c r="B322" s="183">
        <v>1</v>
      </c>
      <c r="C322" s="184" t="s">
        <v>348</v>
      </c>
      <c r="D322" s="187">
        <v>4.1900000000000004</v>
      </c>
      <c r="E322" s="187">
        <v>1.81</v>
      </c>
      <c r="F322" s="186">
        <v>0.13</v>
      </c>
      <c r="G322" s="187">
        <f t="shared" si="213"/>
        <v>0.98590700000000009</v>
      </c>
      <c r="H322" s="188">
        <f t="shared" si="235"/>
        <v>7.5839000000000008</v>
      </c>
      <c r="I322" s="183" t="e">
        <f>GETPIVOTDATA(#REF!,A322)</f>
        <v>#REF!</v>
      </c>
      <c r="J322" s="188" t="e">
        <f>GETPIVOTDATA(#REF!,A322)*2</f>
        <v>#REF!</v>
      </c>
      <c r="K322" s="183" t="e">
        <f>(ROUND(E322/J322,0)+1)*GETPIVOTDATA(#REF!,A322)</f>
        <v>#REF!</v>
      </c>
      <c r="L322" s="189" t="e">
        <f>GETPIVOTDATA(#REF!,A322)</f>
        <v>#REF!</v>
      </c>
      <c r="M322" s="189">
        <f t="shared" si="228"/>
        <v>0.6</v>
      </c>
      <c r="N322" s="189">
        <f t="shared" si="214"/>
        <v>-0.04</v>
      </c>
      <c r="O322" s="189">
        <f>2.43*0.3</f>
        <v>0.72899999999999998</v>
      </c>
      <c r="P322" s="188" t="e">
        <f t="shared" si="227"/>
        <v>#REF!</v>
      </c>
      <c r="Q322" s="183" t="e">
        <f>GETPIVOTDATA(#REF!,A322)</f>
        <v>#REF!</v>
      </c>
      <c r="R322" s="188" t="e">
        <f>GETPIVOTDATA(#REF!,A322)*2</f>
        <v>#REF!</v>
      </c>
      <c r="S322" s="183" t="e">
        <f>(ROUND(E322/R322,0))*GETPIVOTDATA(#REF!,A322)</f>
        <v>#REF!</v>
      </c>
      <c r="T322" s="189" t="e">
        <f>GETPIVOTDATA(#REF!,A322)</f>
        <v>#REF!</v>
      </c>
      <c r="U322" s="189">
        <f t="shared" si="229"/>
        <v>0.6</v>
      </c>
      <c r="V322" s="189">
        <f t="shared" si="216"/>
        <v>-0.04</v>
      </c>
      <c r="W322" s="189">
        <f>2.75*0.3</f>
        <v>0.82499999999999996</v>
      </c>
      <c r="X322" s="188" t="e">
        <f t="shared" si="234"/>
        <v>#REF!</v>
      </c>
      <c r="Y322" s="183" t="e">
        <f>GETPIVOTDATA(#REF!,A322)</f>
        <v>#REF!</v>
      </c>
      <c r="Z322" s="188" t="e">
        <f>GETPIVOTDATA(#REF!,A322)*2</f>
        <v>#REF!</v>
      </c>
      <c r="AA322" s="183" t="e">
        <f>(ROUND(D322/Z322,0)+1)*GETPIVOTDATA(#REF!,A322)</f>
        <v>#REF!</v>
      </c>
      <c r="AB322" s="189" t="e">
        <f>GETPIVOTDATA(#REF!,A322)</f>
        <v>#REF!</v>
      </c>
      <c r="AC322" s="189">
        <f>0.23*2</f>
        <v>0.46</v>
      </c>
      <c r="AD322" s="189">
        <f t="shared" si="217"/>
        <v>-0.04</v>
      </c>
      <c r="AE322" s="189">
        <f>1.84*0.3</f>
        <v>0.55200000000000005</v>
      </c>
      <c r="AF322" s="188" t="e">
        <f t="shared" si="230"/>
        <v>#REF!</v>
      </c>
      <c r="AG322" s="183" t="e">
        <f>GETPIVOTDATA(#REF!,A322)</f>
        <v>#REF!</v>
      </c>
      <c r="AH322" s="182" t="e">
        <f>GETPIVOTDATA(#REF!,A322)*2</f>
        <v>#REF!</v>
      </c>
      <c r="AI322" s="183" t="e">
        <f>(ROUND(D322/AH322,0))*GETPIVOTDATA(#REF!,A322)</f>
        <v>#REF!</v>
      </c>
      <c r="AJ322" s="189" t="e">
        <f>GETPIVOTDATA(#REF!,A322)</f>
        <v>#REF!</v>
      </c>
      <c r="AK322" s="189">
        <f>0.23*2</f>
        <v>0.46</v>
      </c>
      <c r="AL322" s="189">
        <f t="shared" si="218"/>
        <v>-0.04</v>
      </c>
      <c r="AM322" s="189">
        <f>2.64*0.3</f>
        <v>0.79200000000000004</v>
      </c>
      <c r="AN322" s="188" t="e">
        <f t="shared" si="231"/>
        <v>#REF!</v>
      </c>
      <c r="AO322" s="183">
        <v>0</v>
      </c>
      <c r="AP322" s="182">
        <f t="shared" si="211"/>
        <v>8</v>
      </c>
      <c r="AQ322" s="182">
        <v>1.5</v>
      </c>
      <c r="AR322" s="187" t="e">
        <f t="shared" si="219"/>
        <v>#REF!</v>
      </c>
      <c r="AS322" s="187" t="e">
        <f t="shared" si="220"/>
        <v>#REF!</v>
      </c>
      <c r="AT322" s="187" t="e">
        <f t="shared" si="221"/>
        <v>#REF!</v>
      </c>
      <c r="AU322" s="187" t="e">
        <f t="shared" si="222"/>
        <v>#REF!</v>
      </c>
      <c r="AV322" s="187" t="e">
        <f t="shared" si="212"/>
        <v>#REF!</v>
      </c>
      <c r="AW322" s="187" t="e">
        <f t="shared" si="223"/>
        <v>#REF!</v>
      </c>
      <c r="AX322" s="187">
        <f t="shared" si="224"/>
        <v>12</v>
      </c>
      <c r="AY322" s="190"/>
      <c r="AZ322" s="240"/>
      <c r="BA322" s="232"/>
      <c r="BF322" s="206"/>
      <c r="BG322" s="206"/>
      <c r="BK322" s="126"/>
      <c r="BL322" s="126"/>
      <c r="BN322" s="126"/>
      <c r="BO322" s="126"/>
      <c r="BQ322" s="126"/>
      <c r="BR322" s="126"/>
      <c r="BT322" s="126"/>
      <c r="BU322" s="126"/>
      <c r="BW322" s="126"/>
      <c r="BX322" s="126"/>
      <c r="BZ322" s="126"/>
      <c r="CA322" s="126"/>
      <c r="CC322" s="126"/>
      <c r="CD322" s="126"/>
      <c r="CF322" s="126"/>
      <c r="CG322" s="126"/>
    </row>
    <row r="323" spans="1:85" s="197" customFormat="1" ht="27.6" x14ac:dyDescent="0.3">
      <c r="A323" s="182" t="s">
        <v>223</v>
      </c>
      <c r="B323" s="183">
        <v>1</v>
      </c>
      <c r="C323" s="184" t="s">
        <v>349</v>
      </c>
      <c r="D323" s="187">
        <v>4.1500000000000004</v>
      </c>
      <c r="E323" s="187">
        <v>1.84</v>
      </c>
      <c r="F323" s="186">
        <v>0.13</v>
      </c>
      <c r="G323" s="187">
        <f>D323*E323*F323*B323</f>
        <v>0.99268000000000012</v>
      </c>
      <c r="H323" s="188">
        <f>D323*E323*B323</f>
        <v>7.636000000000001</v>
      </c>
      <c r="I323" s="183" t="e">
        <f>GETPIVOTDATA(#REF!,A323)</f>
        <v>#REF!</v>
      </c>
      <c r="J323" s="188" t="e">
        <f>GETPIVOTDATA(#REF!,A323)*2</f>
        <v>#REF!</v>
      </c>
      <c r="K323" s="183" t="e">
        <f>(ROUND(E323/J323,0)+1)*GETPIVOTDATA(#REF!,A323)</f>
        <v>#REF!</v>
      </c>
      <c r="L323" s="189" t="e">
        <f>GETPIVOTDATA(#REF!,A323)</f>
        <v>#REF!</v>
      </c>
      <c r="M323" s="189">
        <f>0.3+0.35</f>
        <v>0.64999999999999991</v>
      </c>
      <c r="N323" s="189">
        <f t="shared" si="214"/>
        <v>-0.04</v>
      </c>
      <c r="O323" s="189">
        <f>2.43*0.3</f>
        <v>0.72899999999999998</v>
      </c>
      <c r="P323" s="188" t="e">
        <f t="shared" si="227"/>
        <v>#REF!</v>
      </c>
      <c r="Q323" s="183" t="e">
        <f>GETPIVOTDATA(#REF!,A323)</f>
        <v>#REF!</v>
      </c>
      <c r="R323" s="188" t="e">
        <f>GETPIVOTDATA(#REF!,A323)*2</f>
        <v>#REF!</v>
      </c>
      <c r="S323" s="183" t="e">
        <f>(ROUND(E323/R323,0))*GETPIVOTDATA(#REF!,A323)</f>
        <v>#REF!</v>
      </c>
      <c r="T323" s="189" t="e">
        <f>GETPIVOTDATA(#REF!,A323)</f>
        <v>#REF!</v>
      </c>
      <c r="U323" s="189">
        <f>0.3+0.35</f>
        <v>0.64999999999999991</v>
      </c>
      <c r="V323" s="189">
        <f t="shared" si="216"/>
        <v>-0.04</v>
      </c>
      <c r="W323" s="189">
        <f>3.175*0.3</f>
        <v>0.9524999999999999</v>
      </c>
      <c r="X323" s="188" t="e">
        <f t="shared" si="234"/>
        <v>#REF!</v>
      </c>
      <c r="Y323" s="183" t="e">
        <f>GETPIVOTDATA(#REF!,A323)</f>
        <v>#REF!</v>
      </c>
      <c r="Z323" s="188" t="e">
        <f>GETPIVOTDATA(#REF!,A323)*2</f>
        <v>#REF!</v>
      </c>
      <c r="AA323" s="183" t="e">
        <f>(ROUND(D323/Z323,0)+1)*GETPIVOTDATA(#REF!,A323)</f>
        <v>#REF!</v>
      </c>
      <c r="AB323" s="189" t="e">
        <f>GETPIVOTDATA(#REF!,A323)</f>
        <v>#REF!</v>
      </c>
      <c r="AC323" s="189">
        <f>0.398+0.23</f>
        <v>0.628</v>
      </c>
      <c r="AD323" s="189">
        <f t="shared" si="217"/>
        <v>-0.04</v>
      </c>
      <c r="AE323" s="189">
        <f>3.136*0.3</f>
        <v>0.94079999999999997</v>
      </c>
      <c r="AF323" s="188" t="e">
        <f t="shared" si="230"/>
        <v>#REF!</v>
      </c>
      <c r="AG323" s="183" t="e">
        <f>GETPIVOTDATA(#REF!,A323)</f>
        <v>#REF!</v>
      </c>
      <c r="AH323" s="182" t="e">
        <f>GETPIVOTDATA(#REF!,A323)*2</f>
        <v>#REF!</v>
      </c>
      <c r="AI323" s="183" t="e">
        <f>(ROUND(D323/AH323,0))*GETPIVOTDATA(#REF!,A323)</f>
        <v>#REF!</v>
      </c>
      <c r="AJ323" s="189" t="e">
        <f>GETPIVOTDATA(#REF!,A323)</f>
        <v>#REF!</v>
      </c>
      <c r="AK323" s="189">
        <f>0.398+0.23</f>
        <v>0.628</v>
      </c>
      <c r="AL323" s="189">
        <f t="shared" si="218"/>
        <v>-0.04</v>
      </c>
      <c r="AM323" s="189">
        <f>1.81*0.3</f>
        <v>0.54300000000000004</v>
      </c>
      <c r="AN323" s="188" t="e">
        <f t="shared" si="231"/>
        <v>#REF!</v>
      </c>
      <c r="AO323" s="183">
        <v>0</v>
      </c>
      <c r="AP323" s="182">
        <f t="shared" si="211"/>
        <v>8</v>
      </c>
      <c r="AQ323" s="182">
        <v>1.5</v>
      </c>
      <c r="AR323" s="187" t="e">
        <f t="shared" si="219"/>
        <v>#REF!</v>
      </c>
      <c r="AS323" s="187" t="e">
        <f t="shared" si="220"/>
        <v>#REF!</v>
      </c>
      <c r="AT323" s="187" t="e">
        <f t="shared" si="221"/>
        <v>#REF!</v>
      </c>
      <c r="AU323" s="187" t="e">
        <f t="shared" si="222"/>
        <v>#REF!</v>
      </c>
      <c r="AV323" s="187" t="e">
        <f t="shared" si="212"/>
        <v>#REF!</v>
      </c>
      <c r="AW323" s="187" t="e">
        <f t="shared" si="223"/>
        <v>#REF!</v>
      </c>
      <c r="AX323" s="187">
        <f t="shared" si="224"/>
        <v>12</v>
      </c>
      <c r="AY323" s="190"/>
      <c r="AZ323" s="240"/>
      <c r="BA323" s="232"/>
      <c r="BF323" s="206"/>
      <c r="BG323" s="206"/>
      <c r="BK323" s="126"/>
      <c r="BL323" s="126"/>
      <c r="BN323" s="126"/>
      <c r="BO323" s="126"/>
      <c r="BQ323" s="126"/>
      <c r="BR323" s="126"/>
      <c r="BT323" s="126"/>
      <c r="BU323" s="126"/>
      <c r="BW323" s="126"/>
      <c r="BX323" s="126"/>
      <c r="BZ323" s="126"/>
      <c r="CA323" s="126"/>
      <c r="CC323" s="126"/>
      <c r="CD323" s="126"/>
      <c r="CF323" s="126"/>
      <c r="CG323" s="126"/>
    </row>
    <row r="324" spans="1:85" s="197" customFormat="1" x14ac:dyDescent="0.3">
      <c r="A324" s="182" t="s">
        <v>239</v>
      </c>
      <c r="B324" s="183">
        <v>1</v>
      </c>
      <c r="C324" s="184" t="s">
        <v>350</v>
      </c>
      <c r="D324" s="187">
        <v>2.75</v>
      </c>
      <c r="E324" s="187">
        <v>2.09</v>
      </c>
      <c r="F324" s="186">
        <v>0.125</v>
      </c>
      <c r="G324" s="187">
        <f t="shared" si="213"/>
        <v>0.71843749999999995</v>
      </c>
      <c r="H324" s="188">
        <f t="shared" si="235"/>
        <v>5.7474999999999996</v>
      </c>
      <c r="I324" s="183" t="e">
        <f>GETPIVOTDATA(#REF!,A324)</f>
        <v>#REF!</v>
      </c>
      <c r="J324" s="188" t="e">
        <f>GETPIVOTDATA(#REF!,A324)*2</f>
        <v>#REF!</v>
      </c>
      <c r="K324" s="183" t="e">
        <f>(ROUND(E324/J324,0)+1)*GETPIVOTDATA(#REF!,A324)</f>
        <v>#REF!</v>
      </c>
      <c r="L324" s="189" t="e">
        <f>GETPIVOTDATA(#REF!,A324)</f>
        <v>#REF!</v>
      </c>
      <c r="M324" s="189">
        <f>0.3+0.23</f>
        <v>0.53</v>
      </c>
      <c r="N324" s="189">
        <f t="shared" si="214"/>
        <v>-0.04</v>
      </c>
      <c r="O324" s="189">
        <f>4.19*0.3</f>
        <v>1.2570000000000001</v>
      </c>
      <c r="P324" s="188" t="e">
        <f t="shared" si="227"/>
        <v>#REF!</v>
      </c>
      <c r="Q324" s="183" t="e">
        <f>GETPIVOTDATA(#REF!,A324)</f>
        <v>#REF!</v>
      </c>
      <c r="R324" s="188" t="e">
        <f>GETPIVOTDATA(#REF!,A324)*2</f>
        <v>#REF!</v>
      </c>
      <c r="S324" s="183" t="e">
        <f>(ROUND(E324/R324,0))*GETPIVOTDATA(#REF!,A324)</f>
        <v>#REF!</v>
      </c>
      <c r="T324" s="189" t="e">
        <f>GETPIVOTDATA(#REF!,A324)</f>
        <v>#REF!</v>
      </c>
      <c r="U324" s="189">
        <f>0.3+0.23</f>
        <v>0.53</v>
      </c>
      <c r="V324" s="189">
        <f t="shared" si="216"/>
        <v>-0.04</v>
      </c>
      <c r="W324" s="189">
        <f>2.18*0.3</f>
        <v>0.65400000000000003</v>
      </c>
      <c r="X324" s="188" t="e">
        <f t="shared" si="234"/>
        <v>#REF!</v>
      </c>
      <c r="Y324" s="183" t="e">
        <f>GETPIVOTDATA(#REF!,A324)</f>
        <v>#REF!</v>
      </c>
      <c r="Z324" s="188" t="e">
        <f>GETPIVOTDATA(#REF!,A324)*2</f>
        <v>#REF!</v>
      </c>
      <c r="AA324" s="183" t="e">
        <f>(ROUND(D324/Z324,0)+1)*GETPIVOTDATA(#REF!,A324)</f>
        <v>#REF!</v>
      </c>
      <c r="AB324" s="189" t="e">
        <f>GETPIVOTDATA(#REF!,A324)</f>
        <v>#REF!</v>
      </c>
      <c r="AC324" s="189">
        <f>0.23*2</f>
        <v>0.46</v>
      </c>
      <c r="AD324" s="189">
        <f t="shared" si="217"/>
        <v>-0.04</v>
      </c>
      <c r="AE324" s="189">
        <f>2.252*0.3</f>
        <v>0.67559999999999987</v>
      </c>
      <c r="AF324" s="188" t="e">
        <f t="shared" si="230"/>
        <v>#REF!</v>
      </c>
      <c r="AG324" s="183" t="e">
        <f>GETPIVOTDATA(#REF!,A324)</f>
        <v>#REF!</v>
      </c>
      <c r="AH324" s="182" t="e">
        <f>GETPIVOTDATA(#REF!,A324)*2</f>
        <v>#REF!</v>
      </c>
      <c r="AI324" s="183" t="e">
        <f>(ROUND(D324/AH324,0))*GETPIVOTDATA(#REF!,A324)</f>
        <v>#REF!</v>
      </c>
      <c r="AJ324" s="189" t="e">
        <f>GETPIVOTDATA(#REF!,A324)</f>
        <v>#REF!</v>
      </c>
      <c r="AK324" s="189">
        <f>0.23*2</f>
        <v>0.46</v>
      </c>
      <c r="AL324" s="189">
        <f t="shared" si="218"/>
        <v>-0.04</v>
      </c>
      <c r="AM324" s="189">
        <f>1.72*0.3</f>
        <v>0.51600000000000001</v>
      </c>
      <c r="AN324" s="188" t="e">
        <f t="shared" si="231"/>
        <v>#REF!</v>
      </c>
      <c r="AO324" s="183">
        <v>0</v>
      </c>
      <c r="AP324" s="182">
        <f t="shared" si="211"/>
        <v>6</v>
      </c>
      <c r="AQ324" s="182">
        <v>1.5</v>
      </c>
      <c r="AR324" s="187" t="e">
        <f t="shared" si="219"/>
        <v>#REF!</v>
      </c>
      <c r="AS324" s="187" t="e">
        <f t="shared" si="220"/>
        <v>#REF!</v>
      </c>
      <c r="AT324" s="187" t="e">
        <f t="shared" si="221"/>
        <v>#REF!</v>
      </c>
      <c r="AU324" s="187" t="e">
        <f t="shared" si="222"/>
        <v>#REF!</v>
      </c>
      <c r="AV324" s="187" t="e">
        <f t="shared" si="212"/>
        <v>#REF!</v>
      </c>
      <c r="AW324" s="187" t="e">
        <f t="shared" si="223"/>
        <v>#REF!</v>
      </c>
      <c r="AX324" s="187">
        <f t="shared" si="224"/>
        <v>9</v>
      </c>
      <c r="AY324" s="190"/>
      <c r="AZ324" s="240"/>
      <c r="BA324" s="232"/>
      <c r="BF324" s="206"/>
      <c r="BG324" s="206"/>
      <c r="BK324" s="126"/>
      <c r="BL324" s="126"/>
      <c r="BN324" s="126"/>
      <c r="BO324" s="126"/>
      <c r="BQ324" s="126"/>
      <c r="BR324" s="126"/>
      <c r="BT324" s="126"/>
      <c r="BU324" s="126"/>
      <c r="BW324" s="126"/>
      <c r="BX324" s="126"/>
      <c r="BZ324" s="126"/>
      <c r="CA324" s="126"/>
      <c r="CC324" s="126"/>
      <c r="CD324" s="126"/>
      <c r="CF324" s="126"/>
      <c r="CG324" s="126"/>
    </row>
    <row r="325" spans="1:85" s="197" customFormat="1" x14ac:dyDescent="0.3">
      <c r="A325" s="182" t="s">
        <v>239</v>
      </c>
      <c r="B325" s="183">
        <v>1</v>
      </c>
      <c r="C325" s="184" t="s">
        <v>351</v>
      </c>
      <c r="D325" s="187">
        <v>3.1749999999999998</v>
      </c>
      <c r="E325" s="187">
        <v>2.2519999999999998</v>
      </c>
      <c r="F325" s="186">
        <v>0.125</v>
      </c>
      <c r="G325" s="187">
        <f t="shared" si="213"/>
        <v>0.8937624999999999</v>
      </c>
      <c r="H325" s="188">
        <f t="shared" si="235"/>
        <v>7.1500999999999992</v>
      </c>
      <c r="I325" s="183" t="e">
        <f>GETPIVOTDATA(#REF!,A325)</f>
        <v>#REF!</v>
      </c>
      <c r="J325" s="188" t="e">
        <f>GETPIVOTDATA(#REF!,A325)*2</f>
        <v>#REF!</v>
      </c>
      <c r="K325" s="183" t="e">
        <f>(ROUND(E325/J325,0)+1)*GETPIVOTDATA(#REF!,A325)</f>
        <v>#REF!</v>
      </c>
      <c r="L325" s="189" t="e">
        <f>GETPIVOTDATA(#REF!,A325)</f>
        <v>#REF!</v>
      </c>
      <c r="M325" s="189">
        <f>0.4+0.3</f>
        <v>0.7</v>
      </c>
      <c r="N325" s="189">
        <f t="shared" si="214"/>
        <v>-0.04</v>
      </c>
      <c r="O325" s="189">
        <f>4.15*0.3</f>
        <v>1.2450000000000001</v>
      </c>
      <c r="P325" s="188" t="e">
        <f t="shared" si="227"/>
        <v>#REF!</v>
      </c>
      <c r="Q325" s="183" t="e">
        <f>GETPIVOTDATA(#REF!,A325)</f>
        <v>#REF!</v>
      </c>
      <c r="R325" s="188" t="e">
        <f>GETPIVOTDATA(#REF!,A325)*2</f>
        <v>#REF!</v>
      </c>
      <c r="S325" s="183" t="e">
        <f>(ROUND(E325/R325,0))*GETPIVOTDATA(#REF!,A325)</f>
        <v>#REF!</v>
      </c>
      <c r="T325" s="189" t="e">
        <f>GETPIVOTDATA(#REF!,A325)</f>
        <v>#REF!</v>
      </c>
      <c r="U325" s="189">
        <f>0.4+0.3</f>
        <v>0.7</v>
      </c>
      <c r="V325" s="189">
        <f t="shared" si="216"/>
        <v>-0.04</v>
      </c>
      <c r="W325" s="189">
        <f>2.18*0.3</f>
        <v>0.65400000000000003</v>
      </c>
      <c r="X325" s="188" t="e">
        <f t="shared" si="234"/>
        <v>#REF!</v>
      </c>
      <c r="Y325" s="183" t="e">
        <f>GETPIVOTDATA(#REF!,A325)</f>
        <v>#REF!</v>
      </c>
      <c r="Z325" s="188" t="e">
        <f>GETPIVOTDATA(#REF!,A325)*2</f>
        <v>#REF!</v>
      </c>
      <c r="AA325" s="183" t="e">
        <f>(ROUND(D325/Z325,0)+1)*GETPIVOTDATA(#REF!,A325)</f>
        <v>#REF!</v>
      </c>
      <c r="AB325" s="189" t="e">
        <f>GETPIVOTDATA(#REF!,A325)</f>
        <v>#REF!</v>
      </c>
      <c r="AC325" s="189">
        <f>0.4+0.23</f>
        <v>0.63</v>
      </c>
      <c r="AD325" s="189">
        <f t="shared" si="217"/>
        <v>-0.04</v>
      </c>
      <c r="AE325" s="189">
        <f>3.25*0.3</f>
        <v>0.97499999999999998</v>
      </c>
      <c r="AF325" s="188" t="e">
        <f t="shared" si="230"/>
        <v>#REF!</v>
      </c>
      <c r="AG325" s="183" t="e">
        <f>GETPIVOTDATA(#REF!,A325)</f>
        <v>#REF!</v>
      </c>
      <c r="AH325" s="182" t="e">
        <f>GETPIVOTDATA(#REF!,A325)*2</f>
        <v>#REF!</v>
      </c>
      <c r="AI325" s="183" t="e">
        <f>(ROUND(D325/AH325,0))*GETPIVOTDATA(#REF!,A325)</f>
        <v>#REF!</v>
      </c>
      <c r="AJ325" s="189" t="e">
        <f>GETPIVOTDATA(#REF!,A325)</f>
        <v>#REF!</v>
      </c>
      <c r="AK325" s="189">
        <f>0.4+0.23</f>
        <v>0.63</v>
      </c>
      <c r="AL325" s="189">
        <f t="shared" si="218"/>
        <v>-0.04</v>
      </c>
      <c r="AM325" s="189">
        <f>2.09*0.3</f>
        <v>0.62699999999999989</v>
      </c>
      <c r="AN325" s="188" t="e">
        <f t="shared" si="231"/>
        <v>#REF!</v>
      </c>
      <c r="AO325" s="183">
        <v>0</v>
      </c>
      <c r="AP325" s="182">
        <f t="shared" si="211"/>
        <v>8</v>
      </c>
      <c r="AQ325" s="182">
        <v>1.5</v>
      </c>
      <c r="AR325" s="187" t="e">
        <f t="shared" si="219"/>
        <v>#REF!</v>
      </c>
      <c r="AS325" s="187" t="e">
        <f t="shared" si="220"/>
        <v>#REF!</v>
      </c>
      <c r="AT325" s="187" t="e">
        <f t="shared" si="221"/>
        <v>#REF!</v>
      </c>
      <c r="AU325" s="187" t="e">
        <f t="shared" si="222"/>
        <v>#REF!</v>
      </c>
      <c r="AV325" s="187" t="e">
        <f t="shared" si="212"/>
        <v>#REF!</v>
      </c>
      <c r="AW325" s="187" t="e">
        <f t="shared" si="223"/>
        <v>#REF!</v>
      </c>
      <c r="AX325" s="187">
        <f t="shared" si="224"/>
        <v>12</v>
      </c>
      <c r="AY325" s="190"/>
      <c r="AZ325" s="240"/>
      <c r="BA325" s="232"/>
      <c r="BF325" s="206"/>
      <c r="BG325" s="206"/>
      <c r="BK325" s="126"/>
      <c r="BL325" s="126"/>
      <c r="BN325" s="126"/>
      <c r="BO325" s="126"/>
      <c r="BQ325" s="126"/>
      <c r="BR325" s="126"/>
      <c r="BT325" s="126"/>
      <c r="BU325" s="126"/>
      <c r="BW325" s="126"/>
      <c r="BX325" s="126"/>
      <c r="BZ325" s="126"/>
      <c r="CA325" s="126"/>
      <c r="CC325" s="126"/>
      <c r="CD325" s="126"/>
      <c r="CF325" s="126"/>
      <c r="CG325" s="126"/>
    </row>
    <row r="326" spans="1:85" s="197" customFormat="1" x14ac:dyDescent="0.3">
      <c r="A326" s="182" t="s">
        <v>223</v>
      </c>
      <c r="B326" s="183">
        <v>1</v>
      </c>
      <c r="C326" s="184" t="s">
        <v>352</v>
      </c>
      <c r="D326" s="187">
        <v>2.25</v>
      </c>
      <c r="E326" s="187">
        <v>4.4005000000000001</v>
      </c>
      <c r="F326" s="186">
        <v>0.13</v>
      </c>
      <c r="G326" s="187">
        <f t="shared" si="213"/>
        <v>1.2871462500000002</v>
      </c>
      <c r="H326" s="188">
        <f t="shared" si="235"/>
        <v>9.9011250000000004</v>
      </c>
      <c r="I326" s="183" t="e">
        <f>GETPIVOTDATA(#REF!,A326)</f>
        <v>#REF!</v>
      </c>
      <c r="J326" s="188" t="e">
        <f>GETPIVOTDATA(#REF!,A326)*2</f>
        <v>#REF!</v>
      </c>
      <c r="K326" s="183" t="e">
        <f>(ROUND(E326/J326,0)+1)*GETPIVOTDATA(#REF!,A326)</f>
        <v>#REF!</v>
      </c>
      <c r="L326" s="189" t="e">
        <f>GETPIVOTDATA(#REF!,A326)</f>
        <v>#REF!</v>
      </c>
      <c r="M326" s="189">
        <f t="shared" si="228"/>
        <v>0.6</v>
      </c>
      <c r="N326" s="189">
        <f t="shared" si="214"/>
        <v>-0.04</v>
      </c>
      <c r="O326" s="189">
        <f>2.75*0.3</f>
        <v>0.82499999999999996</v>
      </c>
      <c r="P326" s="188" t="e">
        <f t="shared" si="227"/>
        <v>#REF!</v>
      </c>
      <c r="Q326" s="183" t="e">
        <f>GETPIVOTDATA(#REF!,A326)</f>
        <v>#REF!</v>
      </c>
      <c r="R326" s="188" t="e">
        <f>GETPIVOTDATA(#REF!,A326)*2</f>
        <v>#REF!</v>
      </c>
      <c r="S326" s="183" t="e">
        <f>(ROUND(E326/R326,0))*GETPIVOTDATA(#REF!,A326)</f>
        <v>#REF!</v>
      </c>
      <c r="T326" s="189" t="e">
        <f>GETPIVOTDATA(#REF!,A326)</f>
        <v>#REF!</v>
      </c>
      <c r="U326" s="189">
        <f t="shared" si="229"/>
        <v>0.6</v>
      </c>
      <c r="V326" s="189">
        <f t="shared" si="216"/>
        <v>-0.04</v>
      </c>
      <c r="W326" s="189">
        <f>1.9*0.3</f>
        <v>0.56999999999999995</v>
      </c>
      <c r="X326" s="188" t="e">
        <f t="shared" si="234"/>
        <v>#REF!</v>
      </c>
      <c r="Y326" s="183" t="e">
        <f>GETPIVOTDATA(#REF!,A326)</f>
        <v>#REF!</v>
      </c>
      <c r="Z326" s="188" t="e">
        <f>GETPIVOTDATA(#REF!,A326)*2</f>
        <v>#REF!</v>
      </c>
      <c r="AA326" s="183" t="e">
        <f>(ROUND(D326/Z326,0)+1)*GETPIVOTDATA(#REF!,A326)</f>
        <v>#REF!</v>
      </c>
      <c r="AB326" s="189" t="e">
        <f>GETPIVOTDATA(#REF!,A326)</f>
        <v>#REF!</v>
      </c>
      <c r="AC326" s="189">
        <f>0.3+0.23</f>
        <v>0.53</v>
      </c>
      <c r="AD326" s="189">
        <f t="shared" si="217"/>
        <v>-0.04</v>
      </c>
      <c r="AE326" s="189">
        <f>3.39*0.3</f>
        <v>1.0169999999999999</v>
      </c>
      <c r="AF326" s="188" t="e">
        <f t="shared" si="230"/>
        <v>#REF!</v>
      </c>
      <c r="AG326" s="183" t="e">
        <f>GETPIVOTDATA(#REF!,A326)</f>
        <v>#REF!</v>
      </c>
      <c r="AH326" s="182" t="e">
        <f>GETPIVOTDATA(#REF!,A326)*2</f>
        <v>#REF!</v>
      </c>
      <c r="AI326" s="183" t="e">
        <f>(ROUND(D326/AH326,0))*GETPIVOTDATA(#REF!,A326)</f>
        <v>#REF!</v>
      </c>
      <c r="AJ326" s="189" t="e">
        <f>GETPIVOTDATA(#REF!,A326)</f>
        <v>#REF!</v>
      </c>
      <c r="AK326" s="189">
        <f>0.3+0.23</f>
        <v>0.53</v>
      </c>
      <c r="AL326" s="189">
        <f t="shared" si="218"/>
        <v>-0.04</v>
      </c>
      <c r="AM326" s="189">
        <f>2.895*0.3</f>
        <v>0.86849999999999994</v>
      </c>
      <c r="AN326" s="188" t="e">
        <f t="shared" si="231"/>
        <v>#REF!</v>
      </c>
      <c r="AO326" s="183">
        <v>0</v>
      </c>
      <c r="AP326" s="182">
        <f t="shared" si="211"/>
        <v>10</v>
      </c>
      <c r="AQ326" s="182">
        <v>1.5</v>
      </c>
      <c r="AR326" s="187" t="e">
        <f t="shared" si="219"/>
        <v>#REF!</v>
      </c>
      <c r="AS326" s="187" t="e">
        <f t="shared" si="220"/>
        <v>#REF!</v>
      </c>
      <c r="AT326" s="187" t="e">
        <f t="shared" si="221"/>
        <v>#REF!</v>
      </c>
      <c r="AU326" s="187" t="e">
        <f t="shared" si="222"/>
        <v>#REF!</v>
      </c>
      <c r="AV326" s="187" t="e">
        <f t="shared" si="212"/>
        <v>#REF!</v>
      </c>
      <c r="AW326" s="187" t="e">
        <f t="shared" si="223"/>
        <v>#REF!</v>
      </c>
      <c r="AX326" s="187">
        <f t="shared" si="224"/>
        <v>15</v>
      </c>
      <c r="AY326" s="190"/>
      <c r="AZ326" s="240"/>
      <c r="BA326" s="232"/>
      <c r="BF326" s="206"/>
      <c r="BG326" s="206"/>
      <c r="BK326" s="126"/>
      <c r="BL326" s="126"/>
      <c r="BN326" s="126"/>
      <c r="BO326" s="126"/>
      <c r="BQ326" s="126"/>
      <c r="BR326" s="126"/>
      <c r="BT326" s="126"/>
      <c r="BU326" s="126"/>
      <c r="BW326" s="126"/>
      <c r="BX326" s="126"/>
      <c r="BZ326" s="126"/>
      <c r="CA326" s="126"/>
      <c r="CC326" s="126"/>
      <c r="CD326" s="126"/>
      <c r="CF326" s="126"/>
      <c r="CG326" s="126"/>
    </row>
    <row r="327" spans="1:85" s="197" customFormat="1" x14ac:dyDescent="0.3">
      <c r="A327" s="182" t="s">
        <v>227</v>
      </c>
      <c r="B327" s="183">
        <v>1</v>
      </c>
      <c r="C327" s="184" t="s">
        <v>353</v>
      </c>
      <c r="D327" s="187">
        <v>1.9</v>
      </c>
      <c r="E327" s="187">
        <v>4.42</v>
      </c>
      <c r="F327" s="186">
        <v>0.125</v>
      </c>
      <c r="G327" s="187">
        <f t="shared" si="213"/>
        <v>1.04975</v>
      </c>
      <c r="H327" s="188">
        <f t="shared" si="235"/>
        <v>8.3979999999999997</v>
      </c>
      <c r="I327" s="183" t="e">
        <f>GETPIVOTDATA(#REF!,A327)</f>
        <v>#REF!</v>
      </c>
      <c r="J327" s="188" t="e">
        <f>GETPIVOTDATA(#REF!,A327)*2</f>
        <v>#REF!</v>
      </c>
      <c r="K327" s="183" t="e">
        <f>(ROUND(E327/J327,0)+1)*GETPIVOTDATA(#REF!,A327)</f>
        <v>#REF!</v>
      </c>
      <c r="L327" s="189" t="e">
        <f>GETPIVOTDATA(#REF!,A327)</f>
        <v>#REF!</v>
      </c>
      <c r="M327" s="189">
        <f t="shared" si="228"/>
        <v>0.6</v>
      </c>
      <c r="N327" s="189">
        <f t="shared" si="214"/>
        <v>-0.04</v>
      </c>
      <c r="O327" s="189">
        <f>2.25*0.3</f>
        <v>0.67499999999999993</v>
      </c>
      <c r="P327" s="188" t="e">
        <f t="shared" si="227"/>
        <v>#REF!</v>
      </c>
      <c r="Q327" s="183" t="e">
        <f>GETPIVOTDATA(#REF!,A327)</f>
        <v>#REF!</v>
      </c>
      <c r="R327" s="188" t="e">
        <f>GETPIVOTDATA(#REF!,A327)*2</f>
        <v>#REF!</v>
      </c>
      <c r="S327" s="183" t="e">
        <f>(ROUND(E327/R327,0))*GETPIVOTDATA(#REF!,A327)</f>
        <v>#REF!</v>
      </c>
      <c r="T327" s="189" t="e">
        <f>GETPIVOTDATA(#REF!,A327)</f>
        <v>#REF!</v>
      </c>
      <c r="U327" s="189">
        <f t="shared" si="229"/>
        <v>0.6</v>
      </c>
      <c r="V327" s="189">
        <f t="shared" si="216"/>
        <v>-0.04</v>
      </c>
      <c r="W327" s="189">
        <f>2.929*0.3</f>
        <v>0.87869999999999993</v>
      </c>
      <c r="X327" s="188" t="e">
        <f t="shared" si="234"/>
        <v>#REF!</v>
      </c>
      <c r="Y327" s="183" t="e">
        <f>GETPIVOTDATA(#REF!,A327)</f>
        <v>#REF!</v>
      </c>
      <c r="Z327" s="188" t="e">
        <f>GETPIVOTDATA(#REF!,A327)*2</f>
        <v>#REF!</v>
      </c>
      <c r="AA327" s="183" t="e">
        <f>(ROUND(D327/Z327,0)+1)*GETPIVOTDATA(#REF!,A327)</f>
        <v>#REF!</v>
      </c>
      <c r="AB327" s="189" t="e">
        <f>GETPIVOTDATA(#REF!,A327)</f>
        <v>#REF!</v>
      </c>
      <c r="AC327" s="189">
        <f t="shared" si="232"/>
        <v>0.6</v>
      </c>
      <c r="AD327" s="189">
        <f t="shared" si="217"/>
        <v>-0.04</v>
      </c>
      <c r="AE327" s="189">
        <f>3.39*0.3</f>
        <v>1.0169999999999999</v>
      </c>
      <c r="AF327" s="188" t="e">
        <f t="shared" si="230"/>
        <v>#REF!</v>
      </c>
      <c r="AG327" s="183" t="e">
        <f>GETPIVOTDATA(#REF!,A327)</f>
        <v>#REF!</v>
      </c>
      <c r="AH327" s="182" t="e">
        <f>GETPIVOTDATA(#REF!,A327)*2</f>
        <v>#REF!</v>
      </c>
      <c r="AI327" s="183" t="e">
        <f>(ROUND(D327/AH327,0))*GETPIVOTDATA(#REF!,A327)</f>
        <v>#REF!</v>
      </c>
      <c r="AJ327" s="189" t="e">
        <f>GETPIVOTDATA(#REF!,A327)</f>
        <v>#REF!</v>
      </c>
      <c r="AK327" s="189">
        <f t="shared" si="233"/>
        <v>0.6</v>
      </c>
      <c r="AL327" s="189">
        <f t="shared" si="218"/>
        <v>-0.04</v>
      </c>
      <c r="AM327" s="189">
        <f>2.895*0.3</f>
        <v>0.86849999999999994</v>
      </c>
      <c r="AN327" s="188" t="e">
        <f t="shared" si="231"/>
        <v>#REF!</v>
      </c>
      <c r="AO327" s="183">
        <v>8</v>
      </c>
      <c r="AP327" s="182">
        <f t="shared" si="211"/>
        <v>8</v>
      </c>
      <c r="AQ327" s="182">
        <v>1.5</v>
      </c>
      <c r="AR327" s="187" t="e">
        <f t="shared" si="219"/>
        <v>#REF!</v>
      </c>
      <c r="AS327" s="187" t="e">
        <f t="shared" si="220"/>
        <v>#REF!</v>
      </c>
      <c r="AT327" s="187" t="e">
        <f t="shared" si="221"/>
        <v>#REF!</v>
      </c>
      <c r="AU327" s="187" t="e">
        <f t="shared" si="222"/>
        <v>#REF!</v>
      </c>
      <c r="AV327" s="187" t="e">
        <f t="shared" si="212"/>
        <v>#REF!</v>
      </c>
      <c r="AW327" s="187" t="e">
        <f t="shared" si="223"/>
        <v>#REF!</v>
      </c>
      <c r="AX327" s="187">
        <f t="shared" si="224"/>
        <v>12</v>
      </c>
      <c r="AY327" s="190"/>
      <c r="AZ327" s="240"/>
      <c r="BA327" s="232"/>
      <c r="BF327" s="206"/>
      <c r="BG327" s="206"/>
      <c r="BK327" s="126"/>
      <c r="BL327" s="126"/>
      <c r="BN327" s="126"/>
      <c r="BO327" s="126"/>
      <c r="BQ327" s="126"/>
      <c r="BR327" s="126"/>
      <c r="BT327" s="126"/>
      <c r="BU327" s="126"/>
      <c r="BW327" s="126"/>
      <c r="BX327" s="126"/>
      <c r="BZ327" s="126"/>
      <c r="CA327" s="126"/>
      <c r="CC327" s="126"/>
      <c r="CD327" s="126"/>
      <c r="CF327" s="126"/>
      <c r="CG327" s="126"/>
    </row>
    <row r="328" spans="1:85" s="197" customFormat="1" ht="27.6" x14ac:dyDescent="0.3">
      <c r="A328" s="182" t="s">
        <v>243</v>
      </c>
      <c r="B328" s="183">
        <v>1</v>
      </c>
      <c r="C328" s="184" t="s">
        <v>354</v>
      </c>
      <c r="D328" s="187">
        <v>2.9289999999999998</v>
      </c>
      <c r="E328" s="187">
        <v>4.34</v>
      </c>
      <c r="F328" s="186">
        <v>0.15</v>
      </c>
      <c r="G328" s="187">
        <f t="shared" si="213"/>
        <v>1.9067789999999998</v>
      </c>
      <c r="H328" s="188">
        <f t="shared" si="235"/>
        <v>12.71186</v>
      </c>
      <c r="I328" s="183" t="e">
        <f>GETPIVOTDATA(#REF!,A328)</f>
        <v>#REF!</v>
      </c>
      <c r="J328" s="188" t="e">
        <f>GETPIVOTDATA(#REF!,A328)*2</f>
        <v>#REF!</v>
      </c>
      <c r="K328" s="183" t="e">
        <f>(ROUND(E328/J328,0)+1)*GETPIVOTDATA(#REF!,A328)</f>
        <v>#REF!</v>
      </c>
      <c r="L328" s="189" t="e">
        <f>GETPIVOTDATA(#REF!,A328)</f>
        <v>#REF!</v>
      </c>
      <c r="M328" s="189">
        <f t="shared" si="228"/>
        <v>0.6</v>
      </c>
      <c r="N328" s="189">
        <f t="shared" si="214"/>
        <v>-0.04</v>
      </c>
      <c r="O328" s="189">
        <f>1.9*0.3</f>
        <v>0.56999999999999995</v>
      </c>
      <c r="P328" s="188" t="e">
        <f t="shared" si="227"/>
        <v>#REF!</v>
      </c>
      <c r="Q328" s="183" t="e">
        <f>GETPIVOTDATA(#REF!,A328)</f>
        <v>#REF!</v>
      </c>
      <c r="R328" s="188" t="e">
        <f>GETPIVOTDATA(#REF!,A328)*2</f>
        <v>#REF!</v>
      </c>
      <c r="S328" s="183" t="e">
        <f>(ROUND(E328/R328,0))*GETPIVOTDATA(#REF!,A328)</f>
        <v>#REF!</v>
      </c>
      <c r="T328" s="189" t="e">
        <f>GETPIVOTDATA(#REF!,A328)</f>
        <v>#REF!</v>
      </c>
      <c r="U328" s="189">
        <f t="shared" si="229"/>
        <v>0.6</v>
      </c>
      <c r="V328" s="189">
        <f t="shared" si="216"/>
        <v>-0.04</v>
      </c>
      <c r="W328" s="189">
        <f>3.51*0.3</f>
        <v>1.0529999999999999</v>
      </c>
      <c r="X328" s="188" t="e">
        <f t="shared" si="234"/>
        <v>#REF!</v>
      </c>
      <c r="Y328" s="183" t="e">
        <f>GETPIVOTDATA(#REF!,A328)</f>
        <v>#REF!</v>
      </c>
      <c r="Z328" s="188" t="e">
        <f>GETPIVOTDATA(#REF!,A328)*2</f>
        <v>#REF!</v>
      </c>
      <c r="AA328" s="183" t="e">
        <f>(ROUND(D328/Z328,0)+1)*GETPIVOTDATA(#REF!,A328)</f>
        <v>#REF!</v>
      </c>
      <c r="AB328" s="189" t="e">
        <f>GETPIVOTDATA(#REF!,A328)</f>
        <v>#REF!</v>
      </c>
      <c r="AC328" s="189">
        <f>0.38*2</f>
        <v>0.76</v>
      </c>
      <c r="AD328" s="189">
        <f t="shared" si="217"/>
        <v>-0.04</v>
      </c>
      <c r="AE328" s="189">
        <f>3.35*0.3</f>
        <v>1.0049999999999999</v>
      </c>
      <c r="AF328" s="188" t="e">
        <f t="shared" si="230"/>
        <v>#REF!</v>
      </c>
      <c r="AG328" s="183" t="e">
        <f>GETPIVOTDATA(#REF!,A328)</f>
        <v>#REF!</v>
      </c>
      <c r="AH328" s="182" t="e">
        <f>GETPIVOTDATA(#REF!,A328)*2</f>
        <v>#REF!</v>
      </c>
      <c r="AI328" s="183" t="e">
        <f>(ROUND(D328/AH328,0))*GETPIVOTDATA(#REF!,A328)</f>
        <v>#REF!</v>
      </c>
      <c r="AJ328" s="189" t="e">
        <f>GETPIVOTDATA(#REF!,A328)</f>
        <v>#REF!</v>
      </c>
      <c r="AK328" s="189">
        <f>0.38*2</f>
        <v>0.76</v>
      </c>
      <c r="AL328" s="189">
        <f t="shared" si="218"/>
        <v>-0.04</v>
      </c>
      <c r="AM328" s="189">
        <f>2.75*0.3</f>
        <v>0.82499999999999996</v>
      </c>
      <c r="AN328" s="188" t="e">
        <f t="shared" si="231"/>
        <v>#REF!</v>
      </c>
      <c r="AO328" s="183">
        <v>8</v>
      </c>
      <c r="AP328" s="182">
        <f t="shared" si="211"/>
        <v>10</v>
      </c>
      <c r="AQ328" s="182">
        <v>1.5</v>
      </c>
      <c r="AR328" s="187" t="e">
        <f t="shared" si="219"/>
        <v>#REF!</v>
      </c>
      <c r="AS328" s="187" t="e">
        <f t="shared" si="220"/>
        <v>#REF!</v>
      </c>
      <c r="AT328" s="187" t="e">
        <f t="shared" si="221"/>
        <v>#REF!</v>
      </c>
      <c r="AU328" s="187" t="e">
        <f t="shared" si="222"/>
        <v>#REF!</v>
      </c>
      <c r="AV328" s="187" t="e">
        <f t="shared" si="212"/>
        <v>#REF!</v>
      </c>
      <c r="AW328" s="187" t="e">
        <f t="shared" si="223"/>
        <v>#REF!</v>
      </c>
      <c r="AX328" s="187">
        <f t="shared" si="224"/>
        <v>15</v>
      </c>
      <c r="AY328" s="190"/>
      <c r="AZ328" s="240"/>
      <c r="BA328" s="232"/>
      <c r="BF328" s="206"/>
      <c r="BG328" s="206"/>
      <c r="BK328" s="126"/>
      <c r="BL328" s="126"/>
      <c r="BN328" s="126"/>
      <c r="BO328" s="126"/>
      <c r="BQ328" s="126"/>
      <c r="BR328" s="126"/>
      <c r="BT328" s="126"/>
      <c r="BU328" s="126"/>
      <c r="BW328" s="126"/>
      <c r="BX328" s="126"/>
      <c r="BZ328" s="126"/>
      <c r="CA328" s="126"/>
      <c r="CC328" s="126"/>
      <c r="CD328" s="126"/>
      <c r="CF328" s="126"/>
      <c r="CG328" s="126"/>
    </row>
    <row r="329" spans="1:85" s="197" customFormat="1" ht="27.6" x14ac:dyDescent="0.3">
      <c r="A329" s="182" t="s">
        <v>240</v>
      </c>
      <c r="B329" s="183">
        <v>1</v>
      </c>
      <c r="C329" s="184" t="s">
        <v>355</v>
      </c>
      <c r="D329" s="187">
        <v>3.51</v>
      </c>
      <c r="E329" s="187">
        <v>4.34</v>
      </c>
      <c r="F329" s="186">
        <v>0.16</v>
      </c>
      <c r="G329" s="187">
        <f t="shared" si="213"/>
        <v>2.4373439999999995</v>
      </c>
      <c r="H329" s="188">
        <f t="shared" si="235"/>
        <v>15.233399999999998</v>
      </c>
      <c r="I329" s="183" t="e">
        <f>GETPIVOTDATA(#REF!,A329)</f>
        <v>#REF!</v>
      </c>
      <c r="J329" s="188" t="e">
        <f>GETPIVOTDATA(#REF!,A329)*2</f>
        <v>#REF!</v>
      </c>
      <c r="K329" s="183" t="e">
        <f>(ROUND(E329/J329,0)+1)*GETPIVOTDATA(#REF!,A329)</f>
        <v>#REF!</v>
      </c>
      <c r="L329" s="189" t="e">
        <f>GETPIVOTDATA(#REF!,A329)</f>
        <v>#REF!</v>
      </c>
      <c r="M329" s="189">
        <f t="shared" si="228"/>
        <v>0.6</v>
      </c>
      <c r="N329" s="189">
        <f t="shared" si="214"/>
        <v>-0.04</v>
      </c>
      <c r="O329" s="189">
        <f>2.929</f>
        <v>2.9289999999999998</v>
      </c>
      <c r="P329" s="188" t="e">
        <f t="shared" si="227"/>
        <v>#REF!</v>
      </c>
      <c r="Q329" s="183" t="e">
        <f>GETPIVOTDATA(#REF!,A329)</f>
        <v>#REF!</v>
      </c>
      <c r="R329" s="188" t="e">
        <f>GETPIVOTDATA(#REF!,A329)*2</f>
        <v>#REF!</v>
      </c>
      <c r="S329" s="183" t="e">
        <f>(ROUND(E329/R329,0))*GETPIVOTDATA(#REF!,A329)</f>
        <v>#REF!</v>
      </c>
      <c r="T329" s="189" t="e">
        <f>GETPIVOTDATA(#REF!,A329)</f>
        <v>#REF!</v>
      </c>
      <c r="U329" s="189">
        <f t="shared" si="229"/>
        <v>0.6</v>
      </c>
      <c r="V329" s="189">
        <f t="shared" si="216"/>
        <v>-0.04</v>
      </c>
      <c r="W329" s="189">
        <f>6*0.3</f>
        <v>1.7999999999999998</v>
      </c>
      <c r="X329" s="188" t="e">
        <f t="shared" si="234"/>
        <v>#REF!</v>
      </c>
      <c r="Y329" s="183" t="e">
        <f>GETPIVOTDATA(#REF!,A329)</f>
        <v>#REF!</v>
      </c>
      <c r="Z329" s="188" t="e">
        <f>GETPIVOTDATA(#REF!,A329)*2</f>
        <v>#REF!</v>
      </c>
      <c r="AA329" s="183" t="e">
        <f>(ROUND(D329/Z329,0)+1)*GETPIVOTDATA(#REF!,A329)</f>
        <v>#REF!</v>
      </c>
      <c r="AB329" s="189" t="e">
        <f>GETPIVOTDATA(#REF!,A329)</f>
        <v>#REF!</v>
      </c>
      <c r="AC329" s="189">
        <f>0.38*2</f>
        <v>0.76</v>
      </c>
      <c r="AD329" s="189">
        <f t="shared" si="217"/>
        <v>-0.04</v>
      </c>
      <c r="AE329" s="189">
        <f>3.35*0.3</f>
        <v>1.0049999999999999</v>
      </c>
      <c r="AF329" s="188" t="e">
        <f t="shared" si="230"/>
        <v>#REF!</v>
      </c>
      <c r="AG329" s="183" t="e">
        <f>GETPIVOTDATA(#REF!,A329)</f>
        <v>#REF!</v>
      </c>
      <c r="AH329" s="182" t="e">
        <f>GETPIVOTDATA(#REF!,A329)*2</f>
        <v>#REF!</v>
      </c>
      <c r="AI329" s="183" t="e">
        <f>(ROUND(D329/AH329,0))*GETPIVOTDATA(#REF!,A329)</f>
        <v>#REF!</v>
      </c>
      <c r="AJ329" s="189" t="e">
        <f>GETPIVOTDATA(#REF!,A329)</f>
        <v>#REF!</v>
      </c>
      <c r="AK329" s="189">
        <f>0.38*2</f>
        <v>0.76</v>
      </c>
      <c r="AL329" s="189">
        <f t="shared" si="218"/>
        <v>-0.04</v>
      </c>
      <c r="AM329" s="189">
        <f>2.75*0.3</f>
        <v>0.82499999999999996</v>
      </c>
      <c r="AN329" s="188" t="e">
        <f t="shared" si="231"/>
        <v>#REF!</v>
      </c>
      <c r="AO329" s="183">
        <v>8</v>
      </c>
      <c r="AP329" s="182">
        <f t="shared" si="211"/>
        <v>10</v>
      </c>
      <c r="AQ329" s="182">
        <v>1.5</v>
      </c>
      <c r="AR329" s="187" t="e">
        <f t="shared" si="219"/>
        <v>#REF!</v>
      </c>
      <c r="AS329" s="187" t="e">
        <f t="shared" si="220"/>
        <v>#REF!</v>
      </c>
      <c r="AT329" s="187" t="e">
        <f t="shared" si="221"/>
        <v>#REF!</v>
      </c>
      <c r="AU329" s="187" t="e">
        <f t="shared" si="222"/>
        <v>#REF!</v>
      </c>
      <c r="AV329" s="187" t="e">
        <f t="shared" si="212"/>
        <v>#REF!</v>
      </c>
      <c r="AW329" s="187" t="e">
        <f t="shared" si="223"/>
        <v>#REF!</v>
      </c>
      <c r="AX329" s="187">
        <f t="shared" si="224"/>
        <v>15</v>
      </c>
      <c r="AY329" s="190"/>
      <c r="AZ329" s="240"/>
      <c r="BA329" s="232"/>
      <c r="BF329" s="206"/>
      <c r="BG329" s="206"/>
      <c r="BK329" s="126"/>
      <c r="BL329" s="126"/>
      <c r="BN329" s="126"/>
      <c r="BO329" s="126"/>
      <c r="BQ329" s="126"/>
      <c r="BR329" s="126"/>
      <c r="BT329" s="126"/>
      <c r="BU329" s="126"/>
      <c r="BW329" s="126"/>
      <c r="BX329" s="126"/>
      <c r="BZ329" s="126"/>
      <c r="CA329" s="126"/>
      <c r="CC329" s="126"/>
      <c r="CD329" s="126"/>
      <c r="CF329" s="126"/>
      <c r="CG329" s="126"/>
    </row>
    <row r="330" spans="1:85" s="197" customFormat="1" ht="27.6" x14ac:dyDescent="0.3">
      <c r="A330" s="182" t="s">
        <v>223</v>
      </c>
      <c r="B330" s="183">
        <v>1</v>
      </c>
      <c r="C330" s="184" t="s">
        <v>356</v>
      </c>
      <c r="D330" s="187">
        <v>2.79</v>
      </c>
      <c r="E330" s="187">
        <v>12.82</v>
      </c>
      <c r="F330" s="186">
        <v>0.13</v>
      </c>
      <c r="G330" s="187">
        <f t="shared" si="213"/>
        <v>4.6498140000000001</v>
      </c>
      <c r="H330" s="188">
        <f t="shared" si="235"/>
        <v>35.767800000000001</v>
      </c>
      <c r="I330" s="183" t="e">
        <f>GETPIVOTDATA(#REF!,A330)</f>
        <v>#REF!</v>
      </c>
      <c r="J330" s="188" t="e">
        <f>GETPIVOTDATA(#REF!,A330)*2</f>
        <v>#REF!</v>
      </c>
      <c r="K330" s="183" t="e">
        <f>(ROUND(E330/J330,0)+1)*GETPIVOTDATA(#REF!,A330)</f>
        <v>#REF!</v>
      </c>
      <c r="L330" s="189" t="e">
        <f>GETPIVOTDATA(#REF!,A330)</f>
        <v>#REF!</v>
      </c>
      <c r="M330" s="189">
        <f>0.3+0.45</f>
        <v>0.75</v>
      </c>
      <c r="N330" s="189">
        <f t="shared" si="214"/>
        <v>-0.04</v>
      </c>
      <c r="O330" s="189">
        <f>F330-2*0.02</f>
        <v>0.09</v>
      </c>
      <c r="P330" s="188" t="e">
        <f t="shared" si="227"/>
        <v>#REF!</v>
      </c>
      <c r="Q330" s="183" t="e">
        <f>GETPIVOTDATA(#REF!,A330)</f>
        <v>#REF!</v>
      </c>
      <c r="R330" s="188" t="e">
        <f>GETPIVOTDATA(#REF!,A330)*2</f>
        <v>#REF!</v>
      </c>
      <c r="S330" s="183" t="e">
        <f>(ROUND(E330/R330,0))*GETPIVOTDATA(#REF!,A330)</f>
        <v>#REF!</v>
      </c>
      <c r="T330" s="189" t="e">
        <f>GETPIVOTDATA(#REF!,A330)</f>
        <v>#REF!</v>
      </c>
      <c r="U330" s="189">
        <f>0.3+0.45</f>
        <v>0.75</v>
      </c>
      <c r="V330" s="189">
        <f t="shared" si="216"/>
        <v>-0.04</v>
      </c>
      <c r="W330" s="189">
        <f>2.6*0.3</f>
        <v>0.78</v>
      </c>
      <c r="X330" s="188" t="e">
        <f t="shared" si="234"/>
        <v>#REF!</v>
      </c>
      <c r="Y330" s="183" t="e">
        <f>GETPIVOTDATA(#REF!,A330)</f>
        <v>#REF!</v>
      </c>
      <c r="Z330" s="188" t="e">
        <f>GETPIVOTDATA(#REF!,A330)*2</f>
        <v>#REF!</v>
      </c>
      <c r="AA330" s="183" t="e">
        <f>(ROUND(D330/Z330,0)+1)*GETPIVOTDATA(#REF!,A330)</f>
        <v>#REF!</v>
      </c>
      <c r="AB330" s="189" t="e">
        <f>GETPIVOTDATA(#REF!,A330)</f>
        <v>#REF!</v>
      </c>
      <c r="AC330" s="189">
        <f t="shared" si="232"/>
        <v>0.6</v>
      </c>
      <c r="AD330" s="189">
        <f t="shared" si="217"/>
        <v>-0.04</v>
      </c>
      <c r="AE330" s="189">
        <f>5.85*0.3</f>
        <v>1.7549999999999999</v>
      </c>
      <c r="AF330" s="188" t="e">
        <f t="shared" si="230"/>
        <v>#REF!</v>
      </c>
      <c r="AG330" s="183" t="e">
        <f>GETPIVOTDATA(#REF!,A330)</f>
        <v>#REF!</v>
      </c>
      <c r="AH330" s="182" t="e">
        <f>GETPIVOTDATA(#REF!,A330)*2</f>
        <v>#REF!</v>
      </c>
      <c r="AI330" s="183" t="e">
        <f>(ROUND(D330/AH330,0))*GETPIVOTDATA(#REF!,A330)</f>
        <v>#REF!</v>
      </c>
      <c r="AJ330" s="189" t="e">
        <f>GETPIVOTDATA(#REF!,A330)</f>
        <v>#REF!</v>
      </c>
      <c r="AK330" s="189">
        <f t="shared" si="233"/>
        <v>0.6</v>
      </c>
      <c r="AL330" s="189">
        <f t="shared" si="218"/>
        <v>-0.04</v>
      </c>
      <c r="AM330" s="189">
        <f>2.01*0.3</f>
        <v>0.60299999999999987</v>
      </c>
      <c r="AN330" s="188" t="e">
        <f t="shared" si="231"/>
        <v>#REF!</v>
      </c>
      <c r="AO330" s="183">
        <v>8</v>
      </c>
      <c r="AP330" s="182">
        <f t="shared" si="211"/>
        <v>22</v>
      </c>
      <c r="AQ330" s="182">
        <v>1.5</v>
      </c>
      <c r="AR330" s="187" t="e">
        <f t="shared" si="219"/>
        <v>#REF!</v>
      </c>
      <c r="AS330" s="187" t="e">
        <f t="shared" si="220"/>
        <v>#REF!</v>
      </c>
      <c r="AT330" s="187" t="e">
        <f t="shared" si="221"/>
        <v>#REF!</v>
      </c>
      <c r="AU330" s="187" t="e">
        <f t="shared" si="222"/>
        <v>#REF!</v>
      </c>
      <c r="AV330" s="187" t="e">
        <f t="shared" si="212"/>
        <v>#REF!</v>
      </c>
      <c r="AW330" s="187" t="e">
        <f t="shared" si="223"/>
        <v>#REF!</v>
      </c>
      <c r="AX330" s="187">
        <f t="shared" si="224"/>
        <v>33</v>
      </c>
      <c r="AY330" s="190"/>
      <c r="AZ330" s="240"/>
      <c r="BA330" s="232"/>
      <c r="BF330" s="206"/>
      <c r="BG330" s="206"/>
      <c r="BK330" s="126"/>
      <c r="BL330" s="126"/>
      <c r="BN330" s="126"/>
      <c r="BO330" s="126"/>
      <c r="BQ330" s="126"/>
      <c r="BR330" s="126"/>
      <c r="BT330" s="126"/>
      <c r="BU330" s="126"/>
      <c r="BW330" s="126"/>
      <c r="BX330" s="126"/>
      <c r="BZ330" s="126"/>
      <c r="CA330" s="126"/>
      <c r="CC330" s="126"/>
      <c r="CD330" s="126"/>
      <c r="CF330" s="126"/>
      <c r="CG330" s="126"/>
    </row>
    <row r="331" spans="1:85" s="197" customFormat="1" ht="27.6" x14ac:dyDescent="0.3">
      <c r="A331" s="182" t="s">
        <v>223</v>
      </c>
      <c r="B331" s="183">
        <v>1</v>
      </c>
      <c r="C331" s="184" t="s">
        <v>357</v>
      </c>
      <c r="D331" s="187">
        <v>2.6</v>
      </c>
      <c r="E331" s="187">
        <v>11.82</v>
      </c>
      <c r="F331" s="186">
        <v>0.13</v>
      </c>
      <c r="G331" s="187">
        <f t="shared" si="213"/>
        <v>3.9951600000000007</v>
      </c>
      <c r="H331" s="188">
        <f t="shared" si="235"/>
        <v>30.732000000000003</v>
      </c>
      <c r="I331" s="183" t="e">
        <f>GETPIVOTDATA(#REF!,A331)</f>
        <v>#REF!</v>
      </c>
      <c r="J331" s="188" t="e">
        <f>GETPIVOTDATA(#REF!,A331)*2</f>
        <v>#REF!</v>
      </c>
      <c r="K331" s="183" t="e">
        <f>(ROUND(E331/J331,0)+1)*GETPIVOTDATA(#REF!,A331)</f>
        <v>#REF!</v>
      </c>
      <c r="L331" s="189" t="e">
        <f>GETPIVOTDATA(#REF!,A331)</f>
        <v>#REF!</v>
      </c>
      <c r="M331" s="189">
        <f>0.45*2</f>
        <v>0.9</v>
      </c>
      <c r="N331" s="189">
        <f t="shared" si="214"/>
        <v>-0.04</v>
      </c>
      <c r="O331" s="189">
        <f>2.79*0.3</f>
        <v>0.83699999999999997</v>
      </c>
      <c r="P331" s="188" t="e">
        <f t="shared" si="227"/>
        <v>#REF!</v>
      </c>
      <c r="Q331" s="183" t="e">
        <f>GETPIVOTDATA(#REF!,A331)</f>
        <v>#REF!</v>
      </c>
      <c r="R331" s="188" t="e">
        <f>GETPIVOTDATA(#REF!,A331)*2</f>
        <v>#REF!</v>
      </c>
      <c r="S331" s="183" t="e">
        <f>(ROUND(E331/R331,0))*GETPIVOTDATA(#REF!,A331)</f>
        <v>#REF!</v>
      </c>
      <c r="T331" s="189" t="e">
        <f>GETPIVOTDATA(#REF!,A331)</f>
        <v>#REF!</v>
      </c>
      <c r="U331" s="189">
        <f>0.45*2</f>
        <v>0.9</v>
      </c>
      <c r="V331" s="189">
        <f t="shared" si="216"/>
        <v>-0.04</v>
      </c>
      <c r="W331" s="189">
        <f>5.335*0.3</f>
        <v>1.6005</v>
      </c>
      <c r="X331" s="188" t="e">
        <f t="shared" si="234"/>
        <v>#REF!</v>
      </c>
      <c r="Y331" s="183" t="e">
        <f>GETPIVOTDATA(#REF!,A331)</f>
        <v>#REF!</v>
      </c>
      <c r="Z331" s="188" t="e">
        <f>GETPIVOTDATA(#REF!,A331)*2</f>
        <v>#REF!</v>
      </c>
      <c r="AA331" s="183" t="e">
        <f>(ROUND(D331/Z331,0)+1)*GETPIVOTDATA(#REF!,A331)</f>
        <v>#REF!</v>
      </c>
      <c r="AB331" s="189" t="e">
        <f>GETPIVOTDATA(#REF!,A331)</f>
        <v>#REF!</v>
      </c>
      <c r="AC331" s="189">
        <f t="shared" si="232"/>
        <v>0.6</v>
      </c>
      <c r="AD331" s="189">
        <f t="shared" si="217"/>
        <v>-0.04</v>
      </c>
      <c r="AE331" s="189">
        <v>0</v>
      </c>
      <c r="AF331" s="188" t="e">
        <f t="shared" si="230"/>
        <v>#REF!</v>
      </c>
      <c r="AG331" s="183" t="e">
        <f>GETPIVOTDATA(#REF!,A331)</f>
        <v>#REF!</v>
      </c>
      <c r="AH331" s="182" t="e">
        <f>GETPIVOTDATA(#REF!,A331)*2</f>
        <v>#REF!</v>
      </c>
      <c r="AI331" s="183" t="e">
        <f>(ROUND(D331/AH331,0))*GETPIVOTDATA(#REF!,A331)</f>
        <v>#REF!</v>
      </c>
      <c r="AJ331" s="189" t="e">
        <f>GETPIVOTDATA(#REF!,A331)</f>
        <v>#REF!</v>
      </c>
      <c r="AK331" s="189">
        <f t="shared" si="233"/>
        <v>0.6</v>
      </c>
      <c r="AL331" s="189">
        <f t="shared" si="218"/>
        <v>-0.04</v>
      </c>
      <c r="AM331" s="189">
        <v>0</v>
      </c>
      <c r="AN331" s="188" t="e">
        <f t="shared" si="231"/>
        <v>#REF!</v>
      </c>
      <c r="AO331" s="183">
        <v>8</v>
      </c>
      <c r="AP331" s="182">
        <f t="shared" si="211"/>
        <v>20</v>
      </c>
      <c r="AQ331" s="182">
        <v>1.5</v>
      </c>
      <c r="AR331" s="187" t="e">
        <f t="shared" si="219"/>
        <v>#REF!</v>
      </c>
      <c r="AS331" s="187" t="e">
        <f t="shared" si="220"/>
        <v>#REF!</v>
      </c>
      <c r="AT331" s="187" t="e">
        <f t="shared" si="221"/>
        <v>#REF!</v>
      </c>
      <c r="AU331" s="187" t="e">
        <f t="shared" si="222"/>
        <v>#REF!</v>
      </c>
      <c r="AV331" s="187" t="e">
        <f t="shared" si="212"/>
        <v>#REF!</v>
      </c>
      <c r="AW331" s="187" t="e">
        <f t="shared" si="223"/>
        <v>#REF!</v>
      </c>
      <c r="AX331" s="187">
        <f t="shared" si="224"/>
        <v>30</v>
      </c>
      <c r="AY331" s="190"/>
      <c r="AZ331" s="240"/>
      <c r="BA331" s="232"/>
      <c r="BF331" s="206"/>
      <c r="BG331" s="206"/>
      <c r="BK331" s="126"/>
      <c r="BL331" s="126"/>
      <c r="BN331" s="126"/>
      <c r="BO331" s="126"/>
      <c r="BQ331" s="126"/>
      <c r="BR331" s="126"/>
      <c r="BT331" s="126"/>
      <c r="BU331" s="126"/>
      <c r="BW331" s="126"/>
      <c r="BX331" s="126"/>
      <c r="BZ331" s="126"/>
      <c r="CA331" s="126"/>
      <c r="CC331" s="126"/>
      <c r="CD331" s="126"/>
      <c r="CF331" s="126"/>
      <c r="CG331" s="126"/>
    </row>
    <row r="332" spans="1:85" s="197" customFormat="1" ht="27.6" x14ac:dyDescent="0.3">
      <c r="A332" s="182" t="s">
        <v>254</v>
      </c>
      <c r="B332" s="183">
        <v>1</v>
      </c>
      <c r="C332" s="184" t="s">
        <v>358</v>
      </c>
      <c r="D332" s="187">
        <v>5.335</v>
      </c>
      <c r="E332" s="187">
        <v>3.31</v>
      </c>
      <c r="F332" s="186">
        <v>0.15</v>
      </c>
      <c r="G332" s="187">
        <f t="shared" si="213"/>
        <v>2.6488274999999999</v>
      </c>
      <c r="H332" s="188">
        <f t="shared" si="235"/>
        <v>17.658850000000001</v>
      </c>
      <c r="I332" s="183" t="e">
        <f>GETPIVOTDATA(#REF!,A332)</f>
        <v>#REF!</v>
      </c>
      <c r="J332" s="188" t="e">
        <f>GETPIVOTDATA(#REF!,A332)*2</f>
        <v>#REF!</v>
      </c>
      <c r="K332" s="183" t="e">
        <f>(ROUND(E332/J332,0)+1)*GETPIVOTDATA(#REF!,A332)</f>
        <v>#REF!</v>
      </c>
      <c r="L332" s="189" t="e">
        <f>GETPIVOTDATA(#REF!,A332)</f>
        <v>#REF!</v>
      </c>
      <c r="M332" s="189">
        <f>0.45+0.34</f>
        <v>0.79</v>
      </c>
      <c r="N332" s="189">
        <f t="shared" si="214"/>
        <v>-0.04</v>
      </c>
      <c r="O332" s="189">
        <f>2.6*0.3</f>
        <v>0.78</v>
      </c>
      <c r="P332" s="188" t="e">
        <f t="shared" si="227"/>
        <v>#REF!</v>
      </c>
      <c r="Q332" s="183" t="e">
        <f>GETPIVOTDATA(#REF!,A332)</f>
        <v>#REF!</v>
      </c>
      <c r="R332" s="188" t="e">
        <f>GETPIVOTDATA(#REF!,A332)*2</f>
        <v>#REF!</v>
      </c>
      <c r="S332" s="183" t="e">
        <f>(ROUND(E332/R332,0))*GETPIVOTDATA(#REF!,A332)</f>
        <v>#REF!</v>
      </c>
      <c r="T332" s="189" t="e">
        <f>GETPIVOTDATA(#REF!,A332)</f>
        <v>#REF!</v>
      </c>
      <c r="U332" s="189">
        <f>0.45+0.34</f>
        <v>0.79</v>
      </c>
      <c r="V332" s="189">
        <f t="shared" si="216"/>
        <v>-0.04</v>
      </c>
      <c r="W332" s="189">
        <f>2.28*0.3</f>
        <v>0.68399999999999994</v>
      </c>
      <c r="X332" s="188" t="e">
        <f t="shared" si="234"/>
        <v>#REF!</v>
      </c>
      <c r="Y332" s="183" t="e">
        <f>GETPIVOTDATA(#REF!,A332)</f>
        <v>#REF!</v>
      </c>
      <c r="Z332" s="188" t="e">
        <f>GETPIVOTDATA(#REF!,A332)*2</f>
        <v>#REF!</v>
      </c>
      <c r="AA332" s="183" t="e">
        <f>(ROUND(D332/Z332,0)+1)*GETPIVOTDATA(#REF!,A332)</f>
        <v>#REF!</v>
      </c>
      <c r="AB332" s="189" t="e">
        <f>GETPIVOTDATA(#REF!,A332)</f>
        <v>#REF!</v>
      </c>
      <c r="AC332" s="189">
        <f t="shared" si="232"/>
        <v>0.6</v>
      </c>
      <c r="AD332" s="189">
        <f t="shared" si="217"/>
        <v>-0.04</v>
      </c>
      <c r="AE332" s="189">
        <f>2.6*0.3</f>
        <v>0.78</v>
      </c>
      <c r="AF332" s="188" t="e">
        <f t="shared" si="230"/>
        <v>#REF!</v>
      </c>
      <c r="AG332" s="183" t="e">
        <f>GETPIVOTDATA(#REF!,A332)</f>
        <v>#REF!</v>
      </c>
      <c r="AH332" s="182" t="e">
        <f>GETPIVOTDATA(#REF!,A332)*2</f>
        <v>#REF!</v>
      </c>
      <c r="AI332" s="183" t="e">
        <f>(ROUND(D332/AH332,0))*GETPIVOTDATA(#REF!,A332)</f>
        <v>#REF!</v>
      </c>
      <c r="AJ332" s="189" t="e">
        <f>GETPIVOTDATA(#REF!,A332)</f>
        <v>#REF!</v>
      </c>
      <c r="AK332" s="189">
        <f t="shared" si="233"/>
        <v>0.6</v>
      </c>
      <c r="AL332" s="189">
        <f t="shared" si="218"/>
        <v>-0.04</v>
      </c>
      <c r="AM332" s="189">
        <f>3.17*0.3</f>
        <v>0.95099999999999996</v>
      </c>
      <c r="AN332" s="188" t="e">
        <f t="shared" si="231"/>
        <v>#REF!</v>
      </c>
      <c r="AO332" s="183">
        <v>8</v>
      </c>
      <c r="AP332" s="182">
        <f t="shared" si="211"/>
        <v>12</v>
      </c>
      <c r="AQ332" s="182">
        <v>1.5</v>
      </c>
      <c r="AR332" s="187" t="e">
        <f t="shared" si="219"/>
        <v>#REF!</v>
      </c>
      <c r="AS332" s="187" t="e">
        <f t="shared" si="220"/>
        <v>#REF!</v>
      </c>
      <c r="AT332" s="187" t="e">
        <f t="shared" si="221"/>
        <v>#REF!</v>
      </c>
      <c r="AU332" s="187" t="e">
        <f t="shared" si="222"/>
        <v>#REF!</v>
      </c>
      <c r="AV332" s="187" t="e">
        <f t="shared" si="212"/>
        <v>#REF!</v>
      </c>
      <c r="AW332" s="187" t="e">
        <f t="shared" si="223"/>
        <v>#REF!</v>
      </c>
      <c r="AX332" s="187">
        <f t="shared" si="224"/>
        <v>18</v>
      </c>
      <c r="AY332" s="190"/>
      <c r="AZ332" s="240"/>
      <c r="BA332" s="232"/>
      <c r="BF332" s="206"/>
      <c r="BG332" s="206"/>
      <c r="BK332" s="126"/>
      <c r="BL332" s="126"/>
      <c r="BN332" s="126"/>
      <c r="BO332" s="126"/>
      <c r="BQ332" s="126"/>
      <c r="BR332" s="126"/>
      <c r="BT332" s="126"/>
      <c r="BU332" s="126"/>
      <c r="BW332" s="126"/>
      <c r="BX332" s="126"/>
      <c r="BZ332" s="126"/>
      <c r="CA332" s="126"/>
      <c r="CC332" s="126"/>
      <c r="CD332" s="126"/>
      <c r="CF332" s="126"/>
      <c r="CG332" s="126"/>
    </row>
    <row r="333" spans="1:85" s="197" customFormat="1" x14ac:dyDescent="0.3">
      <c r="A333" s="182" t="s">
        <v>239</v>
      </c>
      <c r="B333" s="183">
        <v>1</v>
      </c>
      <c r="C333" s="184" t="s">
        <v>359</v>
      </c>
      <c r="D333" s="187">
        <v>2.2799999999999998</v>
      </c>
      <c r="E333" s="187">
        <v>3.05</v>
      </c>
      <c r="F333" s="186">
        <v>0.125</v>
      </c>
      <c r="G333" s="187">
        <f t="shared" si="213"/>
        <v>0.86924999999999986</v>
      </c>
      <c r="H333" s="188">
        <f t="shared" si="235"/>
        <v>6.9539999999999988</v>
      </c>
      <c r="I333" s="183" t="e">
        <f>GETPIVOTDATA(#REF!,A333)</f>
        <v>#REF!</v>
      </c>
      <c r="J333" s="188" t="e">
        <f>GETPIVOTDATA(#REF!,A333)*2</f>
        <v>#REF!</v>
      </c>
      <c r="K333" s="183" t="e">
        <f>(ROUND(E333/J333,0)+1)*GETPIVOTDATA(#REF!,A333)</f>
        <v>#REF!</v>
      </c>
      <c r="L333" s="189" t="e">
        <f>GETPIVOTDATA(#REF!,A333)</f>
        <v>#REF!</v>
      </c>
      <c r="M333" s="189">
        <f>0.34+0.23</f>
        <v>0.57000000000000006</v>
      </c>
      <c r="N333" s="189">
        <f t="shared" si="214"/>
        <v>-0.04</v>
      </c>
      <c r="O333" s="189">
        <f>5.34*0.3</f>
        <v>1.6019999999999999</v>
      </c>
      <c r="P333" s="188" t="e">
        <f t="shared" si="227"/>
        <v>#REF!</v>
      </c>
      <c r="Q333" s="183" t="e">
        <f>GETPIVOTDATA(#REF!,A333)</f>
        <v>#REF!</v>
      </c>
      <c r="R333" s="188" t="e">
        <f>GETPIVOTDATA(#REF!,A333)*2</f>
        <v>#REF!</v>
      </c>
      <c r="S333" s="183" t="e">
        <f>(ROUND(E333/R333,0))*GETPIVOTDATA(#REF!,A333)</f>
        <v>#REF!</v>
      </c>
      <c r="T333" s="189" t="e">
        <f>GETPIVOTDATA(#REF!,A333)</f>
        <v>#REF!</v>
      </c>
      <c r="U333" s="189">
        <f>0.34+0.23</f>
        <v>0.57000000000000006</v>
      </c>
      <c r="V333" s="189">
        <f t="shared" si="216"/>
        <v>-0.04</v>
      </c>
      <c r="W333" s="189">
        <f>2.37*0.3</f>
        <v>0.71099999999999997</v>
      </c>
      <c r="X333" s="188" t="e">
        <f t="shared" si="234"/>
        <v>#REF!</v>
      </c>
      <c r="Y333" s="183" t="e">
        <f>GETPIVOTDATA(#REF!,A333)</f>
        <v>#REF!</v>
      </c>
      <c r="Z333" s="188" t="e">
        <f>GETPIVOTDATA(#REF!,A333)*2</f>
        <v>#REF!</v>
      </c>
      <c r="AA333" s="183" t="e">
        <f>(ROUND(D333/Z333,0)+1)*GETPIVOTDATA(#REF!,A333)</f>
        <v>#REF!</v>
      </c>
      <c r="AB333" s="189" t="e">
        <f>GETPIVOTDATA(#REF!,A333)</f>
        <v>#REF!</v>
      </c>
      <c r="AC333" s="189">
        <f t="shared" si="232"/>
        <v>0.6</v>
      </c>
      <c r="AD333" s="189">
        <f t="shared" si="217"/>
        <v>-0.04</v>
      </c>
      <c r="AE333" s="189">
        <f>2.6*0.3</f>
        <v>0.78</v>
      </c>
      <c r="AF333" s="188" t="e">
        <f t="shared" si="230"/>
        <v>#REF!</v>
      </c>
      <c r="AG333" s="183" t="e">
        <f>GETPIVOTDATA(#REF!,A333)</f>
        <v>#REF!</v>
      </c>
      <c r="AH333" s="182" t="e">
        <f>GETPIVOTDATA(#REF!,A333)*2</f>
        <v>#REF!</v>
      </c>
      <c r="AI333" s="183" t="e">
        <f>(ROUND(D333/AH333,0))*GETPIVOTDATA(#REF!,A333)</f>
        <v>#REF!</v>
      </c>
      <c r="AJ333" s="189" t="e">
        <f>GETPIVOTDATA(#REF!,A333)</f>
        <v>#REF!</v>
      </c>
      <c r="AK333" s="189">
        <f t="shared" si="233"/>
        <v>0.6</v>
      </c>
      <c r="AL333" s="189">
        <f t="shared" si="218"/>
        <v>-0.04</v>
      </c>
      <c r="AM333" s="189">
        <f>2.44*0.3</f>
        <v>0.73199999999999998</v>
      </c>
      <c r="AN333" s="188" t="e">
        <f t="shared" si="231"/>
        <v>#REF!</v>
      </c>
      <c r="AO333" s="183">
        <v>8</v>
      </c>
      <c r="AP333" s="182">
        <f t="shared" si="211"/>
        <v>8</v>
      </c>
      <c r="AQ333" s="182">
        <v>1.5</v>
      </c>
      <c r="AR333" s="187" t="e">
        <f t="shared" si="219"/>
        <v>#REF!</v>
      </c>
      <c r="AS333" s="187" t="e">
        <f t="shared" si="220"/>
        <v>#REF!</v>
      </c>
      <c r="AT333" s="187" t="e">
        <f t="shared" si="221"/>
        <v>#REF!</v>
      </c>
      <c r="AU333" s="187" t="e">
        <f t="shared" si="222"/>
        <v>#REF!</v>
      </c>
      <c r="AV333" s="187" t="e">
        <f t="shared" si="212"/>
        <v>#REF!</v>
      </c>
      <c r="AW333" s="187" t="e">
        <f t="shared" si="223"/>
        <v>#REF!</v>
      </c>
      <c r="AX333" s="187">
        <f t="shared" si="224"/>
        <v>12</v>
      </c>
      <c r="AY333" s="190"/>
      <c r="AZ333" s="240"/>
      <c r="BA333" s="232"/>
      <c r="BF333" s="206"/>
      <c r="BG333" s="206"/>
      <c r="BK333" s="126"/>
      <c r="BL333" s="126"/>
      <c r="BN333" s="126"/>
      <c r="BO333" s="126"/>
      <c r="BQ333" s="126"/>
      <c r="BR333" s="126"/>
      <c r="BT333" s="126"/>
      <c r="BU333" s="126"/>
      <c r="BW333" s="126"/>
      <c r="BX333" s="126"/>
      <c r="BZ333" s="126"/>
      <c r="CA333" s="126"/>
      <c r="CC333" s="126"/>
      <c r="CD333" s="126"/>
      <c r="CF333" s="126"/>
      <c r="CG333" s="126"/>
    </row>
    <row r="334" spans="1:85" s="197" customFormat="1" x14ac:dyDescent="0.3">
      <c r="A334" s="182" t="s">
        <v>239</v>
      </c>
      <c r="B334" s="183">
        <v>1</v>
      </c>
      <c r="C334" s="184" t="s">
        <v>360</v>
      </c>
      <c r="D334" s="187">
        <v>2.37</v>
      </c>
      <c r="E334" s="187">
        <v>3.05</v>
      </c>
      <c r="F334" s="186">
        <v>0.125</v>
      </c>
      <c r="G334" s="187">
        <f t="shared" si="213"/>
        <v>0.90356249999999994</v>
      </c>
      <c r="H334" s="188">
        <f t="shared" si="235"/>
        <v>7.2284999999999995</v>
      </c>
      <c r="I334" s="183" t="e">
        <f>GETPIVOTDATA(#REF!,A334)</f>
        <v>#REF!</v>
      </c>
      <c r="J334" s="188" t="e">
        <f>GETPIVOTDATA(#REF!,A334)*2</f>
        <v>#REF!</v>
      </c>
      <c r="K334" s="183" t="e">
        <f>(ROUND(E334/J334,0)+1)*GETPIVOTDATA(#REF!,A334)</f>
        <v>#REF!</v>
      </c>
      <c r="L334" s="189" t="e">
        <f>GETPIVOTDATA(#REF!,A334)</f>
        <v>#REF!</v>
      </c>
      <c r="M334" s="189">
        <f>0.23*2</f>
        <v>0.46</v>
      </c>
      <c r="N334" s="189">
        <f t="shared" si="214"/>
        <v>-0.04</v>
      </c>
      <c r="O334" s="189">
        <f>2.28*0.3</f>
        <v>0.68399999999999994</v>
      </c>
      <c r="P334" s="188" t="e">
        <f t="shared" si="227"/>
        <v>#REF!</v>
      </c>
      <c r="Q334" s="183" t="e">
        <f>GETPIVOTDATA(#REF!,A334)</f>
        <v>#REF!</v>
      </c>
      <c r="R334" s="188" t="e">
        <f>GETPIVOTDATA(#REF!,A334)*2</f>
        <v>#REF!</v>
      </c>
      <c r="S334" s="183" t="e">
        <f>(ROUND(E334/R334,0))*GETPIVOTDATA(#REF!,A334)</f>
        <v>#REF!</v>
      </c>
      <c r="T334" s="189" t="e">
        <f>GETPIVOTDATA(#REF!,A334)</f>
        <v>#REF!</v>
      </c>
      <c r="U334" s="189">
        <f>0.23*2</f>
        <v>0.46</v>
      </c>
      <c r="V334" s="189">
        <f t="shared" si="216"/>
        <v>-0.04</v>
      </c>
      <c r="W334" s="189">
        <f>3.95*0.3</f>
        <v>1.1850000000000001</v>
      </c>
      <c r="X334" s="188" t="e">
        <f t="shared" si="234"/>
        <v>#REF!</v>
      </c>
      <c r="Y334" s="183" t="e">
        <f>GETPIVOTDATA(#REF!,A334)</f>
        <v>#REF!</v>
      </c>
      <c r="Z334" s="188" t="e">
        <f>GETPIVOTDATA(#REF!,A334)*2</f>
        <v>#REF!</v>
      </c>
      <c r="AA334" s="183" t="e">
        <f>(ROUND(D334/Z334,0)+1)*GETPIVOTDATA(#REF!,A334)</f>
        <v>#REF!</v>
      </c>
      <c r="AB334" s="189" t="e">
        <f>GETPIVOTDATA(#REF!,A334)</f>
        <v>#REF!</v>
      </c>
      <c r="AC334" s="189">
        <f t="shared" si="232"/>
        <v>0.6</v>
      </c>
      <c r="AD334" s="189">
        <f t="shared" si="217"/>
        <v>-0.04</v>
      </c>
      <c r="AE334" s="189">
        <f>2.6*0.3</f>
        <v>0.78</v>
      </c>
      <c r="AF334" s="188" t="e">
        <f t="shared" si="230"/>
        <v>#REF!</v>
      </c>
      <c r="AG334" s="183" t="e">
        <f>GETPIVOTDATA(#REF!,A334)</f>
        <v>#REF!</v>
      </c>
      <c r="AH334" s="182" t="e">
        <f>GETPIVOTDATA(#REF!,A334)*2</f>
        <v>#REF!</v>
      </c>
      <c r="AI334" s="183" t="e">
        <f>(ROUND(D334/AH334,0))*GETPIVOTDATA(#REF!,A334)</f>
        <v>#REF!</v>
      </c>
      <c r="AJ334" s="189" t="e">
        <f>GETPIVOTDATA(#REF!,A334)</f>
        <v>#REF!</v>
      </c>
      <c r="AK334" s="189">
        <f t="shared" si="233"/>
        <v>0.6</v>
      </c>
      <c r="AL334" s="189">
        <f t="shared" si="218"/>
        <v>-0.04</v>
      </c>
      <c r="AM334" s="189">
        <f>3.43*0.3</f>
        <v>1.0289999999999999</v>
      </c>
      <c r="AN334" s="188" t="e">
        <f t="shared" si="231"/>
        <v>#REF!</v>
      </c>
      <c r="AO334" s="183">
        <v>8</v>
      </c>
      <c r="AP334" s="182">
        <f t="shared" ref="AP334:AP376" si="236">(ROUND(D334/1.5,0)+ROUND(E334/1.5,0))*2</f>
        <v>8</v>
      </c>
      <c r="AQ334" s="182">
        <v>1.5</v>
      </c>
      <c r="AR334" s="187" t="e">
        <f t="shared" si="219"/>
        <v>#REF!</v>
      </c>
      <c r="AS334" s="187" t="e">
        <f t="shared" si="220"/>
        <v>#REF!</v>
      </c>
      <c r="AT334" s="187" t="e">
        <f t="shared" si="221"/>
        <v>#REF!</v>
      </c>
      <c r="AU334" s="187" t="e">
        <f t="shared" si="222"/>
        <v>#REF!</v>
      </c>
      <c r="AV334" s="187" t="e">
        <f t="shared" ref="AV334:AV376" si="237">IF(AG334=10,AI334*AN334*B334,0)+IF(Y334=10,B334*AA334*AF334,0)</f>
        <v>#REF!</v>
      </c>
      <c r="AW334" s="187" t="e">
        <f t="shared" si="223"/>
        <v>#REF!</v>
      </c>
      <c r="AX334" s="187">
        <f t="shared" si="224"/>
        <v>12</v>
      </c>
      <c r="AY334" s="190"/>
      <c r="AZ334" s="240"/>
      <c r="BA334" s="232"/>
      <c r="BF334" s="206"/>
      <c r="BG334" s="206"/>
      <c r="BK334" s="126"/>
      <c r="BL334" s="126"/>
      <c r="BN334" s="126"/>
      <c r="BO334" s="126"/>
      <c r="BQ334" s="126"/>
      <c r="BR334" s="126"/>
      <c r="BT334" s="126"/>
      <c r="BU334" s="126"/>
      <c r="BW334" s="126"/>
      <c r="BX334" s="126"/>
      <c r="BZ334" s="126"/>
      <c r="CA334" s="126"/>
      <c r="CC334" s="126"/>
      <c r="CD334" s="126"/>
      <c r="CF334" s="126"/>
      <c r="CG334" s="126"/>
    </row>
    <row r="335" spans="1:85" s="197" customFormat="1" x14ac:dyDescent="0.3">
      <c r="A335" s="182" t="s">
        <v>240</v>
      </c>
      <c r="B335" s="183">
        <v>1</v>
      </c>
      <c r="C335" s="184" t="s">
        <v>361</v>
      </c>
      <c r="D335" s="187">
        <v>3.95</v>
      </c>
      <c r="E335" s="187">
        <v>4.12</v>
      </c>
      <c r="F335" s="186">
        <v>0.16</v>
      </c>
      <c r="G335" s="187">
        <f t="shared" ref="G335:G376" si="238">D335*E335*F335*B335</f>
        <v>2.6038400000000004</v>
      </c>
      <c r="H335" s="188">
        <f t="shared" si="235"/>
        <v>16.274000000000001</v>
      </c>
      <c r="I335" s="183" t="e">
        <f>GETPIVOTDATA(#REF!,A335)</f>
        <v>#REF!</v>
      </c>
      <c r="J335" s="188" t="e">
        <f>GETPIVOTDATA(#REF!,A335)*2</f>
        <v>#REF!</v>
      </c>
      <c r="K335" s="183" t="e">
        <f>(ROUND(E335/J335,0)+1)*GETPIVOTDATA(#REF!,A335)</f>
        <v>#REF!</v>
      </c>
      <c r="L335" s="189" t="e">
        <f>GETPIVOTDATA(#REF!,A335)</f>
        <v>#REF!</v>
      </c>
      <c r="M335" s="189">
        <f t="shared" si="228"/>
        <v>0.6</v>
      </c>
      <c r="N335" s="189">
        <f t="shared" ref="N335:N376" si="239">-(0.02*2)</f>
        <v>-0.04</v>
      </c>
      <c r="O335" s="189">
        <f>2.37*0.3</f>
        <v>0.71099999999999997</v>
      </c>
      <c r="P335" s="188" t="e">
        <f t="shared" si="227"/>
        <v>#REF!</v>
      </c>
      <c r="Q335" s="183" t="e">
        <f>GETPIVOTDATA(#REF!,A335)</f>
        <v>#REF!</v>
      </c>
      <c r="R335" s="188" t="e">
        <f>GETPIVOTDATA(#REF!,A335)*2</f>
        <v>#REF!</v>
      </c>
      <c r="S335" s="183" t="e">
        <f>(ROUND(E335/R335,0))*GETPIVOTDATA(#REF!,A335)</f>
        <v>#REF!</v>
      </c>
      <c r="T335" s="189" t="e">
        <f>GETPIVOTDATA(#REF!,A335)</f>
        <v>#REF!</v>
      </c>
      <c r="U335" s="189">
        <f t="shared" si="229"/>
        <v>0.6</v>
      </c>
      <c r="V335" s="189">
        <f t="shared" ref="V335:V376" si="240">-(0.02*2)</f>
        <v>-0.04</v>
      </c>
      <c r="W335" s="189">
        <f>2.36*0.3</f>
        <v>0.70799999999999996</v>
      </c>
      <c r="X335" s="188" t="e">
        <f t="shared" si="234"/>
        <v>#REF!</v>
      </c>
      <c r="Y335" s="183" t="e">
        <f>GETPIVOTDATA(#REF!,A335)</f>
        <v>#REF!</v>
      </c>
      <c r="Z335" s="188" t="e">
        <f>GETPIVOTDATA(#REF!,A335)*2</f>
        <v>#REF!</v>
      </c>
      <c r="AA335" s="183" t="e">
        <f>(ROUND(D335/Z335,0)+1)*GETPIVOTDATA(#REF!,A335)</f>
        <v>#REF!</v>
      </c>
      <c r="AB335" s="189" t="e">
        <f>GETPIVOTDATA(#REF!,A335)</f>
        <v>#REF!</v>
      </c>
      <c r="AC335" s="189">
        <f t="shared" si="232"/>
        <v>0.6</v>
      </c>
      <c r="AD335" s="189">
        <f t="shared" ref="AD335:AD376" si="241">-(0.02*2)</f>
        <v>-0.04</v>
      </c>
      <c r="AE335" s="189">
        <f>1.29*0.3</f>
        <v>0.38700000000000001</v>
      </c>
      <c r="AF335" s="188" t="e">
        <f t="shared" si="230"/>
        <v>#REF!</v>
      </c>
      <c r="AG335" s="183" t="e">
        <f>GETPIVOTDATA(#REF!,A335)</f>
        <v>#REF!</v>
      </c>
      <c r="AH335" s="182" t="e">
        <f>GETPIVOTDATA(#REF!,A335)*2</f>
        <v>#REF!</v>
      </c>
      <c r="AI335" s="183" t="e">
        <f>(ROUND(D335/AH335,0))*GETPIVOTDATA(#REF!,A335)</f>
        <v>#REF!</v>
      </c>
      <c r="AJ335" s="189" t="e">
        <f>GETPIVOTDATA(#REF!,A335)</f>
        <v>#REF!</v>
      </c>
      <c r="AK335" s="189">
        <f t="shared" si="233"/>
        <v>0.6</v>
      </c>
      <c r="AL335" s="189">
        <f t="shared" ref="AL335:AL376" si="242">-(0.02*2)</f>
        <v>-0.04</v>
      </c>
      <c r="AM335" s="189">
        <f>3.93*0.3</f>
        <v>1.179</v>
      </c>
      <c r="AN335" s="188" t="e">
        <f t="shared" si="231"/>
        <v>#REF!</v>
      </c>
      <c r="AO335" s="183">
        <v>8</v>
      </c>
      <c r="AP335" s="182">
        <f t="shared" si="236"/>
        <v>12</v>
      </c>
      <c r="AQ335" s="182">
        <v>1.5</v>
      </c>
      <c r="AR335" s="187" t="e">
        <f t="shared" ref="AR335:AR376" si="243">IF(I335=8,K335*P335*B335,0)+IF(Q335=8,S335*X335*B335,0)</f>
        <v>#REF!</v>
      </c>
      <c r="AS335" s="187" t="e">
        <f t="shared" ref="AS335:AS376" si="244">IF(I335=10,K335*P335*B335,0)+IF(Q335=10,S335*X335*B335,0)</f>
        <v>#REF!</v>
      </c>
      <c r="AT335" s="187" t="e">
        <f t="shared" ref="AT335:AT376" si="245">IF(I335=12,K335*P335*B335,0)+IF(Q335=12,S335*X335*B335,0)</f>
        <v>#REF!</v>
      </c>
      <c r="AU335" s="187" t="e">
        <f t="shared" ref="AU335:AU376" si="246">IF(AG335=8,AI335*AN335*B335,0)+IF(Y335=8,B335*AA335*AF335,0)</f>
        <v>#REF!</v>
      </c>
      <c r="AV335" s="187" t="e">
        <f t="shared" si="237"/>
        <v>#REF!</v>
      </c>
      <c r="AW335" s="187" t="e">
        <f t="shared" ref="AW335:AW376" si="247">IF(AG335=12,AI335*AN335*B335,0)+IF(Y335=12,B335*AA335*AF335,0)</f>
        <v>#REF!</v>
      </c>
      <c r="AX335" s="187">
        <f t="shared" ref="AX335:AX376" si="248">AP335*AQ335*B335</f>
        <v>18</v>
      </c>
      <c r="AY335" s="190"/>
      <c r="AZ335" s="240"/>
      <c r="BA335" s="232"/>
      <c r="BF335" s="206"/>
      <c r="BG335" s="206"/>
      <c r="BK335" s="126"/>
      <c r="BL335" s="126"/>
      <c r="BN335" s="126"/>
      <c r="BO335" s="126"/>
      <c r="BQ335" s="126"/>
      <c r="BR335" s="126"/>
      <c r="BT335" s="126"/>
      <c r="BU335" s="126"/>
      <c r="BW335" s="126"/>
      <c r="BX335" s="126"/>
      <c r="BZ335" s="126"/>
      <c r="CA335" s="126"/>
      <c r="CC335" s="126"/>
      <c r="CD335" s="126"/>
      <c r="CF335" s="126"/>
      <c r="CG335" s="126"/>
    </row>
    <row r="336" spans="1:85" s="197" customFormat="1" x14ac:dyDescent="0.3">
      <c r="A336" s="182" t="s">
        <v>239</v>
      </c>
      <c r="B336" s="183">
        <v>1</v>
      </c>
      <c r="C336" s="184" t="s">
        <v>362</v>
      </c>
      <c r="D336" s="187">
        <v>2.36</v>
      </c>
      <c r="E336" s="187">
        <v>3.05</v>
      </c>
      <c r="F336" s="186">
        <v>0.125</v>
      </c>
      <c r="G336" s="187">
        <f t="shared" si="238"/>
        <v>0.89974999999999994</v>
      </c>
      <c r="H336" s="188">
        <f t="shared" si="235"/>
        <v>7.1979999999999995</v>
      </c>
      <c r="I336" s="183" t="e">
        <f>GETPIVOTDATA(#REF!,A336)</f>
        <v>#REF!</v>
      </c>
      <c r="J336" s="188" t="e">
        <f>GETPIVOTDATA(#REF!,A336)*2</f>
        <v>#REF!</v>
      </c>
      <c r="K336" s="183" t="e">
        <f>(ROUND(E336/J336,0)+1)*GETPIVOTDATA(#REF!,A336)</f>
        <v>#REF!</v>
      </c>
      <c r="L336" s="189" t="e">
        <f>GETPIVOTDATA(#REF!,A336)</f>
        <v>#REF!</v>
      </c>
      <c r="M336" s="189">
        <f>0.23*2</f>
        <v>0.46</v>
      </c>
      <c r="N336" s="189">
        <f t="shared" si="239"/>
        <v>-0.04</v>
      </c>
      <c r="O336" s="189">
        <f>3.95*0.3</f>
        <v>1.1850000000000001</v>
      </c>
      <c r="P336" s="188" t="e">
        <f t="shared" si="227"/>
        <v>#REF!</v>
      </c>
      <c r="Q336" s="183" t="e">
        <f>GETPIVOTDATA(#REF!,A336)</f>
        <v>#REF!</v>
      </c>
      <c r="R336" s="188" t="e">
        <f>GETPIVOTDATA(#REF!,A336)*2</f>
        <v>#REF!</v>
      </c>
      <c r="S336" s="183" t="e">
        <f>(ROUND(E336/R336,0))*GETPIVOTDATA(#REF!,A336)</f>
        <v>#REF!</v>
      </c>
      <c r="T336" s="189" t="e">
        <f>GETPIVOTDATA(#REF!,A336)</f>
        <v>#REF!</v>
      </c>
      <c r="U336" s="189">
        <f>0.23*2</f>
        <v>0.46</v>
      </c>
      <c r="V336" s="189">
        <f t="shared" si="240"/>
        <v>-0.04</v>
      </c>
      <c r="W336" s="189">
        <f>2.49*0.3</f>
        <v>0.747</v>
      </c>
      <c r="X336" s="188" t="e">
        <f t="shared" si="234"/>
        <v>#REF!</v>
      </c>
      <c r="Y336" s="183" t="e">
        <f>GETPIVOTDATA(#REF!,A336)</f>
        <v>#REF!</v>
      </c>
      <c r="Z336" s="188" t="e">
        <f>GETPIVOTDATA(#REF!,A336)*2</f>
        <v>#REF!</v>
      </c>
      <c r="AA336" s="183" t="e">
        <f>(ROUND(D336/Z336,0)+1)*GETPIVOTDATA(#REF!,A336)</f>
        <v>#REF!</v>
      </c>
      <c r="AB336" s="189" t="e">
        <f>GETPIVOTDATA(#REF!,A336)</f>
        <v>#REF!</v>
      </c>
      <c r="AC336" s="189">
        <f t="shared" si="232"/>
        <v>0.6</v>
      </c>
      <c r="AD336" s="189">
        <f t="shared" si="241"/>
        <v>-0.04</v>
      </c>
      <c r="AE336" s="189">
        <f>2.6*0.3</f>
        <v>0.78</v>
      </c>
      <c r="AF336" s="188" t="e">
        <f t="shared" si="230"/>
        <v>#REF!</v>
      </c>
      <c r="AG336" s="183" t="e">
        <f>GETPIVOTDATA(#REF!,A336)</f>
        <v>#REF!</v>
      </c>
      <c r="AH336" s="182" t="e">
        <f>GETPIVOTDATA(#REF!,A336)*2</f>
        <v>#REF!</v>
      </c>
      <c r="AI336" s="183" t="e">
        <f>(ROUND(D336/AH336,0))*GETPIVOTDATA(#REF!,A336)</f>
        <v>#REF!</v>
      </c>
      <c r="AJ336" s="189" t="e">
        <f>GETPIVOTDATA(#REF!,A336)</f>
        <v>#REF!</v>
      </c>
      <c r="AK336" s="189">
        <f t="shared" si="233"/>
        <v>0.6</v>
      </c>
      <c r="AL336" s="189">
        <f t="shared" si="242"/>
        <v>-0.04</v>
      </c>
      <c r="AM336" s="189">
        <f>3.93*0.3</f>
        <v>1.179</v>
      </c>
      <c r="AN336" s="188" t="e">
        <f t="shared" si="231"/>
        <v>#REF!</v>
      </c>
      <c r="AO336" s="183">
        <v>8</v>
      </c>
      <c r="AP336" s="182">
        <f t="shared" si="236"/>
        <v>8</v>
      </c>
      <c r="AQ336" s="182">
        <v>1.5</v>
      </c>
      <c r="AR336" s="187" t="e">
        <f t="shared" si="243"/>
        <v>#REF!</v>
      </c>
      <c r="AS336" s="187" t="e">
        <f t="shared" si="244"/>
        <v>#REF!</v>
      </c>
      <c r="AT336" s="187" t="e">
        <f t="shared" si="245"/>
        <v>#REF!</v>
      </c>
      <c r="AU336" s="187" t="e">
        <f t="shared" si="246"/>
        <v>#REF!</v>
      </c>
      <c r="AV336" s="187" t="e">
        <f t="shared" si="237"/>
        <v>#REF!</v>
      </c>
      <c r="AW336" s="187" t="e">
        <f t="shared" si="247"/>
        <v>#REF!</v>
      </c>
      <c r="AX336" s="187">
        <f t="shared" si="248"/>
        <v>12</v>
      </c>
      <c r="AY336" s="190"/>
      <c r="AZ336" s="240"/>
      <c r="BA336" s="232"/>
      <c r="BF336" s="206"/>
      <c r="BG336" s="206"/>
      <c r="BK336" s="126"/>
      <c r="BL336" s="126"/>
      <c r="BN336" s="126"/>
      <c r="BO336" s="126"/>
      <c r="BQ336" s="126"/>
      <c r="BR336" s="126"/>
      <c r="BT336" s="126"/>
      <c r="BU336" s="126"/>
      <c r="BW336" s="126"/>
      <c r="BX336" s="126"/>
      <c r="BZ336" s="126"/>
      <c r="CA336" s="126"/>
      <c r="CC336" s="126"/>
      <c r="CD336" s="126"/>
      <c r="CF336" s="126"/>
      <c r="CG336" s="126"/>
    </row>
    <row r="337" spans="1:85" s="197" customFormat="1" x14ac:dyDescent="0.3">
      <c r="A337" s="182" t="s">
        <v>239</v>
      </c>
      <c r="B337" s="183">
        <v>1</v>
      </c>
      <c r="C337" s="184" t="s">
        <v>363</v>
      </c>
      <c r="D337" s="187">
        <v>2.4900000000000002</v>
      </c>
      <c r="E337" s="187">
        <v>3.1355</v>
      </c>
      <c r="F337" s="186">
        <v>0.125</v>
      </c>
      <c r="G337" s="187">
        <f t="shared" si="238"/>
        <v>0.97592437500000007</v>
      </c>
      <c r="H337" s="188">
        <f t="shared" si="235"/>
        <v>7.8073950000000005</v>
      </c>
      <c r="I337" s="183" t="e">
        <f>GETPIVOTDATA(#REF!,A337)</f>
        <v>#REF!</v>
      </c>
      <c r="J337" s="188" t="e">
        <f>GETPIVOTDATA(#REF!,A337)*2</f>
        <v>#REF!</v>
      </c>
      <c r="K337" s="183" t="e">
        <f>(ROUND(E337/J337,0)+1)*GETPIVOTDATA(#REF!,A337)</f>
        <v>#REF!</v>
      </c>
      <c r="L337" s="189" t="e">
        <f>GETPIVOTDATA(#REF!,A337)</f>
        <v>#REF!</v>
      </c>
      <c r="M337" s="189">
        <f>0.315+0.23</f>
        <v>0.54500000000000004</v>
      </c>
      <c r="N337" s="189">
        <f t="shared" si="239"/>
        <v>-0.04</v>
      </c>
      <c r="O337" s="189">
        <f>2.36*0.3</f>
        <v>0.70799999999999996</v>
      </c>
      <c r="P337" s="188" t="e">
        <f t="shared" si="227"/>
        <v>#REF!</v>
      </c>
      <c r="Q337" s="183" t="e">
        <f>GETPIVOTDATA(#REF!,A337)</f>
        <v>#REF!</v>
      </c>
      <c r="R337" s="188" t="e">
        <f>GETPIVOTDATA(#REF!,A337)*2</f>
        <v>#REF!</v>
      </c>
      <c r="S337" s="183" t="e">
        <f>(ROUND(E337/R337,0))*GETPIVOTDATA(#REF!,A337)</f>
        <v>#REF!</v>
      </c>
      <c r="T337" s="189" t="e">
        <f>GETPIVOTDATA(#REF!,A337)</f>
        <v>#REF!</v>
      </c>
      <c r="U337" s="189">
        <f>0.315+0.23</f>
        <v>0.54500000000000004</v>
      </c>
      <c r="V337" s="189">
        <f t="shared" si="240"/>
        <v>-0.04</v>
      </c>
      <c r="W337" s="189">
        <f>4.22*0.3</f>
        <v>1.2659999999999998</v>
      </c>
      <c r="X337" s="188" t="e">
        <f t="shared" si="234"/>
        <v>#REF!</v>
      </c>
      <c r="Y337" s="183" t="e">
        <f>GETPIVOTDATA(#REF!,A337)</f>
        <v>#REF!</v>
      </c>
      <c r="Z337" s="188" t="e">
        <f>GETPIVOTDATA(#REF!,A337)*2</f>
        <v>#REF!</v>
      </c>
      <c r="AA337" s="183" t="e">
        <f>(ROUND(D337/Z337,0)+1)*GETPIVOTDATA(#REF!,A337)</f>
        <v>#REF!</v>
      </c>
      <c r="AB337" s="189" t="e">
        <f>GETPIVOTDATA(#REF!,A337)</f>
        <v>#REF!</v>
      </c>
      <c r="AC337" s="189">
        <f>0.39+0.3</f>
        <v>0.69</v>
      </c>
      <c r="AD337" s="189">
        <f t="shared" si="241"/>
        <v>-0.04</v>
      </c>
      <c r="AE337" s="189">
        <f>2.6*0.3</f>
        <v>0.78</v>
      </c>
      <c r="AF337" s="188" t="e">
        <f t="shared" si="230"/>
        <v>#REF!</v>
      </c>
      <c r="AG337" s="183" t="e">
        <f>GETPIVOTDATA(#REF!,A337)</f>
        <v>#REF!</v>
      </c>
      <c r="AH337" s="182" t="e">
        <f>GETPIVOTDATA(#REF!,A337)*2</f>
        <v>#REF!</v>
      </c>
      <c r="AI337" s="183" t="e">
        <f>(ROUND(D337/AH337,0))*GETPIVOTDATA(#REF!,A337)</f>
        <v>#REF!</v>
      </c>
      <c r="AJ337" s="189" t="e">
        <f>GETPIVOTDATA(#REF!,A337)</f>
        <v>#REF!</v>
      </c>
      <c r="AK337" s="189">
        <f>0.39+0.3</f>
        <v>0.69</v>
      </c>
      <c r="AL337" s="189">
        <f t="shared" si="242"/>
        <v>-0.04</v>
      </c>
      <c r="AM337" s="189">
        <f>1.84*0.3</f>
        <v>0.55200000000000005</v>
      </c>
      <c r="AN337" s="188" t="e">
        <f t="shared" si="231"/>
        <v>#REF!</v>
      </c>
      <c r="AO337" s="183">
        <v>8</v>
      </c>
      <c r="AP337" s="182">
        <f t="shared" si="236"/>
        <v>8</v>
      </c>
      <c r="AQ337" s="182">
        <v>1.5</v>
      </c>
      <c r="AR337" s="187" t="e">
        <f t="shared" si="243"/>
        <v>#REF!</v>
      </c>
      <c r="AS337" s="187" t="e">
        <f t="shared" si="244"/>
        <v>#REF!</v>
      </c>
      <c r="AT337" s="187" t="e">
        <f t="shared" si="245"/>
        <v>#REF!</v>
      </c>
      <c r="AU337" s="187" t="e">
        <f t="shared" si="246"/>
        <v>#REF!</v>
      </c>
      <c r="AV337" s="187" t="e">
        <f t="shared" si="237"/>
        <v>#REF!</v>
      </c>
      <c r="AW337" s="187" t="e">
        <f t="shared" si="247"/>
        <v>#REF!</v>
      </c>
      <c r="AX337" s="187">
        <f t="shared" si="248"/>
        <v>12</v>
      </c>
      <c r="AY337" s="190"/>
      <c r="AZ337" s="240"/>
      <c r="BA337" s="232"/>
      <c r="BF337" s="206"/>
      <c r="BG337" s="206"/>
      <c r="BK337" s="126"/>
      <c r="BL337" s="126"/>
      <c r="BN337" s="126"/>
      <c r="BO337" s="126"/>
      <c r="BQ337" s="126"/>
      <c r="BR337" s="126"/>
      <c r="BT337" s="126"/>
      <c r="BU337" s="126"/>
      <c r="BW337" s="126"/>
      <c r="BX337" s="126"/>
      <c r="BZ337" s="126"/>
      <c r="CA337" s="126"/>
      <c r="CC337" s="126"/>
      <c r="CD337" s="126"/>
      <c r="CF337" s="126"/>
      <c r="CG337" s="126"/>
    </row>
    <row r="338" spans="1:85" s="197" customFormat="1" x14ac:dyDescent="0.3">
      <c r="A338" s="182" t="s">
        <v>233</v>
      </c>
      <c r="B338" s="183">
        <v>1</v>
      </c>
      <c r="C338" s="184" t="s">
        <v>364</v>
      </c>
      <c r="D338" s="187">
        <v>4.22</v>
      </c>
      <c r="E338" s="187">
        <v>3.323</v>
      </c>
      <c r="F338" s="186">
        <v>0.15</v>
      </c>
      <c r="G338" s="187">
        <f t="shared" si="238"/>
        <v>2.103459</v>
      </c>
      <c r="H338" s="188">
        <f t="shared" si="235"/>
        <v>14.023059999999999</v>
      </c>
      <c r="I338" s="183" t="e">
        <f>GETPIVOTDATA(#REF!,A338)</f>
        <v>#REF!</v>
      </c>
      <c r="J338" s="188" t="e">
        <f>GETPIVOTDATA(#REF!,A338)*2</f>
        <v>#REF!</v>
      </c>
      <c r="K338" s="183" t="e">
        <f>(ROUND(E338/J338,0)+1)*GETPIVOTDATA(#REF!,A338)</f>
        <v>#REF!</v>
      </c>
      <c r="L338" s="189" t="e">
        <f>GETPIVOTDATA(#REF!,A338)</f>
        <v>#REF!</v>
      </c>
      <c r="M338" s="189">
        <f>0.315+0.38</f>
        <v>0.69500000000000006</v>
      </c>
      <c r="N338" s="189">
        <f t="shared" si="239"/>
        <v>-0.04</v>
      </c>
      <c r="O338" s="189">
        <f>2.495*0.3</f>
        <v>0.74850000000000005</v>
      </c>
      <c r="P338" s="188" t="e">
        <f t="shared" si="227"/>
        <v>#REF!</v>
      </c>
      <c r="Q338" s="183" t="e">
        <f>GETPIVOTDATA(#REF!,A338)</f>
        <v>#REF!</v>
      </c>
      <c r="R338" s="188" t="e">
        <f>GETPIVOTDATA(#REF!,A338)*2</f>
        <v>#REF!</v>
      </c>
      <c r="S338" s="183" t="e">
        <f>(ROUND(E338/R338,0))*GETPIVOTDATA(#REF!,A338)</f>
        <v>#REF!</v>
      </c>
      <c r="T338" s="189" t="e">
        <f>GETPIVOTDATA(#REF!,A338)</f>
        <v>#REF!</v>
      </c>
      <c r="U338" s="189">
        <f>0.315+0.38</f>
        <v>0.69500000000000006</v>
      </c>
      <c r="V338" s="189">
        <f t="shared" si="240"/>
        <v>-0.04</v>
      </c>
      <c r="W338" s="189">
        <f>3.628*0.3</f>
        <v>1.0884</v>
      </c>
      <c r="X338" s="188" t="e">
        <f t="shared" si="234"/>
        <v>#REF!</v>
      </c>
      <c r="Y338" s="183" t="e">
        <f>GETPIVOTDATA(#REF!,A338)</f>
        <v>#REF!</v>
      </c>
      <c r="Z338" s="188" t="e">
        <f>GETPIVOTDATA(#REF!,A338)*2</f>
        <v>#REF!</v>
      </c>
      <c r="AA338" s="183" t="e">
        <f>(ROUND(D338/Z338,0)+1)*GETPIVOTDATA(#REF!,A338)</f>
        <v>#REF!</v>
      </c>
      <c r="AB338" s="189" t="e">
        <f>GETPIVOTDATA(#REF!,A338)</f>
        <v>#REF!</v>
      </c>
      <c r="AC338" s="189">
        <f>0.3+0.38</f>
        <v>0.67999999999999994</v>
      </c>
      <c r="AD338" s="189">
        <f t="shared" si="241"/>
        <v>-0.04</v>
      </c>
      <c r="AE338" s="189">
        <f>2.6*0.3</f>
        <v>0.78</v>
      </c>
      <c r="AF338" s="188" t="e">
        <f t="shared" si="230"/>
        <v>#REF!</v>
      </c>
      <c r="AG338" s="183" t="e">
        <f>GETPIVOTDATA(#REF!,A338)</f>
        <v>#REF!</v>
      </c>
      <c r="AH338" s="182" t="e">
        <f>GETPIVOTDATA(#REF!,A338)*2</f>
        <v>#REF!</v>
      </c>
      <c r="AI338" s="183" t="e">
        <f>(ROUND(D338/AH338,0))*GETPIVOTDATA(#REF!,A338)</f>
        <v>#REF!</v>
      </c>
      <c r="AJ338" s="189" t="e">
        <f>GETPIVOTDATA(#REF!,A338)</f>
        <v>#REF!</v>
      </c>
      <c r="AK338" s="189">
        <f>0.3+0.38</f>
        <v>0.67999999999999994</v>
      </c>
      <c r="AL338" s="189">
        <f t="shared" si="242"/>
        <v>-0.04</v>
      </c>
      <c r="AM338" s="189">
        <f>2.25*0.3</f>
        <v>0.67499999999999993</v>
      </c>
      <c r="AN338" s="188" t="e">
        <f t="shared" si="231"/>
        <v>#REF!</v>
      </c>
      <c r="AO338" s="183">
        <v>8</v>
      </c>
      <c r="AP338" s="182">
        <f t="shared" si="236"/>
        <v>10</v>
      </c>
      <c r="AQ338" s="182">
        <v>1.5</v>
      </c>
      <c r="AR338" s="187" t="e">
        <f t="shared" si="243"/>
        <v>#REF!</v>
      </c>
      <c r="AS338" s="187" t="e">
        <f t="shared" si="244"/>
        <v>#REF!</v>
      </c>
      <c r="AT338" s="187" t="e">
        <f t="shared" si="245"/>
        <v>#REF!</v>
      </c>
      <c r="AU338" s="187" t="e">
        <f t="shared" si="246"/>
        <v>#REF!</v>
      </c>
      <c r="AV338" s="187" t="e">
        <f t="shared" si="237"/>
        <v>#REF!</v>
      </c>
      <c r="AW338" s="187" t="e">
        <f t="shared" si="247"/>
        <v>#REF!</v>
      </c>
      <c r="AX338" s="187">
        <f t="shared" si="248"/>
        <v>15</v>
      </c>
      <c r="AY338" s="190"/>
      <c r="AZ338" s="240"/>
      <c r="BA338" s="232"/>
      <c r="BF338" s="206"/>
      <c r="BG338" s="206"/>
      <c r="BK338" s="126"/>
      <c r="BL338" s="126"/>
      <c r="BN338" s="126"/>
      <c r="BO338" s="126"/>
      <c r="BQ338" s="126"/>
      <c r="BR338" s="126"/>
      <c r="BT338" s="126"/>
      <c r="BU338" s="126"/>
      <c r="BW338" s="126"/>
      <c r="BX338" s="126"/>
      <c r="BZ338" s="126"/>
      <c r="CA338" s="126"/>
      <c r="CC338" s="126"/>
      <c r="CD338" s="126"/>
      <c r="CF338" s="126"/>
      <c r="CG338" s="126"/>
    </row>
    <row r="339" spans="1:85" s="197" customFormat="1" ht="27.6" x14ac:dyDescent="0.3">
      <c r="A339" s="182" t="s">
        <v>233</v>
      </c>
      <c r="B339" s="183">
        <v>1</v>
      </c>
      <c r="C339" s="184" t="s">
        <v>365</v>
      </c>
      <c r="D339" s="187">
        <v>3.6280000000000001</v>
      </c>
      <c r="E339" s="187">
        <v>3.39</v>
      </c>
      <c r="F339" s="186">
        <v>0.15</v>
      </c>
      <c r="G339" s="187">
        <f t="shared" si="238"/>
        <v>1.844838</v>
      </c>
      <c r="H339" s="188">
        <f t="shared" si="235"/>
        <v>12.298920000000001</v>
      </c>
      <c r="I339" s="183" t="e">
        <f>GETPIVOTDATA(#REF!,A339)</f>
        <v>#REF!</v>
      </c>
      <c r="J339" s="188" t="e">
        <f>GETPIVOTDATA(#REF!,A339)*2</f>
        <v>#REF!</v>
      </c>
      <c r="K339" s="183" t="e">
        <f>(ROUND(E339/J339,0)+1)*GETPIVOTDATA(#REF!,A339)</f>
        <v>#REF!</v>
      </c>
      <c r="L339" s="189" t="e">
        <f>GETPIVOTDATA(#REF!,A339)</f>
        <v>#REF!</v>
      </c>
      <c r="M339" s="189">
        <f>0.38+0.48</f>
        <v>0.86</v>
      </c>
      <c r="N339" s="189">
        <f t="shared" si="239"/>
        <v>-0.04</v>
      </c>
      <c r="O339" s="189">
        <f>4.22*0.3</f>
        <v>1.2659999999999998</v>
      </c>
      <c r="P339" s="188" t="e">
        <f t="shared" si="227"/>
        <v>#REF!</v>
      </c>
      <c r="Q339" s="183" t="e">
        <f>GETPIVOTDATA(#REF!,A339)</f>
        <v>#REF!</v>
      </c>
      <c r="R339" s="188" t="e">
        <f>GETPIVOTDATA(#REF!,A339)*2</f>
        <v>#REF!</v>
      </c>
      <c r="S339" s="183" t="e">
        <f>(ROUND(E339/R339,0))*GETPIVOTDATA(#REF!,A339)</f>
        <v>#REF!</v>
      </c>
      <c r="T339" s="189" t="e">
        <f>GETPIVOTDATA(#REF!,A339)</f>
        <v>#REF!</v>
      </c>
      <c r="U339" s="189">
        <f>0.38+0.48</f>
        <v>0.86</v>
      </c>
      <c r="V339" s="189">
        <f t="shared" si="240"/>
        <v>-0.04</v>
      </c>
      <c r="W339" s="189">
        <f>5.24*0.3</f>
        <v>1.5720000000000001</v>
      </c>
      <c r="X339" s="188" t="e">
        <f t="shared" si="234"/>
        <v>#REF!</v>
      </c>
      <c r="Y339" s="183" t="e">
        <f>GETPIVOTDATA(#REF!,A339)</f>
        <v>#REF!</v>
      </c>
      <c r="Z339" s="188" t="e">
        <f>GETPIVOTDATA(#REF!,A339)*2</f>
        <v>#REF!</v>
      </c>
      <c r="AA339" s="183" t="e">
        <f>(ROUND(D339/Z339,0)+1)*GETPIVOTDATA(#REF!,A339)</f>
        <v>#REF!</v>
      </c>
      <c r="AB339" s="189" t="e">
        <f>GETPIVOTDATA(#REF!,A339)</f>
        <v>#REF!</v>
      </c>
      <c r="AC339" s="189">
        <f t="shared" si="232"/>
        <v>0.6</v>
      </c>
      <c r="AD339" s="189">
        <f t="shared" si="241"/>
        <v>-0.04</v>
      </c>
      <c r="AE339" s="189">
        <f>2.88*0.3</f>
        <v>0.86399999999999999</v>
      </c>
      <c r="AF339" s="188" t="e">
        <f t="shared" si="230"/>
        <v>#REF!</v>
      </c>
      <c r="AG339" s="183" t="e">
        <f>GETPIVOTDATA(#REF!,A339)</f>
        <v>#REF!</v>
      </c>
      <c r="AH339" s="182" t="e">
        <f>GETPIVOTDATA(#REF!,A339)*2</f>
        <v>#REF!</v>
      </c>
      <c r="AI339" s="183" t="e">
        <f>(ROUND(D339/AH339,0))*GETPIVOTDATA(#REF!,A339)</f>
        <v>#REF!</v>
      </c>
      <c r="AJ339" s="189" t="e">
        <f>GETPIVOTDATA(#REF!,A339)</f>
        <v>#REF!</v>
      </c>
      <c r="AK339" s="189">
        <f t="shared" si="233"/>
        <v>0.6</v>
      </c>
      <c r="AL339" s="189">
        <f t="shared" si="242"/>
        <v>-0.04</v>
      </c>
      <c r="AM339" s="189">
        <f>4.42*0.3</f>
        <v>1.3259999999999998</v>
      </c>
      <c r="AN339" s="188" t="e">
        <f t="shared" si="231"/>
        <v>#REF!</v>
      </c>
      <c r="AO339" s="183">
        <v>8</v>
      </c>
      <c r="AP339" s="182">
        <f t="shared" si="236"/>
        <v>8</v>
      </c>
      <c r="AQ339" s="182">
        <v>1.5</v>
      </c>
      <c r="AR339" s="187" t="e">
        <f t="shared" si="243"/>
        <v>#REF!</v>
      </c>
      <c r="AS339" s="187" t="e">
        <f t="shared" si="244"/>
        <v>#REF!</v>
      </c>
      <c r="AT339" s="187" t="e">
        <f t="shared" si="245"/>
        <v>#REF!</v>
      </c>
      <c r="AU339" s="187" t="e">
        <f t="shared" si="246"/>
        <v>#REF!</v>
      </c>
      <c r="AV339" s="187" t="e">
        <f t="shared" si="237"/>
        <v>#REF!</v>
      </c>
      <c r="AW339" s="187" t="e">
        <f t="shared" si="247"/>
        <v>#REF!</v>
      </c>
      <c r="AX339" s="187">
        <f t="shared" si="248"/>
        <v>12</v>
      </c>
      <c r="AY339" s="190"/>
      <c r="AZ339" s="240"/>
      <c r="BA339" s="232"/>
      <c r="BF339" s="206"/>
      <c r="BG339" s="206"/>
      <c r="BK339" s="126"/>
      <c r="BL339" s="126"/>
      <c r="BN339" s="126"/>
      <c r="BO339" s="126"/>
      <c r="BQ339" s="126"/>
      <c r="BR339" s="126"/>
      <c r="BT339" s="126"/>
      <c r="BU339" s="126"/>
      <c r="BW339" s="126"/>
      <c r="BX339" s="126"/>
      <c r="BZ339" s="126"/>
      <c r="CA339" s="126"/>
      <c r="CC339" s="126"/>
      <c r="CD339" s="126"/>
      <c r="CF339" s="126"/>
      <c r="CG339" s="126"/>
    </row>
    <row r="340" spans="1:85" s="197" customFormat="1" ht="27.6" x14ac:dyDescent="0.3">
      <c r="A340" s="182" t="s">
        <v>254</v>
      </c>
      <c r="B340" s="183">
        <v>1</v>
      </c>
      <c r="C340" s="184" t="s">
        <v>366</v>
      </c>
      <c r="D340" s="187">
        <v>5.24</v>
      </c>
      <c r="E340" s="187">
        <v>3.35</v>
      </c>
      <c r="F340" s="186">
        <v>0.15</v>
      </c>
      <c r="G340" s="187">
        <f t="shared" si="238"/>
        <v>2.6331000000000002</v>
      </c>
      <c r="H340" s="188">
        <f t="shared" si="235"/>
        <v>17.554000000000002</v>
      </c>
      <c r="I340" s="183" t="e">
        <f>GETPIVOTDATA(#REF!,A340)</f>
        <v>#REF!</v>
      </c>
      <c r="J340" s="188" t="e">
        <f>GETPIVOTDATA(#REF!,A340)*2</f>
        <v>#REF!</v>
      </c>
      <c r="K340" s="183" t="e">
        <f>(ROUND(E340/J340,0)+1)*GETPIVOTDATA(#REF!,A340)</f>
        <v>#REF!</v>
      </c>
      <c r="L340" s="189" t="e">
        <f>GETPIVOTDATA(#REF!,A340)</f>
        <v>#REF!</v>
      </c>
      <c r="M340" s="189">
        <f>0.48+0.3</f>
        <v>0.78</v>
      </c>
      <c r="N340" s="189">
        <f t="shared" si="239"/>
        <v>-0.04</v>
      </c>
      <c r="O340" s="189">
        <f>3.63*0.3</f>
        <v>1.089</v>
      </c>
      <c r="P340" s="188" t="e">
        <f t="shared" si="227"/>
        <v>#REF!</v>
      </c>
      <c r="Q340" s="183" t="e">
        <f>GETPIVOTDATA(#REF!,A340)</f>
        <v>#REF!</v>
      </c>
      <c r="R340" s="188" t="e">
        <f>GETPIVOTDATA(#REF!,A340)*2</f>
        <v>#REF!</v>
      </c>
      <c r="S340" s="183" t="e">
        <f>(ROUND(E340/R340,0))*GETPIVOTDATA(#REF!,A340)</f>
        <v>#REF!</v>
      </c>
      <c r="T340" s="189" t="e">
        <f>GETPIVOTDATA(#REF!,A340)</f>
        <v>#REF!</v>
      </c>
      <c r="U340" s="189">
        <f>0.48+0.3</f>
        <v>0.78</v>
      </c>
      <c r="V340" s="189">
        <f t="shared" si="240"/>
        <v>-0.04</v>
      </c>
      <c r="W340" s="189">
        <f>6*0.3</f>
        <v>1.7999999999999998</v>
      </c>
      <c r="X340" s="188" t="e">
        <f t="shared" si="234"/>
        <v>#REF!</v>
      </c>
      <c r="Y340" s="183" t="e">
        <f>GETPIVOTDATA(#REF!,A340)</f>
        <v>#REF!</v>
      </c>
      <c r="Z340" s="188" t="e">
        <f>GETPIVOTDATA(#REF!,A340)*2</f>
        <v>#REF!</v>
      </c>
      <c r="AA340" s="183" t="e">
        <f>(ROUND(D340/Z340,0)+1)*GETPIVOTDATA(#REF!,A340)</f>
        <v>#REF!</v>
      </c>
      <c r="AB340" s="189" t="e">
        <f>GETPIVOTDATA(#REF!,A340)</f>
        <v>#REF!</v>
      </c>
      <c r="AC340" s="189">
        <f>0.38+0.3</f>
        <v>0.67999999999999994</v>
      </c>
      <c r="AD340" s="189">
        <f t="shared" si="241"/>
        <v>-0.04</v>
      </c>
      <c r="AE340" s="189">
        <f>2.88*0.3</f>
        <v>0.86399999999999999</v>
      </c>
      <c r="AF340" s="188" t="e">
        <f t="shared" si="230"/>
        <v>#REF!</v>
      </c>
      <c r="AG340" s="183" t="e">
        <f>GETPIVOTDATA(#REF!,A340)</f>
        <v>#REF!</v>
      </c>
      <c r="AH340" s="182" t="e">
        <f>GETPIVOTDATA(#REF!,A340)*2</f>
        <v>#REF!</v>
      </c>
      <c r="AI340" s="183" t="e">
        <f>(ROUND(D340/AH340,0))*GETPIVOTDATA(#REF!,A340)</f>
        <v>#REF!</v>
      </c>
      <c r="AJ340" s="189" t="e">
        <f>GETPIVOTDATA(#REF!,A340)</f>
        <v>#REF!</v>
      </c>
      <c r="AK340" s="189">
        <f>0.38+0.3</f>
        <v>0.67999999999999994</v>
      </c>
      <c r="AL340" s="189">
        <f t="shared" si="242"/>
        <v>-0.04</v>
      </c>
      <c r="AM340" s="189">
        <f>4.34*0.3</f>
        <v>1.3019999999999998</v>
      </c>
      <c r="AN340" s="188" t="e">
        <f t="shared" si="231"/>
        <v>#REF!</v>
      </c>
      <c r="AO340" s="183">
        <v>8</v>
      </c>
      <c r="AP340" s="182">
        <f t="shared" si="236"/>
        <v>10</v>
      </c>
      <c r="AQ340" s="182">
        <v>1.5</v>
      </c>
      <c r="AR340" s="187" t="e">
        <f t="shared" si="243"/>
        <v>#REF!</v>
      </c>
      <c r="AS340" s="187" t="e">
        <f t="shared" si="244"/>
        <v>#REF!</v>
      </c>
      <c r="AT340" s="187" t="e">
        <f t="shared" si="245"/>
        <v>#REF!</v>
      </c>
      <c r="AU340" s="187" t="e">
        <f t="shared" si="246"/>
        <v>#REF!</v>
      </c>
      <c r="AV340" s="187" t="e">
        <f t="shared" si="237"/>
        <v>#REF!</v>
      </c>
      <c r="AW340" s="187" t="e">
        <f t="shared" si="247"/>
        <v>#REF!</v>
      </c>
      <c r="AX340" s="187">
        <f t="shared" si="248"/>
        <v>15</v>
      </c>
      <c r="AY340" s="190"/>
      <c r="AZ340" s="240"/>
      <c r="BA340" s="232"/>
      <c r="BF340" s="206"/>
      <c r="BG340" s="206"/>
      <c r="BK340" s="126"/>
      <c r="BL340" s="126"/>
      <c r="BN340" s="126"/>
      <c r="BO340" s="126"/>
      <c r="BQ340" s="126"/>
      <c r="BR340" s="126"/>
      <c r="BT340" s="126"/>
      <c r="BU340" s="126"/>
      <c r="BW340" s="126"/>
      <c r="BX340" s="126"/>
      <c r="BZ340" s="126"/>
      <c r="CA340" s="126"/>
      <c r="CC340" s="126"/>
      <c r="CD340" s="126"/>
      <c r="CF340" s="126"/>
      <c r="CG340" s="126"/>
    </row>
    <row r="341" spans="1:85" s="197" customFormat="1" ht="27.6" x14ac:dyDescent="0.3">
      <c r="A341" s="182" t="s">
        <v>242</v>
      </c>
      <c r="B341" s="183">
        <v>1</v>
      </c>
      <c r="C341" s="184" t="s">
        <v>367</v>
      </c>
      <c r="D341" s="187">
        <v>5.38</v>
      </c>
      <c r="E341" s="187">
        <v>2.6</v>
      </c>
      <c r="F341" s="186">
        <v>0.14000000000000001</v>
      </c>
      <c r="G341" s="187">
        <f t="shared" si="238"/>
        <v>1.9583200000000001</v>
      </c>
      <c r="H341" s="188">
        <f t="shared" si="235"/>
        <v>13.988</v>
      </c>
      <c r="I341" s="183" t="e">
        <f>GETPIVOTDATA(#REF!,A341)</f>
        <v>#REF!</v>
      </c>
      <c r="J341" s="188" t="e">
        <f>GETPIVOTDATA(#REF!,A341)*2</f>
        <v>#REF!</v>
      </c>
      <c r="K341" s="183" t="e">
        <f>(ROUND(E341/J341,0)+1)*GETPIVOTDATA(#REF!,A341)</f>
        <v>#REF!</v>
      </c>
      <c r="L341" s="189" t="e">
        <f>GETPIVOTDATA(#REF!,A341)</f>
        <v>#REF!</v>
      </c>
      <c r="M341" s="189">
        <f>0.45+0.3</f>
        <v>0.75</v>
      </c>
      <c r="N341" s="189">
        <f t="shared" si="239"/>
        <v>-0.04</v>
      </c>
      <c r="O341" s="189">
        <f>2.6*0.3</f>
        <v>0.78</v>
      </c>
      <c r="P341" s="188" t="e">
        <f t="shared" si="227"/>
        <v>#REF!</v>
      </c>
      <c r="Q341" s="183" t="e">
        <f>GETPIVOTDATA(#REF!,A341)</f>
        <v>#REF!</v>
      </c>
      <c r="R341" s="188" t="e">
        <f>GETPIVOTDATA(#REF!,A341)*2</f>
        <v>#REF!</v>
      </c>
      <c r="S341" s="183" t="e">
        <f>(ROUND(E341/R341,0))*GETPIVOTDATA(#REF!,A341)</f>
        <v>#REF!</v>
      </c>
      <c r="T341" s="189" t="e">
        <f>GETPIVOTDATA(#REF!,A341)</f>
        <v>#REF!</v>
      </c>
      <c r="U341" s="189">
        <f>0.45+0.3</f>
        <v>0.75</v>
      </c>
      <c r="V341" s="189">
        <f t="shared" si="240"/>
        <v>-0.04</v>
      </c>
      <c r="W341" s="189">
        <f>2.71*0.3</f>
        <v>0.81299999999999994</v>
      </c>
      <c r="X341" s="188" t="e">
        <f t="shared" si="234"/>
        <v>#REF!</v>
      </c>
      <c r="Y341" s="183" t="e">
        <f>GETPIVOTDATA(#REF!,A341)</f>
        <v>#REF!</v>
      </c>
      <c r="Z341" s="188" t="e">
        <f>GETPIVOTDATA(#REF!,A341)*2</f>
        <v>#REF!</v>
      </c>
      <c r="AA341" s="183" t="e">
        <f>(ROUND(D341/Z341,0)+1)*GETPIVOTDATA(#REF!,A341)</f>
        <v>#REF!</v>
      </c>
      <c r="AB341" s="189" t="e">
        <f>GETPIVOTDATA(#REF!,A341)</f>
        <v>#REF!</v>
      </c>
      <c r="AC341" s="189">
        <f t="shared" si="232"/>
        <v>0.6</v>
      </c>
      <c r="AD341" s="189">
        <f t="shared" si="241"/>
        <v>-0.04</v>
      </c>
      <c r="AE341" s="189">
        <f>5.31*0.3</f>
        <v>1.5929999999999997</v>
      </c>
      <c r="AF341" s="188" t="e">
        <f t="shared" si="230"/>
        <v>#REF!</v>
      </c>
      <c r="AG341" s="183" t="e">
        <f>GETPIVOTDATA(#REF!,A341)</f>
        <v>#REF!</v>
      </c>
      <c r="AH341" s="182" t="e">
        <f>GETPIVOTDATA(#REF!,A341)*2</f>
        <v>#REF!</v>
      </c>
      <c r="AI341" s="183" t="e">
        <f>(ROUND(D341/AH341,0))*GETPIVOTDATA(#REF!,A341)</f>
        <v>#REF!</v>
      </c>
      <c r="AJ341" s="189" t="e">
        <f>GETPIVOTDATA(#REF!,A341)</f>
        <v>#REF!</v>
      </c>
      <c r="AK341" s="189">
        <f t="shared" si="233"/>
        <v>0.6</v>
      </c>
      <c r="AL341" s="189">
        <f t="shared" si="242"/>
        <v>-0.04</v>
      </c>
      <c r="AM341" s="189">
        <f>3.31*0.3</f>
        <v>0.99299999999999999</v>
      </c>
      <c r="AN341" s="188" t="e">
        <f t="shared" si="231"/>
        <v>#REF!</v>
      </c>
      <c r="AO341" s="183">
        <v>8</v>
      </c>
      <c r="AP341" s="182">
        <f t="shared" si="236"/>
        <v>12</v>
      </c>
      <c r="AQ341" s="182">
        <v>1.5</v>
      </c>
      <c r="AR341" s="187" t="e">
        <f t="shared" si="243"/>
        <v>#REF!</v>
      </c>
      <c r="AS341" s="187" t="e">
        <f t="shared" si="244"/>
        <v>#REF!</v>
      </c>
      <c r="AT341" s="187" t="e">
        <f t="shared" si="245"/>
        <v>#REF!</v>
      </c>
      <c r="AU341" s="187" t="e">
        <f t="shared" si="246"/>
        <v>#REF!</v>
      </c>
      <c r="AV341" s="187" t="e">
        <f t="shared" si="237"/>
        <v>#REF!</v>
      </c>
      <c r="AW341" s="187" t="e">
        <f t="shared" si="247"/>
        <v>#REF!</v>
      </c>
      <c r="AX341" s="187">
        <f t="shared" si="248"/>
        <v>18</v>
      </c>
      <c r="AY341" s="190"/>
      <c r="AZ341" s="240"/>
      <c r="BA341" s="232"/>
      <c r="BF341" s="206"/>
      <c r="BG341" s="206"/>
      <c r="BK341" s="126"/>
      <c r="BL341" s="126"/>
      <c r="BN341" s="126"/>
      <c r="BO341" s="126"/>
      <c r="BQ341" s="126"/>
      <c r="BR341" s="126"/>
      <c r="BT341" s="126"/>
      <c r="BU341" s="126"/>
      <c r="BW341" s="126"/>
      <c r="BX341" s="126"/>
      <c r="BZ341" s="126"/>
      <c r="CA341" s="126"/>
      <c r="CC341" s="126"/>
      <c r="CD341" s="126"/>
      <c r="CF341" s="126"/>
      <c r="CG341" s="126"/>
    </row>
    <row r="342" spans="1:85" s="197" customFormat="1" x14ac:dyDescent="0.3">
      <c r="A342" s="182" t="s">
        <v>239</v>
      </c>
      <c r="B342" s="183">
        <v>1</v>
      </c>
      <c r="C342" s="184" t="s">
        <v>368</v>
      </c>
      <c r="D342" s="187">
        <v>2.71</v>
      </c>
      <c r="E342" s="187">
        <v>2.6</v>
      </c>
      <c r="F342" s="186">
        <v>0.125</v>
      </c>
      <c r="G342" s="187">
        <f t="shared" si="238"/>
        <v>0.88075000000000003</v>
      </c>
      <c r="H342" s="188">
        <f t="shared" si="235"/>
        <v>7.0460000000000003</v>
      </c>
      <c r="I342" s="183" t="e">
        <f>GETPIVOTDATA(#REF!,A342)</f>
        <v>#REF!</v>
      </c>
      <c r="J342" s="188" t="e">
        <f>GETPIVOTDATA(#REF!,A342)*2</f>
        <v>#REF!</v>
      </c>
      <c r="K342" s="183" t="e">
        <f>(ROUND(E342/J342,0)+1)*GETPIVOTDATA(#REF!,A342)</f>
        <v>#REF!</v>
      </c>
      <c r="L342" s="189" t="e">
        <f>GETPIVOTDATA(#REF!,A342)</f>
        <v>#REF!</v>
      </c>
      <c r="M342" s="189">
        <f>0.3+0.23</f>
        <v>0.53</v>
      </c>
      <c r="N342" s="189">
        <f t="shared" si="239"/>
        <v>-0.04</v>
      </c>
      <c r="O342" s="189">
        <f>5.375</f>
        <v>5.375</v>
      </c>
      <c r="P342" s="188" t="e">
        <f t="shared" si="227"/>
        <v>#REF!</v>
      </c>
      <c r="Q342" s="183" t="e">
        <f>GETPIVOTDATA(#REF!,A342)</f>
        <v>#REF!</v>
      </c>
      <c r="R342" s="188" t="e">
        <f>GETPIVOTDATA(#REF!,A342)*2</f>
        <v>#REF!</v>
      </c>
      <c r="S342" s="183" t="e">
        <f>(ROUND(E342/R342,0))*GETPIVOTDATA(#REF!,A342)</f>
        <v>#REF!</v>
      </c>
      <c r="T342" s="189" t="e">
        <f>GETPIVOTDATA(#REF!,A342)</f>
        <v>#REF!</v>
      </c>
      <c r="U342" s="189">
        <f>0.3+0.23</f>
        <v>0.53</v>
      </c>
      <c r="V342" s="189">
        <f t="shared" si="240"/>
        <v>-0.04</v>
      </c>
      <c r="W342" s="189">
        <f>1.94*0.3</f>
        <v>0.58199999999999996</v>
      </c>
      <c r="X342" s="188" t="e">
        <f t="shared" si="234"/>
        <v>#REF!</v>
      </c>
      <c r="Y342" s="183" t="e">
        <f>GETPIVOTDATA(#REF!,A342)</f>
        <v>#REF!</v>
      </c>
      <c r="Z342" s="188" t="e">
        <f>GETPIVOTDATA(#REF!,A342)*2</f>
        <v>#REF!</v>
      </c>
      <c r="AA342" s="183" t="e">
        <f>(ROUND(D342/Z342,0)+1)*GETPIVOTDATA(#REF!,A342)</f>
        <v>#REF!</v>
      </c>
      <c r="AB342" s="189" t="e">
        <f>GETPIVOTDATA(#REF!,A342)</f>
        <v>#REF!</v>
      </c>
      <c r="AC342" s="189">
        <f t="shared" si="232"/>
        <v>0.6</v>
      </c>
      <c r="AD342" s="189">
        <f t="shared" si="241"/>
        <v>-0.04</v>
      </c>
      <c r="AE342" s="189">
        <f>5.31*0.3</f>
        <v>1.5929999999999997</v>
      </c>
      <c r="AF342" s="188" t="e">
        <f t="shared" si="230"/>
        <v>#REF!</v>
      </c>
      <c r="AG342" s="183" t="e">
        <f>GETPIVOTDATA(#REF!,A342)</f>
        <v>#REF!</v>
      </c>
      <c r="AH342" s="182" t="e">
        <f>GETPIVOTDATA(#REF!,A342)*2</f>
        <v>#REF!</v>
      </c>
      <c r="AI342" s="183" t="e">
        <f>(ROUND(D342/AH342,0))*GETPIVOTDATA(#REF!,A342)</f>
        <v>#REF!</v>
      </c>
      <c r="AJ342" s="189" t="e">
        <f>GETPIVOTDATA(#REF!,A342)</f>
        <v>#REF!</v>
      </c>
      <c r="AK342" s="189">
        <f t="shared" si="233"/>
        <v>0.6</v>
      </c>
      <c r="AL342" s="189">
        <f t="shared" si="242"/>
        <v>-0.04</v>
      </c>
      <c r="AM342" s="189">
        <f>3.05*0.3</f>
        <v>0.91499999999999992</v>
      </c>
      <c r="AN342" s="188" t="e">
        <f t="shared" si="231"/>
        <v>#REF!</v>
      </c>
      <c r="AO342" s="183">
        <v>8</v>
      </c>
      <c r="AP342" s="182">
        <f t="shared" si="236"/>
        <v>8</v>
      </c>
      <c r="AQ342" s="182">
        <v>1.5</v>
      </c>
      <c r="AR342" s="187" t="e">
        <f t="shared" si="243"/>
        <v>#REF!</v>
      </c>
      <c r="AS342" s="187" t="e">
        <f t="shared" si="244"/>
        <v>#REF!</v>
      </c>
      <c r="AT342" s="187" t="e">
        <f t="shared" si="245"/>
        <v>#REF!</v>
      </c>
      <c r="AU342" s="187" t="e">
        <f t="shared" si="246"/>
        <v>#REF!</v>
      </c>
      <c r="AV342" s="187" t="e">
        <f t="shared" si="237"/>
        <v>#REF!</v>
      </c>
      <c r="AW342" s="187" t="e">
        <f t="shared" si="247"/>
        <v>#REF!</v>
      </c>
      <c r="AX342" s="187">
        <f t="shared" si="248"/>
        <v>12</v>
      </c>
      <c r="AY342" s="190"/>
      <c r="AZ342" s="240"/>
      <c r="BA342" s="232"/>
      <c r="BF342" s="206"/>
      <c r="BG342" s="206"/>
      <c r="BK342" s="126"/>
      <c r="BL342" s="126"/>
      <c r="BN342" s="126"/>
      <c r="BO342" s="126"/>
      <c r="BQ342" s="126"/>
      <c r="BR342" s="126"/>
      <c r="BT342" s="126"/>
      <c r="BU342" s="126"/>
      <c r="BW342" s="126"/>
      <c r="BX342" s="126"/>
      <c r="BZ342" s="126"/>
      <c r="CA342" s="126"/>
      <c r="CC342" s="126"/>
      <c r="CD342" s="126"/>
      <c r="CF342" s="126"/>
      <c r="CG342" s="126"/>
    </row>
    <row r="343" spans="1:85" s="197" customFormat="1" ht="27.6" x14ac:dyDescent="0.3">
      <c r="A343" s="182" t="s">
        <v>245</v>
      </c>
      <c r="B343" s="183">
        <v>1</v>
      </c>
      <c r="C343" s="184" t="s">
        <v>369</v>
      </c>
      <c r="D343" s="187">
        <v>1.94</v>
      </c>
      <c r="E343" s="187">
        <v>2.6</v>
      </c>
      <c r="F343" s="186">
        <v>0.14000000000000001</v>
      </c>
      <c r="G343" s="187">
        <f t="shared" si="238"/>
        <v>0.70616000000000001</v>
      </c>
      <c r="H343" s="188">
        <f t="shared" si="235"/>
        <v>5.0439999999999996</v>
      </c>
      <c r="I343" s="183" t="e">
        <f>GETPIVOTDATA(#REF!,A343)</f>
        <v>#REF!</v>
      </c>
      <c r="J343" s="188" t="e">
        <f>GETPIVOTDATA(#REF!,A343)*2</f>
        <v>#REF!</v>
      </c>
      <c r="K343" s="183" t="e">
        <f>(ROUND(E343/J343,0)+1)*GETPIVOTDATA(#REF!,A343)</f>
        <v>#REF!</v>
      </c>
      <c r="L343" s="189" t="e">
        <f>GETPIVOTDATA(#REF!,A343)</f>
        <v>#REF!</v>
      </c>
      <c r="M343" s="189">
        <f>0.3+0.23</f>
        <v>0.53</v>
      </c>
      <c r="N343" s="189">
        <f t="shared" si="239"/>
        <v>-0.04</v>
      </c>
      <c r="O343" s="189">
        <f>2.71*0.3</f>
        <v>0.81299999999999994</v>
      </c>
      <c r="P343" s="188" t="e">
        <f t="shared" si="227"/>
        <v>#REF!</v>
      </c>
      <c r="Q343" s="183" t="e">
        <f>GETPIVOTDATA(#REF!,A343)</f>
        <v>#REF!</v>
      </c>
      <c r="R343" s="188" t="e">
        <f>GETPIVOTDATA(#REF!,A343)*2</f>
        <v>#REF!</v>
      </c>
      <c r="S343" s="183" t="e">
        <f>(ROUND(E343/R343,0))*GETPIVOTDATA(#REF!,A343)</f>
        <v>#REF!</v>
      </c>
      <c r="T343" s="189" t="e">
        <f>GETPIVOTDATA(#REF!,A343)</f>
        <v>#REF!</v>
      </c>
      <c r="U343" s="189">
        <f>0.3+0.23</f>
        <v>0.53</v>
      </c>
      <c r="V343" s="189">
        <f t="shared" si="240"/>
        <v>-0.04</v>
      </c>
      <c r="W343" s="189">
        <v>0</v>
      </c>
      <c r="X343" s="188" t="e">
        <f t="shared" si="234"/>
        <v>#REF!</v>
      </c>
      <c r="Y343" s="183" t="e">
        <f>GETPIVOTDATA(#REF!,A343)</f>
        <v>#REF!</v>
      </c>
      <c r="Z343" s="188" t="e">
        <f>GETPIVOTDATA(#REF!,A343)*2</f>
        <v>#REF!</v>
      </c>
      <c r="AA343" s="183" t="e">
        <f>(ROUND(D343/Z343,0)+1)*GETPIVOTDATA(#REF!,A343)</f>
        <v>#REF!</v>
      </c>
      <c r="AB343" s="189" t="e">
        <f>GETPIVOTDATA(#REF!,A343)</f>
        <v>#REF!</v>
      </c>
      <c r="AC343" s="189">
        <f t="shared" si="232"/>
        <v>0.6</v>
      </c>
      <c r="AD343" s="189">
        <f t="shared" si="241"/>
        <v>-0.04</v>
      </c>
      <c r="AE343" s="189">
        <v>0</v>
      </c>
      <c r="AF343" s="188" t="e">
        <f t="shared" si="230"/>
        <v>#REF!</v>
      </c>
      <c r="AG343" s="183" t="e">
        <f>GETPIVOTDATA(#REF!,A343)</f>
        <v>#REF!</v>
      </c>
      <c r="AH343" s="182" t="e">
        <f>GETPIVOTDATA(#REF!,A343)*2</f>
        <v>#REF!</v>
      </c>
      <c r="AI343" s="183" t="e">
        <f>(ROUND(D343/AH343,0))*GETPIVOTDATA(#REF!,A343)</f>
        <v>#REF!</v>
      </c>
      <c r="AJ343" s="189" t="e">
        <f>GETPIVOTDATA(#REF!,A343)</f>
        <v>#REF!</v>
      </c>
      <c r="AK343" s="189">
        <f t="shared" si="233"/>
        <v>0.6</v>
      </c>
      <c r="AL343" s="189">
        <f t="shared" si="242"/>
        <v>-0.04</v>
      </c>
      <c r="AM343" s="189">
        <v>0</v>
      </c>
      <c r="AN343" s="188" t="e">
        <f t="shared" si="231"/>
        <v>#REF!</v>
      </c>
      <c r="AO343" s="183">
        <v>8</v>
      </c>
      <c r="AP343" s="182">
        <f t="shared" si="236"/>
        <v>6</v>
      </c>
      <c r="AQ343" s="182">
        <v>1.5</v>
      </c>
      <c r="AR343" s="187" t="e">
        <f t="shared" si="243"/>
        <v>#REF!</v>
      </c>
      <c r="AS343" s="187" t="e">
        <f t="shared" si="244"/>
        <v>#REF!</v>
      </c>
      <c r="AT343" s="187" t="e">
        <f t="shared" si="245"/>
        <v>#REF!</v>
      </c>
      <c r="AU343" s="187" t="e">
        <f t="shared" si="246"/>
        <v>#REF!</v>
      </c>
      <c r="AV343" s="187" t="e">
        <f t="shared" si="237"/>
        <v>#REF!</v>
      </c>
      <c r="AW343" s="187" t="e">
        <f t="shared" si="247"/>
        <v>#REF!</v>
      </c>
      <c r="AX343" s="187">
        <f t="shared" si="248"/>
        <v>9</v>
      </c>
      <c r="AY343" s="190"/>
      <c r="AZ343" s="240"/>
      <c r="BA343" s="232"/>
      <c r="BF343" s="206"/>
      <c r="BG343" s="206"/>
      <c r="BK343" s="126"/>
      <c r="BL343" s="126"/>
      <c r="BN343" s="126"/>
      <c r="BO343" s="126"/>
      <c r="BQ343" s="126"/>
      <c r="BR343" s="126"/>
      <c r="BT343" s="126"/>
      <c r="BU343" s="126"/>
      <c r="BW343" s="126"/>
      <c r="BX343" s="126"/>
      <c r="BZ343" s="126"/>
      <c r="CA343" s="126"/>
      <c r="CC343" s="126"/>
      <c r="CD343" s="126"/>
      <c r="CF343" s="126"/>
      <c r="CG343" s="126"/>
    </row>
    <row r="344" spans="1:85" s="197" customFormat="1" ht="27.6" x14ac:dyDescent="0.3">
      <c r="A344" s="182" t="s">
        <v>245</v>
      </c>
      <c r="B344" s="183">
        <v>1</v>
      </c>
      <c r="C344" s="184" t="s">
        <v>370</v>
      </c>
      <c r="D344" s="187">
        <v>1.29</v>
      </c>
      <c r="E344" s="187">
        <v>3.81</v>
      </c>
      <c r="F344" s="186">
        <v>0.14000000000000001</v>
      </c>
      <c r="G344" s="187">
        <f t="shared" si="238"/>
        <v>0.68808600000000009</v>
      </c>
      <c r="H344" s="188">
        <f t="shared" si="235"/>
        <v>4.9149000000000003</v>
      </c>
      <c r="I344" s="183" t="e">
        <f>GETPIVOTDATA(#REF!,A344)</f>
        <v>#REF!</v>
      </c>
      <c r="J344" s="188" t="e">
        <f>GETPIVOTDATA(#REF!,A344)*2</f>
        <v>#REF!</v>
      </c>
      <c r="K344" s="183" t="e">
        <f>(ROUND(E344/J344,0)+1)*GETPIVOTDATA(#REF!,A344)</f>
        <v>#REF!</v>
      </c>
      <c r="L344" s="189" t="e">
        <f>GETPIVOTDATA(#REF!,A344)</f>
        <v>#REF!</v>
      </c>
      <c r="M344" s="189">
        <f t="shared" si="228"/>
        <v>0.6</v>
      </c>
      <c r="N344" s="189">
        <f t="shared" si="239"/>
        <v>-0.04</v>
      </c>
      <c r="O344" s="189">
        <f>2.05*0.3</f>
        <v>0.61499999999999988</v>
      </c>
      <c r="P344" s="188" t="e">
        <f t="shared" si="227"/>
        <v>#REF!</v>
      </c>
      <c r="Q344" s="183" t="e">
        <f>GETPIVOTDATA(#REF!,A344)</f>
        <v>#REF!</v>
      </c>
      <c r="R344" s="188" t="e">
        <f>GETPIVOTDATA(#REF!,A344)*2</f>
        <v>#REF!</v>
      </c>
      <c r="S344" s="183" t="e">
        <f>(ROUND(E344/R344,0))*GETPIVOTDATA(#REF!,A344)</f>
        <v>#REF!</v>
      </c>
      <c r="T344" s="189" t="e">
        <f>GETPIVOTDATA(#REF!,A344)</f>
        <v>#REF!</v>
      </c>
      <c r="U344" s="189">
        <f t="shared" si="229"/>
        <v>0.6</v>
      </c>
      <c r="V344" s="189">
        <f t="shared" si="240"/>
        <v>-0.04</v>
      </c>
      <c r="W344" s="189">
        <f>4.12*0.3</f>
        <v>1.236</v>
      </c>
      <c r="X344" s="188" t="e">
        <f t="shared" si="234"/>
        <v>#REF!</v>
      </c>
      <c r="Y344" s="183" t="e">
        <f>GETPIVOTDATA(#REF!,A344)</f>
        <v>#REF!</v>
      </c>
      <c r="Z344" s="188" t="e">
        <f>GETPIVOTDATA(#REF!,A344)*2</f>
        <v>#REF!</v>
      </c>
      <c r="AA344" s="183" t="e">
        <f>(ROUND(D344/Z344,0)+1)*GETPIVOTDATA(#REF!,A344)</f>
        <v>#REF!</v>
      </c>
      <c r="AB344" s="189" t="e">
        <f>GETPIVOTDATA(#REF!,A344)</f>
        <v>#REF!</v>
      </c>
      <c r="AC344" s="189">
        <f>0.3+0.23</f>
        <v>0.53</v>
      </c>
      <c r="AD344" s="189">
        <f t="shared" si="241"/>
        <v>-0.04</v>
      </c>
      <c r="AE344" s="189">
        <v>0</v>
      </c>
      <c r="AF344" s="188" t="e">
        <f t="shared" si="230"/>
        <v>#REF!</v>
      </c>
      <c r="AG344" s="183" t="e">
        <f>GETPIVOTDATA(#REF!,A344)</f>
        <v>#REF!</v>
      </c>
      <c r="AH344" s="182" t="e">
        <f>GETPIVOTDATA(#REF!,A344)*2</f>
        <v>#REF!</v>
      </c>
      <c r="AI344" s="183" t="e">
        <f>(ROUND(D344/AH344,0))*GETPIVOTDATA(#REF!,A344)</f>
        <v>#REF!</v>
      </c>
      <c r="AJ344" s="189" t="e">
        <f>GETPIVOTDATA(#REF!,A344)</f>
        <v>#REF!</v>
      </c>
      <c r="AK344" s="189">
        <f>0.3+0.23</f>
        <v>0.53</v>
      </c>
      <c r="AL344" s="189">
        <f t="shared" si="242"/>
        <v>-0.04</v>
      </c>
      <c r="AM344" s="189">
        <v>0</v>
      </c>
      <c r="AN344" s="188" t="e">
        <f t="shared" si="231"/>
        <v>#REF!</v>
      </c>
      <c r="AO344" s="183">
        <v>8</v>
      </c>
      <c r="AP344" s="182">
        <f t="shared" si="236"/>
        <v>8</v>
      </c>
      <c r="AQ344" s="182">
        <v>1.5</v>
      </c>
      <c r="AR344" s="187" t="e">
        <f t="shared" si="243"/>
        <v>#REF!</v>
      </c>
      <c r="AS344" s="187" t="e">
        <f t="shared" si="244"/>
        <v>#REF!</v>
      </c>
      <c r="AT344" s="187" t="e">
        <f t="shared" si="245"/>
        <v>#REF!</v>
      </c>
      <c r="AU344" s="187" t="e">
        <f t="shared" si="246"/>
        <v>#REF!</v>
      </c>
      <c r="AV344" s="187" t="e">
        <f t="shared" si="237"/>
        <v>#REF!</v>
      </c>
      <c r="AW344" s="187" t="e">
        <f t="shared" si="247"/>
        <v>#REF!</v>
      </c>
      <c r="AX344" s="187">
        <f t="shared" si="248"/>
        <v>12</v>
      </c>
      <c r="AY344" s="190"/>
      <c r="AZ344" s="240"/>
      <c r="BA344" s="232"/>
      <c r="BF344" s="206"/>
      <c r="BG344" s="206"/>
      <c r="BK344" s="126"/>
      <c r="BL344" s="126"/>
      <c r="BN344" s="126"/>
      <c r="BO344" s="126"/>
      <c r="BQ344" s="126"/>
      <c r="BR344" s="126"/>
      <c r="BT344" s="126"/>
      <c r="BU344" s="126"/>
      <c r="BW344" s="126"/>
      <c r="BX344" s="126"/>
      <c r="BZ344" s="126"/>
      <c r="CA344" s="126"/>
      <c r="CC344" s="126"/>
      <c r="CD344" s="126"/>
      <c r="CF344" s="126"/>
      <c r="CG344" s="126"/>
    </row>
    <row r="345" spans="1:85" s="197" customFormat="1" ht="27.6" x14ac:dyDescent="0.3">
      <c r="A345" s="182" t="s">
        <v>239</v>
      </c>
      <c r="B345" s="183">
        <v>1</v>
      </c>
      <c r="C345" s="184" t="s">
        <v>371</v>
      </c>
      <c r="D345" s="187">
        <v>1.94</v>
      </c>
      <c r="E345" s="187">
        <v>2.6</v>
      </c>
      <c r="F345" s="186">
        <v>0.125</v>
      </c>
      <c r="G345" s="187">
        <f t="shared" si="238"/>
        <v>0.63049999999999995</v>
      </c>
      <c r="H345" s="188">
        <f t="shared" si="235"/>
        <v>5.0439999999999996</v>
      </c>
      <c r="I345" s="183" t="e">
        <f>GETPIVOTDATA(#REF!,A345)</f>
        <v>#REF!</v>
      </c>
      <c r="J345" s="188" t="e">
        <f>GETPIVOTDATA(#REF!,A345)*2</f>
        <v>#REF!</v>
      </c>
      <c r="K345" s="183" t="e">
        <f>(ROUND(E345/J345,0)+1)*GETPIVOTDATA(#REF!,A345)</f>
        <v>#REF!</v>
      </c>
      <c r="L345" s="189" t="e">
        <f>GETPIVOTDATA(#REF!,A345)</f>
        <v>#REF!</v>
      </c>
      <c r="M345" s="189">
        <f>0.3+0.23</f>
        <v>0.53</v>
      </c>
      <c r="N345" s="189">
        <f t="shared" si="239"/>
        <v>-0.04</v>
      </c>
      <c r="O345" s="189">
        <f>3.95*0.3</f>
        <v>1.1850000000000001</v>
      </c>
      <c r="P345" s="188" t="e">
        <f t="shared" si="227"/>
        <v>#REF!</v>
      </c>
      <c r="Q345" s="183" t="e">
        <f>GETPIVOTDATA(#REF!,A345)</f>
        <v>#REF!</v>
      </c>
      <c r="R345" s="188" t="e">
        <f>GETPIVOTDATA(#REF!,A345)*2</f>
        <v>#REF!</v>
      </c>
      <c r="S345" s="183" t="e">
        <f>(ROUND(E345/R345,0))*GETPIVOTDATA(#REF!,A345)</f>
        <v>#REF!</v>
      </c>
      <c r="T345" s="189" t="e">
        <f>GETPIVOTDATA(#REF!,A345)</f>
        <v>#REF!</v>
      </c>
      <c r="U345" s="189">
        <f>0.3+0.23</f>
        <v>0.53</v>
      </c>
      <c r="V345" s="189">
        <f t="shared" si="240"/>
        <v>-0.04</v>
      </c>
      <c r="W345" s="189">
        <f>2.32*0.3</f>
        <v>0.69599999999999995</v>
      </c>
      <c r="X345" s="188" t="e">
        <f t="shared" si="234"/>
        <v>#REF!</v>
      </c>
      <c r="Y345" s="183" t="e">
        <f>GETPIVOTDATA(#REF!,A345)</f>
        <v>#REF!</v>
      </c>
      <c r="Z345" s="188" t="e">
        <f>GETPIVOTDATA(#REF!,A345)*2</f>
        <v>#REF!</v>
      </c>
      <c r="AA345" s="183" t="e">
        <f>(ROUND(D345/Z345,0)+1)*GETPIVOTDATA(#REF!,A345)</f>
        <v>#REF!</v>
      </c>
      <c r="AB345" s="189" t="e">
        <f>GETPIVOTDATA(#REF!,A345)</f>
        <v>#REF!</v>
      </c>
      <c r="AC345" s="189">
        <f t="shared" si="232"/>
        <v>0.6</v>
      </c>
      <c r="AD345" s="189">
        <f t="shared" si="241"/>
        <v>-0.04</v>
      </c>
      <c r="AE345" s="189">
        <f>5.31*0.3</f>
        <v>1.5929999999999997</v>
      </c>
      <c r="AF345" s="188" t="e">
        <f t="shared" si="230"/>
        <v>#REF!</v>
      </c>
      <c r="AG345" s="183" t="e">
        <f>GETPIVOTDATA(#REF!,A345)</f>
        <v>#REF!</v>
      </c>
      <c r="AH345" s="182" t="e">
        <f>GETPIVOTDATA(#REF!,A345)*2</f>
        <v>#REF!</v>
      </c>
      <c r="AI345" s="183" t="e">
        <f>(ROUND(D345/AH345,0))*GETPIVOTDATA(#REF!,A345)</f>
        <v>#REF!</v>
      </c>
      <c r="AJ345" s="189" t="e">
        <f>GETPIVOTDATA(#REF!,A345)</f>
        <v>#REF!</v>
      </c>
      <c r="AK345" s="189">
        <f t="shared" si="233"/>
        <v>0.6</v>
      </c>
      <c r="AL345" s="189">
        <f t="shared" si="242"/>
        <v>-0.04</v>
      </c>
      <c r="AM345" s="189">
        <f>3.05*0.3</f>
        <v>0.91499999999999992</v>
      </c>
      <c r="AN345" s="188" t="e">
        <f t="shared" si="231"/>
        <v>#REF!</v>
      </c>
      <c r="AO345" s="183">
        <v>8</v>
      </c>
      <c r="AP345" s="182">
        <f t="shared" si="236"/>
        <v>6</v>
      </c>
      <c r="AQ345" s="182">
        <v>1.5</v>
      </c>
      <c r="AR345" s="187" t="e">
        <f t="shared" si="243"/>
        <v>#REF!</v>
      </c>
      <c r="AS345" s="187" t="e">
        <f t="shared" si="244"/>
        <v>#REF!</v>
      </c>
      <c r="AT345" s="187" t="e">
        <f t="shared" si="245"/>
        <v>#REF!</v>
      </c>
      <c r="AU345" s="187" t="e">
        <f t="shared" si="246"/>
        <v>#REF!</v>
      </c>
      <c r="AV345" s="187" t="e">
        <f t="shared" si="237"/>
        <v>#REF!</v>
      </c>
      <c r="AW345" s="187" t="e">
        <f t="shared" si="247"/>
        <v>#REF!</v>
      </c>
      <c r="AX345" s="187">
        <f t="shared" si="248"/>
        <v>9</v>
      </c>
      <c r="AY345" s="190"/>
      <c r="AZ345" s="240"/>
      <c r="BA345" s="232"/>
      <c r="BF345" s="206"/>
      <c r="BG345" s="206"/>
      <c r="BK345" s="126"/>
      <c r="BL345" s="126"/>
      <c r="BN345" s="126"/>
      <c r="BO345" s="126"/>
      <c r="BQ345" s="126"/>
      <c r="BR345" s="126"/>
      <c r="BT345" s="126"/>
      <c r="BU345" s="126"/>
      <c r="BW345" s="126"/>
      <c r="BX345" s="126"/>
      <c r="BZ345" s="126"/>
      <c r="CA345" s="126"/>
      <c r="CC345" s="126"/>
      <c r="CD345" s="126"/>
      <c r="CF345" s="126"/>
      <c r="CG345" s="126"/>
    </row>
    <row r="346" spans="1:85" s="197" customFormat="1" x14ac:dyDescent="0.3">
      <c r="A346" s="182" t="s">
        <v>239</v>
      </c>
      <c r="B346" s="183">
        <v>1</v>
      </c>
      <c r="C346" s="184" t="s">
        <v>372</v>
      </c>
      <c r="D346" s="187">
        <v>2.3199999999999998</v>
      </c>
      <c r="E346" s="187">
        <v>2.6</v>
      </c>
      <c r="F346" s="186">
        <v>0.125</v>
      </c>
      <c r="G346" s="187">
        <f t="shared" si="238"/>
        <v>0.754</v>
      </c>
      <c r="H346" s="188">
        <f t="shared" si="235"/>
        <v>6.032</v>
      </c>
      <c r="I346" s="183" t="e">
        <f>GETPIVOTDATA(#REF!,A346)</f>
        <v>#REF!</v>
      </c>
      <c r="J346" s="188" t="e">
        <f>GETPIVOTDATA(#REF!,A346)*2</f>
        <v>#REF!</v>
      </c>
      <c r="K346" s="183" t="e">
        <f>(ROUND(E346/J346,0)+1)*GETPIVOTDATA(#REF!,A346)</f>
        <v>#REF!</v>
      </c>
      <c r="L346" s="189" t="e">
        <f>GETPIVOTDATA(#REF!,A346)</f>
        <v>#REF!</v>
      </c>
      <c r="M346" s="189">
        <f>0.23*2</f>
        <v>0.46</v>
      </c>
      <c r="N346" s="189">
        <f t="shared" si="239"/>
        <v>-0.04</v>
      </c>
      <c r="O346" s="189">
        <f>1.94*0.3</f>
        <v>0.58199999999999996</v>
      </c>
      <c r="P346" s="188" t="e">
        <f t="shared" si="227"/>
        <v>#REF!</v>
      </c>
      <c r="Q346" s="183" t="e">
        <f>GETPIVOTDATA(#REF!,A346)</f>
        <v>#REF!</v>
      </c>
      <c r="R346" s="188" t="e">
        <f>GETPIVOTDATA(#REF!,A346)*2</f>
        <v>#REF!</v>
      </c>
      <c r="S346" s="183" t="e">
        <f>(ROUND(E346/R346,0))*GETPIVOTDATA(#REF!,A346)</f>
        <v>#REF!</v>
      </c>
      <c r="T346" s="189" t="e">
        <f>GETPIVOTDATA(#REF!,A346)</f>
        <v>#REF!</v>
      </c>
      <c r="U346" s="189">
        <f>0.23*2</f>
        <v>0.46</v>
      </c>
      <c r="V346" s="189">
        <f t="shared" si="240"/>
        <v>-0.04</v>
      </c>
      <c r="W346" s="189">
        <f>4.28*0.3</f>
        <v>1.284</v>
      </c>
      <c r="X346" s="188" t="e">
        <f t="shared" si="234"/>
        <v>#REF!</v>
      </c>
      <c r="Y346" s="183" t="e">
        <f>GETPIVOTDATA(#REF!,A346)</f>
        <v>#REF!</v>
      </c>
      <c r="Z346" s="188" t="e">
        <f>GETPIVOTDATA(#REF!,A346)*2</f>
        <v>#REF!</v>
      </c>
      <c r="AA346" s="183" t="e">
        <f>(ROUND(D346/Z346,0)+1)*GETPIVOTDATA(#REF!,A346)</f>
        <v>#REF!</v>
      </c>
      <c r="AB346" s="189" t="e">
        <f>GETPIVOTDATA(#REF!,A346)</f>
        <v>#REF!</v>
      </c>
      <c r="AC346" s="189">
        <f>0.3+0.23</f>
        <v>0.53</v>
      </c>
      <c r="AD346" s="189">
        <f t="shared" si="241"/>
        <v>-0.04</v>
      </c>
      <c r="AE346" s="189">
        <f>5.31*0.3</f>
        <v>1.5929999999999997</v>
      </c>
      <c r="AF346" s="188" t="e">
        <f t="shared" si="230"/>
        <v>#REF!</v>
      </c>
      <c r="AG346" s="183" t="e">
        <f>GETPIVOTDATA(#REF!,A346)</f>
        <v>#REF!</v>
      </c>
      <c r="AH346" s="182" t="e">
        <f>GETPIVOTDATA(#REF!,A346)*2</f>
        <v>#REF!</v>
      </c>
      <c r="AI346" s="183" t="e">
        <f>(ROUND(D346/AH346,0))*GETPIVOTDATA(#REF!,A346)</f>
        <v>#REF!</v>
      </c>
      <c r="AJ346" s="189" t="e">
        <f>GETPIVOTDATA(#REF!,A346)</f>
        <v>#REF!</v>
      </c>
      <c r="AK346" s="189">
        <f>0.3+0.23</f>
        <v>0.53</v>
      </c>
      <c r="AL346" s="189">
        <f t="shared" si="242"/>
        <v>-0.04</v>
      </c>
      <c r="AM346" s="189">
        <f>3.1355*0.3</f>
        <v>0.94064999999999999</v>
      </c>
      <c r="AN346" s="188" t="e">
        <f t="shared" si="231"/>
        <v>#REF!</v>
      </c>
      <c r="AO346" s="183">
        <v>8</v>
      </c>
      <c r="AP346" s="182">
        <f t="shared" si="236"/>
        <v>8</v>
      </c>
      <c r="AQ346" s="182">
        <v>1.5</v>
      </c>
      <c r="AR346" s="187" t="e">
        <f t="shared" si="243"/>
        <v>#REF!</v>
      </c>
      <c r="AS346" s="187" t="e">
        <f t="shared" si="244"/>
        <v>#REF!</v>
      </c>
      <c r="AT346" s="187" t="e">
        <f t="shared" si="245"/>
        <v>#REF!</v>
      </c>
      <c r="AU346" s="187" t="e">
        <f t="shared" si="246"/>
        <v>#REF!</v>
      </c>
      <c r="AV346" s="187" t="e">
        <f t="shared" si="237"/>
        <v>#REF!</v>
      </c>
      <c r="AW346" s="187" t="e">
        <f t="shared" si="247"/>
        <v>#REF!</v>
      </c>
      <c r="AX346" s="187">
        <f t="shared" si="248"/>
        <v>12</v>
      </c>
      <c r="AY346" s="190"/>
      <c r="AZ346" s="240"/>
      <c r="BA346" s="232"/>
      <c r="BF346" s="206"/>
      <c r="BG346" s="206"/>
      <c r="BK346" s="126"/>
      <c r="BL346" s="126"/>
      <c r="BN346" s="126"/>
      <c r="BO346" s="126"/>
      <c r="BQ346" s="126"/>
      <c r="BR346" s="126"/>
      <c r="BT346" s="126"/>
      <c r="BU346" s="126"/>
      <c r="BW346" s="126"/>
      <c r="BX346" s="126"/>
      <c r="BZ346" s="126"/>
      <c r="CA346" s="126"/>
      <c r="CC346" s="126"/>
      <c r="CD346" s="126"/>
      <c r="CF346" s="126"/>
      <c r="CG346" s="126"/>
    </row>
    <row r="347" spans="1:85" s="197" customFormat="1" ht="27.6" x14ac:dyDescent="0.3">
      <c r="A347" s="182" t="s">
        <v>242</v>
      </c>
      <c r="B347" s="183">
        <v>1</v>
      </c>
      <c r="C347" s="184" t="s">
        <v>373</v>
      </c>
      <c r="D347" s="187">
        <v>4.2850000000000001</v>
      </c>
      <c r="E347" s="187">
        <v>2.6</v>
      </c>
      <c r="F347" s="186">
        <v>0.14000000000000001</v>
      </c>
      <c r="G347" s="187">
        <f t="shared" si="238"/>
        <v>1.5597400000000001</v>
      </c>
      <c r="H347" s="188">
        <f t="shared" si="235"/>
        <v>11.141</v>
      </c>
      <c r="I347" s="183" t="e">
        <f>GETPIVOTDATA(#REF!,A347)</f>
        <v>#REF!</v>
      </c>
      <c r="J347" s="188" t="e">
        <f>GETPIVOTDATA(#REF!,A347)*2</f>
        <v>#REF!</v>
      </c>
      <c r="K347" s="183" t="e">
        <f>(ROUND(E347/J347,0)+1)*GETPIVOTDATA(#REF!,A347)</f>
        <v>#REF!</v>
      </c>
      <c r="L347" s="189" t="e">
        <f>GETPIVOTDATA(#REF!,A347)</f>
        <v>#REF!</v>
      </c>
      <c r="M347" s="189">
        <f>0.23+0.37</f>
        <v>0.6</v>
      </c>
      <c r="N347" s="189">
        <f t="shared" si="239"/>
        <v>-0.04</v>
      </c>
      <c r="O347" s="189">
        <f>2.32*0.3</f>
        <v>0.69599999999999995</v>
      </c>
      <c r="P347" s="188" t="e">
        <f t="shared" si="227"/>
        <v>#REF!</v>
      </c>
      <c r="Q347" s="183" t="e">
        <f>GETPIVOTDATA(#REF!,A347)</f>
        <v>#REF!</v>
      </c>
      <c r="R347" s="188" t="e">
        <f>GETPIVOTDATA(#REF!,A347)*2</f>
        <v>#REF!</v>
      </c>
      <c r="S347" s="183" t="e">
        <f>(ROUND(E347/R347,0))*GETPIVOTDATA(#REF!,A347)</f>
        <v>#REF!</v>
      </c>
      <c r="T347" s="189" t="e">
        <f>GETPIVOTDATA(#REF!,A347)</f>
        <v>#REF!</v>
      </c>
      <c r="U347" s="189">
        <f t="shared" si="229"/>
        <v>0.6</v>
      </c>
      <c r="V347" s="189">
        <f t="shared" si="240"/>
        <v>-0.04</v>
      </c>
      <c r="W347" s="189">
        <f>4.24*0.3</f>
        <v>1.272</v>
      </c>
      <c r="X347" s="188" t="e">
        <f t="shared" si="234"/>
        <v>#REF!</v>
      </c>
      <c r="Y347" s="183" t="e">
        <f>GETPIVOTDATA(#REF!,A347)</f>
        <v>#REF!</v>
      </c>
      <c r="Z347" s="188" t="e">
        <f>GETPIVOTDATA(#REF!,A347)*2</f>
        <v>#REF!</v>
      </c>
      <c r="AA347" s="183" t="e">
        <f>(ROUND(D347/Z347,0)+1)*GETPIVOTDATA(#REF!,A347)</f>
        <v>#REF!</v>
      </c>
      <c r="AB347" s="189" t="e">
        <f>GETPIVOTDATA(#REF!,A347)</f>
        <v>#REF!</v>
      </c>
      <c r="AC347" s="189">
        <f t="shared" si="232"/>
        <v>0.6</v>
      </c>
      <c r="AD347" s="189">
        <f t="shared" si="241"/>
        <v>-0.04</v>
      </c>
      <c r="AE347" s="189">
        <f>5.31*0.3</f>
        <v>1.5929999999999997</v>
      </c>
      <c r="AF347" s="188" t="e">
        <f t="shared" si="230"/>
        <v>#REF!</v>
      </c>
      <c r="AG347" s="183" t="e">
        <f>GETPIVOTDATA(#REF!,A347)</f>
        <v>#REF!</v>
      </c>
      <c r="AH347" s="182" t="e">
        <f>GETPIVOTDATA(#REF!,A347)*2</f>
        <v>#REF!</v>
      </c>
      <c r="AI347" s="183" t="e">
        <f>(ROUND(D347/AH347,0))*GETPIVOTDATA(#REF!,A347)</f>
        <v>#REF!</v>
      </c>
      <c r="AJ347" s="189" t="e">
        <f>GETPIVOTDATA(#REF!,A347)</f>
        <v>#REF!</v>
      </c>
      <c r="AK347" s="189">
        <f t="shared" si="233"/>
        <v>0.6</v>
      </c>
      <c r="AL347" s="189">
        <f t="shared" si="242"/>
        <v>-0.04</v>
      </c>
      <c r="AM347" s="189">
        <f>3.323*0.3</f>
        <v>0.9968999999999999</v>
      </c>
      <c r="AN347" s="188" t="e">
        <f t="shared" si="231"/>
        <v>#REF!</v>
      </c>
      <c r="AO347" s="183">
        <v>8</v>
      </c>
      <c r="AP347" s="182">
        <f t="shared" si="236"/>
        <v>10</v>
      </c>
      <c r="AQ347" s="182">
        <v>1.5</v>
      </c>
      <c r="AR347" s="187" t="e">
        <f t="shared" si="243"/>
        <v>#REF!</v>
      </c>
      <c r="AS347" s="187" t="e">
        <f t="shared" si="244"/>
        <v>#REF!</v>
      </c>
      <c r="AT347" s="187" t="e">
        <f t="shared" si="245"/>
        <v>#REF!</v>
      </c>
      <c r="AU347" s="187" t="e">
        <f t="shared" si="246"/>
        <v>#REF!</v>
      </c>
      <c r="AV347" s="187" t="e">
        <f t="shared" si="237"/>
        <v>#REF!</v>
      </c>
      <c r="AW347" s="187" t="e">
        <f t="shared" si="247"/>
        <v>#REF!</v>
      </c>
      <c r="AX347" s="187">
        <f t="shared" si="248"/>
        <v>15</v>
      </c>
      <c r="AY347" s="190"/>
      <c r="AZ347" s="240"/>
      <c r="BA347" s="232"/>
      <c r="BF347" s="206"/>
      <c r="BG347" s="206"/>
      <c r="BK347" s="126"/>
      <c r="BL347" s="126"/>
      <c r="BN347" s="126"/>
      <c r="BO347" s="126"/>
      <c r="BQ347" s="126"/>
      <c r="BR347" s="126"/>
      <c r="BT347" s="126"/>
      <c r="BU347" s="126"/>
      <c r="BW347" s="126"/>
      <c r="BX347" s="126"/>
      <c r="BZ347" s="126"/>
      <c r="CA347" s="126"/>
      <c r="CC347" s="126"/>
      <c r="CD347" s="126"/>
      <c r="CF347" s="126"/>
      <c r="CG347" s="126"/>
    </row>
    <row r="348" spans="1:85" s="197" customFormat="1" ht="27.6" x14ac:dyDescent="0.3">
      <c r="A348" s="182" t="s">
        <v>229</v>
      </c>
      <c r="B348" s="183">
        <v>1</v>
      </c>
      <c r="C348" s="184" t="s">
        <v>374</v>
      </c>
      <c r="D348" s="187">
        <v>4.24</v>
      </c>
      <c r="E348" s="187">
        <v>2.879</v>
      </c>
      <c r="F348" s="186">
        <v>0.13</v>
      </c>
      <c r="G348" s="187">
        <f t="shared" si="238"/>
        <v>1.5869048000000001</v>
      </c>
      <c r="H348" s="188">
        <f t="shared" si="235"/>
        <v>12.20696</v>
      </c>
      <c r="I348" s="183" t="e">
        <f>GETPIVOTDATA(#REF!,A348)</f>
        <v>#REF!</v>
      </c>
      <c r="J348" s="188" t="e">
        <f>GETPIVOTDATA(#REF!,A348)*2</f>
        <v>#REF!</v>
      </c>
      <c r="K348" s="183" t="e">
        <f>(ROUND(E348/J348,0)+1)*GETPIVOTDATA(#REF!,A348)</f>
        <v>#REF!</v>
      </c>
      <c r="L348" s="189" t="e">
        <f>GETPIVOTDATA(#REF!,A348)</f>
        <v>#REF!</v>
      </c>
      <c r="M348" s="189">
        <f>0.37+0.48</f>
        <v>0.85</v>
      </c>
      <c r="N348" s="189">
        <f t="shared" si="239"/>
        <v>-0.04</v>
      </c>
      <c r="O348" s="189">
        <f>4.285*0.3</f>
        <v>1.2855000000000001</v>
      </c>
      <c r="P348" s="188" t="e">
        <f t="shared" ref="P348:P376" si="249">+D348+SUM(L348:O348)</f>
        <v>#REF!</v>
      </c>
      <c r="Q348" s="183" t="e">
        <f>GETPIVOTDATA(#REF!,A348)</f>
        <v>#REF!</v>
      </c>
      <c r="R348" s="188" t="e">
        <f>GETPIVOTDATA(#REF!,A348)*2</f>
        <v>#REF!</v>
      </c>
      <c r="S348" s="183" t="e">
        <f>(ROUND(E348/R348,0))*GETPIVOTDATA(#REF!,A348)</f>
        <v>#REF!</v>
      </c>
      <c r="T348" s="189" t="e">
        <f>GETPIVOTDATA(#REF!,A348)</f>
        <v>#REF!</v>
      </c>
      <c r="U348" s="189">
        <f>0.37+0.48</f>
        <v>0.85</v>
      </c>
      <c r="V348" s="189">
        <f t="shared" si="240"/>
        <v>-0.04</v>
      </c>
      <c r="W348" s="189">
        <f>4.22*0.3</f>
        <v>1.2659999999999998</v>
      </c>
      <c r="X348" s="188" t="e">
        <f t="shared" si="234"/>
        <v>#REF!</v>
      </c>
      <c r="Y348" s="183" t="e">
        <f>GETPIVOTDATA(#REF!,A348)</f>
        <v>#REF!</v>
      </c>
      <c r="Z348" s="188" t="e">
        <f>GETPIVOTDATA(#REF!,A348)*2</f>
        <v>#REF!</v>
      </c>
      <c r="AA348" s="183" t="e">
        <f>(ROUND(D348/Z348,0)+1)*GETPIVOTDATA(#REF!,A348)</f>
        <v>#REF!</v>
      </c>
      <c r="AB348" s="189" t="e">
        <f>GETPIVOTDATA(#REF!,A348)</f>
        <v>#REF!</v>
      </c>
      <c r="AC348" s="189">
        <f>0.3+0.53</f>
        <v>0.83000000000000007</v>
      </c>
      <c r="AD348" s="189">
        <f t="shared" si="241"/>
        <v>-0.04</v>
      </c>
      <c r="AE348" s="189">
        <f>4.557*0.3</f>
        <v>1.3671</v>
      </c>
      <c r="AF348" s="188" t="e">
        <f t="shared" si="230"/>
        <v>#REF!</v>
      </c>
      <c r="AG348" s="183" t="e">
        <f>GETPIVOTDATA(#REF!,A348)</f>
        <v>#REF!</v>
      </c>
      <c r="AH348" s="182" t="e">
        <f>GETPIVOTDATA(#REF!,A348)*2</f>
        <v>#REF!</v>
      </c>
      <c r="AI348" s="183" t="e">
        <f>(ROUND(D348/AH348,0))*GETPIVOTDATA(#REF!,A348)</f>
        <v>#REF!</v>
      </c>
      <c r="AJ348" s="189" t="e">
        <f>GETPIVOTDATA(#REF!,A348)</f>
        <v>#REF!</v>
      </c>
      <c r="AK348" s="189">
        <f>0.3+0.53</f>
        <v>0.83000000000000007</v>
      </c>
      <c r="AL348" s="189">
        <f t="shared" si="242"/>
        <v>-0.04</v>
      </c>
      <c r="AM348" s="189">
        <f>3.39*0.3</f>
        <v>1.0169999999999999</v>
      </c>
      <c r="AN348" s="188" t="e">
        <f t="shared" si="231"/>
        <v>#REF!</v>
      </c>
      <c r="AO348" s="183">
        <v>8</v>
      </c>
      <c r="AP348" s="182">
        <f t="shared" si="236"/>
        <v>10</v>
      </c>
      <c r="AQ348" s="182">
        <v>1.5</v>
      </c>
      <c r="AR348" s="187" t="e">
        <f t="shared" si="243"/>
        <v>#REF!</v>
      </c>
      <c r="AS348" s="187" t="e">
        <f t="shared" si="244"/>
        <v>#REF!</v>
      </c>
      <c r="AT348" s="187" t="e">
        <f t="shared" si="245"/>
        <v>#REF!</v>
      </c>
      <c r="AU348" s="187" t="e">
        <f t="shared" si="246"/>
        <v>#REF!</v>
      </c>
      <c r="AV348" s="187" t="e">
        <f t="shared" si="237"/>
        <v>#REF!</v>
      </c>
      <c r="AW348" s="187" t="e">
        <f t="shared" si="247"/>
        <v>#REF!</v>
      </c>
      <c r="AX348" s="187">
        <f t="shared" si="248"/>
        <v>15</v>
      </c>
      <c r="AY348" s="190"/>
      <c r="AZ348" s="240"/>
      <c r="BA348" s="232"/>
      <c r="BF348" s="206"/>
      <c r="BG348" s="206"/>
      <c r="BK348" s="126"/>
      <c r="BL348" s="126"/>
      <c r="BN348" s="126"/>
      <c r="BO348" s="126"/>
      <c r="BQ348" s="126"/>
      <c r="BR348" s="126"/>
      <c r="BT348" s="126"/>
      <c r="BU348" s="126"/>
      <c r="BW348" s="126"/>
      <c r="BX348" s="126"/>
      <c r="BZ348" s="126"/>
      <c r="CA348" s="126"/>
      <c r="CC348" s="126"/>
      <c r="CD348" s="126"/>
      <c r="CF348" s="126"/>
      <c r="CG348" s="126"/>
    </row>
    <row r="349" spans="1:85" s="197" customFormat="1" ht="27.6" x14ac:dyDescent="0.3">
      <c r="A349" s="182" t="s">
        <v>229</v>
      </c>
      <c r="B349" s="183">
        <v>1</v>
      </c>
      <c r="C349" s="184" t="s">
        <v>375</v>
      </c>
      <c r="D349" s="187">
        <v>4.22</v>
      </c>
      <c r="E349" s="187">
        <v>2.879</v>
      </c>
      <c r="F349" s="186">
        <v>0.13</v>
      </c>
      <c r="G349" s="187">
        <f t="shared" si="238"/>
        <v>1.5794193999999999</v>
      </c>
      <c r="H349" s="188">
        <f t="shared" si="235"/>
        <v>12.149379999999999</v>
      </c>
      <c r="I349" s="183" t="e">
        <f>GETPIVOTDATA(#REF!,A349)</f>
        <v>#REF!</v>
      </c>
      <c r="J349" s="188" t="e">
        <f>GETPIVOTDATA(#REF!,A349)*2</f>
        <v>#REF!</v>
      </c>
      <c r="K349" s="183" t="e">
        <f>(ROUND(E349/J349,0)+1)*GETPIVOTDATA(#REF!,A349)</f>
        <v>#REF!</v>
      </c>
      <c r="L349" s="189" t="e">
        <f>GETPIVOTDATA(#REF!,A349)</f>
        <v>#REF!</v>
      </c>
      <c r="M349" s="189">
        <f>0.48+0.3</f>
        <v>0.78</v>
      </c>
      <c r="N349" s="189">
        <f t="shared" si="239"/>
        <v>-0.04</v>
      </c>
      <c r="O349" s="189">
        <f>4.24*0.3</f>
        <v>1.272</v>
      </c>
      <c r="P349" s="188" t="e">
        <f t="shared" si="249"/>
        <v>#REF!</v>
      </c>
      <c r="Q349" s="183" t="e">
        <f>GETPIVOTDATA(#REF!,A349)</f>
        <v>#REF!</v>
      </c>
      <c r="R349" s="188" t="e">
        <f>GETPIVOTDATA(#REF!,A349)*2</f>
        <v>#REF!</v>
      </c>
      <c r="S349" s="183" t="e">
        <f>(ROUND(E349/R349,0))*GETPIVOTDATA(#REF!,A349)</f>
        <v>#REF!</v>
      </c>
      <c r="T349" s="189" t="e">
        <f>GETPIVOTDATA(#REF!,A349)</f>
        <v>#REF!</v>
      </c>
      <c r="U349" s="189">
        <f>0.48+0.3</f>
        <v>0.78</v>
      </c>
      <c r="V349" s="189">
        <f t="shared" si="240"/>
        <v>-0.04</v>
      </c>
      <c r="W349" s="189">
        <f>6*0.3</f>
        <v>1.7999999999999998</v>
      </c>
      <c r="X349" s="188" t="e">
        <f t="shared" si="234"/>
        <v>#REF!</v>
      </c>
      <c r="Y349" s="183" t="e">
        <f>GETPIVOTDATA(#REF!,A349)</f>
        <v>#REF!</v>
      </c>
      <c r="Z349" s="188" t="e">
        <f>GETPIVOTDATA(#REF!,A349)*2</f>
        <v>#REF!</v>
      </c>
      <c r="AA349" s="183" t="e">
        <f>(ROUND(D349/Z349,0)+1)*GETPIVOTDATA(#REF!,A349)</f>
        <v>#REF!</v>
      </c>
      <c r="AB349" s="189" t="e">
        <f>GETPIVOTDATA(#REF!,A349)</f>
        <v>#REF!</v>
      </c>
      <c r="AC349" s="189">
        <f>0.53+0.3</f>
        <v>0.83000000000000007</v>
      </c>
      <c r="AD349" s="189">
        <f t="shared" si="241"/>
        <v>-0.04</v>
      </c>
      <c r="AE349" s="189">
        <f>4.56*0.3</f>
        <v>1.3679999999999999</v>
      </c>
      <c r="AF349" s="188" t="e">
        <f t="shared" si="230"/>
        <v>#REF!</v>
      </c>
      <c r="AG349" s="183" t="e">
        <f>GETPIVOTDATA(#REF!,A349)</f>
        <v>#REF!</v>
      </c>
      <c r="AH349" s="182" t="e">
        <f>GETPIVOTDATA(#REF!,A349)*2</f>
        <v>#REF!</v>
      </c>
      <c r="AI349" s="183" t="e">
        <f>(ROUND(D349/AH349,0))*GETPIVOTDATA(#REF!,A349)</f>
        <v>#REF!</v>
      </c>
      <c r="AJ349" s="189" t="e">
        <f>GETPIVOTDATA(#REF!,A349)</f>
        <v>#REF!</v>
      </c>
      <c r="AK349" s="189">
        <f>0.53+0.3</f>
        <v>0.83000000000000007</v>
      </c>
      <c r="AL349" s="189">
        <f t="shared" si="242"/>
        <v>-0.04</v>
      </c>
      <c r="AM349" s="189">
        <f>3.35*0.3</f>
        <v>1.0049999999999999</v>
      </c>
      <c r="AN349" s="188" t="e">
        <f t="shared" si="231"/>
        <v>#REF!</v>
      </c>
      <c r="AO349" s="183">
        <v>8</v>
      </c>
      <c r="AP349" s="182">
        <f t="shared" si="236"/>
        <v>10</v>
      </c>
      <c r="AQ349" s="182">
        <v>1.5</v>
      </c>
      <c r="AR349" s="187" t="e">
        <f t="shared" si="243"/>
        <v>#REF!</v>
      </c>
      <c r="AS349" s="187" t="e">
        <f t="shared" si="244"/>
        <v>#REF!</v>
      </c>
      <c r="AT349" s="187" t="e">
        <f t="shared" si="245"/>
        <v>#REF!</v>
      </c>
      <c r="AU349" s="187" t="e">
        <f t="shared" si="246"/>
        <v>#REF!</v>
      </c>
      <c r="AV349" s="187" t="e">
        <f t="shared" si="237"/>
        <v>#REF!</v>
      </c>
      <c r="AW349" s="187" t="e">
        <f t="shared" si="247"/>
        <v>#REF!</v>
      </c>
      <c r="AX349" s="187">
        <f t="shared" si="248"/>
        <v>15</v>
      </c>
      <c r="AY349" s="190"/>
      <c r="AZ349" s="240"/>
      <c r="BA349" s="232"/>
      <c r="BF349" s="206"/>
      <c r="BG349" s="206"/>
      <c r="BK349" s="126"/>
      <c r="BL349" s="126"/>
      <c r="BN349" s="126"/>
      <c r="BO349" s="126"/>
      <c r="BQ349" s="126"/>
      <c r="BR349" s="126"/>
      <c r="BT349" s="126"/>
      <c r="BU349" s="126"/>
      <c r="BW349" s="126"/>
      <c r="BX349" s="126"/>
      <c r="BZ349" s="126"/>
      <c r="CA349" s="126"/>
      <c r="CC349" s="126"/>
      <c r="CD349" s="126"/>
      <c r="CF349" s="126"/>
      <c r="CG349" s="126"/>
    </row>
    <row r="350" spans="1:85" s="197" customFormat="1" ht="27.6" x14ac:dyDescent="0.3">
      <c r="A350" s="182" t="s">
        <v>259</v>
      </c>
      <c r="B350" s="183">
        <v>1</v>
      </c>
      <c r="C350" s="184" t="s">
        <v>376</v>
      </c>
      <c r="D350" s="187">
        <v>5.375</v>
      </c>
      <c r="E350" s="187">
        <v>5.31</v>
      </c>
      <c r="F350" s="186">
        <v>0.17499999999999999</v>
      </c>
      <c r="G350" s="187">
        <f t="shared" si="238"/>
        <v>4.9947187499999997</v>
      </c>
      <c r="H350" s="188">
        <f t="shared" si="235"/>
        <v>28.541249999999998</v>
      </c>
      <c r="I350" s="183" t="e">
        <f>GETPIVOTDATA(#REF!,A350)</f>
        <v>#REF!</v>
      </c>
      <c r="J350" s="188" t="e">
        <f>GETPIVOTDATA(#REF!,A350)*2</f>
        <v>#REF!</v>
      </c>
      <c r="K350" s="183" t="e">
        <f>(ROUND(E350/J350,0)+1)*GETPIVOTDATA(#REF!,A350)</f>
        <v>#REF!</v>
      </c>
      <c r="L350" s="189" t="e">
        <f>GETPIVOTDATA(#REF!,A350)</f>
        <v>#REF!</v>
      </c>
      <c r="M350" s="189">
        <f>0.45+0.3</f>
        <v>0.75</v>
      </c>
      <c r="N350" s="189">
        <f t="shared" si="239"/>
        <v>-0.04</v>
      </c>
      <c r="O350" s="189">
        <f>2.6*0.3</f>
        <v>0.78</v>
      </c>
      <c r="P350" s="188" t="e">
        <f t="shared" si="249"/>
        <v>#REF!</v>
      </c>
      <c r="Q350" s="183" t="e">
        <f>GETPIVOTDATA(#REF!,A350)</f>
        <v>#REF!</v>
      </c>
      <c r="R350" s="188" t="e">
        <f>GETPIVOTDATA(#REF!,A350)*2</f>
        <v>#REF!</v>
      </c>
      <c r="S350" s="183" t="e">
        <f>(ROUND(E350/R350,0))*GETPIVOTDATA(#REF!,A350)</f>
        <v>#REF!</v>
      </c>
      <c r="T350" s="189" t="e">
        <f>GETPIVOTDATA(#REF!,A350)</f>
        <v>#REF!</v>
      </c>
      <c r="U350" s="189">
        <f>0.45+0.3</f>
        <v>0.75</v>
      </c>
      <c r="V350" s="189">
        <f t="shared" si="240"/>
        <v>-0.04</v>
      </c>
      <c r="W350" s="189">
        <f>4.42*0.3</f>
        <v>1.3259999999999998</v>
      </c>
      <c r="X350" s="188" t="e">
        <f t="shared" si="234"/>
        <v>#REF!</v>
      </c>
      <c r="Y350" s="183" t="e">
        <f>GETPIVOTDATA(#REF!,A350)</f>
        <v>#REF!</v>
      </c>
      <c r="Z350" s="188" t="e">
        <f>GETPIVOTDATA(#REF!,A350)*2</f>
        <v>#REF!</v>
      </c>
      <c r="AA350" s="183" t="e">
        <f>(ROUND(D350/Z350,0)+1)*GETPIVOTDATA(#REF!,A350)</f>
        <v>#REF!</v>
      </c>
      <c r="AB350" s="189" t="e">
        <f>GETPIVOTDATA(#REF!,A350)</f>
        <v>#REF!</v>
      </c>
      <c r="AC350" s="189">
        <f t="shared" si="232"/>
        <v>0.6</v>
      </c>
      <c r="AD350" s="189">
        <f t="shared" si="241"/>
        <v>-0.04</v>
      </c>
      <c r="AE350" s="189">
        <f>5.85*0.3</f>
        <v>1.7549999999999999</v>
      </c>
      <c r="AF350" s="188" t="e">
        <f t="shared" si="230"/>
        <v>#REF!</v>
      </c>
      <c r="AG350" s="183" t="e">
        <f>GETPIVOTDATA(#REF!,A350)</f>
        <v>#REF!</v>
      </c>
      <c r="AH350" s="182" t="e">
        <f>GETPIVOTDATA(#REF!,A350)*2</f>
        <v>#REF!</v>
      </c>
      <c r="AI350" s="183" t="e">
        <f>(ROUND(D350/AH350,0))*GETPIVOTDATA(#REF!,A350)</f>
        <v>#REF!</v>
      </c>
      <c r="AJ350" s="189" t="e">
        <f>GETPIVOTDATA(#REF!,A350)</f>
        <v>#REF!</v>
      </c>
      <c r="AK350" s="189">
        <f t="shared" si="233"/>
        <v>0.6</v>
      </c>
      <c r="AL350" s="189">
        <f t="shared" si="242"/>
        <v>-0.04</v>
      </c>
      <c r="AM350" s="189">
        <f>2.6*0.3</f>
        <v>0.78</v>
      </c>
      <c r="AN350" s="188" t="e">
        <f t="shared" si="231"/>
        <v>#REF!</v>
      </c>
      <c r="AO350" s="183">
        <v>8</v>
      </c>
      <c r="AP350" s="182">
        <f t="shared" si="236"/>
        <v>16</v>
      </c>
      <c r="AQ350" s="182">
        <v>1.5</v>
      </c>
      <c r="AR350" s="187" t="e">
        <f t="shared" si="243"/>
        <v>#REF!</v>
      </c>
      <c r="AS350" s="187" t="e">
        <f t="shared" si="244"/>
        <v>#REF!</v>
      </c>
      <c r="AT350" s="187" t="e">
        <f t="shared" si="245"/>
        <v>#REF!</v>
      </c>
      <c r="AU350" s="187" t="e">
        <f t="shared" si="246"/>
        <v>#REF!</v>
      </c>
      <c r="AV350" s="187" t="e">
        <f t="shared" si="237"/>
        <v>#REF!</v>
      </c>
      <c r="AW350" s="187" t="e">
        <f t="shared" si="247"/>
        <v>#REF!</v>
      </c>
      <c r="AX350" s="187">
        <f t="shared" si="248"/>
        <v>24</v>
      </c>
      <c r="AY350" s="190"/>
      <c r="AZ350" s="240"/>
      <c r="BA350" s="232"/>
      <c r="BF350" s="206"/>
      <c r="BG350" s="206"/>
      <c r="BK350" s="126"/>
      <c r="BL350" s="126"/>
      <c r="BN350" s="126"/>
      <c r="BO350" s="126"/>
      <c r="BQ350" s="126"/>
      <c r="BR350" s="126"/>
      <c r="BT350" s="126"/>
      <c r="BU350" s="126"/>
      <c r="BW350" s="126"/>
      <c r="BX350" s="126"/>
      <c r="BZ350" s="126"/>
      <c r="CA350" s="126"/>
      <c r="CC350" s="126"/>
      <c r="CD350" s="126"/>
      <c r="CF350" s="126"/>
      <c r="CG350" s="126"/>
    </row>
    <row r="351" spans="1:85" s="197" customFormat="1" x14ac:dyDescent="0.3">
      <c r="A351" s="182" t="s">
        <v>225</v>
      </c>
      <c r="B351" s="183">
        <v>1</v>
      </c>
      <c r="C351" s="184" t="s">
        <v>377</v>
      </c>
      <c r="D351" s="187">
        <v>4.42</v>
      </c>
      <c r="E351" s="187">
        <v>5.31</v>
      </c>
      <c r="F351" s="186">
        <v>0.17499999999999999</v>
      </c>
      <c r="G351" s="187">
        <f t="shared" si="238"/>
        <v>4.1072849999999992</v>
      </c>
      <c r="H351" s="188">
        <f t="shared" si="235"/>
        <v>23.470199999999998</v>
      </c>
      <c r="I351" s="183" t="e">
        <f>GETPIVOTDATA(#REF!,A351)</f>
        <v>#REF!</v>
      </c>
      <c r="J351" s="188" t="e">
        <f>GETPIVOTDATA(#REF!,A351)*2</f>
        <v>#REF!</v>
      </c>
      <c r="K351" s="183" t="e">
        <f>(ROUND(E351/J351,0)+1)*GETPIVOTDATA(#REF!,A351)</f>
        <v>#REF!</v>
      </c>
      <c r="L351" s="189" t="e">
        <f>GETPIVOTDATA(#REF!,A351)</f>
        <v>#REF!</v>
      </c>
      <c r="M351" s="189">
        <f t="shared" ref="M351:M376" si="250">0.3*2</f>
        <v>0.6</v>
      </c>
      <c r="N351" s="189">
        <f t="shared" si="239"/>
        <v>-0.04</v>
      </c>
      <c r="O351" s="189">
        <f>5.375*0.3</f>
        <v>1.6125</v>
      </c>
      <c r="P351" s="188" t="e">
        <f t="shared" si="249"/>
        <v>#REF!</v>
      </c>
      <c r="Q351" s="183" t="e">
        <f>GETPIVOTDATA(#REF!,A351)</f>
        <v>#REF!</v>
      </c>
      <c r="R351" s="188" t="e">
        <f>GETPIVOTDATA(#REF!,A351)*2</f>
        <v>#REF!</v>
      </c>
      <c r="S351" s="183" t="e">
        <f>(ROUND(E351/R351,0))*GETPIVOTDATA(#REF!,A351)</f>
        <v>#REF!</v>
      </c>
      <c r="T351" s="189" t="e">
        <f>GETPIVOTDATA(#REF!,A351)</f>
        <v>#REF!</v>
      </c>
      <c r="U351" s="189">
        <f t="shared" ref="U351:U376" si="251">0.3*2</f>
        <v>0.6</v>
      </c>
      <c r="V351" s="189">
        <f t="shared" si="240"/>
        <v>-0.04</v>
      </c>
      <c r="W351" s="189">
        <f>3.81*0.3</f>
        <v>1.143</v>
      </c>
      <c r="X351" s="188" t="e">
        <f t="shared" si="234"/>
        <v>#REF!</v>
      </c>
      <c r="Y351" s="183" t="e">
        <f>GETPIVOTDATA(#REF!,A351)</f>
        <v>#REF!</v>
      </c>
      <c r="Z351" s="188" t="e">
        <f>GETPIVOTDATA(#REF!,A351)*2</f>
        <v>#REF!</v>
      </c>
      <c r="AA351" s="183" t="e">
        <f>(ROUND(D351/Z351,0)+1)*GETPIVOTDATA(#REF!,A351)</f>
        <v>#REF!</v>
      </c>
      <c r="AB351" s="189" t="e">
        <f>GETPIVOTDATA(#REF!,A351)</f>
        <v>#REF!</v>
      </c>
      <c r="AC351" s="189">
        <f t="shared" si="232"/>
        <v>0.6</v>
      </c>
      <c r="AD351" s="189">
        <f t="shared" si="241"/>
        <v>-0.04</v>
      </c>
      <c r="AE351" s="189">
        <f>5.85*0.3</f>
        <v>1.7549999999999999</v>
      </c>
      <c r="AF351" s="188" t="e">
        <f t="shared" ref="AF351:AF358" si="252">+E351+SUM(AB351:AE351)</f>
        <v>#REF!</v>
      </c>
      <c r="AG351" s="183" t="e">
        <f>GETPIVOTDATA(#REF!,A351)</f>
        <v>#REF!</v>
      </c>
      <c r="AH351" s="182" t="e">
        <f>GETPIVOTDATA(#REF!,A351)*2</f>
        <v>#REF!</v>
      </c>
      <c r="AI351" s="183" t="e">
        <f>(ROUND(D351/AH351,0))*GETPIVOTDATA(#REF!,A351)</f>
        <v>#REF!</v>
      </c>
      <c r="AJ351" s="189" t="e">
        <f>GETPIVOTDATA(#REF!,A351)</f>
        <v>#REF!</v>
      </c>
      <c r="AK351" s="189">
        <f t="shared" si="233"/>
        <v>0.6</v>
      </c>
      <c r="AL351" s="189">
        <f t="shared" si="242"/>
        <v>-0.04</v>
      </c>
      <c r="AM351" s="189">
        <f>2.6*0.3</f>
        <v>0.78</v>
      </c>
      <c r="AN351" s="188" t="e">
        <f t="shared" ref="AN351:AN376" si="253">+E351+SUM(AJ351:AM351)</f>
        <v>#REF!</v>
      </c>
      <c r="AO351" s="183">
        <v>8</v>
      </c>
      <c r="AP351" s="182">
        <f t="shared" si="236"/>
        <v>14</v>
      </c>
      <c r="AQ351" s="182">
        <v>1.5</v>
      </c>
      <c r="AR351" s="187" t="e">
        <f t="shared" si="243"/>
        <v>#REF!</v>
      </c>
      <c r="AS351" s="187" t="e">
        <f t="shared" si="244"/>
        <v>#REF!</v>
      </c>
      <c r="AT351" s="187" t="e">
        <f t="shared" si="245"/>
        <v>#REF!</v>
      </c>
      <c r="AU351" s="187" t="e">
        <f t="shared" si="246"/>
        <v>#REF!</v>
      </c>
      <c r="AV351" s="187" t="e">
        <f t="shared" si="237"/>
        <v>#REF!</v>
      </c>
      <c r="AW351" s="187" t="e">
        <f t="shared" si="247"/>
        <v>#REF!</v>
      </c>
      <c r="AX351" s="187">
        <f t="shared" si="248"/>
        <v>21</v>
      </c>
      <c r="AY351" s="190"/>
      <c r="AZ351" s="240"/>
      <c r="BA351" s="232"/>
      <c r="BF351" s="206"/>
      <c r="BG351" s="206"/>
      <c r="BK351" s="126"/>
      <c r="BL351" s="126"/>
      <c r="BN351" s="126"/>
      <c r="BO351" s="126"/>
      <c r="BQ351" s="126"/>
      <c r="BR351" s="126"/>
      <c r="BT351" s="126"/>
      <c r="BU351" s="126"/>
      <c r="BW351" s="126"/>
      <c r="BX351" s="126"/>
      <c r="BZ351" s="126"/>
      <c r="CA351" s="126"/>
      <c r="CC351" s="126"/>
      <c r="CD351" s="126"/>
      <c r="CF351" s="126"/>
      <c r="CG351" s="126"/>
    </row>
    <row r="352" spans="1:85" s="197" customFormat="1" x14ac:dyDescent="0.3">
      <c r="A352" s="182" t="s">
        <v>227</v>
      </c>
      <c r="B352" s="183">
        <v>1</v>
      </c>
      <c r="C352" s="184" t="s">
        <v>378</v>
      </c>
      <c r="D352" s="187">
        <v>3.81</v>
      </c>
      <c r="E352" s="187">
        <v>2.0499999999999998</v>
      </c>
      <c r="F352" s="186">
        <v>0.125</v>
      </c>
      <c r="G352" s="187">
        <f t="shared" si="238"/>
        <v>0.97631249999999992</v>
      </c>
      <c r="H352" s="188">
        <f t="shared" si="235"/>
        <v>7.8104999999999993</v>
      </c>
      <c r="I352" s="183" t="e">
        <f>GETPIVOTDATA(#REF!,A352)</f>
        <v>#REF!</v>
      </c>
      <c r="J352" s="188" t="e">
        <f>GETPIVOTDATA(#REF!,A352)*2</f>
        <v>#REF!</v>
      </c>
      <c r="K352" s="183" t="e">
        <f>(ROUND(E352/J352,0)+1)*GETPIVOTDATA(#REF!,A352)</f>
        <v>#REF!</v>
      </c>
      <c r="L352" s="189" t="e">
        <f>GETPIVOTDATA(#REF!,A352)</f>
        <v>#REF!</v>
      </c>
      <c r="M352" s="189">
        <f t="shared" si="250"/>
        <v>0.6</v>
      </c>
      <c r="N352" s="189">
        <f t="shared" si="239"/>
        <v>-0.04</v>
      </c>
      <c r="O352" s="189">
        <f>4.42*0.3</f>
        <v>1.3259999999999998</v>
      </c>
      <c r="P352" s="188" t="e">
        <f t="shared" si="249"/>
        <v>#REF!</v>
      </c>
      <c r="Q352" s="183" t="e">
        <f>GETPIVOTDATA(#REF!,A352)</f>
        <v>#REF!</v>
      </c>
      <c r="R352" s="188" t="e">
        <f>GETPIVOTDATA(#REF!,A352)*2</f>
        <v>#REF!</v>
      </c>
      <c r="S352" s="183" t="e">
        <f>(ROUND(E352/R352,0))*GETPIVOTDATA(#REF!,A352)</f>
        <v>#REF!</v>
      </c>
      <c r="T352" s="189" t="e">
        <f>GETPIVOTDATA(#REF!,A352)</f>
        <v>#REF!</v>
      </c>
      <c r="U352" s="189">
        <f t="shared" si="251"/>
        <v>0.6</v>
      </c>
      <c r="V352" s="189">
        <f t="shared" si="240"/>
        <v>-0.04</v>
      </c>
      <c r="W352" s="189">
        <f>4.49*0.3</f>
        <v>1.347</v>
      </c>
      <c r="X352" s="188" t="e">
        <f t="shared" si="234"/>
        <v>#REF!</v>
      </c>
      <c r="Y352" s="183" t="e">
        <f>GETPIVOTDATA(#REF!,A352)</f>
        <v>#REF!</v>
      </c>
      <c r="Z352" s="188" t="e">
        <f>GETPIVOTDATA(#REF!,A352)*2</f>
        <v>#REF!</v>
      </c>
      <c r="AA352" s="183" t="e">
        <f>(ROUND(D352/Z352,0)+1)*GETPIVOTDATA(#REF!,A352)</f>
        <v>#REF!</v>
      </c>
      <c r="AB352" s="189" t="e">
        <f>GETPIVOTDATA(#REF!,A352)</f>
        <v>#REF!</v>
      </c>
      <c r="AC352" s="189">
        <f>0.23*2</f>
        <v>0.46</v>
      </c>
      <c r="AD352" s="189">
        <f t="shared" si="241"/>
        <v>-0.04</v>
      </c>
      <c r="AE352" s="189">
        <f>3.34*0.3</f>
        <v>1.002</v>
      </c>
      <c r="AF352" s="188" t="e">
        <f t="shared" si="252"/>
        <v>#REF!</v>
      </c>
      <c r="AG352" s="183" t="e">
        <f>GETPIVOTDATA(#REF!,A352)</f>
        <v>#REF!</v>
      </c>
      <c r="AH352" s="182" t="e">
        <f>GETPIVOTDATA(#REF!,A352)*2</f>
        <v>#REF!</v>
      </c>
      <c r="AI352" s="183" t="e">
        <f>(ROUND(D352/AH352,0))*GETPIVOTDATA(#REF!,A352)</f>
        <v>#REF!</v>
      </c>
      <c r="AJ352" s="189" t="e">
        <f>GETPIVOTDATA(#REF!,A352)</f>
        <v>#REF!</v>
      </c>
      <c r="AK352" s="189">
        <f>0.23*2</f>
        <v>0.46</v>
      </c>
      <c r="AL352" s="189">
        <f t="shared" si="242"/>
        <v>-0.04</v>
      </c>
      <c r="AM352" s="189">
        <f>1.29*0.3</f>
        <v>0.38700000000000001</v>
      </c>
      <c r="AN352" s="188" t="e">
        <f t="shared" si="253"/>
        <v>#REF!</v>
      </c>
      <c r="AO352" s="183">
        <v>8</v>
      </c>
      <c r="AP352" s="182">
        <f t="shared" si="236"/>
        <v>8</v>
      </c>
      <c r="AQ352" s="182">
        <v>1.5</v>
      </c>
      <c r="AR352" s="187" t="e">
        <f t="shared" si="243"/>
        <v>#REF!</v>
      </c>
      <c r="AS352" s="187" t="e">
        <f t="shared" si="244"/>
        <v>#REF!</v>
      </c>
      <c r="AT352" s="187" t="e">
        <f t="shared" si="245"/>
        <v>#REF!</v>
      </c>
      <c r="AU352" s="187" t="e">
        <f t="shared" si="246"/>
        <v>#REF!</v>
      </c>
      <c r="AV352" s="187" t="e">
        <f t="shared" si="237"/>
        <v>#REF!</v>
      </c>
      <c r="AW352" s="187" t="e">
        <f t="shared" si="247"/>
        <v>#REF!</v>
      </c>
      <c r="AX352" s="187">
        <f t="shared" si="248"/>
        <v>12</v>
      </c>
      <c r="AY352" s="190"/>
      <c r="AZ352" s="240"/>
      <c r="BA352" s="232"/>
      <c r="BF352" s="206"/>
      <c r="BG352" s="206"/>
      <c r="BK352" s="126"/>
      <c r="BL352" s="126"/>
      <c r="BN352" s="126"/>
      <c r="BO352" s="126"/>
      <c r="BQ352" s="126"/>
      <c r="BR352" s="126"/>
      <c r="BT352" s="126"/>
      <c r="BU352" s="126"/>
      <c r="BW352" s="126"/>
      <c r="BX352" s="126"/>
      <c r="BZ352" s="126"/>
      <c r="CA352" s="126"/>
      <c r="CC352" s="126"/>
      <c r="CD352" s="126"/>
      <c r="CF352" s="126"/>
      <c r="CG352" s="126"/>
    </row>
    <row r="353" spans="1:85" s="197" customFormat="1" x14ac:dyDescent="0.3">
      <c r="A353" s="182" t="s">
        <v>230</v>
      </c>
      <c r="B353" s="183">
        <v>1</v>
      </c>
      <c r="C353" s="184" t="s">
        <v>379</v>
      </c>
      <c r="D353" s="187">
        <v>3.81</v>
      </c>
      <c r="E353" s="187">
        <v>3.34</v>
      </c>
      <c r="F353" s="186">
        <v>0.16500000000000001</v>
      </c>
      <c r="G353" s="187">
        <f t="shared" si="238"/>
        <v>2.099691</v>
      </c>
      <c r="H353" s="188">
        <f t="shared" si="235"/>
        <v>12.7254</v>
      </c>
      <c r="I353" s="183" t="e">
        <f>GETPIVOTDATA(#REF!,A353)</f>
        <v>#REF!</v>
      </c>
      <c r="J353" s="188" t="e">
        <f>GETPIVOTDATA(#REF!,A353)*2</f>
        <v>#REF!</v>
      </c>
      <c r="K353" s="183" t="e">
        <f>(ROUND(E353/J353,0)+1)*GETPIVOTDATA(#REF!,A353)</f>
        <v>#REF!</v>
      </c>
      <c r="L353" s="189" t="e">
        <f>GETPIVOTDATA(#REF!,A353)</f>
        <v>#REF!</v>
      </c>
      <c r="M353" s="189">
        <f t="shared" si="250"/>
        <v>0.6</v>
      </c>
      <c r="N353" s="189">
        <f t="shared" si="239"/>
        <v>-0.04</v>
      </c>
      <c r="O353" s="189">
        <f>4.42*0.3</f>
        <v>1.3259999999999998</v>
      </c>
      <c r="P353" s="188" t="e">
        <f t="shared" si="249"/>
        <v>#REF!</v>
      </c>
      <c r="Q353" s="183" t="e">
        <f>GETPIVOTDATA(#REF!,A353)</f>
        <v>#REF!</v>
      </c>
      <c r="R353" s="188" t="e">
        <f>GETPIVOTDATA(#REF!,A353)*2</f>
        <v>#REF!</v>
      </c>
      <c r="S353" s="183" t="e">
        <f>(ROUND(E353/R353,0))*GETPIVOTDATA(#REF!,A353)</f>
        <v>#REF!</v>
      </c>
      <c r="T353" s="189" t="e">
        <f>GETPIVOTDATA(#REF!,A353)</f>
        <v>#REF!</v>
      </c>
      <c r="U353" s="189">
        <f t="shared" si="251"/>
        <v>0.6</v>
      </c>
      <c r="V353" s="189">
        <f t="shared" si="240"/>
        <v>-0.04</v>
      </c>
      <c r="W353" s="189">
        <f>4.49*0.3</f>
        <v>1.347</v>
      </c>
      <c r="X353" s="188" t="e">
        <f t="shared" si="234"/>
        <v>#REF!</v>
      </c>
      <c r="Y353" s="183" t="e">
        <f>GETPIVOTDATA(#REF!,A353)</f>
        <v>#REF!</v>
      </c>
      <c r="Z353" s="188" t="e">
        <f>GETPIVOTDATA(#REF!,A353)*2</f>
        <v>#REF!</v>
      </c>
      <c r="AA353" s="183" t="e">
        <f>(ROUND(D353/Z353,0)+1)*GETPIVOTDATA(#REF!,A353)</f>
        <v>#REF!</v>
      </c>
      <c r="AB353" s="189" t="e">
        <f>GETPIVOTDATA(#REF!,A353)</f>
        <v>#REF!</v>
      </c>
      <c r="AC353" s="189">
        <f>0.3+0.23</f>
        <v>0.53</v>
      </c>
      <c r="AD353" s="189">
        <f t="shared" si="241"/>
        <v>-0.04</v>
      </c>
      <c r="AE353" s="189">
        <f>5.85*0.3</f>
        <v>1.7549999999999999</v>
      </c>
      <c r="AF353" s="188" t="e">
        <f t="shared" si="252"/>
        <v>#REF!</v>
      </c>
      <c r="AG353" s="183" t="e">
        <f>GETPIVOTDATA(#REF!,A353)</f>
        <v>#REF!</v>
      </c>
      <c r="AH353" s="182" t="e">
        <f>GETPIVOTDATA(#REF!,A353)*2</f>
        <v>#REF!</v>
      </c>
      <c r="AI353" s="183" t="e">
        <f>(ROUND(D353/AH353,0))*GETPIVOTDATA(#REF!,A353)</f>
        <v>#REF!</v>
      </c>
      <c r="AJ353" s="189" t="e">
        <f>GETPIVOTDATA(#REF!,A353)</f>
        <v>#REF!</v>
      </c>
      <c r="AK353" s="189">
        <f>0.3+0.23</f>
        <v>0.53</v>
      </c>
      <c r="AL353" s="189">
        <f t="shared" si="242"/>
        <v>-0.04</v>
      </c>
      <c r="AM353" s="189">
        <f>2.05*0.3</f>
        <v>0.61499999999999988</v>
      </c>
      <c r="AN353" s="188" t="e">
        <f t="shared" si="253"/>
        <v>#REF!</v>
      </c>
      <c r="AO353" s="183">
        <v>8</v>
      </c>
      <c r="AP353" s="182">
        <f t="shared" si="236"/>
        <v>10</v>
      </c>
      <c r="AQ353" s="182">
        <v>1.5</v>
      </c>
      <c r="AR353" s="187" t="e">
        <f t="shared" si="243"/>
        <v>#REF!</v>
      </c>
      <c r="AS353" s="187" t="e">
        <f t="shared" si="244"/>
        <v>#REF!</v>
      </c>
      <c r="AT353" s="187" t="e">
        <f t="shared" si="245"/>
        <v>#REF!</v>
      </c>
      <c r="AU353" s="187" t="e">
        <f t="shared" si="246"/>
        <v>#REF!</v>
      </c>
      <c r="AV353" s="187" t="e">
        <f t="shared" si="237"/>
        <v>#REF!</v>
      </c>
      <c r="AW353" s="187" t="e">
        <f t="shared" si="247"/>
        <v>#REF!</v>
      </c>
      <c r="AX353" s="187">
        <f t="shared" si="248"/>
        <v>15</v>
      </c>
      <c r="AY353" s="190"/>
      <c r="AZ353" s="240"/>
      <c r="BA353" s="232"/>
      <c r="BF353" s="206"/>
      <c r="BG353" s="206"/>
      <c r="BK353" s="126"/>
      <c r="BL353" s="126"/>
      <c r="BN353" s="126"/>
      <c r="BO353" s="126"/>
      <c r="BQ353" s="126"/>
      <c r="BR353" s="126"/>
      <c r="BT353" s="126"/>
      <c r="BU353" s="126"/>
      <c r="BW353" s="126"/>
      <c r="BX353" s="126"/>
      <c r="BZ353" s="126"/>
      <c r="CA353" s="126"/>
      <c r="CC353" s="126"/>
      <c r="CD353" s="126"/>
      <c r="CF353" s="126"/>
      <c r="CG353" s="126"/>
    </row>
    <row r="354" spans="1:85" s="197" customFormat="1" x14ac:dyDescent="0.3">
      <c r="A354" s="182" t="s">
        <v>225</v>
      </c>
      <c r="B354" s="183">
        <v>1</v>
      </c>
      <c r="C354" s="184" t="s">
        <v>380</v>
      </c>
      <c r="D354" s="187">
        <v>4.49</v>
      </c>
      <c r="E354" s="187">
        <v>5.31</v>
      </c>
      <c r="F354" s="186">
        <v>0.17499999999999999</v>
      </c>
      <c r="G354" s="187">
        <f t="shared" si="238"/>
        <v>4.1723324999999996</v>
      </c>
      <c r="H354" s="188">
        <f t="shared" si="235"/>
        <v>23.841899999999999</v>
      </c>
      <c r="I354" s="183" t="e">
        <f>GETPIVOTDATA(#REF!,A354)</f>
        <v>#REF!</v>
      </c>
      <c r="J354" s="188" t="e">
        <f>GETPIVOTDATA(#REF!,A354)*2</f>
        <v>#REF!</v>
      </c>
      <c r="K354" s="183" t="e">
        <f>(ROUND(E354/J354,0)+1)*GETPIVOTDATA(#REF!,A354)</f>
        <v>#REF!</v>
      </c>
      <c r="L354" s="189" t="e">
        <f>GETPIVOTDATA(#REF!,A354)</f>
        <v>#REF!</v>
      </c>
      <c r="M354" s="189">
        <f>0.3+0.23</f>
        <v>0.53</v>
      </c>
      <c r="N354" s="189">
        <f t="shared" si="239"/>
        <v>-0.04</v>
      </c>
      <c r="O354" s="189">
        <f>3.81*0.3</f>
        <v>1.143</v>
      </c>
      <c r="P354" s="188" t="e">
        <f t="shared" si="249"/>
        <v>#REF!</v>
      </c>
      <c r="Q354" s="183" t="e">
        <f>GETPIVOTDATA(#REF!,A354)</f>
        <v>#REF!</v>
      </c>
      <c r="R354" s="188" t="e">
        <f>GETPIVOTDATA(#REF!,A354)*2</f>
        <v>#REF!</v>
      </c>
      <c r="S354" s="183" t="e">
        <f>(ROUND(E354/R354,0))*GETPIVOTDATA(#REF!,A354)</f>
        <v>#REF!</v>
      </c>
      <c r="T354" s="189" t="e">
        <f>GETPIVOTDATA(#REF!,A354)</f>
        <v>#REF!</v>
      </c>
      <c r="U354" s="189">
        <f>0.3+0.23</f>
        <v>0.53</v>
      </c>
      <c r="V354" s="189">
        <f t="shared" si="240"/>
        <v>-0.04</v>
      </c>
      <c r="W354" s="189">
        <f>4.08*0.3</f>
        <v>1.224</v>
      </c>
      <c r="X354" s="188" t="e">
        <f t="shared" si="234"/>
        <v>#REF!</v>
      </c>
      <c r="Y354" s="183" t="e">
        <f>GETPIVOTDATA(#REF!,A354)</f>
        <v>#REF!</v>
      </c>
      <c r="Z354" s="188" t="e">
        <f>GETPIVOTDATA(#REF!,A354)*2</f>
        <v>#REF!</v>
      </c>
      <c r="AA354" s="183" t="e">
        <f>(ROUND(D354/Z354,0)+1)*GETPIVOTDATA(#REF!,A354)</f>
        <v>#REF!</v>
      </c>
      <c r="AB354" s="189" t="e">
        <f>GETPIVOTDATA(#REF!,A354)</f>
        <v>#REF!</v>
      </c>
      <c r="AC354" s="189">
        <f>0.3+0.23</f>
        <v>0.53</v>
      </c>
      <c r="AD354" s="189">
        <f t="shared" si="241"/>
        <v>-0.04</v>
      </c>
      <c r="AE354" s="189">
        <f>5.85*0.3</f>
        <v>1.7549999999999999</v>
      </c>
      <c r="AF354" s="188" t="e">
        <f t="shared" si="252"/>
        <v>#REF!</v>
      </c>
      <c r="AG354" s="183" t="e">
        <f>GETPIVOTDATA(#REF!,A354)</f>
        <v>#REF!</v>
      </c>
      <c r="AH354" s="182" t="e">
        <f>GETPIVOTDATA(#REF!,A354)*2</f>
        <v>#REF!</v>
      </c>
      <c r="AI354" s="183" t="e">
        <f>(ROUND(D354/AH354,0))*GETPIVOTDATA(#REF!,A354)</f>
        <v>#REF!</v>
      </c>
      <c r="AJ354" s="189" t="e">
        <f>GETPIVOTDATA(#REF!,A354)</f>
        <v>#REF!</v>
      </c>
      <c r="AK354" s="189">
        <f>0.3+0.23</f>
        <v>0.53</v>
      </c>
      <c r="AL354" s="189">
        <f t="shared" si="242"/>
        <v>-0.04</v>
      </c>
      <c r="AM354" s="189">
        <f>2.6*0.3</f>
        <v>0.78</v>
      </c>
      <c r="AN354" s="188" t="e">
        <f t="shared" si="253"/>
        <v>#REF!</v>
      </c>
      <c r="AO354" s="183">
        <v>8</v>
      </c>
      <c r="AP354" s="182">
        <f t="shared" si="236"/>
        <v>14</v>
      </c>
      <c r="AQ354" s="182">
        <v>1.5</v>
      </c>
      <c r="AR354" s="187" t="e">
        <f t="shared" si="243"/>
        <v>#REF!</v>
      </c>
      <c r="AS354" s="187" t="e">
        <f t="shared" si="244"/>
        <v>#REF!</v>
      </c>
      <c r="AT354" s="187" t="e">
        <f t="shared" si="245"/>
        <v>#REF!</v>
      </c>
      <c r="AU354" s="187" t="e">
        <f t="shared" si="246"/>
        <v>#REF!</v>
      </c>
      <c r="AV354" s="187" t="e">
        <f t="shared" si="237"/>
        <v>#REF!</v>
      </c>
      <c r="AW354" s="187" t="e">
        <f t="shared" si="247"/>
        <v>#REF!</v>
      </c>
      <c r="AX354" s="187">
        <f t="shared" si="248"/>
        <v>21</v>
      </c>
      <c r="AY354" s="190"/>
      <c r="AZ354" s="240"/>
      <c r="BA354" s="232"/>
      <c r="BF354" s="206"/>
      <c r="BG354" s="206"/>
      <c r="BK354" s="126"/>
      <c r="BL354" s="126"/>
      <c r="BN354" s="126"/>
      <c r="BO354" s="126"/>
      <c r="BQ354" s="126"/>
      <c r="BR354" s="126"/>
      <c r="BT354" s="126"/>
      <c r="BU354" s="126"/>
      <c r="BW354" s="126"/>
      <c r="BX354" s="126"/>
      <c r="BZ354" s="126"/>
      <c r="CA354" s="126"/>
      <c r="CC354" s="126"/>
      <c r="CD354" s="126"/>
      <c r="CF354" s="126"/>
      <c r="CG354" s="126"/>
    </row>
    <row r="355" spans="1:85" s="197" customFormat="1" ht="27.6" x14ac:dyDescent="0.3">
      <c r="A355" s="182" t="s">
        <v>225</v>
      </c>
      <c r="B355" s="183">
        <v>1</v>
      </c>
      <c r="C355" s="184" t="s">
        <v>381</v>
      </c>
      <c r="D355" s="187">
        <v>4.08</v>
      </c>
      <c r="E355" s="187">
        <v>5.31</v>
      </c>
      <c r="F355" s="186">
        <v>0.17499999999999999</v>
      </c>
      <c r="G355" s="187">
        <f t="shared" si="238"/>
        <v>3.7913399999999995</v>
      </c>
      <c r="H355" s="188">
        <f t="shared" si="235"/>
        <v>21.6648</v>
      </c>
      <c r="I355" s="183" t="e">
        <f>GETPIVOTDATA(#REF!,A355)</f>
        <v>#REF!</v>
      </c>
      <c r="J355" s="188" t="e">
        <f>GETPIVOTDATA(#REF!,A355)*2</f>
        <v>#REF!</v>
      </c>
      <c r="K355" s="183" t="e">
        <f>(ROUND(E355/J355,0)+1)*GETPIVOTDATA(#REF!,A355)</f>
        <v>#REF!</v>
      </c>
      <c r="L355" s="189" t="e">
        <f>GETPIVOTDATA(#REF!,A355)</f>
        <v>#REF!</v>
      </c>
      <c r="M355" s="189">
        <f>0.3+0.23</f>
        <v>0.53</v>
      </c>
      <c r="N355" s="189">
        <f t="shared" si="239"/>
        <v>-0.04</v>
      </c>
      <c r="O355" s="189">
        <f>4.49*0.3</f>
        <v>1.347</v>
      </c>
      <c r="P355" s="188" t="e">
        <f t="shared" si="249"/>
        <v>#REF!</v>
      </c>
      <c r="Q355" s="183" t="e">
        <f>GETPIVOTDATA(#REF!,A355)</f>
        <v>#REF!</v>
      </c>
      <c r="R355" s="188" t="e">
        <f>GETPIVOTDATA(#REF!,A355)*2</f>
        <v>#REF!</v>
      </c>
      <c r="S355" s="183" t="e">
        <f>(ROUND(E355/R355,0))*GETPIVOTDATA(#REF!,A355)</f>
        <v>#REF!</v>
      </c>
      <c r="T355" s="189" t="e">
        <f>GETPIVOTDATA(#REF!,A355)</f>
        <v>#REF!</v>
      </c>
      <c r="U355" s="189">
        <f>0.3+0.23</f>
        <v>0.53</v>
      </c>
      <c r="V355" s="189">
        <f t="shared" si="240"/>
        <v>-0.04</v>
      </c>
      <c r="W355" s="189">
        <f>3.198*0.3</f>
        <v>0.95939999999999992</v>
      </c>
      <c r="X355" s="188" t="e">
        <f t="shared" si="234"/>
        <v>#REF!</v>
      </c>
      <c r="Y355" s="183" t="e">
        <f>GETPIVOTDATA(#REF!,A355)</f>
        <v>#REF!</v>
      </c>
      <c r="Z355" s="188" t="e">
        <f>GETPIVOTDATA(#REF!,A355)*2</f>
        <v>#REF!</v>
      </c>
      <c r="AA355" s="183" t="e">
        <f>(ROUND(D355/Z355,0)+1)*GETPIVOTDATA(#REF!,A355)</f>
        <v>#REF!</v>
      </c>
      <c r="AB355" s="189" t="e">
        <f>GETPIVOTDATA(#REF!,A355)</f>
        <v>#REF!</v>
      </c>
      <c r="AC355" s="189">
        <f t="shared" ref="AC355:AC376" si="254">0.3*2</f>
        <v>0.6</v>
      </c>
      <c r="AD355" s="189">
        <f t="shared" si="241"/>
        <v>-0.04</v>
      </c>
      <c r="AE355" s="189">
        <f>5.85*0.3</f>
        <v>1.7549999999999999</v>
      </c>
      <c r="AF355" s="188" t="e">
        <f t="shared" si="252"/>
        <v>#REF!</v>
      </c>
      <c r="AG355" s="183" t="e">
        <f>GETPIVOTDATA(#REF!,A355)</f>
        <v>#REF!</v>
      </c>
      <c r="AH355" s="182" t="e">
        <f>GETPIVOTDATA(#REF!,A355)*2</f>
        <v>#REF!</v>
      </c>
      <c r="AI355" s="183" t="e">
        <f>(ROUND(D355/AH355,0))*GETPIVOTDATA(#REF!,A355)</f>
        <v>#REF!</v>
      </c>
      <c r="AJ355" s="189" t="e">
        <f>GETPIVOTDATA(#REF!,A355)</f>
        <v>#REF!</v>
      </c>
      <c r="AK355" s="189">
        <f t="shared" ref="AK355:AK376" si="255">0.3*2</f>
        <v>0.6</v>
      </c>
      <c r="AL355" s="189">
        <f t="shared" si="242"/>
        <v>-0.04</v>
      </c>
      <c r="AM355" s="189">
        <f>2.6*0.3</f>
        <v>0.78</v>
      </c>
      <c r="AN355" s="188" t="e">
        <f t="shared" si="253"/>
        <v>#REF!</v>
      </c>
      <c r="AO355" s="183">
        <v>8</v>
      </c>
      <c r="AP355" s="182">
        <f t="shared" si="236"/>
        <v>14</v>
      </c>
      <c r="AQ355" s="182">
        <v>1.5</v>
      </c>
      <c r="AR355" s="187" t="e">
        <f t="shared" si="243"/>
        <v>#REF!</v>
      </c>
      <c r="AS355" s="187" t="e">
        <f t="shared" si="244"/>
        <v>#REF!</v>
      </c>
      <c r="AT355" s="187" t="e">
        <f t="shared" si="245"/>
        <v>#REF!</v>
      </c>
      <c r="AU355" s="187" t="e">
        <f t="shared" si="246"/>
        <v>#REF!</v>
      </c>
      <c r="AV355" s="187" t="e">
        <f t="shared" si="237"/>
        <v>#REF!</v>
      </c>
      <c r="AW355" s="187" t="e">
        <f t="shared" si="247"/>
        <v>#REF!</v>
      </c>
      <c r="AX355" s="187">
        <f t="shared" si="248"/>
        <v>21</v>
      </c>
      <c r="AY355" s="190"/>
      <c r="AZ355" s="240"/>
      <c r="BA355" s="232"/>
      <c r="BF355" s="206"/>
      <c r="BG355" s="206"/>
      <c r="BK355" s="126"/>
      <c r="BL355" s="126"/>
      <c r="BN355" s="126"/>
      <c r="BO355" s="126"/>
      <c r="BQ355" s="126"/>
      <c r="BR355" s="126"/>
      <c r="BT355" s="126"/>
      <c r="BU355" s="126"/>
      <c r="BW355" s="126"/>
      <c r="BX355" s="126"/>
      <c r="BZ355" s="126"/>
      <c r="CA355" s="126"/>
      <c r="CC355" s="126"/>
      <c r="CD355" s="126"/>
      <c r="CF355" s="126"/>
      <c r="CG355" s="126"/>
    </row>
    <row r="356" spans="1:85" s="197" customFormat="1" ht="27.6" x14ac:dyDescent="0.3">
      <c r="A356" s="182" t="s">
        <v>240</v>
      </c>
      <c r="B356" s="183">
        <v>1</v>
      </c>
      <c r="C356" s="184" t="s">
        <v>382</v>
      </c>
      <c r="D356" s="187">
        <v>3.198</v>
      </c>
      <c r="E356" s="187">
        <v>4.5570000000000004</v>
      </c>
      <c r="F356" s="186">
        <v>0.16</v>
      </c>
      <c r="G356" s="187">
        <f t="shared" si="238"/>
        <v>2.3317257600000003</v>
      </c>
      <c r="H356" s="188">
        <f t="shared" si="235"/>
        <v>14.573286000000001</v>
      </c>
      <c r="I356" s="183" t="e">
        <f>GETPIVOTDATA(#REF!,A356)</f>
        <v>#REF!</v>
      </c>
      <c r="J356" s="188" t="e">
        <f>GETPIVOTDATA(#REF!,A356)*2</f>
        <v>#REF!</v>
      </c>
      <c r="K356" s="183" t="e">
        <f>(ROUND(E356/J356,0)+1)*GETPIVOTDATA(#REF!,A356)</f>
        <v>#REF!</v>
      </c>
      <c r="L356" s="189" t="e">
        <f>GETPIVOTDATA(#REF!,A356)</f>
        <v>#REF!</v>
      </c>
      <c r="M356" s="189">
        <f t="shared" si="250"/>
        <v>0.6</v>
      </c>
      <c r="N356" s="189">
        <f t="shared" si="239"/>
        <v>-0.04</v>
      </c>
      <c r="O356" s="189">
        <f>4.08*0.3</f>
        <v>1.224</v>
      </c>
      <c r="P356" s="188" t="e">
        <f t="shared" si="249"/>
        <v>#REF!</v>
      </c>
      <c r="Q356" s="183" t="e">
        <f>GETPIVOTDATA(#REF!,A356)</f>
        <v>#REF!</v>
      </c>
      <c r="R356" s="188" t="e">
        <f>GETPIVOTDATA(#REF!,A356)*2</f>
        <v>#REF!</v>
      </c>
      <c r="S356" s="183" t="e">
        <f>(ROUND(E356/R356,0))*GETPIVOTDATA(#REF!,A356)</f>
        <v>#REF!</v>
      </c>
      <c r="T356" s="189" t="e">
        <f>GETPIVOTDATA(#REF!,A356)</f>
        <v>#REF!</v>
      </c>
      <c r="U356" s="189">
        <f t="shared" si="251"/>
        <v>0.6</v>
      </c>
      <c r="V356" s="189">
        <f t="shared" si="240"/>
        <v>-0.04</v>
      </c>
      <c r="W356" s="189">
        <f>4.86*0.3</f>
        <v>1.458</v>
      </c>
      <c r="X356" s="188" t="e">
        <f t="shared" si="234"/>
        <v>#REF!</v>
      </c>
      <c r="Y356" s="183" t="e">
        <f>GETPIVOTDATA(#REF!,A356)</f>
        <v>#REF!</v>
      </c>
      <c r="Z356" s="188" t="e">
        <f>GETPIVOTDATA(#REF!,A356)*2</f>
        <v>#REF!</v>
      </c>
      <c r="AA356" s="183" t="e">
        <f>(ROUND(D356/Z356,0)+1)*GETPIVOTDATA(#REF!,A356)</f>
        <v>#REF!</v>
      </c>
      <c r="AB356" s="189" t="e">
        <f>GETPIVOTDATA(#REF!,A356)</f>
        <v>#REF!</v>
      </c>
      <c r="AC356" s="189">
        <f>0.51+0.53</f>
        <v>1.04</v>
      </c>
      <c r="AD356" s="189">
        <f t="shared" si="241"/>
        <v>-0.04</v>
      </c>
      <c r="AE356" s="189">
        <f>5.88*0.3</f>
        <v>1.764</v>
      </c>
      <c r="AF356" s="188" t="e">
        <f t="shared" si="252"/>
        <v>#REF!</v>
      </c>
      <c r="AG356" s="183" t="e">
        <f>GETPIVOTDATA(#REF!,A356)</f>
        <v>#REF!</v>
      </c>
      <c r="AH356" s="182" t="e">
        <f>GETPIVOTDATA(#REF!,A356)*2</f>
        <v>#REF!</v>
      </c>
      <c r="AI356" s="183" t="e">
        <f>(ROUND(D356/AH356,0))*GETPIVOTDATA(#REF!,A356)</f>
        <v>#REF!</v>
      </c>
      <c r="AJ356" s="189" t="e">
        <f>GETPIVOTDATA(#REF!,A356)</f>
        <v>#REF!</v>
      </c>
      <c r="AK356" s="189">
        <f>0.51+0.53</f>
        <v>1.04</v>
      </c>
      <c r="AL356" s="189">
        <f t="shared" si="242"/>
        <v>-0.04</v>
      </c>
      <c r="AM356" s="189">
        <f>2.88*0.3</f>
        <v>0.86399999999999999</v>
      </c>
      <c r="AN356" s="188" t="e">
        <f t="shared" si="253"/>
        <v>#REF!</v>
      </c>
      <c r="AO356" s="183">
        <v>8</v>
      </c>
      <c r="AP356" s="182">
        <f t="shared" si="236"/>
        <v>10</v>
      </c>
      <c r="AQ356" s="182">
        <v>1.5</v>
      </c>
      <c r="AR356" s="187" t="e">
        <f t="shared" si="243"/>
        <v>#REF!</v>
      </c>
      <c r="AS356" s="187" t="e">
        <f t="shared" si="244"/>
        <v>#REF!</v>
      </c>
      <c r="AT356" s="187" t="e">
        <f t="shared" si="245"/>
        <v>#REF!</v>
      </c>
      <c r="AU356" s="187" t="e">
        <f t="shared" si="246"/>
        <v>#REF!</v>
      </c>
      <c r="AV356" s="187" t="e">
        <f t="shared" si="237"/>
        <v>#REF!</v>
      </c>
      <c r="AW356" s="187" t="e">
        <f t="shared" si="247"/>
        <v>#REF!</v>
      </c>
      <c r="AX356" s="187">
        <f t="shared" si="248"/>
        <v>15</v>
      </c>
      <c r="AY356" s="190"/>
      <c r="AZ356" s="240"/>
      <c r="BA356" s="232"/>
      <c r="BF356" s="206"/>
      <c r="BG356" s="206"/>
      <c r="BK356" s="126"/>
      <c r="BL356" s="126"/>
      <c r="BN356" s="126"/>
      <c r="BO356" s="126"/>
      <c r="BQ356" s="126"/>
      <c r="BR356" s="126"/>
      <c r="BT356" s="126"/>
      <c r="BU356" s="126"/>
      <c r="BW356" s="126"/>
      <c r="BX356" s="126"/>
      <c r="BZ356" s="126"/>
      <c r="CA356" s="126"/>
      <c r="CC356" s="126"/>
      <c r="CD356" s="126"/>
      <c r="CF356" s="126"/>
      <c r="CG356" s="126"/>
    </row>
    <row r="357" spans="1:85" s="197" customFormat="1" ht="27.6" x14ac:dyDescent="0.3">
      <c r="A357" s="182" t="s">
        <v>259</v>
      </c>
      <c r="B357" s="183">
        <v>1</v>
      </c>
      <c r="C357" s="184" t="s">
        <v>383</v>
      </c>
      <c r="D357" s="187">
        <v>4.8600000000000003</v>
      </c>
      <c r="E357" s="187">
        <v>4.5570000000000004</v>
      </c>
      <c r="F357" s="186">
        <v>0.17499999999999999</v>
      </c>
      <c r="G357" s="187">
        <f t="shared" si="238"/>
        <v>3.8757285000000006</v>
      </c>
      <c r="H357" s="188">
        <f t="shared" si="235"/>
        <v>22.147020000000005</v>
      </c>
      <c r="I357" s="183" t="e">
        <f>GETPIVOTDATA(#REF!,A357)</f>
        <v>#REF!</v>
      </c>
      <c r="J357" s="188" t="e">
        <f>GETPIVOTDATA(#REF!,A357)*2</f>
        <v>#REF!</v>
      </c>
      <c r="K357" s="183" t="e">
        <f>(ROUND(E357/J357,0)+1)*GETPIVOTDATA(#REF!,A357)</f>
        <v>#REF!</v>
      </c>
      <c r="L357" s="189" t="e">
        <f>GETPIVOTDATA(#REF!,A357)</f>
        <v>#REF!</v>
      </c>
      <c r="M357" s="189">
        <f t="shared" si="250"/>
        <v>0.6</v>
      </c>
      <c r="N357" s="189">
        <f t="shared" si="239"/>
        <v>-0.04</v>
      </c>
      <c r="O357" s="189">
        <f>3.198*0.3</f>
        <v>0.95939999999999992</v>
      </c>
      <c r="P357" s="188" t="e">
        <f t="shared" si="249"/>
        <v>#REF!</v>
      </c>
      <c r="Q357" s="183" t="e">
        <f>GETPIVOTDATA(#REF!,A357)</f>
        <v>#REF!</v>
      </c>
      <c r="R357" s="188" t="e">
        <f>GETPIVOTDATA(#REF!,A357)*2</f>
        <v>#REF!</v>
      </c>
      <c r="S357" s="183" t="e">
        <f>(ROUND(E357/R357,0))*GETPIVOTDATA(#REF!,A357)</f>
        <v>#REF!</v>
      </c>
      <c r="T357" s="189" t="e">
        <f>GETPIVOTDATA(#REF!,A357)</f>
        <v>#REF!</v>
      </c>
      <c r="U357" s="189">
        <f t="shared" si="251"/>
        <v>0.6</v>
      </c>
      <c r="V357" s="189">
        <f t="shared" si="240"/>
        <v>-0.04</v>
      </c>
      <c r="W357" s="189">
        <f>6*0.3</f>
        <v>1.7999999999999998</v>
      </c>
      <c r="X357" s="188" t="e">
        <f t="shared" si="234"/>
        <v>#REF!</v>
      </c>
      <c r="Y357" s="183" t="e">
        <f>GETPIVOTDATA(#REF!,A357)</f>
        <v>#REF!</v>
      </c>
      <c r="Z357" s="188" t="e">
        <f>GETPIVOTDATA(#REF!,A357)*2</f>
        <v>#REF!</v>
      </c>
      <c r="AA357" s="183" t="e">
        <f>(ROUND(D357/Z357,0)+1)*GETPIVOTDATA(#REF!,A357)</f>
        <v>#REF!</v>
      </c>
      <c r="AB357" s="189" t="e">
        <f>GETPIVOTDATA(#REF!,A357)</f>
        <v>#REF!</v>
      </c>
      <c r="AC357" s="189">
        <f>0.51+0.53</f>
        <v>1.04</v>
      </c>
      <c r="AD357" s="189">
        <f t="shared" si="241"/>
        <v>-0.04</v>
      </c>
      <c r="AE357" s="189">
        <f>5.88*0.3</f>
        <v>1.764</v>
      </c>
      <c r="AF357" s="188" t="e">
        <f t="shared" si="252"/>
        <v>#REF!</v>
      </c>
      <c r="AG357" s="183" t="e">
        <f>GETPIVOTDATA(#REF!,A357)</f>
        <v>#REF!</v>
      </c>
      <c r="AH357" s="182" t="e">
        <f>GETPIVOTDATA(#REF!,A357)*2</f>
        <v>#REF!</v>
      </c>
      <c r="AI357" s="183" t="e">
        <f>(ROUND(D357/AH357,0))*GETPIVOTDATA(#REF!,A357)</f>
        <v>#REF!</v>
      </c>
      <c r="AJ357" s="189" t="e">
        <f>GETPIVOTDATA(#REF!,A357)</f>
        <v>#REF!</v>
      </c>
      <c r="AK357" s="189">
        <f>0.51+0.53</f>
        <v>1.04</v>
      </c>
      <c r="AL357" s="189">
        <f t="shared" si="242"/>
        <v>-0.04</v>
      </c>
      <c r="AM357" s="189">
        <f>2.88*0.3</f>
        <v>0.86399999999999999</v>
      </c>
      <c r="AN357" s="188" t="e">
        <f t="shared" si="253"/>
        <v>#REF!</v>
      </c>
      <c r="AO357" s="183">
        <v>8</v>
      </c>
      <c r="AP357" s="182">
        <f t="shared" si="236"/>
        <v>12</v>
      </c>
      <c r="AQ357" s="182">
        <v>1.5</v>
      </c>
      <c r="AR357" s="187" t="e">
        <f t="shared" si="243"/>
        <v>#REF!</v>
      </c>
      <c r="AS357" s="187" t="e">
        <f t="shared" si="244"/>
        <v>#REF!</v>
      </c>
      <c r="AT357" s="187" t="e">
        <f t="shared" si="245"/>
        <v>#REF!</v>
      </c>
      <c r="AU357" s="187" t="e">
        <f t="shared" si="246"/>
        <v>#REF!</v>
      </c>
      <c r="AV357" s="187" t="e">
        <f t="shared" si="237"/>
        <v>#REF!</v>
      </c>
      <c r="AW357" s="187" t="e">
        <f t="shared" si="247"/>
        <v>#REF!</v>
      </c>
      <c r="AX357" s="187">
        <f t="shared" si="248"/>
        <v>18</v>
      </c>
      <c r="AY357" s="190"/>
      <c r="AZ357" s="240"/>
      <c r="BA357" s="232"/>
      <c r="BF357" s="206"/>
      <c r="BG357" s="206"/>
      <c r="BK357" s="126"/>
      <c r="BL357" s="126"/>
      <c r="BN357" s="126"/>
      <c r="BO357" s="126"/>
      <c r="BQ357" s="126"/>
      <c r="BR357" s="126"/>
      <c r="BT357" s="126"/>
      <c r="BU357" s="126"/>
      <c r="BW357" s="126"/>
      <c r="BX357" s="126"/>
      <c r="BZ357" s="126"/>
      <c r="CA357" s="126"/>
      <c r="CC357" s="126"/>
      <c r="CD357" s="126"/>
      <c r="CF357" s="126"/>
      <c r="CG357" s="126"/>
    </row>
    <row r="358" spans="1:85" s="197" customFormat="1" ht="27.6" x14ac:dyDescent="0.3">
      <c r="A358" s="182" t="s">
        <v>223</v>
      </c>
      <c r="B358" s="183">
        <v>1</v>
      </c>
      <c r="C358" s="184" t="s">
        <v>384</v>
      </c>
      <c r="D358" s="187">
        <v>2.9</v>
      </c>
      <c r="E358" s="187">
        <v>5.85</v>
      </c>
      <c r="F358" s="186">
        <v>0.13</v>
      </c>
      <c r="G358" s="187">
        <f t="shared" si="238"/>
        <v>2.2054499999999999</v>
      </c>
      <c r="H358" s="188">
        <f t="shared" si="235"/>
        <v>16.965</v>
      </c>
      <c r="I358" s="183" t="e">
        <f>GETPIVOTDATA(#REF!,A358)</f>
        <v>#REF!</v>
      </c>
      <c r="J358" s="188" t="e">
        <f>GETPIVOTDATA(#REF!,A358)*2</f>
        <v>#REF!</v>
      </c>
      <c r="K358" s="183" t="e">
        <f>(ROUND(E358/J358,0)+1)*GETPIVOTDATA(#REF!,A358)</f>
        <v>#REF!</v>
      </c>
      <c r="L358" s="189" t="e">
        <f>GETPIVOTDATA(#REF!,A358)</f>
        <v>#REF!</v>
      </c>
      <c r="M358" s="189">
        <f t="shared" si="250"/>
        <v>0.6</v>
      </c>
      <c r="N358" s="189">
        <f t="shared" si="239"/>
        <v>-0.04</v>
      </c>
      <c r="O358" s="189">
        <f>F358-2*0.02</f>
        <v>0.09</v>
      </c>
      <c r="P358" s="188" t="e">
        <f t="shared" si="249"/>
        <v>#REF!</v>
      </c>
      <c r="Q358" s="183" t="e">
        <f>GETPIVOTDATA(#REF!,A358)</f>
        <v>#REF!</v>
      </c>
      <c r="R358" s="188" t="e">
        <f>GETPIVOTDATA(#REF!,A358)*2</f>
        <v>#REF!</v>
      </c>
      <c r="S358" s="183" t="e">
        <f>(ROUND(E358/R358,0))*GETPIVOTDATA(#REF!,A358)</f>
        <v>#REF!</v>
      </c>
      <c r="T358" s="189" t="e">
        <f>GETPIVOTDATA(#REF!,A358)</f>
        <v>#REF!</v>
      </c>
      <c r="U358" s="189">
        <f t="shared" si="251"/>
        <v>0.6</v>
      </c>
      <c r="V358" s="189">
        <f t="shared" si="240"/>
        <v>-0.04</v>
      </c>
      <c r="W358" s="189">
        <f>2.75*0.3</f>
        <v>0.82499999999999996</v>
      </c>
      <c r="X358" s="188" t="e">
        <f t="shared" si="234"/>
        <v>#REF!</v>
      </c>
      <c r="Y358" s="183" t="e">
        <f>GETPIVOTDATA(#REF!,A358)</f>
        <v>#REF!</v>
      </c>
      <c r="Z358" s="188" t="e">
        <f>GETPIVOTDATA(#REF!,A358)*2</f>
        <v>#REF!</v>
      </c>
      <c r="AA358" s="183" t="e">
        <f>(ROUND(D358/Z358,0)+1)*GETPIVOTDATA(#REF!,A358)</f>
        <v>#REF!</v>
      </c>
      <c r="AB358" s="189" t="e">
        <f>GETPIVOTDATA(#REF!,A358)</f>
        <v>#REF!</v>
      </c>
      <c r="AC358" s="189">
        <f t="shared" si="254"/>
        <v>0.6</v>
      </c>
      <c r="AD358" s="189">
        <f t="shared" si="241"/>
        <v>-0.04</v>
      </c>
      <c r="AE358" s="189">
        <f t="shared" ref="AE358:AE367" si="256">1.12*0.3</f>
        <v>0.33600000000000002</v>
      </c>
      <c r="AF358" s="188" t="e">
        <f t="shared" si="252"/>
        <v>#REF!</v>
      </c>
      <c r="AG358" s="183" t="e">
        <f>GETPIVOTDATA(#REF!,A358)</f>
        <v>#REF!</v>
      </c>
      <c r="AH358" s="182" t="e">
        <f>GETPIVOTDATA(#REF!,A358)*2</f>
        <v>#REF!</v>
      </c>
      <c r="AI358" s="183" t="e">
        <f>(ROUND(D358/AH358,0))*GETPIVOTDATA(#REF!,A358)</f>
        <v>#REF!</v>
      </c>
      <c r="AJ358" s="189" t="e">
        <f>GETPIVOTDATA(#REF!,A358)</f>
        <v>#REF!</v>
      </c>
      <c r="AK358" s="189">
        <f t="shared" si="255"/>
        <v>0.6</v>
      </c>
      <c r="AL358" s="189">
        <f t="shared" si="242"/>
        <v>-0.04</v>
      </c>
      <c r="AM358" s="189">
        <f>12.82*0.3</f>
        <v>3.8460000000000001</v>
      </c>
      <c r="AN358" s="188" t="e">
        <f t="shared" si="253"/>
        <v>#REF!</v>
      </c>
      <c r="AO358" s="183">
        <v>8</v>
      </c>
      <c r="AP358" s="182">
        <f t="shared" si="236"/>
        <v>12</v>
      </c>
      <c r="AQ358" s="182">
        <v>1.5</v>
      </c>
      <c r="AR358" s="187" t="e">
        <f t="shared" si="243"/>
        <v>#REF!</v>
      </c>
      <c r="AS358" s="187" t="e">
        <f t="shared" si="244"/>
        <v>#REF!</v>
      </c>
      <c r="AT358" s="187" t="e">
        <f t="shared" si="245"/>
        <v>#REF!</v>
      </c>
      <c r="AU358" s="187" t="e">
        <f t="shared" si="246"/>
        <v>#REF!</v>
      </c>
      <c r="AV358" s="187" t="e">
        <f t="shared" si="237"/>
        <v>#REF!</v>
      </c>
      <c r="AW358" s="187" t="e">
        <f t="shared" si="247"/>
        <v>#REF!</v>
      </c>
      <c r="AX358" s="187">
        <f t="shared" si="248"/>
        <v>18</v>
      </c>
      <c r="AY358" s="190"/>
      <c r="AZ358" s="240"/>
      <c r="BA358" s="232"/>
      <c r="BF358" s="206"/>
      <c r="BG358" s="206"/>
      <c r="BK358" s="126"/>
      <c r="BL358" s="126"/>
      <c r="BN358" s="126"/>
      <c r="BO358" s="126"/>
      <c r="BQ358" s="126"/>
      <c r="BR358" s="126"/>
      <c r="BT358" s="126"/>
      <c r="BU358" s="126"/>
      <c r="BW358" s="126"/>
      <c r="BX358" s="126"/>
      <c r="BZ358" s="126"/>
      <c r="CA358" s="126"/>
      <c r="CC358" s="126"/>
      <c r="CD358" s="126"/>
      <c r="CF358" s="126"/>
      <c r="CG358" s="126"/>
    </row>
    <row r="359" spans="1:85" s="197" customFormat="1" ht="27.6" x14ac:dyDescent="0.3">
      <c r="A359" s="182" t="s">
        <v>223</v>
      </c>
      <c r="B359" s="183">
        <v>1</v>
      </c>
      <c r="C359" s="184" t="s">
        <v>385</v>
      </c>
      <c r="D359" s="187">
        <v>2.75</v>
      </c>
      <c r="E359" s="187">
        <v>5.85</v>
      </c>
      <c r="F359" s="186">
        <v>0.13</v>
      </c>
      <c r="G359" s="187">
        <f t="shared" si="238"/>
        <v>2.0913749999999998</v>
      </c>
      <c r="H359" s="188">
        <f t="shared" si="235"/>
        <v>16.087499999999999</v>
      </c>
      <c r="I359" s="183" t="e">
        <f>GETPIVOTDATA(#REF!,A359)</f>
        <v>#REF!</v>
      </c>
      <c r="J359" s="188" t="e">
        <f>GETPIVOTDATA(#REF!,A359)*2</f>
        <v>#REF!</v>
      </c>
      <c r="K359" s="183" t="e">
        <f>(ROUND(E359/J359,0)+1)*GETPIVOTDATA(#REF!,A359)</f>
        <v>#REF!</v>
      </c>
      <c r="L359" s="189" t="e">
        <f>GETPIVOTDATA(#REF!,A359)</f>
        <v>#REF!</v>
      </c>
      <c r="M359" s="189">
        <f t="shared" si="250"/>
        <v>0.6</v>
      </c>
      <c r="N359" s="189">
        <f t="shared" si="239"/>
        <v>-0.04</v>
      </c>
      <c r="O359" s="189">
        <f>2.9*0.3</f>
        <v>0.87</v>
      </c>
      <c r="P359" s="188" t="e">
        <f t="shared" si="249"/>
        <v>#REF!</v>
      </c>
      <c r="Q359" s="183" t="e">
        <f>GETPIVOTDATA(#REF!,A359)</f>
        <v>#REF!</v>
      </c>
      <c r="R359" s="188" t="e">
        <f>GETPIVOTDATA(#REF!,A359)*2</f>
        <v>#REF!</v>
      </c>
      <c r="S359" s="183" t="e">
        <f>(ROUND(E359/R359,0))*GETPIVOTDATA(#REF!,A359)</f>
        <v>#REF!</v>
      </c>
      <c r="T359" s="189" t="e">
        <f>GETPIVOTDATA(#REF!,A359)</f>
        <v>#REF!</v>
      </c>
      <c r="U359" s="189">
        <f t="shared" si="251"/>
        <v>0.6</v>
      </c>
      <c r="V359" s="189">
        <f t="shared" si="240"/>
        <v>-0.04</v>
      </c>
      <c r="W359" s="189">
        <f>2.839*0.3</f>
        <v>0.85170000000000001</v>
      </c>
      <c r="X359" s="188" t="e">
        <f t="shared" si="234"/>
        <v>#REF!</v>
      </c>
      <c r="Y359" s="183" t="e">
        <f>GETPIVOTDATA(#REF!,A359)</f>
        <v>#REF!</v>
      </c>
      <c r="Z359" s="188" t="e">
        <f>GETPIVOTDATA(#REF!,A359)*2</f>
        <v>#REF!</v>
      </c>
      <c r="AA359" s="183" t="e">
        <f>(ROUND(D359/Z359,0)+1)*GETPIVOTDATA(#REF!,A359)</f>
        <v>#REF!</v>
      </c>
      <c r="AB359" s="189" t="e">
        <f>GETPIVOTDATA(#REF!,A359)</f>
        <v>#REF!</v>
      </c>
      <c r="AC359" s="189">
        <f t="shared" si="254"/>
        <v>0.6</v>
      </c>
      <c r="AD359" s="189">
        <f t="shared" si="241"/>
        <v>-0.04</v>
      </c>
      <c r="AE359" s="189">
        <f t="shared" si="256"/>
        <v>0.33600000000000002</v>
      </c>
      <c r="AF359" s="188" t="e">
        <f t="shared" ref="AF359:AF376" si="257">+E359+SUM(AB359:AE359)</f>
        <v>#REF!</v>
      </c>
      <c r="AG359" s="183" t="e">
        <f>GETPIVOTDATA(#REF!,A359)</f>
        <v>#REF!</v>
      </c>
      <c r="AH359" s="182" t="e">
        <f>GETPIVOTDATA(#REF!,A359)*2</f>
        <v>#REF!</v>
      </c>
      <c r="AI359" s="183" t="e">
        <f>(ROUND(D359/AH359,0))*GETPIVOTDATA(#REF!,A359)</f>
        <v>#REF!</v>
      </c>
      <c r="AJ359" s="189" t="e">
        <f>GETPIVOTDATA(#REF!,A359)</f>
        <v>#REF!</v>
      </c>
      <c r="AK359" s="189">
        <f t="shared" si="255"/>
        <v>0.6</v>
      </c>
      <c r="AL359" s="189">
        <f t="shared" si="242"/>
        <v>-0.04</v>
      </c>
      <c r="AM359" s="189">
        <f>11.82*0.3</f>
        <v>3.5459999999999998</v>
      </c>
      <c r="AN359" s="188" t="e">
        <f t="shared" si="253"/>
        <v>#REF!</v>
      </c>
      <c r="AO359" s="183">
        <v>8</v>
      </c>
      <c r="AP359" s="182">
        <f t="shared" si="236"/>
        <v>12</v>
      </c>
      <c r="AQ359" s="182">
        <v>1.5</v>
      </c>
      <c r="AR359" s="187" t="e">
        <f t="shared" si="243"/>
        <v>#REF!</v>
      </c>
      <c r="AS359" s="187" t="e">
        <f t="shared" si="244"/>
        <v>#REF!</v>
      </c>
      <c r="AT359" s="187" t="e">
        <f t="shared" si="245"/>
        <v>#REF!</v>
      </c>
      <c r="AU359" s="187" t="e">
        <f t="shared" si="246"/>
        <v>#REF!</v>
      </c>
      <c r="AV359" s="187" t="e">
        <f t="shared" si="237"/>
        <v>#REF!</v>
      </c>
      <c r="AW359" s="187" t="e">
        <f t="shared" si="247"/>
        <v>#REF!</v>
      </c>
      <c r="AX359" s="187">
        <f t="shared" si="248"/>
        <v>18</v>
      </c>
      <c r="AY359" s="190"/>
      <c r="AZ359" s="240"/>
      <c r="BA359" s="232"/>
      <c r="BF359" s="206"/>
      <c r="BG359" s="206"/>
      <c r="BK359" s="126"/>
      <c r="BL359" s="126"/>
      <c r="BN359" s="126"/>
      <c r="BO359" s="126"/>
      <c r="BQ359" s="126"/>
      <c r="BR359" s="126"/>
      <c r="BT359" s="126"/>
      <c r="BU359" s="126"/>
      <c r="BW359" s="126"/>
      <c r="BX359" s="126"/>
      <c r="BZ359" s="126"/>
      <c r="CA359" s="126"/>
      <c r="CC359" s="126"/>
      <c r="CD359" s="126"/>
      <c r="CF359" s="126"/>
      <c r="CG359" s="126"/>
    </row>
    <row r="360" spans="1:85" s="197" customFormat="1" ht="27.6" x14ac:dyDescent="0.3">
      <c r="A360" s="182" t="s">
        <v>223</v>
      </c>
      <c r="B360" s="183">
        <v>1</v>
      </c>
      <c r="C360" s="184" t="s">
        <v>386</v>
      </c>
      <c r="D360" s="187">
        <v>2.84</v>
      </c>
      <c r="E360" s="187">
        <v>5.85</v>
      </c>
      <c r="F360" s="186">
        <v>0.13</v>
      </c>
      <c r="G360" s="187">
        <f t="shared" si="238"/>
        <v>2.1598199999999999</v>
      </c>
      <c r="H360" s="188">
        <f t="shared" si="235"/>
        <v>16.613999999999997</v>
      </c>
      <c r="I360" s="183" t="e">
        <f>GETPIVOTDATA(#REF!,A360)</f>
        <v>#REF!</v>
      </c>
      <c r="J360" s="188" t="e">
        <f>GETPIVOTDATA(#REF!,A360)*2</f>
        <v>#REF!</v>
      </c>
      <c r="K360" s="183" t="e">
        <f>(ROUND(E360/J360,0)+1)*GETPIVOTDATA(#REF!,A360)</f>
        <v>#REF!</v>
      </c>
      <c r="L360" s="189" t="e">
        <f>GETPIVOTDATA(#REF!,A360)</f>
        <v>#REF!</v>
      </c>
      <c r="M360" s="189">
        <f t="shared" si="250"/>
        <v>0.6</v>
      </c>
      <c r="N360" s="189">
        <f t="shared" si="239"/>
        <v>-0.04</v>
      </c>
      <c r="O360" s="189">
        <f>2.75*0.3</f>
        <v>0.82499999999999996</v>
      </c>
      <c r="P360" s="188" t="e">
        <f t="shared" si="249"/>
        <v>#REF!</v>
      </c>
      <c r="Q360" s="183" t="e">
        <f>GETPIVOTDATA(#REF!,A360)</f>
        <v>#REF!</v>
      </c>
      <c r="R360" s="188" t="e">
        <f>GETPIVOTDATA(#REF!,A360)*2</f>
        <v>#REF!</v>
      </c>
      <c r="S360" s="183" t="e">
        <f>(ROUND(E360/R360,0))*GETPIVOTDATA(#REF!,A360)</f>
        <v>#REF!</v>
      </c>
      <c r="T360" s="189" t="e">
        <f>GETPIVOTDATA(#REF!,A360)</f>
        <v>#REF!</v>
      </c>
      <c r="U360" s="189">
        <f t="shared" si="251"/>
        <v>0.6</v>
      </c>
      <c r="V360" s="189">
        <f t="shared" si="240"/>
        <v>-0.04</v>
      </c>
      <c r="W360" s="189">
        <f>2.78*0.3</f>
        <v>0.83399999999999996</v>
      </c>
      <c r="X360" s="188" t="e">
        <f t="shared" si="234"/>
        <v>#REF!</v>
      </c>
      <c r="Y360" s="183" t="e">
        <f>GETPIVOTDATA(#REF!,A360)</f>
        <v>#REF!</v>
      </c>
      <c r="Z360" s="188" t="e">
        <f>GETPIVOTDATA(#REF!,A360)*2</f>
        <v>#REF!</v>
      </c>
      <c r="AA360" s="183" t="e">
        <f>(ROUND(D360/Z360,0)+1)*GETPIVOTDATA(#REF!,A360)</f>
        <v>#REF!</v>
      </c>
      <c r="AB360" s="189" t="e">
        <f>GETPIVOTDATA(#REF!,A360)</f>
        <v>#REF!</v>
      </c>
      <c r="AC360" s="189">
        <f t="shared" si="254"/>
        <v>0.6</v>
      </c>
      <c r="AD360" s="189">
        <f t="shared" si="241"/>
        <v>-0.04</v>
      </c>
      <c r="AE360" s="189">
        <f t="shared" si="256"/>
        <v>0.33600000000000002</v>
      </c>
      <c r="AF360" s="188" t="e">
        <f t="shared" si="257"/>
        <v>#REF!</v>
      </c>
      <c r="AG360" s="183" t="e">
        <f>GETPIVOTDATA(#REF!,A360)</f>
        <v>#REF!</v>
      </c>
      <c r="AH360" s="182" t="e">
        <f>GETPIVOTDATA(#REF!,A360)*2</f>
        <v>#REF!</v>
      </c>
      <c r="AI360" s="183" t="e">
        <f>(ROUND(D360/AH360,0))*GETPIVOTDATA(#REF!,A360)</f>
        <v>#REF!</v>
      </c>
      <c r="AJ360" s="189" t="e">
        <f>GETPIVOTDATA(#REF!,A360)</f>
        <v>#REF!</v>
      </c>
      <c r="AK360" s="189">
        <f t="shared" si="255"/>
        <v>0.6</v>
      </c>
      <c r="AL360" s="189">
        <f t="shared" si="242"/>
        <v>-0.04</v>
      </c>
      <c r="AM360" s="189">
        <f>5.31*0.3</f>
        <v>1.5929999999999997</v>
      </c>
      <c r="AN360" s="188" t="e">
        <f t="shared" si="253"/>
        <v>#REF!</v>
      </c>
      <c r="AO360" s="183">
        <v>8</v>
      </c>
      <c r="AP360" s="182">
        <f t="shared" si="236"/>
        <v>12</v>
      </c>
      <c r="AQ360" s="182">
        <v>1.5</v>
      </c>
      <c r="AR360" s="187" t="e">
        <f t="shared" si="243"/>
        <v>#REF!</v>
      </c>
      <c r="AS360" s="187" t="e">
        <f t="shared" si="244"/>
        <v>#REF!</v>
      </c>
      <c r="AT360" s="187" t="e">
        <f t="shared" si="245"/>
        <v>#REF!</v>
      </c>
      <c r="AU360" s="187" t="e">
        <f t="shared" si="246"/>
        <v>#REF!</v>
      </c>
      <c r="AV360" s="187" t="e">
        <f t="shared" si="237"/>
        <v>#REF!</v>
      </c>
      <c r="AW360" s="187" t="e">
        <f t="shared" si="247"/>
        <v>#REF!</v>
      </c>
      <c r="AX360" s="187">
        <f t="shared" si="248"/>
        <v>18</v>
      </c>
      <c r="AY360" s="190"/>
      <c r="AZ360" s="240"/>
      <c r="BA360" s="232"/>
      <c r="BF360" s="206"/>
      <c r="BG360" s="206"/>
      <c r="BK360" s="126"/>
      <c r="BL360" s="126"/>
      <c r="BN360" s="126"/>
      <c r="BO360" s="126"/>
      <c r="BQ360" s="126"/>
      <c r="BR360" s="126"/>
      <c r="BT360" s="126"/>
      <c r="BU360" s="126"/>
      <c r="BW360" s="126"/>
      <c r="BX360" s="126"/>
      <c r="BZ360" s="126"/>
      <c r="CA360" s="126"/>
      <c r="CC360" s="126"/>
      <c r="CD360" s="126"/>
      <c r="CF360" s="126"/>
      <c r="CG360" s="126"/>
    </row>
    <row r="361" spans="1:85" s="197" customFormat="1" ht="27.6" x14ac:dyDescent="0.3">
      <c r="A361" s="182" t="s">
        <v>223</v>
      </c>
      <c r="B361" s="183">
        <v>1</v>
      </c>
      <c r="C361" s="184" t="s">
        <v>387</v>
      </c>
      <c r="D361" s="187">
        <v>2.78</v>
      </c>
      <c r="E361" s="187">
        <v>5.85</v>
      </c>
      <c r="F361" s="186">
        <v>0.13</v>
      </c>
      <c r="G361" s="187">
        <f t="shared" si="238"/>
        <v>2.1141899999999998</v>
      </c>
      <c r="H361" s="188">
        <f t="shared" si="235"/>
        <v>16.262999999999998</v>
      </c>
      <c r="I361" s="183" t="e">
        <f>GETPIVOTDATA(#REF!,A361)</f>
        <v>#REF!</v>
      </c>
      <c r="J361" s="188" t="e">
        <f>GETPIVOTDATA(#REF!,A361)*2</f>
        <v>#REF!</v>
      </c>
      <c r="K361" s="183" t="e">
        <f>(ROUND(E361/J361,0)+1)*GETPIVOTDATA(#REF!,A361)</f>
        <v>#REF!</v>
      </c>
      <c r="L361" s="189" t="e">
        <f>GETPIVOTDATA(#REF!,A361)</f>
        <v>#REF!</v>
      </c>
      <c r="M361" s="189">
        <f t="shared" si="250"/>
        <v>0.6</v>
      </c>
      <c r="N361" s="189">
        <f t="shared" si="239"/>
        <v>-0.04</v>
      </c>
      <c r="O361" s="189">
        <f>2.84*0.3</f>
        <v>0.85199999999999998</v>
      </c>
      <c r="P361" s="188" t="e">
        <f t="shared" si="249"/>
        <v>#REF!</v>
      </c>
      <c r="Q361" s="183" t="e">
        <f>GETPIVOTDATA(#REF!,A361)</f>
        <v>#REF!</v>
      </c>
      <c r="R361" s="188" t="e">
        <f>GETPIVOTDATA(#REF!,A361)*2</f>
        <v>#REF!</v>
      </c>
      <c r="S361" s="183" t="e">
        <f>(ROUND(E361/R361,0))*GETPIVOTDATA(#REF!,A361)</f>
        <v>#REF!</v>
      </c>
      <c r="T361" s="189" t="e">
        <f>GETPIVOTDATA(#REF!,A361)</f>
        <v>#REF!</v>
      </c>
      <c r="U361" s="189">
        <f t="shared" si="251"/>
        <v>0.6</v>
      </c>
      <c r="V361" s="189">
        <f t="shared" si="240"/>
        <v>-0.04</v>
      </c>
      <c r="W361" s="189">
        <f>4.41*0.3</f>
        <v>1.323</v>
      </c>
      <c r="X361" s="188" t="e">
        <f t="shared" si="234"/>
        <v>#REF!</v>
      </c>
      <c r="Y361" s="183" t="e">
        <f>GETPIVOTDATA(#REF!,A361)</f>
        <v>#REF!</v>
      </c>
      <c r="Z361" s="188" t="e">
        <f>GETPIVOTDATA(#REF!,A361)*2</f>
        <v>#REF!</v>
      </c>
      <c r="AA361" s="183" t="e">
        <f>(ROUND(D361/Z361,0)+1)*GETPIVOTDATA(#REF!,A361)</f>
        <v>#REF!</v>
      </c>
      <c r="AB361" s="189" t="e">
        <f>GETPIVOTDATA(#REF!,A361)</f>
        <v>#REF!</v>
      </c>
      <c r="AC361" s="189">
        <f t="shared" si="254"/>
        <v>0.6</v>
      </c>
      <c r="AD361" s="189">
        <f t="shared" si="241"/>
        <v>-0.04</v>
      </c>
      <c r="AE361" s="189">
        <f t="shared" si="256"/>
        <v>0.33600000000000002</v>
      </c>
      <c r="AF361" s="188" t="e">
        <f t="shared" si="257"/>
        <v>#REF!</v>
      </c>
      <c r="AG361" s="183" t="e">
        <f>GETPIVOTDATA(#REF!,A361)</f>
        <v>#REF!</v>
      </c>
      <c r="AH361" s="182" t="e">
        <f>GETPIVOTDATA(#REF!,A361)*2</f>
        <v>#REF!</v>
      </c>
      <c r="AI361" s="183" t="e">
        <f>(ROUND(D361/AH361,0))*GETPIVOTDATA(#REF!,A361)</f>
        <v>#REF!</v>
      </c>
      <c r="AJ361" s="189" t="e">
        <f>GETPIVOTDATA(#REF!,A361)</f>
        <v>#REF!</v>
      </c>
      <c r="AK361" s="189">
        <f t="shared" si="255"/>
        <v>0.6</v>
      </c>
      <c r="AL361" s="189">
        <f t="shared" si="242"/>
        <v>-0.04</v>
      </c>
      <c r="AM361" s="189">
        <f>5.31*0.3</f>
        <v>1.5929999999999997</v>
      </c>
      <c r="AN361" s="188" t="e">
        <f t="shared" si="253"/>
        <v>#REF!</v>
      </c>
      <c r="AO361" s="183">
        <v>8</v>
      </c>
      <c r="AP361" s="182">
        <f t="shared" si="236"/>
        <v>12</v>
      </c>
      <c r="AQ361" s="182">
        <v>1.5</v>
      </c>
      <c r="AR361" s="187" t="e">
        <f t="shared" si="243"/>
        <v>#REF!</v>
      </c>
      <c r="AS361" s="187" t="e">
        <f t="shared" si="244"/>
        <v>#REF!</v>
      </c>
      <c r="AT361" s="187" t="e">
        <f t="shared" si="245"/>
        <v>#REF!</v>
      </c>
      <c r="AU361" s="187" t="e">
        <f t="shared" si="246"/>
        <v>#REF!</v>
      </c>
      <c r="AV361" s="187" t="e">
        <f t="shared" si="237"/>
        <v>#REF!</v>
      </c>
      <c r="AW361" s="187" t="e">
        <f t="shared" si="247"/>
        <v>#REF!</v>
      </c>
      <c r="AX361" s="187">
        <f t="shared" si="248"/>
        <v>18</v>
      </c>
      <c r="AY361" s="190"/>
      <c r="AZ361" s="240"/>
      <c r="BA361" s="232"/>
      <c r="BF361" s="206"/>
      <c r="BG361" s="206"/>
      <c r="BK361" s="126"/>
      <c r="BL361" s="126"/>
      <c r="BN361" s="126"/>
      <c r="BO361" s="126"/>
      <c r="BQ361" s="126"/>
      <c r="BR361" s="126"/>
      <c r="BT361" s="126"/>
      <c r="BU361" s="126"/>
      <c r="BW361" s="126"/>
      <c r="BX361" s="126"/>
      <c r="BZ361" s="126"/>
      <c r="CA361" s="126"/>
      <c r="CC361" s="126"/>
      <c r="CD361" s="126"/>
      <c r="CF361" s="126"/>
      <c r="CG361" s="126"/>
    </row>
    <row r="362" spans="1:85" s="197" customFormat="1" ht="27.6" x14ac:dyDescent="0.3">
      <c r="A362" s="182" t="s">
        <v>225</v>
      </c>
      <c r="B362" s="183">
        <v>1</v>
      </c>
      <c r="C362" s="184" t="s">
        <v>388</v>
      </c>
      <c r="D362" s="187">
        <v>4.41</v>
      </c>
      <c r="E362" s="187">
        <v>5.85</v>
      </c>
      <c r="F362" s="186">
        <v>0.17499999999999999</v>
      </c>
      <c r="G362" s="187">
        <f t="shared" si="238"/>
        <v>4.5147374999999998</v>
      </c>
      <c r="H362" s="188">
        <f t="shared" si="235"/>
        <v>25.798500000000001</v>
      </c>
      <c r="I362" s="183" t="e">
        <f>GETPIVOTDATA(#REF!,A362)</f>
        <v>#REF!</v>
      </c>
      <c r="J362" s="188" t="e">
        <f>GETPIVOTDATA(#REF!,A362)*2</f>
        <v>#REF!</v>
      </c>
      <c r="K362" s="183" t="e">
        <f>(ROUND(E362/J362,0)+1)*GETPIVOTDATA(#REF!,A362)</f>
        <v>#REF!</v>
      </c>
      <c r="L362" s="189" t="e">
        <f>GETPIVOTDATA(#REF!,A362)</f>
        <v>#REF!</v>
      </c>
      <c r="M362" s="189">
        <f t="shared" si="250"/>
        <v>0.6</v>
      </c>
      <c r="N362" s="189">
        <f t="shared" si="239"/>
        <v>-0.04</v>
      </c>
      <c r="O362" s="189">
        <f>2.78*0.3</f>
        <v>0.83399999999999996</v>
      </c>
      <c r="P362" s="188" t="e">
        <f t="shared" si="249"/>
        <v>#REF!</v>
      </c>
      <c r="Q362" s="183" t="e">
        <f>GETPIVOTDATA(#REF!,A362)</f>
        <v>#REF!</v>
      </c>
      <c r="R362" s="188" t="e">
        <f>GETPIVOTDATA(#REF!,A362)*2</f>
        <v>#REF!</v>
      </c>
      <c r="S362" s="183" t="e">
        <f>(ROUND(E362/R362,0))*GETPIVOTDATA(#REF!,A362)</f>
        <v>#REF!</v>
      </c>
      <c r="T362" s="189" t="e">
        <f>GETPIVOTDATA(#REF!,A362)</f>
        <v>#REF!</v>
      </c>
      <c r="U362" s="189">
        <f t="shared" si="251"/>
        <v>0.6</v>
      </c>
      <c r="V362" s="189">
        <f t="shared" si="240"/>
        <v>-0.04</v>
      </c>
      <c r="W362" s="189">
        <f>3.81*0.3</f>
        <v>1.143</v>
      </c>
      <c r="X362" s="188" t="e">
        <f t="shared" si="234"/>
        <v>#REF!</v>
      </c>
      <c r="Y362" s="183" t="e">
        <f>GETPIVOTDATA(#REF!,A362)</f>
        <v>#REF!</v>
      </c>
      <c r="Z362" s="188" t="e">
        <f>GETPIVOTDATA(#REF!,A362)*2</f>
        <v>#REF!</v>
      </c>
      <c r="AA362" s="183" t="e">
        <f>(ROUND(D362/Z362,0)+1)*GETPIVOTDATA(#REF!,A362)</f>
        <v>#REF!</v>
      </c>
      <c r="AB362" s="189" t="e">
        <f>GETPIVOTDATA(#REF!,A362)</f>
        <v>#REF!</v>
      </c>
      <c r="AC362" s="189">
        <f t="shared" si="254"/>
        <v>0.6</v>
      </c>
      <c r="AD362" s="189">
        <f t="shared" si="241"/>
        <v>-0.04</v>
      </c>
      <c r="AE362" s="189">
        <f t="shared" si="256"/>
        <v>0.33600000000000002</v>
      </c>
      <c r="AF362" s="188" t="e">
        <f t="shared" si="257"/>
        <v>#REF!</v>
      </c>
      <c r="AG362" s="183" t="e">
        <f>GETPIVOTDATA(#REF!,A362)</f>
        <v>#REF!</v>
      </c>
      <c r="AH362" s="182" t="e">
        <f>GETPIVOTDATA(#REF!,A362)*2</f>
        <v>#REF!</v>
      </c>
      <c r="AI362" s="183" t="e">
        <f>(ROUND(D362/AH362,0))*GETPIVOTDATA(#REF!,A362)</f>
        <v>#REF!</v>
      </c>
      <c r="AJ362" s="189" t="e">
        <f>GETPIVOTDATA(#REF!,A362)</f>
        <v>#REF!</v>
      </c>
      <c r="AK362" s="189">
        <f t="shared" si="255"/>
        <v>0.6</v>
      </c>
      <c r="AL362" s="189">
        <f t="shared" si="242"/>
        <v>-0.04</v>
      </c>
      <c r="AM362" s="189">
        <f>5.31*0.3</f>
        <v>1.5929999999999997</v>
      </c>
      <c r="AN362" s="188" t="e">
        <f t="shared" si="253"/>
        <v>#REF!</v>
      </c>
      <c r="AO362" s="183">
        <v>8</v>
      </c>
      <c r="AP362" s="182">
        <f t="shared" si="236"/>
        <v>14</v>
      </c>
      <c r="AQ362" s="182">
        <v>1.5</v>
      </c>
      <c r="AR362" s="187" t="e">
        <f t="shared" si="243"/>
        <v>#REF!</v>
      </c>
      <c r="AS362" s="187" t="e">
        <f t="shared" si="244"/>
        <v>#REF!</v>
      </c>
      <c r="AT362" s="187" t="e">
        <f t="shared" si="245"/>
        <v>#REF!</v>
      </c>
      <c r="AU362" s="187" t="e">
        <f t="shared" si="246"/>
        <v>#REF!</v>
      </c>
      <c r="AV362" s="187" t="e">
        <f t="shared" si="237"/>
        <v>#REF!</v>
      </c>
      <c r="AW362" s="187" t="e">
        <f t="shared" si="247"/>
        <v>#REF!</v>
      </c>
      <c r="AX362" s="187">
        <f t="shared" si="248"/>
        <v>21</v>
      </c>
      <c r="AY362" s="190"/>
      <c r="AZ362" s="240"/>
      <c r="BA362" s="232"/>
      <c r="BF362" s="206"/>
      <c r="BG362" s="206"/>
      <c r="BK362" s="126"/>
      <c r="BL362" s="126"/>
      <c r="BN362" s="126"/>
      <c r="BO362" s="126"/>
      <c r="BQ362" s="126"/>
      <c r="BR362" s="126"/>
      <c r="BT362" s="126"/>
      <c r="BU362" s="126"/>
      <c r="BW362" s="126"/>
      <c r="BX362" s="126"/>
      <c r="BZ362" s="126"/>
      <c r="CA362" s="126"/>
      <c r="CC362" s="126"/>
      <c r="CD362" s="126"/>
      <c r="CF362" s="126"/>
      <c r="CG362" s="126"/>
    </row>
    <row r="363" spans="1:85" s="197" customFormat="1" ht="27.6" x14ac:dyDescent="0.3">
      <c r="A363" s="182" t="s">
        <v>218</v>
      </c>
      <c r="B363" s="183">
        <v>1</v>
      </c>
      <c r="C363" s="184" t="s">
        <v>389</v>
      </c>
      <c r="D363" s="187">
        <v>3.81</v>
      </c>
      <c r="E363" s="187">
        <v>5.85</v>
      </c>
      <c r="F363" s="186">
        <v>0.16500000000000001</v>
      </c>
      <c r="G363" s="187">
        <f t="shared" si="238"/>
        <v>3.6776024999999999</v>
      </c>
      <c r="H363" s="188">
        <f t="shared" si="235"/>
        <v>22.288499999999999</v>
      </c>
      <c r="I363" s="183" t="e">
        <f>GETPIVOTDATA(#REF!,A363)</f>
        <v>#REF!</v>
      </c>
      <c r="J363" s="188" t="e">
        <f>GETPIVOTDATA(#REF!,A363)*2</f>
        <v>#REF!</v>
      </c>
      <c r="K363" s="183" t="e">
        <f>(ROUND(E363/J363,0)+1)*GETPIVOTDATA(#REF!,A363)</f>
        <v>#REF!</v>
      </c>
      <c r="L363" s="189" t="e">
        <f>GETPIVOTDATA(#REF!,A363)</f>
        <v>#REF!</v>
      </c>
      <c r="M363" s="189">
        <f t="shared" si="250"/>
        <v>0.6</v>
      </c>
      <c r="N363" s="189">
        <f t="shared" si="239"/>
        <v>-0.04</v>
      </c>
      <c r="O363" s="189">
        <f>4.41*0.3</f>
        <v>1.323</v>
      </c>
      <c r="P363" s="188" t="e">
        <f t="shared" si="249"/>
        <v>#REF!</v>
      </c>
      <c r="Q363" s="183" t="e">
        <f>GETPIVOTDATA(#REF!,A363)</f>
        <v>#REF!</v>
      </c>
      <c r="R363" s="188" t="e">
        <f>GETPIVOTDATA(#REF!,A363)*2</f>
        <v>#REF!</v>
      </c>
      <c r="S363" s="183" t="e">
        <f>(ROUND(E363/R363,0))*GETPIVOTDATA(#REF!,A363)</f>
        <v>#REF!</v>
      </c>
      <c r="T363" s="189" t="e">
        <f>GETPIVOTDATA(#REF!,A363)</f>
        <v>#REF!</v>
      </c>
      <c r="U363" s="189">
        <f t="shared" si="251"/>
        <v>0.6</v>
      </c>
      <c r="V363" s="189">
        <f t="shared" si="240"/>
        <v>-0.04</v>
      </c>
      <c r="W363" s="189">
        <f>4.41*0.3</f>
        <v>1.323</v>
      </c>
      <c r="X363" s="188" t="e">
        <f t="shared" si="234"/>
        <v>#REF!</v>
      </c>
      <c r="Y363" s="183" t="e">
        <f>GETPIVOTDATA(#REF!,A363)</f>
        <v>#REF!</v>
      </c>
      <c r="Z363" s="188" t="e">
        <f>GETPIVOTDATA(#REF!,A363)*2</f>
        <v>#REF!</v>
      </c>
      <c r="AA363" s="183" t="e">
        <f>(ROUND(D363/Z363,0)+1)*GETPIVOTDATA(#REF!,A363)</f>
        <v>#REF!</v>
      </c>
      <c r="AB363" s="189" t="e">
        <f>GETPIVOTDATA(#REF!,A363)</f>
        <v>#REF!</v>
      </c>
      <c r="AC363" s="189">
        <f t="shared" si="254"/>
        <v>0.6</v>
      </c>
      <c r="AD363" s="189">
        <f t="shared" si="241"/>
        <v>-0.04</v>
      </c>
      <c r="AE363" s="189">
        <f t="shared" si="256"/>
        <v>0.33600000000000002</v>
      </c>
      <c r="AF363" s="188" t="e">
        <f t="shared" si="257"/>
        <v>#REF!</v>
      </c>
      <c r="AG363" s="183" t="e">
        <f>GETPIVOTDATA(#REF!,A363)</f>
        <v>#REF!</v>
      </c>
      <c r="AH363" s="182" t="e">
        <f>GETPIVOTDATA(#REF!,A363)*2</f>
        <v>#REF!</v>
      </c>
      <c r="AI363" s="183" t="e">
        <f>(ROUND(D363/AH363,0))*GETPIVOTDATA(#REF!,A363)</f>
        <v>#REF!</v>
      </c>
      <c r="AJ363" s="189" t="e">
        <f>GETPIVOTDATA(#REF!,A363)</f>
        <v>#REF!</v>
      </c>
      <c r="AK363" s="189">
        <f t="shared" si="255"/>
        <v>0.6</v>
      </c>
      <c r="AL363" s="189">
        <f t="shared" si="242"/>
        <v>-0.04</v>
      </c>
      <c r="AM363" s="189">
        <f>3.34*0.3</f>
        <v>1.002</v>
      </c>
      <c r="AN363" s="188" t="e">
        <f t="shared" si="253"/>
        <v>#REF!</v>
      </c>
      <c r="AO363" s="183">
        <v>8</v>
      </c>
      <c r="AP363" s="182">
        <f t="shared" si="236"/>
        <v>14</v>
      </c>
      <c r="AQ363" s="182">
        <v>1.5</v>
      </c>
      <c r="AR363" s="187" t="e">
        <f t="shared" si="243"/>
        <v>#REF!</v>
      </c>
      <c r="AS363" s="187" t="e">
        <f t="shared" si="244"/>
        <v>#REF!</v>
      </c>
      <c r="AT363" s="187" t="e">
        <f t="shared" si="245"/>
        <v>#REF!</v>
      </c>
      <c r="AU363" s="187" t="e">
        <f t="shared" si="246"/>
        <v>#REF!</v>
      </c>
      <c r="AV363" s="187" t="e">
        <f t="shared" si="237"/>
        <v>#REF!</v>
      </c>
      <c r="AW363" s="187" t="e">
        <f t="shared" si="247"/>
        <v>#REF!</v>
      </c>
      <c r="AX363" s="187">
        <f t="shared" si="248"/>
        <v>21</v>
      </c>
      <c r="AY363" s="190"/>
      <c r="AZ363" s="240"/>
      <c r="BA363" s="232"/>
      <c r="BF363" s="206"/>
      <c r="BG363" s="206"/>
      <c r="BK363" s="126"/>
      <c r="BL363" s="126"/>
      <c r="BN363" s="126"/>
      <c r="BO363" s="126"/>
      <c r="BQ363" s="126"/>
      <c r="BR363" s="126"/>
      <c r="BT363" s="126"/>
      <c r="BU363" s="126"/>
      <c r="BW363" s="126"/>
      <c r="BX363" s="126"/>
      <c r="BZ363" s="126"/>
      <c r="CA363" s="126"/>
      <c r="CC363" s="126"/>
      <c r="CD363" s="126"/>
      <c r="CF363" s="126"/>
      <c r="CG363" s="126"/>
    </row>
    <row r="364" spans="1:85" s="197" customFormat="1" ht="27.6" x14ac:dyDescent="0.3">
      <c r="A364" s="182" t="s">
        <v>225</v>
      </c>
      <c r="B364" s="183">
        <v>1</v>
      </c>
      <c r="C364" s="184" t="s">
        <v>390</v>
      </c>
      <c r="D364" s="187">
        <v>4.41</v>
      </c>
      <c r="E364" s="187">
        <v>5.85</v>
      </c>
      <c r="F364" s="186">
        <v>0.17499999999999999</v>
      </c>
      <c r="G364" s="187">
        <f t="shared" si="238"/>
        <v>4.5147374999999998</v>
      </c>
      <c r="H364" s="188">
        <f t="shared" si="235"/>
        <v>25.798500000000001</v>
      </c>
      <c r="I364" s="183" t="e">
        <f>GETPIVOTDATA(#REF!,A364)</f>
        <v>#REF!</v>
      </c>
      <c r="J364" s="188" t="e">
        <f>GETPIVOTDATA(#REF!,A364)*2</f>
        <v>#REF!</v>
      </c>
      <c r="K364" s="183" t="e">
        <f>(ROUND(E364/J364,0)+1)*GETPIVOTDATA(#REF!,A364)</f>
        <v>#REF!</v>
      </c>
      <c r="L364" s="189" t="e">
        <f>GETPIVOTDATA(#REF!,A364)</f>
        <v>#REF!</v>
      </c>
      <c r="M364" s="189">
        <f t="shared" si="250"/>
        <v>0.6</v>
      </c>
      <c r="N364" s="189">
        <f t="shared" si="239"/>
        <v>-0.04</v>
      </c>
      <c r="O364" s="189">
        <f>3.81*0.3</f>
        <v>1.143</v>
      </c>
      <c r="P364" s="188" t="e">
        <f t="shared" si="249"/>
        <v>#REF!</v>
      </c>
      <c r="Q364" s="183" t="e">
        <f>GETPIVOTDATA(#REF!,A364)</f>
        <v>#REF!</v>
      </c>
      <c r="R364" s="188" t="e">
        <f>GETPIVOTDATA(#REF!,A364)*2</f>
        <v>#REF!</v>
      </c>
      <c r="S364" s="183" t="e">
        <f>(ROUND(E364/R364,0))*GETPIVOTDATA(#REF!,A364)</f>
        <v>#REF!</v>
      </c>
      <c r="T364" s="189" t="e">
        <f>GETPIVOTDATA(#REF!,A364)</f>
        <v>#REF!</v>
      </c>
      <c r="U364" s="189">
        <f t="shared" si="251"/>
        <v>0.6</v>
      </c>
      <c r="V364" s="189">
        <f t="shared" si="240"/>
        <v>-0.04</v>
      </c>
      <c r="W364" s="189">
        <f>4.09*0.3</f>
        <v>1.2269999999999999</v>
      </c>
      <c r="X364" s="188" t="e">
        <f t="shared" si="234"/>
        <v>#REF!</v>
      </c>
      <c r="Y364" s="183" t="e">
        <f>GETPIVOTDATA(#REF!,A364)</f>
        <v>#REF!</v>
      </c>
      <c r="Z364" s="188" t="e">
        <f>GETPIVOTDATA(#REF!,A364)*2</f>
        <v>#REF!</v>
      </c>
      <c r="AA364" s="183" t="e">
        <f>(ROUND(D364/Z364,0)+1)*GETPIVOTDATA(#REF!,A364)</f>
        <v>#REF!</v>
      </c>
      <c r="AB364" s="189" t="e">
        <f>GETPIVOTDATA(#REF!,A364)</f>
        <v>#REF!</v>
      </c>
      <c r="AC364" s="189">
        <f t="shared" si="254"/>
        <v>0.6</v>
      </c>
      <c r="AD364" s="189">
        <f t="shared" si="241"/>
        <v>-0.04</v>
      </c>
      <c r="AE364" s="189">
        <f t="shared" si="256"/>
        <v>0.33600000000000002</v>
      </c>
      <c r="AF364" s="188" t="e">
        <f t="shared" si="257"/>
        <v>#REF!</v>
      </c>
      <c r="AG364" s="183" t="e">
        <f>GETPIVOTDATA(#REF!,A364)</f>
        <v>#REF!</v>
      </c>
      <c r="AH364" s="182" t="e">
        <f>GETPIVOTDATA(#REF!,A364)*2</f>
        <v>#REF!</v>
      </c>
      <c r="AI364" s="183" t="e">
        <f>(ROUND(D364/AH364,0))*GETPIVOTDATA(#REF!,A364)</f>
        <v>#REF!</v>
      </c>
      <c r="AJ364" s="189" t="e">
        <f>GETPIVOTDATA(#REF!,A364)</f>
        <v>#REF!</v>
      </c>
      <c r="AK364" s="189">
        <f t="shared" si="255"/>
        <v>0.6</v>
      </c>
      <c r="AL364" s="189">
        <f t="shared" si="242"/>
        <v>-0.04</v>
      </c>
      <c r="AM364" s="189">
        <f>5.31*0.3</f>
        <v>1.5929999999999997</v>
      </c>
      <c r="AN364" s="188" t="e">
        <f t="shared" si="253"/>
        <v>#REF!</v>
      </c>
      <c r="AO364" s="183">
        <v>8</v>
      </c>
      <c r="AP364" s="182">
        <f t="shared" si="236"/>
        <v>14</v>
      </c>
      <c r="AQ364" s="182">
        <v>1.5</v>
      </c>
      <c r="AR364" s="187" t="e">
        <f t="shared" si="243"/>
        <v>#REF!</v>
      </c>
      <c r="AS364" s="187" t="e">
        <f t="shared" si="244"/>
        <v>#REF!</v>
      </c>
      <c r="AT364" s="187" t="e">
        <f t="shared" si="245"/>
        <v>#REF!</v>
      </c>
      <c r="AU364" s="187" t="e">
        <f t="shared" si="246"/>
        <v>#REF!</v>
      </c>
      <c r="AV364" s="187" t="e">
        <f t="shared" si="237"/>
        <v>#REF!</v>
      </c>
      <c r="AW364" s="187" t="e">
        <f t="shared" si="247"/>
        <v>#REF!</v>
      </c>
      <c r="AX364" s="187">
        <f t="shared" si="248"/>
        <v>21</v>
      </c>
      <c r="AY364" s="190"/>
      <c r="AZ364" s="240"/>
      <c r="BA364" s="232"/>
      <c r="BF364" s="206"/>
      <c r="BG364" s="206"/>
      <c r="BK364" s="126"/>
      <c r="BL364" s="126"/>
      <c r="BN364" s="126"/>
      <c r="BO364" s="126"/>
      <c r="BQ364" s="126"/>
      <c r="BR364" s="126"/>
      <c r="BT364" s="126"/>
      <c r="BU364" s="126"/>
      <c r="BW364" s="126"/>
      <c r="BX364" s="126"/>
      <c r="BZ364" s="126"/>
      <c r="CA364" s="126"/>
      <c r="CC364" s="126"/>
      <c r="CD364" s="126"/>
      <c r="CF364" s="126"/>
      <c r="CG364" s="126"/>
    </row>
    <row r="365" spans="1:85" s="197" customFormat="1" ht="27.6" x14ac:dyDescent="0.3">
      <c r="A365" s="182" t="s">
        <v>225</v>
      </c>
      <c r="B365" s="183">
        <v>1</v>
      </c>
      <c r="C365" s="184" t="s">
        <v>391</v>
      </c>
      <c r="D365" s="187">
        <v>4.09</v>
      </c>
      <c r="E365" s="187">
        <v>5.85</v>
      </c>
      <c r="F365" s="186">
        <v>0.17499999999999999</v>
      </c>
      <c r="G365" s="187">
        <f t="shared" si="238"/>
        <v>4.1871374999999995</v>
      </c>
      <c r="H365" s="188">
        <f t="shared" si="235"/>
        <v>23.926499999999997</v>
      </c>
      <c r="I365" s="183" t="e">
        <f>GETPIVOTDATA(#REF!,A365)</f>
        <v>#REF!</v>
      </c>
      <c r="J365" s="188" t="e">
        <f>GETPIVOTDATA(#REF!,A365)*2</f>
        <v>#REF!</v>
      </c>
      <c r="K365" s="183" t="e">
        <f>(ROUND(E365/J365,0)+1)*GETPIVOTDATA(#REF!,A365)</f>
        <v>#REF!</v>
      </c>
      <c r="L365" s="189" t="e">
        <f>GETPIVOTDATA(#REF!,A365)</f>
        <v>#REF!</v>
      </c>
      <c r="M365" s="189">
        <f t="shared" si="250"/>
        <v>0.6</v>
      </c>
      <c r="N365" s="189">
        <f t="shared" si="239"/>
        <v>-0.04</v>
      </c>
      <c r="O365" s="189">
        <f>4.41*0.3</f>
        <v>1.323</v>
      </c>
      <c r="P365" s="188" t="e">
        <f t="shared" si="249"/>
        <v>#REF!</v>
      </c>
      <c r="Q365" s="183" t="e">
        <f>GETPIVOTDATA(#REF!,A365)</f>
        <v>#REF!</v>
      </c>
      <c r="R365" s="188" t="e">
        <f>GETPIVOTDATA(#REF!,A365)*2</f>
        <v>#REF!</v>
      </c>
      <c r="S365" s="183" t="e">
        <f>(ROUND(E365/R365,0))*GETPIVOTDATA(#REF!,A365)</f>
        <v>#REF!</v>
      </c>
      <c r="T365" s="189" t="e">
        <f>GETPIVOTDATA(#REF!,A365)</f>
        <v>#REF!</v>
      </c>
      <c r="U365" s="189">
        <f t="shared" si="251"/>
        <v>0.6</v>
      </c>
      <c r="V365" s="189">
        <f t="shared" si="240"/>
        <v>-0.04</v>
      </c>
      <c r="W365" s="189">
        <f>3.198*0.3</f>
        <v>0.95939999999999992</v>
      </c>
      <c r="X365" s="188" t="e">
        <f t="shared" si="234"/>
        <v>#REF!</v>
      </c>
      <c r="Y365" s="183" t="e">
        <f>GETPIVOTDATA(#REF!,A365)</f>
        <v>#REF!</v>
      </c>
      <c r="Z365" s="188" t="e">
        <f>GETPIVOTDATA(#REF!,A365)*2</f>
        <v>#REF!</v>
      </c>
      <c r="AA365" s="183" t="e">
        <f>(ROUND(D365/Z365,0)+1)*GETPIVOTDATA(#REF!,A365)</f>
        <v>#REF!</v>
      </c>
      <c r="AB365" s="189" t="e">
        <f>GETPIVOTDATA(#REF!,A365)</f>
        <v>#REF!</v>
      </c>
      <c r="AC365" s="189">
        <f t="shared" si="254"/>
        <v>0.6</v>
      </c>
      <c r="AD365" s="189">
        <f t="shared" si="241"/>
        <v>-0.04</v>
      </c>
      <c r="AE365" s="189">
        <f t="shared" si="256"/>
        <v>0.33600000000000002</v>
      </c>
      <c r="AF365" s="188" t="e">
        <f t="shared" si="257"/>
        <v>#REF!</v>
      </c>
      <c r="AG365" s="183" t="e">
        <f>GETPIVOTDATA(#REF!,A365)</f>
        <v>#REF!</v>
      </c>
      <c r="AH365" s="182" t="e">
        <f>GETPIVOTDATA(#REF!,A365)*2</f>
        <v>#REF!</v>
      </c>
      <c r="AI365" s="183" t="e">
        <f>(ROUND(D365/AH365,0))*GETPIVOTDATA(#REF!,A365)</f>
        <v>#REF!</v>
      </c>
      <c r="AJ365" s="189" t="e">
        <f>GETPIVOTDATA(#REF!,A365)</f>
        <v>#REF!</v>
      </c>
      <c r="AK365" s="189">
        <f t="shared" si="255"/>
        <v>0.6</v>
      </c>
      <c r="AL365" s="189">
        <f t="shared" si="242"/>
        <v>-0.04</v>
      </c>
      <c r="AM365" s="189">
        <f>5.31*0.3</f>
        <v>1.5929999999999997</v>
      </c>
      <c r="AN365" s="188" t="e">
        <f t="shared" si="253"/>
        <v>#REF!</v>
      </c>
      <c r="AO365" s="183">
        <v>8</v>
      </c>
      <c r="AP365" s="182">
        <f t="shared" si="236"/>
        <v>14</v>
      </c>
      <c r="AQ365" s="182">
        <v>1.5</v>
      </c>
      <c r="AR365" s="187" t="e">
        <f t="shared" si="243"/>
        <v>#REF!</v>
      </c>
      <c r="AS365" s="187" t="e">
        <f t="shared" si="244"/>
        <v>#REF!</v>
      </c>
      <c r="AT365" s="187" t="e">
        <f t="shared" si="245"/>
        <v>#REF!</v>
      </c>
      <c r="AU365" s="187" t="e">
        <f t="shared" si="246"/>
        <v>#REF!</v>
      </c>
      <c r="AV365" s="187" t="e">
        <f t="shared" si="237"/>
        <v>#REF!</v>
      </c>
      <c r="AW365" s="187" t="e">
        <f t="shared" si="247"/>
        <v>#REF!</v>
      </c>
      <c r="AX365" s="187">
        <f t="shared" si="248"/>
        <v>21</v>
      </c>
      <c r="AY365" s="190"/>
      <c r="AZ365" s="240"/>
      <c r="BA365" s="232"/>
      <c r="BF365" s="206"/>
      <c r="BG365" s="206"/>
      <c r="BK365" s="126"/>
      <c r="BL365" s="126"/>
      <c r="BN365" s="126"/>
      <c r="BO365" s="126"/>
      <c r="BQ365" s="126"/>
      <c r="BR365" s="126"/>
      <c r="BT365" s="126"/>
      <c r="BU365" s="126"/>
      <c r="BW365" s="126"/>
      <c r="BX365" s="126"/>
      <c r="BZ365" s="126"/>
      <c r="CA365" s="126"/>
      <c r="CC365" s="126"/>
      <c r="CD365" s="126"/>
      <c r="CF365" s="126"/>
      <c r="CG365" s="126"/>
    </row>
    <row r="366" spans="1:85" s="197" customFormat="1" ht="27.6" x14ac:dyDescent="0.3">
      <c r="A366" s="182" t="s">
        <v>242</v>
      </c>
      <c r="B366" s="183">
        <v>1</v>
      </c>
      <c r="C366" s="184" t="s">
        <v>392</v>
      </c>
      <c r="D366" s="187">
        <v>3.198</v>
      </c>
      <c r="E366" s="187">
        <v>5.88</v>
      </c>
      <c r="F366" s="186">
        <v>0.14000000000000001</v>
      </c>
      <c r="G366" s="187">
        <f t="shared" si="238"/>
        <v>2.6325936000000003</v>
      </c>
      <c r="H366" s="188">
        <f t="shared" si="235"/>
        <v>18.80424</v>
      </c>
      <c r="I366" s="183" t="e">
        <f>GETPIVOTDATA(#REF!,A366)</f>
        <v>#REF!</v>
      </c>
      <c r="J366" s="188" t="e">
        <f>GETPIVOTDATA(#REF!,A366)*2</f>
        <v>#REF!</v>
      </c>
      <c r="K366" s="183" t="e">
        <f>(ROUND(E366/J366,0)+1)*GETPIVOTDATA(#REF!,A366)</f>
        <v>#REF!</v>
      </c>
      <c r="L366" s="189" t="e">
        <f>GETPIVOTDATA(#REF!,A366)</f>
        <v>#REF!</v>
      </c>
      <c r="M366" s="189">
        <f t="shared" si="250"/>
        <v>0.6</v>
      </c>
      <c r="N366" s="189">
        <f t="shared" si="239"/>
        <v>-0.04</v>
      </c>
      <c r="O366" s="189">
        <f>4.09*0.3</f>
        <v>1.2269999999999999</v>
      </c>
      <c r="P366" s="188" t="e">
        <f t="shared" si="249"/>
        <v>#REF!</v>
      </c>
      <c r="Q366" s="183" t="e">
        <f>GETPIVOTDATA(#REF!,A366)</f>
        <v>#REF!</v>
      </c>
      <c r="R366" s="188" t="e">
        <f>GETPIVOTDATA(#REF!,A366)*2</f>
        <v>#REF!</v>
      </c>
      <c r="S366" s="183" t="e">
        <f>(ROUND(E366/R366,0))*GETPIVOTDATA(#REF!,A366)</f>
        <v>#REF!</v>
      </c>
      <c r="T366" s="189" t="e">
        <f>GETPIVOTDATA(#REF!,A366)</f>
        <v>#REF!</v>
      </c>
      <c r="U366" s="189">
        <f t="shared" si="251"/>
        <v>0.6</v>
      </c>
      <c r="V366" s="189">
        <f t="shared" si="240"/>
        <v>-0.04</v>
      </c>
      <c r="W366" s="189">
        <f>3.28*0.3</f>
        <v>0.98399999999999987</v>
      </c>
      <c r="X366" s="188" t="e">
        <f t="shared" si="234"/>
        <v>#REF!</v>
      </c>
      <c r="Y366" s="183" t="e">
        <f>GETPIVOTDATA(#REF!,A366)</f>
        <v>#REF!</v>
      </c>
      <c r="Z366" s="188" t="e">
        <f>GETPIVOTDATA(#REF!,A366)*2</f>
        <v>#REF!</v>
      </c>
      <c r="AA366" s="183" t="e">
        <f>(ROUND(D366/Z366,0)+1)*GETPIVOTDATA(#REF!,A366)</f>
        <v>#REF!</v>
      </c>
      <c r="AB366" s="189" t="e">
        <f>GETPIVOTDATA(#REF!,A366)</f>
        <v>#REF!</v>
      </c>
      <c r="AC366" s="189">
        <f>0.3+0.5</f>
        <v>0.8</v>
      </c>
      <c r="AD366" s="189">
        <f t="shared" si="241"/>
        <v>-0.04</v>
      </c>
      <c r="AE366" s="189">
        <f t="shared" si="256"/>
        <v>0.33600000000000002</v>
      </c>
      <c r="AF366" s="188" t="e">
        <f t="shared" si="257"/>
        <v>#REF!</v>
      </c>
      <c r="AG366" s="183" t="e">
        <f>GETPIVOTDATA(#REF!,A366)</f>
        <v>#REF!</v>
      </c>
      <c r="AH366" s="182" t="e">
        <f>GETPIVOTDATA(#REF!,A366)*2</f>
        <v>#REF!</v>
      </c>
      <c r="AI366" s="183" t="e">
        <f>(ROUND(D366/AH366,0))*GETPIVOTDATA(#REF!,A366)</f>
        <v>#REF!</v>
      </c>
      <c r="AJ366" s="189" t="e">
        <f>GETPIVOTDATA(#REF!,A366)</f>
        <v>#REF!</v>
      </c>
      <c r="AK366" s="189">
        <f>0.3+0.5</f>
        <v>0.8</v>
      </c>
      <c r="AL366" s="189">
        <f t="shared" si="242"/>
        <v>-0.04</v>
      </c>
      <c r="AM366" s="189">
        <f>4.56*0.3</f>
        <v>1.3679999999999999</v>
      </c>
      <c r="AN366" s="188" t="e">
        <f t="shared" si="253"/>
        <v>#REF!</v>
      </c>
      <c r="AO366" s="183">
        <v>8</v>
      </c>
      <c r="AP366" s="182">
        <f t="shared" si="236"/>
        <v>12</v>
      </c>
      <c r="AQ366" s="182">
        <v>1.5</v>
      </c>
      <c r="AR366" s="187" t="e">
        <f t="shared" si="243"/>
        <v>#REF!</v>
      </c>
      <c r="AS366" s="187" t="e">
        <f t="shared" si="244"/>
        <v>#REF!</v>
      </c>
      <c r="AT366" s="187" t="e">
        <f t="shared" si="245"/>
        <v>#REF!</v>
      </c>
      <c r="AU366" s="187" t="e">
        <f t="shared" si="246"/>
        <v>#REF!</v>
      </c>
      <c r="AV366" s="187" t="e">
        <f t="shared" si="237"/>
        <v>#REF!</v>
      </c>
      <c r="AW366" s="187" t="e">
        <f t="shared" si="247"/>
        <v>#REF!</v>
      </c>
      <c r="AX366" s="187">
        <f t="shared" si="248"/>
        <v>18</v>
      </c>
      <c r="AY366" s="190"/>
      <c r="AZ366" s="240"/>
      <c r="BA366" s="232"/>
      <c r="BF366" s="206"/>
      <c r="BG366" s="206"/>
      <c r="BK366" s="126"/>
      <c r="BL366" s="126"/>
      <c r="BN366" s="126"/>
      <c r="BO366" s="126"/>
      <c r="BQ366" s="126"/>
      <c r="BR366" s="126"/>
      <c r="BT366" s="126"/>
      <c r="BU366" s="126"/>
      <c r="BW366" s="126"/>
      <c r="BX366" s="126"/>
      <c r="BZ366" s="126"/>
      <c r="CA366" s="126"/>
      <c r="CC366" s="126"/>
      <c r="CD366" s="126"/>
      <c r="CF366" s="126"/>
      <c r="CG366" s="126"/>
    </row>
    <row r="367" spans="1:85" s="197" customFormat="1" ht="27.6" x14ac:dyDescent="0.3">
      <c r="A367" s="182" t="s">
        <v>223</v>
      </c>
      <c r="B367" s="183">
        <v>1</v>
      </c>
      <c r="C367" s="184" t="s">
        <v>393</v>
      </c>
      <c r="D367" s="187">
        <v>3.28</v>
      </c>
      <c r="E367" s="187">
        <v>5.88</v>
      </c>
      <c r="F367" s="186">
        <v>0.13</v>
      </c>
      <c r="G367" s="187">
        <f t="shared" si="238"/>
        <v>2.5072319999999997</v>
      </c>
      <c r="H367" s="188">
        <f t="shared" si="235"/>
        <v>19.286399999999997</v>
      </c>
      <c r="I367" s="183" t="e">
        <f>GETPIVOTDATA(#REF!,A367)</f>
        <v>#REF!</v>
      </c>
      <c r="J367" s="188" t="e">
        <f>GETPIVOTDATA(#REF!,A367)*2</f>
        <v>#REF!</v>
      </c>
      <c r="K367" s="183" t="e">
        <f>(ROUND(E367/J367,0)+1)*GETPIVOTDATA(#REF!,A367)</f>
        <v>#REF!</v>
      </c>
      <c r="L367" s="189" t="e">
        <f>GETPIVOTDATA(#REF!,A367)</f>
        <v>#REF!</v>
      </c>
      <c r="M367" s="189">
        <f t="shared" si="250"/>
        <v>0.6</v>
      </c>
      <c r="N367" s="189">
        <f t="shared" si="239"/>
        <v>-0.04</v>
      </c>
      <c r="O367" s="189">
        <f>3.198*0.3</f>
        <v>0.95939999999999992</v>
      </c>
      <c r="P367" s="188" t="e">
        <f t="shared" si="249"/>
        <v>#REF!</v>
      </c>
      <c r="Q367" s="183" t="e">
        <f>GETPIVOTDATA(#REF!,A367)</f>
        <v>#REF!</v>
      </c>
      <c r="R367" s="188" t="e">
        <f>GETPIVOTDATA(#REF!,A367)*2</f>
        <v>#REF!</v>
      </c>
      <c r="S367" s="183" t="e">
        <f>(ROUND(E367/R367,0))*GETPIVOTDATA(#REF!,A367)</f>
        <v>#REF!</v>
      </c>
      <c r="T367" s="189" t="e">
        <f>GETPIVOTDATA(#REF!,A367)</f>
        <v>#REF!</v>
      </c>
      <c r="U367" s="189">
        <f t="shared" si="251"/>
        <v>0.6</v>
      </c>
      <c r="V367" s="189">
        <f t="shared" si="240"/>
        <v>-0.04</v>
      </c>
      <c r="W367" s="189">
        <f>6*0.3</f>
        <v>1.7999999999999998</v>
      </c>
      <c r="X367" s="188" t="e">
        <f t="shared" si="234"/>
        <v>#REF!</v>
      </c>
      <c r="Y367" s="183" t="e">
        <f>GETPIVOTDATA(#REF!,A367)</f>
        <v>#REF!</v>
      </c>
      <c r="Z367" s="188" t="e">
        <f>GETPIVOTDATA(#REF!,A367)*2</f>
        <v>#REF!</v>
      </c>
      <c r="AA367" s="183" t="e">
        <f>(ROUND(D367/Z367,0)+1)*GETPIVOTDATA(#REF!,A367)</f>
        <v>#REF!</v>
      </c>
      <c r="AB367" s="189" t="e">
        <f>GETPIVOTDATA(#REF!,A367)</f>
        <v>#REF!</v>
      </c>
      <c r="AC367" s="189">
        <f>0.5+0.3</f>
        <v>0.8</v>
      </c>
      <c r="AD367" s="189">
        <f t="shared" si="241"/>
        <v>-0.04</v>
      </c>
      <c r="AE367" s="189">
        <f t="shared" si="256"/>
        <v>0.33600000000000002</v>
      </c>
      <c r="AF367" s="188" t="e">
        <f t="shared" si="257"/>
        <v>#REF!</v>
      </c>
      <c r="AG367" s="183" t="e">
        <f>GETPIVOTDATA(#REF!,A367)</f>
        <v>#REF!</v>
      </c>
      <c r="AH367" s="182" t="e">
        <f>GETPIVOTDATA(#REF!,A367)*2</f>
        <v>#REF!</v>
      </c>
      <c r="AI367" s="183" t="e">
        <f>(ROUND(D367/AH367,0))*GETPIVOTDATA(#REF!,A367)</f>
        <v>#REF!</v>
      </c>
      <c r="AJ367" s="189" t="e">
        <f>GETPIVOTDATA(#REF!,A367)</f>
        <v>#REF!</v>
      </c>
      <c r="AK367" s="189">
        <f>0.5+0.3</f>
        <v>0.8</v>
      </c>
      <c r="AL367" s="189">
        <f t="shared" si="242"/>
        <v>-0.04</v>
      </c>
      <c r="AM367" s="189">
        <f>4.56*0.3</f>
        <v>1.3679999999999999</v>
      </c>
      <c r="AN367" s="188" t="e">
        <f t="shared" si="253"/>
        <v>#REF!</v>
      </c>
      <c r="AO367" s="183">
        <v>8</v>
      </c>
      <c r="AP367" s="182">
        <f t="shared" si="236"/>
        <v>12</v>
      </c>
      <c r="AQ367" s="182">
        <v>1.5</v>
      </c>
      <c r="AR367" s="187" t="e">
        <f t="shared" si="243"/>
        <v>#REF!</v>
      </c>
      <c r="AS367" s="187" t="e">
        <f t="shared" si="244"/>
        <v>#REF!</v>
      </c>
      <c r="AT367" s="187" t="e">
        <f t="shared" si="245"/>
        <v>#REF!</v>
      </c>
      <c r="AU367" s="187" t="e">
        <f t="shared" si="246"/>
        <v>#REF!</v>
      </c>
      <c r="AV367" s="187" t="e">
        <f t="shared" si="237"/>
        <v>#REF!</v>
      </c>
      <c r="AW367" s="187" t="e">
        <f t="shared" si="247"/>
        <v>#REF!</v>
      </c>
      <c r="AX367" s="187">
        <f t="shared" si="248"/>
        <v>18</v>
      </c>
      <c r="AY367" s="190"/>
      <c r="AZ367" s="240"/>
      <c r="BA367" s="232"/>
      <c r="BF367" s="206"/>
      <c r="BG367" s="206"/>
      <c r="BK367" s="126"/>
      <c r="BL367" s="126"/>
      <c r="BN367" s="126"/>
      <c r="BO367" s="126"/>
      <c r="BQ367" s="126"/>
      <c r="BR367" s="126"/>
      <c r="BT367" s="126"/>
      <c r="BU367" s="126"/>
      <c r="BW367" s="126"/>
      <c r="BX367" s="126"/>
      <c r="BZ367" s="126"/>
      <c r="CA367" s="126"/>
      <c r="CC367" s="126"/>
      <c r="CD367" s="126"/>
      <c r="CF367" s="126"/>
      <c r="CG367" s="126"/>
    </row>
    <row r="368" spans="1:85" s="197" customFormat="1" ht="27.6" x14ac:dyDescent="0.3">
      <c r="A368" s="182" t="s">
        <v>226</v>
      </c>
      <c r="B368" s="183">
        <v>1</v>
      </c>
      <c r="C368" s="184" t="s">
        <v>394</v>
      </c>
      <c r="D368" s="187">
        <v>1.1200000000000001</v>
      </c>
      <c r="E368" s="187">
        <v>2.9</v>
      </c>
      <c r="F368" s="186">
        <v>0.115</v>
      </c>
      <c r="G368" s="187">
        <f t="shared" si="238"/>
        <v>0.37352000000000002</v>
      </c>
      <c r="H368" s="188">
        <f t="shared" si="235"/>
        <v>3.2480000000000002</v>
      </c>
      <c r="I368" s="183" t="e">
        <f>GETPIVOTDATA(#REF!,A368)</f>
        <v>#REF!</v>
      </c>
      <c r="J368" s="188" t="e">
        <f>GETPIVOTDATA(#REF!,A368)*2</f>
        <v>#REF!</v>
      </c>
      <c r="K368" s="183" t="e">
        <f>(ROUND(E368/J368,0)+1)*GETPIVOTDATA(#REF!,A368)</f>
        <v>#REF!</v>
      </c>
      <c r="L368" s="189" t="e">
        <f>GETPIVOTDATA(#REF!,A368)</f>
        <v>#REF!</v>
      </c>
      <c r="M368" s="189">
        <f t="shared" si="250"/>
        <v>0.6</v>
      </c>
      <c r="N368" s="189">
        <f t="shared" si="239"/>
        <v>-0.04</v>
      </c>
      <c r="O368" s="189">
        <f t="shared" ref="O368:O376" si="258">F368-2*0.02</f>
        <v>7.5000000000000011E-2</v>
      </c>
      <c r="P368" s="188" t="e">
        <f t="shared" si="249"/>
        <v>#REF!</v>
      </c>
      <c r="Q368" s="183" t="e">
        <f>GETPIVOTDATA(#REF!,A368)</f>
        <v>#REF!</v>
      </c>
      <c r="R368" s="188" t="e">
        <f>GETPIVOTDATA(#REF!,A368)*2</f>
        <v>#REF!</v>
      </c>
      <c r="S368" s="183" t="e">
        <f>(ROUND(E368/R368,0))*GETPIVOTDATA(#REF!,A368)</f>
        <v>#REF!</v>
      </c>
      <c r="T368" s="189" t="e">
        <f>GETPIVOTDATA(#REF!,A368)</f>
        <v>#REF!</v>
      </c>
      <c r="U368" s="189">
        <f t="shared" si="251"/>
        <v>0.6</v>
      </c>
      <c r="V368" s="189">
        <f t="shared" si="240"/>
        <v>-0.04</v>
      </c>
      <c r="W368" s="189">
        <f t="shared" ref="W368:W374" si="259">5.85*0.3</f>
        <v>1.7549999999999999</v>
      </c>
      <c r="X368" s="188" t="e">
        <f t="shared" ref="X368:X376" si="260">+D368+SUM(T368:W368)</f>
        <v>#REF!</v>
      </c>
      <c r="Y368" s="183" t="e">
        <f>GETPIVOTDATA(#REF!,A368)</f>
        <v>#REF!</v>
      </c>
      <c r="Z368" s="188" t="e">
        <f>GETPIVOTDATA(#REF!,A368)*2</f>
        <v>#REF!</v>
      </c>
      <c r="AA368" s="183" t="e">
        <f>(ROUND(D368/Z368,0)+1)*GETPIVOTDATA(#REF!,A368)</f>
        <v>#REF!</v>
      </c>
      <c r="AB368" s="189" t="e">
        <f>GETPIVOTDATA(#REF!,A368)</f>
        <v>#REF!</v>
      </c>
      <c r="AC368" s="189">
        <f>0.3+0.23</f>
        <v>0.53</v>
      </c>
      <c r="AD368" s="189">
        <f t="shared" si="241"/>
        <v>-0.04</v>
      </c>
      <c r="AE368" s="189">
        <f>F368-2*0.02</f>
        <v>7.5000000000000011E-2</v>
      </c>
      <c r="AF368" s="188" t="e">
        <f t="shared" si="257"/>
        <v>#REF!</v>
      </c>
      <c r="AG368" s="183" t="e">
        <f>GETPIVOTDATA(#REF!,A368)</f>
        <v>#REF!</v>
      </c>
      <c r="AH368" s="182" t="e">
        <f>GETPIVOTDATA(#REF!,A368)*2</f>
        <v>#REF!</v>
      </c>
      <c r="AI368" s="183" t="e">
        <f>(ROUND(D368/AH368,0))*GETPIVOTDATA(#REF!,A368)</f>
        <v>#REF!</v>
      </c>
      <c r="AJ368" s="189" t="e">
        <f>GETPIVOTDATA(#REF!,A368)</f>
        <v>#REF!</v>
      </c>
      <c r="AK368" s="189">
        <f>0.3+0.23</f>
        <v>0.53</v>
      </c>
      <c r="AL368" s="189">
        <f t="shared" si="242"/>
        <v>-0.04</v>
      </c>
      <c r="AM368" s="189">
        <v>0</v>
      </c>
      <c r="AN368" s="188" t="e">
        <f t="shared" si="253"/>
        <v>#REF!</v>
      </c>
      <c r="AO368" s="183">
        <v>8</v>
      </c>
      <c r="AP368" s="182">
        <f t="shared" si="236"/>
        <v>6</v>
      </c>
      <c r="AQ368" s="182">
        <v>1.5</v>
      </c>
      <c r="AR368" s="187" t="e">
        <f t="shared" si="243"/>
        <v>#REF!</v>
      </c>
      <c r="AS368" s="187" t="e">
        <f t="shared" si="244"/>
        <v>#REF!</v>
      </c>
      <c r="AT368" s="187" t="e">
        <f t="shared" si="245"/>
        <v>#REF!</v>
      </c>
      <c r="AU368" s="187" t="e">
        <f t="shared" si="246"/>
        <v>#REF!</v>
      </c>
      <c r="AV368" s="187" t="e">
        <f t="shared" si="237"/>
        <v>#REF!</v>
      </c>
      <c r="AW368" s="187" t="e">
        <f t="shared" si="247"/>
        <v>#REF!</v>
      </c>
      <c r="AX368" s="187">
        <f t="shared" si="248"/>
        <v>9</v>
      </c>
      <c r="AY368" s="190"/>
      <c r="AZ368" s="240"/>
      <c r="BA368" s="232"/>
      <c r="BF368" s="206"/>
      <c r="BG368" s="206"/>
      <c r="BK368" s="126"/>
      <c r="BL368" s="126"/>
      <c r="BN368" s="126"/>
      <c r="BO368" s="126"/>
      <c r="BQ368" s="126"/>
      <c r="BR368" s="126"/>
      <c r="BT368" s="126"/>
      <c r="BU368" s="126"/>
      <c r="BW368" s="126"/>
      <c r="BX368" s="126"/>
      <c r="BZ368" s="126"/>
      <c r="CA368" s="126"/>
      <c r="CC368" s="126"/>
      <c r="CD368" s="126"/>
      <c r="CF368" s="126"/>
      <c r="CG368" s="126"/>
    </row>
    <row r="369" spans="1:105" s="197" customFormat="1" ht="27.6" x14ac:dyDescent="0.3">
      <c r="A369" s="182" t="s">
        <v>226</v>
      </c>
      <c r="B369" s="183">
        <v>1</v>
      </c>
      <c r="C369" s="184" t="s">
        <v>395</v>
      </c>
      <c r="D369" s="187">
        <v>1.1200000000000001</v>
      </c>
      <c r="E369" s="187">
        <v>2.75</v>
      </c>
      <c r="F369" s="186">
        <v>0.115</v>
      </c>
      <c r="G369" s="187">
        <f t="shared" si="238"/>
        <v>0.35420000000000001</v>
      </c>
      <c r="H369" s="188">
        <f t="shared" ref="H369:H376" si="261">D369*E369*B369</f>
        <v>3.08</v>
      </c>
      <c r="I369" s="183" t="e">
        <f>GETPIVOTDATA(#REF!,A369)</f>
        <v>#REF!</v>
      </c>
      <c r="J369" s="188" t="e">
        <f>GETPIVOTDATA(#REF!,A369)*2</f>
        <v>#REF!</v>
      </c>
      <c r="K369" s="183" t="e">
        <f>(ROUND(E369/J369,0)+1)*GETPIVOTDATA(#REF!,A369)</f>
        <v>#REF!</v>
      </c>
      <c r="L369" s="189" t="e">
        <f>GETPIVOTDATA(#REF!,A369)</f>
        <v>#REF!</v>
      </c>
      <c r="M369" s="189">
        <f t="shared" si="250"/>
        <v>0.6</v>
      </c>
      <c r="N369" s="189">
        <f t="shared" si="239"/>
        <v>-0.04</v>
      </c>
      <c r="O369" s="189">
        <f t="shared" si="258"/>
        <v>7.5000000000000011E-2</v>
      </c>
      <c r="P369" s="188" t="e">
        <f t="shared" si="249"/>
        <v>#REF!</v>
      </c>
      <c r="Q369" s="183" t="e">
        <f>GETPIVOTDATA(#REF!,A369)</f>
        <v>#REF!</v>
      </c>
      <c r="R369" s="188" t="e">
        <f>GETPIVOTDATA(#REF!,A369)*2</f>
        <v>#REF!</v>
      </c>
      <c r="S369" s="183" t="e">
        <f>(ROUND(E369/R369,0))*GETPIVOTDATA(#REF!,A369)</f>
        <v>#REF!</v>
      </c>
      <c r="T369" s="189" t="e">
        <f>GETPIVOTDATA(#REF!,A369)</f>
        <v>#REF!</v>
      </c>
      <c r="U369" s="189">
        <f t="shared" si="251"/>
        <v>0.6</v>
      </c>
      <c r="V369" s="189">
        <f t="shared" si="240"/>
        <v>-0.04</v>
      </c>
      <c r="W369" s="189">
        <f t="shared" si="259"/>
        <v>1.7549999999999999</v>
      </c>
      <c r="X369" s="188" t="e">
        <f t="shared" si="260"/>
        <v>#REF!</v>
      </c>
      <c r="Y369" s="183" t="e">
        <f>GETPIVOTDATA(#REF!,A369)</f>
        <v>#REF!</v>
      </c>
      <c r="Z369" s="188" t="e">
        <f>GETPIVOTDATA(#REF!,A369)*2</f>
        <v>#REF!</v>
      </c>
      <c r="AA369" s="183" t="e">
        <f>(ROUND(D369/Z369,0)+1)*GETPIVOTDATA(#REF!,A369)</f>
        <v>#REF!</v>
      </c>
      <c r="AB369" s="189" t="e">
        <f>GETPIVOTDATA(#REF!,A369)</f>
        <v>#REF!</v>
      </c>
      <c r="AC369" s="189">
        <f t="shared" si="254"/>
        <v>0.6</v>
      </c>
      <c r="AD369" s="189">
        <f t="shared" si="241"/>
        <v>-0.04</v>
      </c>
      <c r="AE369" s="189">
        <v>0</v>
      </c>
      <c r="AF369" s="188" t="e">
        <f t="shared" si="257"/>
        <v>#REF!</v>
      </c>
      <c r="AG369" s="183" t="e">
        <f>GETPIVOTDATA(#REF!,A369)</f>
        <v>#REF!</v>
      </c>
      <c r="AH369" s="182" t="e">
        <f>GETPIVOTDATA(#REF!,A369)*2</f>
        <v>#REF!</v>
      </c>
      <c r="AI369" s="183" t="e">
        <f>(ROUND(D369/AH369,0))*GETPIVOTDATA(#REF!,A369)</f>
        <v>#REF!</v>
      </c>
      <c r="AJ369" s="189" t="e">
        <f>GETPIVOTDATA(#REF!,A369)</f>
        <v>#REF!</v>
      </c>
      <c r="AK369" s="189">
        <f t="shared" si="255"/>
        <v>0.6</v>
      </c>
      <c r="AL369" s="189">
        <f t="shared" si="242"/>
        <v>-0.04</v>
      </c>
      <c r="AM369" s="189">
        <v>0</v>
      </c>
      <c r="AN369" s="188" t="e">
        <f t="shared" si="253"/>
        <v>#REF!</v>
      </c>
      <c r="AO369" s="183">
        <v>8</v>
      </c>
      <c r="AP369" s="182">
        <f t="shared" si="236"/>
        <v>6</v>
      </c>
      <c r="AQ369" s="182">
        <v>1.5</v>
      </c>
      <c r="AR369" s="187" t="e">
        <f t="shared" si="243"/>
        <v>#REF!</v>
      </c>
      <c r="AS369" s="187" t="e">
        <f t="shared" si="244"/>
        <v>#REF!</v>
      </c>
      <c r="AT369" s="187" t="e">
        <f t="shared" si="245"/>
        <v>#REF!</v>
      </c>
      <c r="AU369" s="187" t="e">
        <f t="shared" si="246"/>
        <v>#REF!</v>
      </c>
      <c r="AV369" s="187" t="e">
        <f t="shared" si="237"/>
        <v>#REF!</v>
      </c>
      <c r="AW369" s="187" t="e">
        <f t="shared" si="247"/>
        <v>#REF!</v>
      </c>
      <c r="AX369" s="187">
        <f t="shared" si="248"/>
        <v>9</v>
      </c>
      <c r="AY369" s="190"/>
      <c r="AZ369" s="240"/>
      <c r="BA369" s="232"/>
      <c r="BF369" s="206"/>
      <c r="BG369" s="206"/>
      <c r="BK369" s="126"/>
      <c r="BL369" s="126"/>
      <c r="BN369" s="126"/>
      <c r="BO369" s="126"/>
      <c r="BQ369" s="126"/>
      <c r="BR369" s="126"/>
      <c r="BT369" s="126"/>
      <c r="BU369" s="126"/>
      <c r="BW369" s="126"/>
      <c r="BX369" s="126"/>
      <c r="BZ369" s="126"/>
      <c r="CA369" s="126"/>
      <c r="CC369" s="126"/>
      <c r="CD369" s="126"/>
      <c r="CF369" s="126"/>
      <c r="CG369" s="126"/>
    </row>
    <row r="370" spans="1:105" s="197" customFormat="1" ht="27.6" x14ac:dyDescent="0.3">
      <c r="A370" s="182" t="s">
        <v>226</v>
      </c>
      <c r="B370" s="183">
        <v>1</v>
      </c>
      <c r="C370" s="184" t="s">
        <v>396</v>
      </c>
      <c r="D370" s="187">
        <v>1.1200000000000001</v>
      </c>
      <c r="E370" s="187">
        <v>5.92</v>
      </c>
      <c r="F370" s="186">
        <v>0.115</v>
      </c>
      <c r="G370" s="187">
        <f t="shared" si="238"/>
        <v>0.76249600000000006</v>
      </c>
      <c r="H370" s="188">
        <f t="shared" si="261"/>
        <v>6.6304000000000007</v>
      </c>
      <c r="I370" s="183" t="e">
        <f>GETPIVOTDATA(#REF!,A370)</f>
        <v>#REF!</v>
      </c>
      <c r="J370" s="188" t="e">
        <f>GETPIVOTDATA(#REF!,A370)*2</f>
        <v>#REF!</v>
      </c>
      <c r="K370" s="183" t="e">
        <f>(ROUND(E370/J370,0)+1)*GETPIVOTDATA(#REF!,A370)</f>
        <v>#REF!</v>
      </c>
      <c r="L370" s="189" t="e">
        <f>GETPIVOTDATA(#REF!,A370)</f>
        <v>#REF!</v>
      </c>
      <c r="M370" s="189">
        <f t="shared" si="250"/>
        <v>0.6</v>
      </c>
      <c r="N370" s="189">
        <f t="shared" si="239"/>
        <v>-0.04</v>
      </c>
      <c r="O370" s="189">
        <f t="shared" si="258"/>
        <v>7.5000000000000011E-2</v>
      </c>
      <c r="P370" s="188" t="e">
        <f t="shared" si="249"/>
        <v>#REF!</v>
      </c>
      <c r="Q370" s="183" t="e">
        <f>GETPIVOTDATA(#REF!,A370)</f>
        <v>#REF!</v>
      </c>
      <c r="R370" s="188" t="e">
        <f>GETPIVOTDATA(#REF!,A370)*2</f>
        <v>#REF!</v>
      </c>
      <c r="S370" s="183" t="e">
        <f>(ROUND(E370/R370,0))*GETPIVOTDATA(#REF!,A370)</f>
        <v>#REF!</v>
      </c>
      <c r="T370" s="189" t="e">
        <f>GETPIVOTDATA(#REF!,A370)</f>
        <v>#REF!</v>
      </c>
      <c r="U370" s="189">
        <f t="shared" si="251"/>
        <v>0.6</v>
      </c>
      <c r="V370" s="189">
        <f t="shared" si="240"/>
        <v>-0.04</v>
      </c>
      <c r="W370" s="189">
        <f t="shared" si="259"/>
        <v>1.7549999999999999</v>
      </c>
      <c r="X370" s="188" t="e">
        <f t="shared" si="260"/>
        <v>#REF!</v>
      </c>
      <c r="Y370" s="183" t="e">
        <f>GETPIVOTDATA(#REF!,A370)</f>
        <v>#REF!</v>
      </c>
      <c r="Z370" s="188" t="e">
        <f>GETPIVOTDATA(#REF!,A370)*2</f>
        <v>#REF!</v>
      </c>
      <c r="AA370" s="183" t="e">
        <f>(ROUND(D370/Z370,0)+1)*GETPIVOTDATA(#REF!,A370)</f>
        <v>#REF!</v>
      </c>
      <c r="AB370" s="189" t="e">
        <f>GETPIVOTDATA(#REF!,A370)</f>
        <v>#REF!</v>
      </c>
      <c r="AC370" s="189">
        <f t="shared" si="254"/>
        <v>0.6</v>
      </c>
      <c r="AD370" s="189">
        <f t="shared" si="241"/>
        <v>-0.04</v>
      </c>
      <c r="AE370" s="189">
        <v>0</v>
      </c>
      <c r="AF370" s="188" t="e">
        <f t="shared" si="257"/>
        <v>#REF!</v>
      </c>
      <c r="AG370" s="183" t="e">
        <f>GETPIVOTDATA(#REF!,A370)</f>
        <v>#REF!</v>
      </c>
      <c r="AH370" s="182" t="e">
        <f>GETPIVOTDATA(#REF!,A370)*2</f>
        <v>#REF!</v>
      </c>
      <c r="AI370" s="183" t="e">
        <f>(ROUND(D370/AH370,0))*GETPIVOTDATA(#REF!,A370)</f>
        <v>#REF!</v>
      </c>
      <c r="AJ370" s="189" t="e">
        <f>GETPIVOTDATA(#REF!,A370)</f>
        <v>#REF!</v>
      </c>
      <c r="AK370" s="189">
        <f t="shared" si="255"/>
        <v>0.6</v>
      </c>
      <c r="AL370" s="189">
        <f t="shared" si="242"/>
        <v>-0.04</v>
      </c>
      <c r="AM370" s="189">
        <v>0</v>
      </c>
      <c r="AN370" s="188" t="e">
        <f t="shared" si="253"/>
        <v>#REF!</v>
      </c>
      <c r="AO370" s="183">
        <v>8</v>
      </c>
      <c r="AP370" s="182">
        <f t="shared" si="236"/>
        <v>10</v>
      </c>
      <c r="AQ370" s="182">
        <v>1.5</v>
      </c>
      <c r="AR370" s="187" t="e">
        <f t="shared" si="243"/>
        <v>#REF!</v>
      </c>
      <c r="AS370" s="187" t="e">
        <f t="shared" si="244"/>
        <v>#REF!</v>
      </c>
      <c r="AT370" s="187" t="e">
        <f t="shared" si="245"/>
        <v>#REF!</v>
      </c>
      <c r="AU370" s="187" t="e">
        <f t="shared" si="246"/>
        <v>#REF!</v>
      </c>
      <c r="AV370" s="187" t="e">
        <f t="shared" si="237"/>
        <v>#REF!</v>
      </c>
      <c r="AW370" s="187" t="e">
        <f t="shared" si="247"/>
        <v>#REF!</v>
      </c>
      <c r="AX370" s="187">
        <f t="shared" si="248"/>
        <v>15</v>
      </c>
      <c r="AY370" s="190"/>
      <c r="AZ370" s="240"/>
      <c r="BA370" s="232"/>
      <c r="BF370" s="206"/>
      <c r="BG370" s="206"/>
      <c r="BK370" s="126"/>
      <c r="BL370" s="126"/>
      <c r="BN370" s="126"/>
      <c r="BO370" s="126"/>
      <c r="BQ370" s="126"/>
      <c r="BR370" s="126"/>
      <c r="BT370" s="126"/>
      <c r="BU370" s="126"/>
      <c r="BW370" s="126"/>
      <c r="BX370" s="126"/>
      <c r="BZ370" s="126"/>
      <c r="CA370" s="126"/>
      <c r="CC370" s="126"/>
      <c r="CD370" s="126"/>
      <c r="CF370" s="126"/>
      <c r="CG370" s="126"/>
    </row>
    <row r="371" spans="1:105" s="197" customFormat="1" ht="27.6" x14ac:dyDescent="0.3">
      <c r="A371" s="182" t="s">
        <v>226</v>
      </c>
      <c r="B371" s="183">
        <v>1</v>
      </c>
      <c r="C371" s="184" t="s">
        <v>397</v>
      </c>
      <c r="D371" s="187">
        <v>1.1200000000000001</v>
      </c>
      <c r="E371" s="187">
        <v>4.41</v>
      </c>
      <c r="F371" s="186">
        <v>0.115</v>
      </c>
      <c r="G371" s="187">
        <f t="shared" si="238"/>
        <v>0.56800800000000007</v>
      </c>
      <c r="H371" s="188">
        <f t="shared" si="261"/>
        <v>4.9392000000000005</v>
      </c>
      <c r="I371" s="183" t="e">
        <f>GETPIVOTDATA(#REF!,A371)</f>
        <v>#REF!</v>
      </c>
      <c r="J371" s="188" t="e">
        <f>GETPIVOTDATA(#REF!,A371)*2</f>
        <v>#REF!</v>
      </c>
      <c r="K371" s="183" t="e">
        <f>(ROUND(E371/J371,0)+1)*GETPIVOTDATA(#REF!,A371)</f>
        <v>#REF!</v>
      </c>
      <c r="L371" s="189" t="e">
        <f>GETPIVOTDATA(#REF!,A371)</f>
        <v>#REF!</v>
      </c>
      <c r="M371" s="189">
        <f t="shared" si="250"/>
        <v>0.6</v>
      </c>
      <c r="N371" s="189">
        <f t="shared" si="239"/>
        <v>-0.04</v>
      </c>
      <c r="O371" s="189">
        <f t="shared" si="258"/>
        <v>7.5000000000000011E-2</v>
      </c>
      <c r="P371" s="188" t="e">
        <f t="shared" si="249"/>
        <v>#REF!</v>
      </c>
      <c r="Q371" s="183" t="e">
        <f>GETPIVOTDATA(#REF!,A371)</f>
        <v>#REF!</v>
      </c>
      <c r="R371" s="188" t="e">
        <f>GETPIVOTDATA(#REF!,A371)*2</f>
        <v>#REF!</v>
      </c>
      <c r="S371" s="183" t="e">
        <f>(ROUND(E371/R371,0))*GETPIVOTDATA(#REF!,A371)</f>
        <v>#REF!</v>
      </c>
      <c r="T371" s="189" t="e">
        <f>GETPIVOTDATA(#REF!,A371)</f>
        <v>#REF!</v>
      </c>
      <c r="U371" s="189">
        <f t="shared" si="251"/>
        <v>0.6</v>
      </c>
      <c r="V371" s="189">
        <f t="shared" si="240"/>
        <v>-0.04</v>
      </c>
      <c r="W371" s="189">
        <f t="shared" si="259"/>
        <v>1.7549999999999999</v>
      </c>
      <c r="X371" s="188" t="e">
        <f t="shared" si="260"/>
        <v>#REF!</v>
      </c>
      <c r="Y371" s="183" t="e">
        <f>GETPIVOTDATA(#REF!,A371)</f>
        <v>#REF!</v>
      </c>
      <c r="Z371" s="188" t="e">
        <f>GETPIVOTDATA(#REF!,A371)*2</f>
        <v>#REF!</v>
      </c>
      <c r="AA371" s="183" t="e">
        <f>(ROUND(D371/Z371,0)+1)*GETPIVOTDATA(#REF!,A371)</f>
        <v>#REF!</v>
      </c>
      <c r="AB371" s="189" t="e">
        <f>GETPIVOTDATA(#REF!,A371)</f>
        <v>#REF!</v>
      </c>
      <c r="AC371" s="189">
        <f t="shared" si="254"/>
        <v>0.6</v>
      </c>
      <c r="AD371" s="189">
        <f t="shared" si="241"/>
        <v>-0.04</v>
      </c>
      <c r="AE371" s="189">
        <v>0</v>
      </c>
      <c r="AF371" s="188" t="e">
        <f t="shared" si="257"/>
        <v>#REF!</v>
      </c>
      <c r="AG371" s="183" t="e">
        <f>GETPIVOTDATA(#REF!,A371)</f>
        <v>#REF!</v>
      </c>
      <c r="AH371" s="182" t="e">
        <f>GETPIVOTDATA(#REF!,A371)*2</f>
        <v>#REF!</v>
      </c>
      <c r="AI371" s="183" t="e">
        <f>(ROUND(D371/AH371,0))*GETPIVOTDATA(#REF!,A371)</f>
        <v>#REF!</v>
      </c>
      <c r="AJ371" s="189" t="e">
        <f>GETPIVOTDATA(#REF!,A371)</f>
        <v>#REF!</v>
      </c>
      <c r="AK371" s="189">
        <f t="shared" si="255"/>
        <v>0.6</v>
      </c>
      <c r="AL371" s="189">
        <f t="shared" si="242"/>
        <v>-0.04</v>
      </c>
      <c r="AM371" s="189">
        <v>0</v>
      </c>
      <c r="AN371" s="188" t="e">
        <f t="shared" si="253"/>
        <v>#REF!</v>
      </c>
      <c r="AO371" s="183">
        <v>8</v>
      </c>
      <c r="AP371" s="182">
        <f t="shared" si="236"/>
        <v>8</v>
      </c>
      <c r="AQ371" s="182">
        <v>1.5</v>
      </c>
      <c r="AR371" s="187" t="e">
        <f t="shared" si="243"/>
        <v>#REF!</v>
      </c>
      <c r="AS371" s="187" t="e">
        <f t="shared" si="244"/>
        <v>#REF!</v>
      </c>
      <c r="AT371" s="187" t="e">
        <f t="shared" si="245"/>
        <v>#REF!</v>
      </c>
      <c r="AU371" s="187" t="e">
        <f t="shared" si="246"/>
        <v>#REF!</v>
      </c>
      <c r="AV371" s="187" t="e">
        <f t="shared" si="237"/>
        <v>#REF!</v>
      </c>
      <c r="AW371" s="187" t="e">
        <f t="shared" si="247"/>
        <v>#REF!</v>
      </c>
      <c r="AX371" s="187">
        <f t="shared" si="248"/>
        <v>12</v>
      </c>
      <c r="AY371" s="190"/>
      <c r="AZ371" s="240"/>
      <c r="BA371" s="232"/>
      <c r="BF371" s="206"/>
      <c r="BG371" s="206"/>
      <c r="BK371" s="126"/>
      <c r="BL371" s="126"/>
      <c r="BN371" s="126"/>
      <c r="BO371" s="126"/>
      <c r="BQ371" s="126"/>
      <c r="BR371" s="126"/>
      <c r="BT371" s="126"/>
      <c r="BU371" s="126"/>
      <c r="BW371" s="126"/>
      <c r="BX371" s="126"/>
      <c r="BZ371" s="126"/>
      <c r="CA371" s="126"/>
      <c r="CC371" s="126"/>
      <c r="CD371" s="126"/>
      <c r="CF371" s="126"/>
      <c r="CG371" s="126"/>
    </row>
    <row r="372" spans="1:105" s="197" customFormat="1" ht="27.6" outlineLevel="1" x14ac:dyDescent="0.3">
      <c r="A372" s="182" t="s">
        <v>226</v>
      </c>
      <c r="B372" s="183">
        <v>1</v>
      </c>
      <c r="C372" s="184" t="s">
        <v>398</v>
      </c>
      <c r="D372" s="187">
        <v>1.1200000000000001</v>
      </c>
      <c r="E372" s="187">
        <v>3.81</v>
      </c>
      <c r="F372" s="186">
        <v>0.115</v>
      </c>
      <c r="G372" s="187">
        <f t="shared" si="238"/>
        <v>0.49072800000000011</v>
      </c>
      <c r="H372" s="188">
        <f t="shared" si="261"/>
        <v>4.2672000000000008</v>
      </c>
      <c r="I372" s="183" t="e">
        <f>GETPIVOTDATA(#REF!,A372)</f>
        <v>#REF!</v>
      </c>
      <c r="J372" s="188" t="e">
        <f>GETPIVOTDATA(#REF!,A372)*2</f>
        <v>#REF!</v>
      </c>
      <c r="K372" s="183" t="e">
        <f>(ROUND(E372/J372,0)+1)*GETPIVOTDATA(#REF!,A372)</f>
        <v>#REF!</v>
      </c>
      <c r="L372" s="189" t="e">
        <f>GETPIVOTDATA(#REF!,A372)</f>
        <v>#REF!</v>
      </c>
      <c r="M372" s="189">
        <f t="shared" si="250"/>
        <v>0.6</v>
      </c>
      <c r="N372" s="189">
        <f t="shared" si="239"/>
        <v>-0.04</v>
      </c>
      <c r="O372" s="189">
        <f t="shared" si="258"/>
        <v>7.5000000000000011E-2</v>
      </c>
      <c r="P372" s="188" t="e">
        <f t="shared" si="249"/>
        <v>#REF!</v>
      </c>
      <c r="Q372" s="183" t="e">
        <f>GETPIVOTDATA(#REF!,A372)</f>
        <v>#REF!</v>
      </c>
      <c r="R372" s="188" t="e">
        <f>GETPIVOTDATA(#REF!,A372)*2</f>
        <v>#REF!</v>
      </c>
      <c r="S372" s="183" t="e">
        <f>(ROUND(E372/R372,0))*GETPIVOTDATA(#REF!,A372)</f>
        <v>#REF!</v>
      </c>
      <c r="T372" s="189" t="e">
        <f>GETPIVOTDATA(#REF!,A372)</f>
        <v>#REF!</v>
      </c>
      <c r="U372" s="189">
        <f t="shared" si="251"/>
        <v>0.6</v>
      </c>
      <c r="V372" s="189">
        <f t="shared" si="240"/>
        <v>-0.04</v>
      </c>
      <c r="W372" s="189">
        <f t="shared" si="259"/>
        <v>1.7549999999999999</v>
      </c>
      <c r="X372" s="188" t="e">
        <f t="shared" si="260"/>
        <v>#REF!</v>
      </c>
      <c r="Y372" s="183" t="e">
        <f>GETPIVOTDATA(#REF!,A372)</f>
        <v>#REF!</v>
      </c>
      <c r="Z372" s="188" t="e">
        <f>GETPIVOTDATA(#REF!,A372)*2</f>
        <v>#REF!</v>
      </c>
      <c r="AA372" s="183" t="e">
        <f>(ROUND(D372/Z372,0)+1)*GETPIVOTDATA(#REF!,A372)</f>
        <v>#REF!</v>
      </c>
      <c r="AB372" s="189" t="e">
        <f>GETPIVOTDATA(#REF!,A372)</f>
        <v>#REF!</v>
      </c>
      <c r="AC372" s="189">
        <f t="shared" si="254"/>
        <v>0.6</v>
      </c>
      <c r="AD372" s="189">
        <f t="shared" si="241"/>
        <v>-0.04</v>
      </c>
      <c r="AE372" s="189">
        <v>0</v>
      </c>
      <c r="AF372" s="188" t="e">
        <f t="shared" si="257"/>
        <v>#REF!</v>
      </c>
      <c r="AG372" s="183" t="e">
        <f>GETPIVOTDATA(#REF!,A372)</f>
        <v>#REF!</v>
      </c>
      <c r="AH372" s="182" t="e">
        <f>GETPIVOTDATA(#REF!,A372)*2</f>
        <v>#REF!</v>
      </c>
      <c r="AI372" s="183" t="e">
        <f>(ROUND(D372/AH372,0))*GETPIVOTDATA(#REF!,A372)</f>
        <v>#REF!</v>
      </c>
      <c r="AJ372" s="189" t="e">
        <f>GETPIVOTDATA(#REF!,A372)</f>
        <v>#REF!</v>
      </c>
      <c r="AK372" s="189">
        <f t="shared" si="255"/>
        <v>0.6</v>
      </c>
      <c r="AL372" s="189">
        <f t="shared" si="242"/>
        <v>-0.04</v>
      </c>
      <c r="AM372" s="189">
        <v>0</v>
      </c>
      <c r="AN372" s="188" t="e">
        <f t="shared" si="253"/>
        <v>#REF!</v>
      </c>
      <c r="AO372" s="183">
        <v>8</v>
      </c>
      <c r="AP372" s="182">
        <f t="shared" si="236"/>
        <v>8</v>
      </c>
      <c r="AQ372" s="182">
        <v>1.5</v>
      </c>
      <c r="AR372" s="187" t="e">
        <f t="shared" si="243"/>
        <v>#REF!</v>
      </c>
      <c r="AS372" s="187" t="e">
        <f t="shared" si="244"/>
        <v>#REF!</v>
      </c>
      <c r="AT372" s="187" t="e">
        <f t="shared" si="245"/>
        <v>#REF!</v>
      </c>
      <c r="AU372" s="187" t="e">
        <f t="shared" si="246"/>
        <v>#REF!</v>
      </c>
      <c r="AV372" s="187" t="e">
        <f t="shared" si="237"/>
        <v>#REF!</v>
      </c>
      <c r="AW372" s="187" t="e">
        <f t="shared" si="247"/>
        <v>#REF!</v>
      </c>
      <c r="AX372" s="187">
        <f t="shared" si="248"/>
        <v>12</v>
      </c>
      <c r="AY372" s="190"/>
      <c r="AZ372" s="240"/>
      <c r="BA372" s="232"/>
      <c r="BF372" s="206"/>
      <c r="BG372" s="206"/>
      <c r="BK372" s="126"/>
      <c r="BL372" s="126"/>
      <c r="BN372" s="126"/>
      <c r="BO372" s="126"/>
      <c r="BQ372" s="126"/>
      <c r="BR372" s="126"/>
      <c r="BT372" s="126"/>
      <c r="BU372" s="126"/>
      <c r="BW372" s="126"/>
      <c r="BX372" s="126"/>
      <c r="BZ372" s="126"/>
      <c r="CA372" s="126"/>
      <c r="CC372" s="126"/>
      <c r="CD372" s="126"/>
      <c r="CF372" s="126"/>
      <c r="CG372" s="126"/>
    </row>
    <row r="373" spans="1:105" s="197" customFormat="1" ht="27.6" outlineLevel="1" x14ac:dyDescent="0.3">
      <c r="A373" s="182" t="s">
        <v>226</v>
      </c>
      <c r="B373" s="183">
        <v>1</v>
      </c>
      <c r="C373" s="184" t="s">
        <v>399</v>
      </c>
      <c r="D373" s="187">
        <v>1.1200000000000001</v>
      </c>
      <c r="E373" s="187">
        <v>4.41</v>
      </c>
      <c r="F373" s="186">
        <v>0.115</v>
      </c>
      <c r="G373" s="187">
        <f t="shared" si="238"/>
        <v>0.56800800000000007</v>
      </c>
      <c r="H373" s="188">
        <f t="shared" si="261"/>
        <v>4.9392000000000005</v>
      </c>
      <c r="I373" s="183" t="e">
        <f>GETPIVOTDATA(#REF!,A373)</f>
        <v>#REF!</v>
      </c>
      <c r="J373" s="188" t="e">
        <f>GETPIVOTDATA(#REF!,A373)*2</f>
        <v>#REF!</v>
      </c>
      <c r="K373" s="183" t="e">
        <f>(ROUND(E373/J373,0)+1)*GETPIVOTDATA(#REF!,A373)</f>
        <v>#REF!</v>
      </c>
      <c r="L373" s="189" t="e">
        <f>GETPIVOTDATA(#REF!,A373)</f>
        <v>#REF!</v>
      </c>
      <c r="M373" s="189">
        <f t="shared" si="250"/>
        <v>0.6</v>
      </c>
      <c r="N373" s="189">
        <f t="shared" si="239"/>
        <v>-0.04</v>
      </c>
      <c r="O373" s="189">
        <f t="shared" si="258"/>
        <v>7.5000000000000011E-2</v>
      </c>
      <c r="P373" s="188" t="e">
        <f t="shared" si="249"/>
        <v>#REF!</v>
      </c>
      <c r="Q373" s="183" t="e">
        <f>GETPIVOTDATA(#REF!,A373)</f>
        <v>#REF!</v>
      </c>
      <c r="R373" s="188" t="e">
        <f>GETPIVOTDATA(#REF!,A373)*2</f>
        <v>#REF!</v>
      </c>
      <c r="S373" s="183" t="e">
        <f>(ROUND(E373/R373,0))*GETPIVOTDATA(#REF!,A373)</f>
        <v>#REF!</v>
      </c>
      <c r="T373" s="189" t="e">
        <f>GETPIVOTDATA(#REF!,A373)</f>
        <v>#REF!</v>
      </c>
      <c r="U373" s="189">
        <f t="shared" si="251"/>
        <v>0.6</v>
      </c>
      <c r="V373" s="189">
        <f t="shared" si="240"/>
        <v>-0.04</v>
      </c>
      <c r="W373" s="189">
        <f t="shared" si="259"/>
        <v>1.7549999999999999</v>
      </c>
      <c r="X373" s="188" t="e">
        <f t="shared" si="260"/>
        <v>#REF!</v>
      </c>
      <c r="Y373" s="183" t="e">
        <f>GETPIVOTDATA(#REF!,A373)</f>
        <v>#REF!</v>
      </c>
      <c r="Z373" s="188" t="e">
        <f>GETPIVOTDATA(#REF!,A373)*2</f>
        <v>#REF!</v>
      </c>
      <c r="AA373" s="183" t="e">
        <f>(ROUND(D373/Z373,0)+1)*GETPIVOTDATA(#REF!,A373)</f>
        <v>#REF!</v>
      </c>
      <c r="AB373" s="189" t="e">
        <f>GETPIVOTDATA(#REF!,A373)</f>
        <v>#REF!</v>
      </c>
      <c r="AC373" s="189">
        <f t="shared" si="254"/>
        <v>0.6</v>
      </c>
      <c r="AD373" s="189">
        <f t="shared" si="241"/>
        <v>-0.04</v>
      </c>
      <c r="AE373" s="189">
        <v>0</v>
      </c>
      <c r="AF373" s="188" t="e">
        <f t="shared" si="257"/>
        <v>#REF!</v>
      </c>
      <c r="AG373" s="183" t="e">
        <f>GETPIVOTDATA(#REF!,A373)</f>
        <v>#REF!</v>
      </c>
      <c r="AH373" s="182" t="e">
        <f>GETPIVOTDATA(#REF!,A373)*2</f>
        <v>#REF!</v>
      </c>
      <c r="AI373" s="183" t="e">
        <f>(ROUND(D373/AH373,0))*GETPIVOTDATA(#REF!,A373)</f>
        <v>#REF!</v>
      </c>
      <c r="AJ373" s="189" t="e">
        <f>GETPIVOTDATA(#REF!,A373)</f>
        <v>#REF!</v>
      </c>
      <c r="AK373" s="189">
        <f t="shared" si="255"/>
        <v>0.6</v>
      </c>
      <c r="AL373" s="189">
        <f t="shared" si="242"/>
        <v>-0.04</v>
      </c>
      <c r="AM373" s="189">
        <v>0</v>
      </c>
      <c r="AN373" s="188" t="e">
        <f t="shared" si="253"/>
        <v>#REF!</v>
      </c>
      <c r="AO373" s="183">
        <v>8</v>
      </c>
      <c r="AP373" s="182">
        <f t="shared" si="236"/>
        <v>8</v>
      </c>
      <c r="AQ373" s="182">
        <v>1.5</v>
      </c>
      <c r="AR373" s="187" t="e">
        <f t="shared" si="243"/>
        <v>#REF!</v>
      </c>
      <c r="AS373" s="187" t="e">
        <f t="shared" si="244"/>
        <v>#REF!</v>
      </c>
      <c r="AT373" s="187" t="e">
        <f t="shared" si="245"/>
        <v>#REF!</v>
      </c>
      <c r="AU373" s="187" t="e">
        <f t="shared" si="246"/>
        <v>#REF!</v>
      </c>
      <c r="AV373" s="187" t="e">
        <f t="shared" si="237"/>
        <v>#REF!</v>
      </c>
      <c r="AW373" s="187" t="e">
        <f t="shared" si="247"/>
        <v>#REF!</v>
      </c>
      <c r="AX373" s="187">
        <f t="shared" si="248"/>
        <v>12</v>
      </c>
      <c r="AY373" s="190"/>
      <c r="AZ373" s="240"/>
      <c r="BA373" s="232"/>
      <c r="BF373" s="206"/>
      <c r="BG373" s="206"/>
      <c r="BK373" s="126"/>
      <c r="BL373" s="126"/>
      <c r="BN373" s="126"/>
      <c r="BO373" s="126"/>
      <c r="BQ373" s="126"/>
      <c r="BR373" s="126"/>
      <c r="BT373" s="126"/>
      <c r="BU373" s="126"/>
      <c r="BW373" s="126"/>
      <c r="BX373" s="126"/>
      <c r="BZ373" s="126"/>
      <c r="CA373" s="126"/>
      <c r="CC373" s="126"/>
      <c r="CD373" s="126"/>
      <c r="CF373" s="126"/>
      <c r="CG373" s="126"/>
    </row>
    <row r="374" spans="1:105" s="197" customFormat="1" ht="27.6" outlineLevel="1" x14ac:dyDescent="0.3">
      <c r="A374" s="182" t="s">
        <v>226</v>
      </c>
      <c r="B374" s="183">
        <v>1</v>
      </c>
      <c r="C374" s="184" t="s">
        <v>400</v>
      </c>
      <c r="D374" s="187">
        <v>1.1200000000000001</v>
      </c>
      <c r="E374" s="187">
        <v>4.09</v>
      </c>
      <c r="F374" s="186">
        <v>0.115</v>
      </c>
      <c r="G374" s="187">
        <f t="shared" si="238"/>
        <v>0.52679200000000004</v>
      </c>
      <c r="H374" s="188">
        <f t="shared" si="261"/>
        <v>4.5808</v>
      </c>
      <c r="I374" s="183" t="e">
        <f>GETPIVOTDATA(#REF!,A374)</f>
        <v>#REF!</v>
      </c>
      <c r="J374" s="188" t="e">
        <f>GETPIVOTDATA(#REF!,A374)*2</f>
        <v>#REF!</v>
      </c>
      <c r="K374" s="183" t="e">
        <f>(ROUND(E374/J374,0)+1)*GETPIVOTDATA(#REF!,A374)</f>
        <v>#REF!</v>
      </c>
      <c r="L374" s="189" t="e">
        <f>GETPIVOTDATA(#REF!,A374)</f>
        <v>#REF!</v>
      </c>
      <c r="M374" s="189">
        <f t="shared" si="250"/>
        <v>0.6</v>
      </c>
      <c r="N374" s="189">
        <f t="shared" si="239"/>
        <v>-0.04</v>
      </c>
      <c r="O374" s="189">
        <f t="shared" si="258"/>
        <v>7.5000000000000011E-2</v>
      </c>
      <c r="P374" s="188" t="e">
        <f t="shared" si="249"/>
        <v>#REF!</v>
      </c>
      <c r="Q374" s="183" t="e">
        <f>GETPIVOTDATA(#REF!,A374)</f>
        <v>#REF!</v>
      </c>
      <c r="R374" s="188" t="e">
        <f>GETPIVOTDATA(#REF!,A374)*2</f>
        <v>#REF!</v>
      </c>
      <c r="S374" s="183" t="e">
        <f>(ROUND(E374/R374,0))*GETPIVOTDATA(#REF!,A374)</f>
        <v>#REF!</v>
      </c>
      <c r="T374" s="189" t="e">
        <f>GETPIVOTDATA(#REF!,A374)</f>
        <v>#REF!</v>
      </c>
      <c r="U374" s="189">
        <f t="shared" si="251"/>
        <v>0.6</v>
      </c>
      <c r="V374" s="189">
        <f t="shared" si="240"/>
        <v>-0.04</v>
      </c>
      <c r="W374" s="189">
        <f t="shared" si="259"/>
        <v>1.7549999999999999</v>
      </c>
      <c r="X374" s="188" t="e">
        <f t="shared" si="260"/>
        <v>#REF!</v>
      </c>
      <c r="Y374" s="183" t="e">
        <f>GETPIVOTDATA(#REF!,A374)</f>
        <v>#REF!</v>
      </c>
      <c r="Z374" s="188" t="e">
        <f>GETPIVOTDATA(#REF!,A374)*2</f>
        <v>#REF!</v>
      </c>
      <c r="AA374" s="183" t="e">
        <f>(ROUND(D374/Z374,0)+1)*GETPIVOTDATA(#REF!,A374)</f>
        <v>#REF!</v>
      </c>
      <c r="AB374" s="189" t="e">
        <f>GETPIVOTDATA(#REF!,A374)</f>
        <v>#REF!</v>
      </c>
      <c r="AC374" s="189">
        <f t="shared" si="254"/>
        <v>0.6</v>
      </c>
      <c r="AD374" s="189">
        <f t="shared" si="241"/>
        <v>-0.04</v>
      </c>
      <c r="AE374" s="189">
        <v>0</v>
      </c>
      <c r="AF374" s="188" t="e">
        <f t="shared" si="257"/>
        <v>#REF!</v>
      </c>
      <c r="AG374" s="183" t="e">
        <f>GETPIVOTDATA(#REF!,A374)</f>
        <v>#REF!</v>
      </c>
      <c r="AH374" s="182" t="e">
        <f>GETPIVOTDATA(#REF!,A374)*2</f>
        <v>#REF!</v>
      </c>
      <c r="AI374" s="183" t="e">
        <f>(ROUND(D374/AH374,0))*GETPIVOTDATA(#REF!,A374)</f>
        <v>#REF!</v>
      </c>
      <c r="AJ374" s="189" t="e">
        <f>GETPIVOTDATA(#REF!,A374)</f>
        <v>#REF!</v>
      </c>
      <c r="AK374" s="189">
        <f t="shared" si="255"/>
        <v>0.6</v>
      </c>
      <c r="AL374" s="189">
        <f t="shared" si="242"/>
        <v>-0.04</v>
      </c>
      <c r="AM374" s="189">
        <v>0</v>
      </c>
      <c r="AN374" s="188" t="e">
        <f t="shared" si="253"/>
        <v>#REF!</v>
      </c>
      <c r="AO374" s="183">
        <v>8</v>
      </c>
      <c r="AP374" s="182">
        <f t="shared" si="236"/>
        <v>8</v>
      </c>
      <c r="AQ374" s="182">
        <v>1.5</v>
      </c>
      <c r="AR374" s="187" t="e">
        <f t="shared" si="243"/>
        <v>#REF!</v>
      </c>
      <c r="AS374" s="187" t="e">
        <f t="shared" si="244"/>
        <v>#REF!</v>
      </c>
      <c r="AT374" s="187" t="e">
        <f t="shared" si="245"/>
        <v>#REF!</v>
      </c>
      <c r="AU374" s="187" t="e">
        <f t="shared" si="246"/>
        <v>#REF!</v>
      </c>
      <c r="AV374" s="187" t="e">
        <f t="shared" si="237"/>
        <v>#REF!</v>
      </c>
      <c r="AW374" s="187" t="e">
        <f t="shared" si="247"/>
        <v>#REF!</v>
      </c>
      <c r="AX374" s="187">
        <f t="shared" si="248"/>
        <v>12</v>
      </c>
      <c r="AY374" s="190"/>
      <c r="AZ374" s="240"/>
      <c r="BA374" s="232"/>
      <c r="BF374" s="206"/>
      <c r="BG374" s="206"/>
      <c r="BK374" s="126"/>
      <c r="BL374" s="126"/>
      <c r="BN374" s="126"/>
      <c r="BO374" s="126"/>
      <c r="BQ374" s="126"/>
      <c r="BR374" s="126"/>
      <c r="BT374" s="126"/>
      <c r="BU374" s="126"/>
      <c r="BW374" s="126"/>
      <c r="BX374" s="126"/>
      <c r="BZ374" s="126"/>
      <c r="CA374" s="126"/>
      <c r="CC374" s="126"/>
      <c r="CD374" s="126"/>
      <c r="CF374" s="126"/>
      <c r="CG374" s="126"/>
    </row>
    <row r="375" spans="1:105" s="197" customFormat="1" ht="27.6" outlineLevel="1" x14ac:dyDescent="0.3">
      <c r="A375" s="182" t="s">
        <v>226</v>
      </c>
      <c r="B375" s="183">
        <v>1</v>
      </c>
      <c r="C375" s="184" t="s">
        <v>401</v>
      </c>
      <c r="D375" s="187">
        <v>1.1200000000000001</v>
      </c>
      <c r="E375" s="187">
        <v>5.28</v>
      </c>
      <c r="F375" s="186">
        <v>0.115</v>
      </c>
      <c r="G375" s="187">
        <f t="shared" si="238"/>
        <v>0.68006400000000011</v>
      </c>
      <c r="H375" s="188">
        <f t="shared" si="261"/>
        <v>5.9136000000000006</v>
      </c>
      <c r="I375" s="183" t="e">
        <f>GETPIVOTDATA(#REF!,A375)</f>
        <v>#REF!</v>
      </c>
      <c r="J375" s="188" t="e">
        <f>GETPIVOTDATA(#REF!,A375)*2</f>
        <v>#REF!</v>
      </c>
      <c r="K375" s="183" t="e">
        <f>(ROUND(E375/J375,0)+1)*GETPIVOTDATA(#REF!,A375)</f>
        <v>#REF!</v>
      </c>
      <c r="L375" s="189" t="e">
        <f>GETPIVOTDATA(#REF!,A375)</f>
        <v>#REF!</v>
      </c>
      <c r="M375" s="189">
        <f t="shared" si="250"/>
        <v>0.6</v>
      </c>
      <c r="N375" s="189">
        <f t="shared" si="239"/>
        <v>-0.04</v>
      </c>
      <c r="O375" s="189">
        <f t="shared" si="258"/>
        <v>7.5000000000000011E-2</v>
      </c>
      <c r="P375" s="188" t="e">
        <f t="shared" si="249"/>
        <v>#REF!</v>
      </c>
      <c r="Q375" s="183" t="e">
        <f>GETPIVOTDATA(#REF!,A375)</f>
        <v>#REF!</v>
      </c>
      <c r="R375" s="188" t="e">
        <f>GETPIVOTDATA(#REF!,A375)*2</f>
        <v>#REF!</v>
      </c>
      <c r="S375" s="183" t="e">
        <f>(ROUND(E375/R375,0))*GETPIVOTDATA(#REF!,A375)</f>
        <v>#REF!</v>
      </c>
      <c r="T375" s="189" t="e">
        <f>GETPIVOTDATA(#REF!,A375)</f>
        <v>#REF!</v>
      </c>
      <c r="U375" s="189">
        <f t="shared" si="251"/>
        <v>0.6</v>
      </c>
      <c r="V375" s="189">
        <f t="shared" si="240"/>
        <v>-0.04</v>
      </c>
      <c r="W375" s="189">
        <f>5.88*0.3</f>
        <v>1.764</v>
      </c>
      <c r="X375" s="188" t="e">
        <f t="shared" si="260"/>
        <v>#REF!</v>
      </c>
      <c r="Y375" s="183" t="e">
        <f>GETPIVOTDATA(#REF!,A375)</f>
        <v>#REF!</v>
      </c>
      <c r="Z375" s="188" t="e">
        <f>GETPIVOTDATA(#REF!,A375)*2</f>
        <v>#REF!</v>
      </c>
      <c r="AA375" s="183" t="e">
        <f>(ROUND(D375/Z375,0)+1)*GETPIVOTDATA(#REF!,A375)</f>
        <v>#REF!</v>
      </c>
      <c r="AB375" s="189" t="e">
        <f>GETPIVOTDATA(#REF!,A375)</f>
        <v>#REF!</v>
      </c>
      <c r="AC375" s="189">
        <f t="shared" si="254"/>
        <v>0.6</v>
      </c>
      <c r="AD375" s="189">
        <f t="shared" si="241"/>
        <v>-0.04</v>
      </c>
      <c r="AE375" s="189">
        <v>0</v>
      </c>
      <c r="AF375" s="188" t="e">
        <f t="shared" si="257"/>
        <v>#REF!</v>
      </c>
      <c r="AG375" s="183" t="e">
        <f>GETPIVOTDATA(#REF!,A375)</f>
        <v>#REF!</v>
      </c>
      <c r="AH375" s="182" t="e">
        <f>GETPIVOTDATA(#REF!,A375)*2</f>
        <v>#REF!</v>
      </c>
      <c r="AI375" s="183" t="e">
        <f>(ROUND(D375/AH375,0))*GETPIVOTDATA(#REF!,A375)</f>
        <v>#REF!</v>
      </c>
      <c r="AJ375" s="189" t="e">
        <f>GETPIVOTDATA(#REF!,A375)</f>
        <v>#REF!</v>
      </c>
      <c r="AK375" s="189">
        <f t="shared" si="255"/>
        <v>0.6</v>
      </c>
      <c r="AL375" s="189">
        <f t="shared" si="242"/>
        <v>-0.04</v>
      </c>
      <c r="AM375" s="189">
        <v>0</v>
      </c>
      <c r="AN375" s="188" t="e">
        <f t="shared" si="253"/>
        <v>#REF!</v>
      </c>
      <c r="AO375" s="183">
        <v>8</v>
      </c>
      <c r="AP375" s="182">
        <f t="shared" si="236"/>
        <v>10</v>
      </c>
      <c r="AQ375" s="182">
        <v>1.5</v>
      </c>
      <c r="AR375" s="187" t="e">
        <f t="shared" si="243"/>
        <v>#REF!</v>
      </c>
      <c r="AS375" s="187" t="e">
        <f t="shared" si="244"/>
        <v>#REF!</v>
      </c>
      <c r="AT375" s="187" t="e">
        <f t="shared" si="245"/>
        <v>#REF!</v>
      </c>
      <c r="AU375" s="187" t="e">
        <f t="shared" si="246"/>
        <v>#REF!</v>
      </c>
      <c r="AV375" s="187" t="e">
        <f t="shared" si="237"/>
        <v>#REF!</v>
      </c>
      <c r="AW375" s="187" t="e">
        <f t="shared" si="247"/>
        <v>#REF!</v>
      </c>
      <c r="AX375" s="187">
        <f t="shared" si="248"/>
        <v>15</v>
      </c>
      <c r="AY375" s="190"/>
      <c r="AZ375" s="240"/>
      <c r="BA375" s="232"/>
      <c r="BF375" s="206"/>
      <c r="BG375" s="206"/>
      <c r="BK375" s="126"/>
      <c r="BL375" s="126"/>
      <c r="BN375" s="126"/>
      <c r="BO375" s="126"/>
      <c r="BQ375" s="126"/>
      <c r="BR375" s="126"/>
      <c r="BT375" s="126"/>
      <c r="BU375" s="126"/>
      <c r="BW375" s="126"/>
      <c r="BX375" s="126"/>
      <c r="BZ375" s="126"/>
      <c r="CA375" s="126"/>
      <c r="CC375" s="126"/>
      <c r="CD375" s="126"/>
      <c r="CF375" s="126"/>
      <c r="CG375" s="126"/>
    </row>
    <row r="376" spans="1:105" s="197" customFormat="1" ht="27.6" outlineLevel="1" x14ac:dyDescent="0.3">
      <c r="A376" s="182" t="s">
        <v>226</v>
      </c>
      <c r="B376" s="183">
        <v>1</v>
      </c>
      <c r="C376" s="184" t="s">
        <v>402</v>
      </c>
      <c r="D376" s="187">
        <v>1.1200000000000001</v>
      </c>
      <c r="E376" s="187">
        <v>6.32</v>
      </c>
      <c r="F376" s="186">
        <v>0.115</v>
      </c>
      <c r="G376" s="187">
        <f t="shared" si="238"/>
        <v>0.81401600000000018</v>
      </c>
      <c r="H376" s="188">
        <f t="shared" si="261"/>
        <v>7.0784000000000011</v>
      </c>
      <c r="I376" s="183" t="e">
        <f>GETPIVOTDATA(#REF!,A376)</f>
        <v>#REF!</v>
      </c>
      <c r="J376" s="188" t="e">
        <f>GETPIVOTDATA(#REF!,A376)*2</f>
        <v>#REF!</v>
      </c>
      <c r="K376" s="183" t="e">
        <f>(ROUND(E376/J376,0)+1)*GETPIVOTDATA(#REF!,A376)</f>
        <v>#REF!</v>
      </c>
      <c r="L376" s="189" t="e">
        <f>GETPIVOTDATA(#REF!,A376)</f>
        <v>#REF!</v>
      </c>
      <c r="M376" s="189">
        <f t="shared" si="250"/>
        <v>0.6</v>
      </c>
      <c r="N376" s="189">
        <f t="shared" si="239"/>
        <v>-0.04</v>
      </c>
      <c r="O376" s="189">
        <f t="shared" si="258"/>
        <v>7.5000000000000011E-2</v>
      </c>
      <c r="P376" s="188" t="e">
        <f t="shared" si="249"/>
        <v>#REF!</v>
      </c>
      <c r="Q376" s="183" t="e">
        <f>GETPIVOTDATA(#REF!,A376)</f>
        <v>#REF!</v>
      </c>
      <c r="R376" s="188" t="e">
        <f>GETPIVOTDATA(#REF!,A376)*2</f>
        <v>#REF!</v>
      </c>
      <c r="S376" s="183" t="e">
        <f>(ROUND(E376/R376,0))*GETPIVOTDATA(#REF!,A376)</f>
        <v>#REF!</v>
      </c>
      <c r="T376" s="189" t="e">
        <f>GETPIVOTDATA(#REF!,A376)</f>
        <v>#REF!</v>
      </c>
      <c r="U376" s="189">
        <f t="shared" si="251"/>
        <v>0.6</v>
      </c>
      <c r="V376" s="189">
        <f t="shared" si="240"/>
        <v>-0.04</v>
      </c>
      <c r="W376" s="189">
        <f>2.36*0.3</f>
        <v>0.70799999999999996</v>
      </c>
      <c r="X376" s="188" t="e">
        <f t="shared" si="260"/>
        <v>#REF!</v>
      </c>
      <c r="Y376" s="183" t="e">
        <f>GETPIVOTDATA(#REF!,A376)</f>
        <v>#REF!</v>
      </c>
      <c r="Z376" s="188" t="e">
        <f>GETPIVOTDATA(#REF!,A376)*2</f>
        <v>#REF!</v>
      </c>
      <c r="AA376" s="183" t="e">
        <f>(ROUND(D376/Z376,0)+1)*GETPIVOTDATA(#REF!,A376)</f>
        <v>#REF!</v>
      </c>
      <c r="AB376" s="189" t="e">
        <f>GETPIVOTDATA(#REF!,A376)</f>
        <v>#REF!</v>
      </c>
      <c r="AC376" s="189">
        <f t="shared" si="254"/>
        <v>0.6</v>
      </c>
      <c r="AD376" s="189">
        <f t="shared" si="241"/>
        <v>-0.04</v>
      </c>
      <c r="AE376" s="189">
        <v>0</v>
      </c>
      <c r="AF376" s="188" t="e">
        <f t="shared" si="257"/>
        <v>#REF!</v>
      </c>
      <c r="AG376" s="183" t="e">
        <f>GETPIVOTDATA(#REF!,A376)</f>
        <v>#REF!</v>
      </c>
      <c r="AH376" s="182" t="e">
        <f>GETPIVOTDATA(#REF!,A376)*2</f>
        <v>#REF!</v>
      </c>
      <c r="AI376" s="183" t="e">
        <f>(ROUND(D376/AH376,0))*GETPIVOTDATA(#REF!,A376)</f>
        <v>#REF!</v>
      </c>
      <c r="AJ376" s="189" t="e">
        <f>GETPIVOTDATA(#REF!,A376)</f>
        <v>#REF!</v>
      </c>
      <c r="AK376" s="189">
        <f t="shared" si="255"/>
        <v>0.6</v>
      </c>
      <c r="AL376" s="189">
        <f t="shared" si="242"/>
        <v>-0.04</v>
      </c>
      <c r="AM376" s="189">
        <f>F376-2*0.02</f>
        <v>7.5000000000000011E-2</v>
      </c>
      <c r="AN376" s="188" t="e">
        <f t="shared" si="253"/>
        <v>#REF!</v>
      </c>
      <c r="AO376" s="183">
        <v>8</v>
      </c>
      <c r="AP376" s="182">
        <f t="shared" si="236"/>
        <v>10</v>
      </c>
      <c r="AQ376" s="182">
        <v>1.5</v>
      </c>
      <c r="AR376" s="187" t="e">
        <f t="shared" si="243"/>
        <v>#REF!</v>
      </c>
      <c r="AS376" s="187" t="e">
        <f t="shared" si="244"/>
        <v>#REF!</v>
      </c>
      <c r="AT376" s="187" t="e">
        <f t="shared" si="245"/>
        <v>#REF!</v>
      </c>
      <c r="AU376" s="187" t="e">
        <f t="shared" si="246"/>
        <v>#REF!</v>
      </c>
      <c r="AV376" s="187" t="e">
        <f t="shared" si="237"/>
        <v>#REF!</v>
      </c>
      <c r="AW376" s="187" t="e">
        <f t="shared" si="247"/>
        <v>#REF!</v>
      </c>
      <c r="AX376" s="187">
        <f t="shared" si="248"/>
        <v>15</v>
      </c>
      <c r="AY376" s="190"/>
      <c r="AZ376" s="240"/>
      <c r="BA376" s="232"/>
      <c r="BF376" s="206"/>
      <c r="BG376" s="206"/>
      <c r="BK376" s="126"/>
      <c r="BL376" s="126"/>
      <c r="BN376" s="126"/>
      <c r="BO376" s="126"/>
      <c r="BQ376" s="126"/>
      <c r="BR376" s="126"/>
      <c r="BT376" s="126"/>
      <c r="BU376" s="126"/>
      <c r="BW376" s="126"/>
      <c r="BX376" s="126"/>
      <c r="BZ376" s="126"/>
      <c r="CA376" s="126"/>
      <c r="CC376" s="126"/>
      <c r="CD376" s="126"/>
      <c r="CF376" s="126"/>
      <c r="CG376" s="126"/>
    </row>
    <row r="377" spans="1:105" s="196" customFormat="1" x14ac:dyDescent="0.3">
      <c r="A377" s="248"/>
      <c r="B377" s="249"/>
      <c r="C377" s="250"/>
      <c r="D377" s="251"/>
      <c r="E377" s="1057" t="s">
        <v>403</v>
      </c>
      <c r="F377" s="1058"/>
      <c r="G377" s="252">
        <f>SUM(G205:G376)</f>
        <v>328.27965265299986</v>
      </c>
      <c r="H377" s="252">
        <f>SUM(H206:H283)</f>
        <v>1053.0719642599997</v>
      </c>
      <c r="I377" s="253"/>
      <c r="J377" s="254"/>
      <c r="K377" s="255"/>
      <c r="L377" s="256"/>
      <c r="M377" s="256"/>
      <c r="N377" s="256"/>
      <c r="O377" s="256"/>
      <c r="P377" s="255"/>
      <c r="Q377" s="257"/>
      <c r="R377" s="139"/>
      <c r="S377" s="249"/>
      <c r="T377" s="141"/>
      <c r="U377" s="141"/>
      <c r="V377" s="141"/>
      <c r="W377" s="141"/>
      <c r="X377" s="248"/>
      <c r="Y377" s="249"/>
      <c r="Z377" s="139"/>
      <c r="AA377" s="249"/>
      <c r="AB377" s="249"/>
      <c r="AC377" s="249"/>
      <c r="AD377" s="249"/>
      <c r="AE377" s="249"/>
      <c r="AF377" s="248"/>
      <c r="AG377" s="249"/>
      <c r="AH377" s="139"/>
      <c r="AI377" s="249"/>
      <c r="AJ377" s="249"/>
      <c r="AK377" s="249"/>
      <c r="AL377" s="249"/>
      <c r="AM377" s="249"/>
      <c r="AN377" s="248"/>
      <c r="AO377" s="1054" t="s">
        <v>404</v>
      </c>
      <c r="AP377" s="1055"/>
      <c r="AQ377" s="1056"/>
      <c r="AR377" s="252" t="e">
        <f>SUM(AR238:AR376)</f>
        <v>#REF!</v>
      </c>
      <c r="AS377" s="252" t="e">
        <f t="shared" ref="AS377:AX377" si="262">SUM(AS238:AS376)</f>
        <v>#REF!</v>
      </c>
      <c r="AT377" s="252" t="e">
        <f t="shared" si="262"/>
        <v>#REF!</v>
      </c>
      <c r="AU377" s="252" t="e">
        <f t="shared" si="262"/>
        <v>#REF!</v>
      </c>
      <c r="AV377" s="252" t="e">
        <f t="shared" si="262"/>
        <v>#REF!</v>
      </c>
      <c r="AW377" s="252" t="e">
        <f t="shared" si="262"/>
        <v>#REF!</v>
      </c>
      <c r="AX377" s="252">
        <f t="shared" si="262"/>
        <v>1989</v>
      </c>
      <c r="AY377" s="258"/>
      <c r="AZ377" s="259"/>
      <c r="BA377" s="260"/>
      <c r="BC377" s="198"/>
      <c r="BK377" s="131"/>
      <c r="BL377" s="131"/>
      <c r="BM377" s="197"/>
      <c r="BN377" s="131"/>
      <c r="BO377" s="131"/>
      <c r="BP377" s="197"/>
      <c r="BQ377" s="131"/>
      <c r="BR377" s="131"/>
      <c r="BS377" s="197"/>
      <c r="BT377" s="131"/>
      <c r="BU377" s="131"/>
      <c r="BV377" s="197"/>
      <c r="BW377" s="131"/>
      <c r="BX377" s="131"/>
      <c r="BY377" s="197"/>
      <c r="BZ377" s="131"/>
      <c r="CA377" s="131"/>
      <c r="CB377" s="197"/>
      <c r="CC377" s="131"/>
      <c r="CD377" s="131"/>
      <c r="CE377" s="197"/>
      <c r="CF377" s="131"/>
      <c r="CG377" s="131"/>
      <c r="CH377" s="197"/>
      <c r="CI377" s="197"/>
      <c r="CJ377" s="197"/>
      <c r="CK377" s="197"/>
      <c r="CL377" s="197"/>
      <c r="CM377" s="197"/>
      <c r="CN377" s="197"/>
      <c r="CO377" s="197"/>
      <c r="CP377" s="197"/>
      <c r="CQ377" s="197"/>
      <c r="CR377" s="197"/>
      <c r="CS377" s="197"/>
      <c r="CT377" s="197"/>
      <c r="CU377" s="197"/>
      <c r="CV377" s="197"/>
      <c r="CW377" s="197"/>
      <c r="CX377" s="197"/>
      <c r="CY377" s="197"/>
      <c r="CZ377" s="197"/>
      <c r="DA377" s="197"/>
    </row>
    <row r="378" spans="1:105" s="196" customFormat="1" ht="13.8" x14ac:dyDescent="0.3">
      <c r="A378" s="248"/>
      <c r="B378" s="249"/>
      <c r="C378" s="250"/>
      <c r="D378" s="251"/>
      <c r="E378" s="1057" t="s">
        <v>405</v>
      </c>
      <c r="F378" s="1058"/>
      <c r="G378" s="261">
        <f>+G377*35.28</f>
        <v>11581.706145597835</v>
      </c>
      <c r="H378" s="262"/>
      <c r="I378" s="182"/>
      <c r="J378" s="254"/>
      <c r="K378" s="263"/>
      <c r="L378" s="264"/>
      <c r="M378" s="264"/>
      <c r="N378" s="264"/>
      <c r="O378" s="264"/>
      <c r="P378" s="265"/>
      <c r="Q378" s="265"/>
      <c r="R378" s="265"/>
      <c r="S378" s="265"/>
      <c r="T378" s="265"/>
      <c r="U378" s="265"/>
      <c r="V378" s="265"/>
      <c r="W378" s="265"/>
      <c r="X378" s="265"/>
      <c r="Y378" s="265"/>
      <c r="Z378" s="265"/>
      <c r="AA378" s="265"/>
      <c r="AB378" s="265"/>
      <c r="AC378" s="265"/>
      <c r="AD378" s="265"/>
      <c r="AE378" s="265"/>
      <c r="AF378" s="265"/>
      <c r="AG378" s="265"/>
      <c r="AH378" s="265"/>
      <c r="AI378" s="265"/>
      <c r="AJ378" s="265"/>
      <c r="AK378" s="265"/>
      <c r="AL378" s="265"/>
      <c r="AM378" s="265"/>
      <c r="AN378" s="265"/>
      <c r="AO378" s="1059" t="s">
        <v>406</v>
      </c>
      <c r="AP378" s="1060"/>
      <c r="AQ378" s="1061"/>
      <c r="AR378" s="187">
        <f>+(8^2)/162</f>
        <v>0.39506172839506171</v>
      </c>
      <c r="AS378" s="187">
        <f>+(10^2)/162</f>
        <v>0.61728395061728392</v>
      </c>
      <c r="AT378" s="187">
        <f>+(12^2)/162</f>
        <v>0.88888888888888884</v>
      </c>
      <c r="AU378" s="187">
        <f>+(8^2)/162</f>
        <v>0.39506172839506171</v>
      </c>
      <c r="AV378" s="187">
        <f>+(10^2)/162</f>
        <v>0.61728395061728392</v>
      </c>
      <c r="AW378" s="187">
        <f>+(12^2)/162</f>
        <v>0.88888888888888884</v>
      </c>
      <c r="AX378" s="187">
        <f>+(8^2)/162</f>
        <v>0.39506172839506171</v>
      </c>
      <c r="AY378" s="190"/>
      <c r="AZ378" s="259"/>
      <c r="BA378" s="260"/>
      <c r="BF378" s="198"/>
      <c r="BK378" s="197"/>
      <c r="BL378" s="197"/>
      <c r="BM378" s="197"/>
      <c r="BN378" s="197"/>
      <c r="BO378" s="197"/>
      <c r="BP378" s="197"/>
      <c r="BQ378" s="197"/>
      <c r="BR378" s="197"/>
      <c r="BS378" s="197"/>
      <c r="BT378" s="197"/>
      <c r="BU378" s="197"/>
      <c r="BV378" s="197"/>
      <c r="BW378" s="197"/>
      <c r="BX378" s="197"/>
      <c r="BY378" s="197"/>
      <c r="BZ378" s="197"/>
      <c r="CA378" s="197"/>
      <c r="CB378" s="197"/>
      <c r="CC378" s="197"/>
      <c r="CD378" s="197"/>
      <c r="CE378" s="197"/>
      <c r="CF378" s="197"/>
      <c r="CG378" s="197"/>
      <c r="CH378" s="197"/>
      <c r="CI378" s="197"/>
      <c r="CJ378" s="197"/>
      <c r="CK378" s="197"/>
      <c r="CL378" s="197"/>
      <c r="CM378" s="197"/>
      <c r="CN378" s="197"/>
      <c r="CO378" s="197"/>
      <c r="CP378" s="197"/>
      <c r="CQ378" s="197"/>
      <c r="CR378" s="197"/>
      <c r="CS378" s="197"/>
      <c r="CT378" s="197"/>
      <c r="CU378" s="197"/>
      <c r="CV378" s="197"/>
      <c r="CW378" s="197"/>
      <c r="CX378" s="197"/>
      <c r="CY378" s="197"/>
      <c r="CZ378" s="197"/>
      <c r="DA378" s="197"/>
    </row>
    <row r="379" spans="1:105" s="196" customFormat="1" ht="13.8" x14ac:dyDescent="0.3">
      <c r="A379" s="248"/>
      <c r="B379" s="249"/>
      <c r="C379" s="250"/>
      <c r="D379" s="251"/>
      <c r="E379" s="266"/>
      <c r="F379" s="267"/>
      <c r="G379" s="268"/>
      <c r="H379" s="265"/>
      <c r="I379" s="265"/>
      <c r="J379" s="265"/>
      <c r="K379" s="265"/>
      <c r="L379" s="265"/>
      <c r="M379" s="265"/>
      <c r="N379" s="265"/>
      <c r="O379" s="265"/>
      <c r="P379" s="265"/>
      <c r="Q379" s="265"/>
      <c r="R379" s="265"/>
      <c r="S379" s="265"/>
      <c r="T379" s="265"/>
      <c r="U379" s="265"/>
      <c r="V379" s="265"/>
      <c r="W379" s="265"/>
      <c r="X379" s="265"/>
      <c r="Y379" s="265"/>
      <c r="Z379" s="265"/>
      <c r="AA379" s="265"/>
      <c r="AB379" s="265"/>
      <c r="AC379" s="265"/>
      <c r="AD379" s="265"/>
      <c r="AE379" s="265"/>
      <c r="AF379" s="265"/>
      <c r="AG379" s="265"/>
      <c r="AH379" s="265"/>
      <c r="AI379" s="265"/>
      <c r="AJ379" s="265"/>
      <c r="AK379" s="265"/>
      <c r="AL379" s="265"/>
      <c r="AM379" s="265"/>
      <c r="AN379" s="265"/>
      <c r="AO379" s="1054" t="s">
        <v>407</v>
      </c>
      <c r="AP379" s="1055"/>
      <c r="AQ379" s="1056"/>
      <c r="AR379" s="269" t="e">
        <f>+AR377*AR378</f>
        <v>#REF!</v>
      </c>
      <c r="AS379" s="269" t="e">
        <f t="shared" ref="AS379:AW379" si="263">+AS377*AS378</f>
        <v>#REF!</v>
      </c>
      <c r="AT379" s="269" t="e">
        <f t="shared" si="263"/>
        <v>#REF!</v>
      </c>
      <c r="AU379" s="269" t="e">
        <f t="shared" si="263"/>
        <v>#REF!</v>
      </c>
      <c r="AV379" s="269" t="e">
        <f t="shared" si="263"/>
        <v>#REF!</v>
      </c>
      <c r="AW379" s="269" t="e">
        <f t="shared" si="263"/>
        <v>#REF!</v>
      </c>
      <c r="AX379" s="269"/>
      <c r="AY379" s="258"/>
      <c r="AZ379" s="259"/>
      <c r="BA379" s="260"/>
      <c r="BF379" s="198"/>
    </row>
    <row r="380" spans="1:105" s="143" customFormat="1" ht="13.8" x14ac:dyDescent="0.25">
      <c r="A380" s="270"/>
      <c r="B380" s="270" t="s">
        <v>408</v>
      </c>
      <c r="C380" s="271"/>
      <c r="D380" s="266"/>
      <c r="E380" s="266"/>
      <c r="F380" s="267"/>
      <c r="G380" s="268"/>
      <c r="H380" s="265"/>
      <c r="I380" s="265"/>
      <c r="J380" s="265"/>
      <c r="K380" s="265"/>
      <c r="L380" s="265"/>
      <c r="M380" s="265"/>
      <c r="N380" s="265"/>
      <c r="O380" s="265"/>
      <c r="P380" s="265"/>
      <c r="Q380" s="265"/>
      <c r="R380" s="265"/>
      <c r="S380" s="265"/>
      <c r="T380" s="265"/>
      <c r="U380" s="265"/>
      <c r="V380" s="265"/>
      <c r="W380" s="265"/>
      <c r="X380" s="265"/>
      <c r="Y380" s="265"/>
      <c r="Z380" s="265"/>
      <c r="AA380" s="265"/>
      <c r="AB380" s="265"/>
      <c r="AC380" s="265"/>
      <c r="AD380" s="265"/>
      <c r="AE380" s="265"/>
      <c r="AF380" s="265"/>
      <c r="AG380" s="265"/>
      <c r="AH380" s="265"/>
      <c r="AI380" s="265"/>
      <c r="AJ380" s="265"/>
      <c r="AK380" s="265"/>
      <c r="AL380" s="265"/>
      <c r="AM380" s="265"/>
      <c r="AN380" s="265"/>
      <c r="AO380" s="1054" t="s">
        <v>409</v>
      </c>
      <c r="AP380" s="1055"/>
      <c r="AQ380" s="1056"/>
      <c r="AR380" s="1045" t="e">
        <f>SUM(AR379:AW379)</f>
        <v>#REF!</v>
      </c>
      <c r="AS380" s="1046"/>
      <c r="AT380" s="1046"/>
      <c r="AU380" s="1046"/>
      <c r="AV380" s="1046"/>
      <c r="AW380" s="1047"/>
      <c r="AX380" s="272"/>
      <c r="AZ380" s="144"/>
      <c r="BA380" s="145"/>
    </row>
    <row r="381" spans="1:105" s="143" customFormat="1" ht="13.8" x14ac:dyDescent="0.25">
      <c r="A381" s="270" t="s">
        <v>410</v>
      </c>
      <c r="B381" s="273" t="e">
        <f>+AR380/G377</f>
        <v>#REF!</v>
      </c>
      <c r="C381" s="274"/>
      <c r="D381" s="266"/>
      <c r="E381" s="136"/>
      <c r="F381" s="137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263"/>
      <c r="AP381" s="265"/>
      <c r="AQ381" s="265"/>
      <c r="AR381" s="265"/>
      <c r="AS381" s="265"/>
      <c r="AT381" s="265"/>
      <c r="AU381" s="265"/>
      <c r="AV381" s="265"/>
      <c r="AW381" s="265"/>
      <c r="AX381" s="275"/>
      <c r="AY381" s="276"/>
      <c r="AZ381" s="144"/>
      <c r="BA381" s="145"/>
    </row>
    <row r="382" spans="1:105" s="196" customFormat="1" ht="13.8" x14ac:dyDescent="0.25">
      <c r="A382" s="265"/>
      <c r="B382" s="263"/>
      <c r="C382" s="271"/>
      <c r="D382" s="266"/>
      <c r="E382" s="136"/>
      <c r="F382" s="137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263"/>
      <c r="AP382" s="265"/>
      <c r="AQ382" s="265"/>
      <c r="AR382" s="254" t="e">
        <f>AR379/1000</f>
        <v>#REF!</v>
      </c>
      <c r="AS382" s="254" t="e">
        <f t="shared" ref="AS382:AW382" si="264">AS379/1000</f>
        <v>#REF!</v>
      </c>
      <c r="AT382" s="254" t="e">
        <f t="shared" si="264"/>
        <v>#REF!</v>
      </c>
      <c r="AU382" s="254" t="e">
        <f t="shared" si="264"/>
        <v>#REF!</v>
      </c>
      <c r="AV382" s="254" t="e">
        <f t="shared" si="264"/>
        <v>#REF!</v>
      </c>
      <c r="AW382" s="254" t="e">
        <f t="shared" si="264"/>
        <v>#REF!</v>
      </c>
      <c r="AX382" s="265"/>
      <c r="AY382" s="197"/>
      <c r="AZ382" s="198"/>
      <c r="BE382" s="259"/>
      <c r="BH382" s="277"/>
      <c r="BI382" s="277"/>
      <c r="BK382" s="277"/>
      <c r="BL382" s="277"/>
      <c r="BN382" s="277"/>
      <c r="BO382" s="277"/>
      <c r="BQ382" s="277"/>
      <c r="BR382" s="277"/>
      <c r="BT382" s="277"/>
      <c r="BU382" s="277"/>
      <c r="BW382" s="277"/>
      <c r="BX382" s="277"/>
      <c r="BZ382" s="277"/>
      <c r="CA382" s="277"/>
      <c r="CC382" s="277"/>
      <c r="CD382" s="277"/>
    </row>
    <row r="383" spans="1:105" s="284" customFormat="1" ht="9.75" customHeight="1" x14ac:dyDescent="0.25">
      <c r="A383" s="278"/>
      <c r="B383" s="279"/>
      <c r="C383" s="280"/>
      <c r="D383" s="281"/>
      <c r="E383" s="282"/>
      <c r="F383" s="283"/>
      <c r="M383" s="285"/>
      <c r="U383" s="285"/>
      <c r="AC383" s="285"/>
      <c r="AK383" s="285"/>
      <c r="AO383" s="279"/>
      <c r="AP383" s="278"/>
      <c r="AQ383" s="278"/>
      <c r="AR383" s="278"/>
      <c r="AS383" s="278"/>
      <c r="AT383" s="278"/>
      <c r="AU383" s="278"/>
      <c r="AV383" s="278"/>
      <c r="AW383" s="278"/>
      <c r="AX383" s="286"/>
      <c r="AY383" s="286"/>
      <c r="AZ383" s="287"/>
      <c r="BA383" s="282"/>
    </row>
    <row r="384" spans="1:105" s="259" customFormat="1" ht="13.8" x14ac:dyDescent="0.3">
      <c r="A384" s="196"/>
      <c r="C384" s="288"/>
      <c r="D384" s="289"/>
      <c r="E384" s="289"/>
      <c r="F384" s="290"/>
      <c r="G384" s="291"/>
      <c r="H384" s="292"/>
      <c r="I384" s="196"/>
      <c r="J384" s="292"/>
      <c r="L384" s="293"/>
      <c r="M384" s="294"/>
      <c r="N384" s="293"/>
      <c r="O384" s="293"/>
      <c r="P384" s="196"/>
      <c r="Q384" s="196"/>
      <c r="R384" s="292"/>
      <c r="T384" s="293"/>
      <c r="U384" s="294"/>
      <c r="V384" s="293"/>
      <c r="W384" s="293"/>
      <c r="X384" s="196"/>
      <c r="Z384" s="292"/>
      <c r="AC384" s="295"/>
      <c r="AF384" s="196"/>
      <c r="AH384" s="292"/>
      <c r="AK384" s="295"/>
      <c r="AN384" s="196"/>
      <c r="AP384" s="196"/>
      <c r="AQ384" s="196"/>
      <c r="AR384" s="296"/>
      <c r="AS384" s="296"/>
      <c r="AT384" s="296"/>
      <c r="AU384" s="291"/>
      <c r="AV384" s="291"/>
      <c r="AW384" s="291"/>
      <c r="AY384" s="240"/>
      <c r="AZ384" s="297"/>
      <c r="BA384" s="297"/>
      <c r="BB384" s="297"/>
      <c r="BC384" s="297"/>
      <c r="BD384" s="297"/>
      <c r="BE384" s="297"/>
      <c r="BF384" s="298"/>
      <c r="BG384" s="240"/>
      <c r="BH384" s="240"/>
    </row>
    <row r="385" spans="1:85" s="143" customFormat="1" x14ac:dyDescent="0.3">
      <c r="A385" s="299" t="s">
        <v>168</v>
      </c>
      <c r="C385" s="300" t="s">
        <v>29</v>
      </c>
      <c r="D385" s="145"/>
      <c r="E385" s="145"/>
      <c r="F385" s="301"/>
      <c r="H385" s="302"/>
      <c r="I385" s="303"/>
      <c r="M385" s="304"/>
      <c r="U385" s="304"/>
      <c r="W385" s="305"/>
      <c r="AB385" s="306"/>
      <c r="AC385" s="304"/>
      <c r="AK385" s="304"/>
      <c r="AO385" s="144"/>
      <c r="AZ385" s="144"/>
      <c r="BA385" s="145"/>
    </row>
    <row r="386" spans="1:85" s="152" customFormat="1" ht="22.5" customHeight="1" x14ac:dyDescent="0.3">
      <c r="A386" s="307" t="s">
        <v>411</v>
      </c>
      <c r="C386" s="308"/>
      <c r="D386" s="154"/>
      <c r="E386" s="154"/>
      <c r="F386" s="309"/>
      <c r="H386" s="307"/>
      <c r="M386" s="310"/>
      <c r="U386" s="310"/>
      <c r="AC386" s="310"/>
      <c r="AK386" s="310"/>
      <c r="AO386" s="153"/>
      <c r="AZ386" s="153"/>
      <c r="BA386" s="154"/>
    </row>
    <row r="387" spans="1:85" s="153" customFormat="1" ht="27.6" x14ac:dyDescent="0.3">
      <c r="A387" s="1048" t="s">
        <v>170</v>
      </c>
      <c r="B387" s="1048" t="s">
        <v>171</v>
      </c>
      <c r="C387" s="1048" t="s">
        <v>51</v>
      </c>
      <c r="D387" s="311" t="s">
        <v>44</v>
      </c>
      <c r="E387" s="311" t="s">
        <v>45</v>
      </c>
      <c r="F387" s="312" t="s">
        <v>46</v>
      </c>
      <c r="G387" s="313" t="s">
        <v>95</v>
      </c>
      <c r="H387" s="313" t="s">
        <v>172</v>
      </c>
      <c r="I387" s="1050" t="s">
        <v>173</v>
      </c>
      <c r="J387" s="1050"/>
      <c r="K387" s="1050"/>
      <c r="L387" s="1050"/>
      <c r="M387" s="1050"/>
      <c r="N387" s="1050"/>
      <c r="O387" s="1050"/>
      <c r="P387" s="1050"/>
      <c r="Q387" s="1050" t="s">
        <v>174</v>
      </c>
      <c r="R387" s="1050"/>
      <c r="S387" s="1050"/>
      <c r="T387" s="1050"/>
      <c r="U387" s="1050"/>
      <c r="V387" s="1050"/>
      <c r="W387" s="1050"/>
      <c r="X387" s="1050"/>
      <c r="Y387" s="1050" t="s">
        <v>175</v>
      </c>
      <c r="Z387" s="1050"/>
      <c r="AA387" s="1050"/>
      <c r="AB387" s="1050"/>
      <c r="AC387" s="1050"/>
      <c r="AD387" s="1050"/>
      <c r="AE387" s="1050"/>
      <c r="AF387" s="1050"/>
      <c r="AG387" s="1050" t="s">
        <v>176</v>
      </c>
      <c r="AH387" s="1050"/>
      <c r="AI387" s="1050"/>
      <c r="AJ387" s="1050"/>
      <c r="AK387" s="1050"/>
      <c r="AL387" s="1050"/>
      <c r="AM387" s="1050"/>
      <c r="AN387" s="1050"/>
      <c r="AO387" s="1051" t="s">
        <v>177</v>
      </c>
      <c r="AP387" s="1052"/>
      <c r="AQ387" s="1053"/>
      <c r="AR387" s="1037"/>
      <c r="AS387" s="1037"/>
      <c r="AT387" s="1038"/>
      <c r="AU387" s="1037"/>
      <c r="AV387" s="1037"/>
      <c r="AW387" s="1038"/>
      <c r="AX387" s="314" t="s">
        <v>177</v>
      </c>
      <c r="AY387" s="159"/>
      <c r="BA387" s="160"/>
    </row>
    <row r="388" spans="1:85" s="571" customFormat="1" ht="55.2" x14ac:dyDescent="0.3">
      <c r="A388" s="1049"/>
      <c r="B388" s="1049"/>
      <c r="C388" s="1048"/>
      <c r="D388" s="561" t="s">
        <v>178</v>
      </c>
      <c r="E388" s="561" t="s">
        <v>178</v>
      </c>
      <c r="F388" s="562" t="s">
        <v>178</v>
      </c>
      <c r="G388" s="563" t="s">
        <v>179</v>
      </c>
      <c r="H388" s="563" t="s">
        <v>180</v>
      </c>
      <c r="I388" s="564" t="s">
        <v>48</v>
      </c>
      <c r="J388" s="565" t="s">
        <v>53</v>
      </c>
      <c r="K388" s="565" t="s">
        <v>181</v>
      </c>
      <c r="L388" s="565" t="s">
        <v>182</v>
      </c>
      <c r="M388" s="566" t="s">
        <v>183</v>
      </c>
      <c r="N388" s="565" t="s">
        <v>184</v>
      </c>
      <c r="O388" s="565" t="s">
        <v>185</v>
      </c>
      <c r="P388" s="565" t="s">
        <v>186</v>
      </c>
      <c r="Q388" s="565" t="s">
        <v>48</v>
      </c>
      <c r="R388" s="565" t="s">
        <v>53</v>
      </c>
      <c r="S388" s="565" t="s">
        <v>181</v>
      </c>
      <c r="T388" s="565" t="s">
        <v>182</v>
      </c>
      <c r="U388" s="566" t="s">
        <v>183</v>
      </c>
      <c r="V388" s="565" t="s">
        <v>184</v>
      </c>
      <c r="W388" s="565" t="s">
        <v>185</v>
      </c>
      <c r="X388" s="565" t="s">
        <v>186</v>
      </c>
      <c r="Y388" s="565" t="s">
        <v>48</v>
      </c>
      <c r="Z388" s="565" t="s">
        <v>187</v>
      </c>
      <c r="AA388" s="565" t="s">
        <v>181</v>
      </c>
      <c r="AB388" s="565" t="s">
        <v>182</v>
      </c>
      <c r="AC388" s="566" t="s">
        <v>183</v>
      </c>
      <c r="AD388" s="565" t="s">
        <v>184</v>
      </c>
      <c r="AE388" s="565" t="s">
        <v>185</v>
      </c>
      <c r="AF388" s="565" t="s">
        <v>186</v>
      </c>
      <c r="AG388" s="565" t="s">
        <v>48</v>
      </c>
      <c r="AH388" s="565" t="s">
        <v>187</v>
      </c>
      <c r="AI388" s="565" t="s">
        <v>181</v>
      </c>
      <c r="AJ388" s="565" t="s">
        <v>182</v>
      </c>
      <c r="AK388" s="566" t="s">
        <v>183</v>
      </c>
      <c r="AL388" s="565" t="s">
        <v>184</v>
      </c>
      <c r="AM388" s="565" t="s">
        <v>185</v>
      </c>
      <c r="AN388" s="565" t="s">
        <v>186</v>
      </c>
      <c r="AO388" s="565" t="s">
        <v>48</v>
      </c>
      <c r="AP388" s="565" t="s">
        <v>181</v>
      </c>
      <c r="AQ388" s="565" t="s">
        <v>50</v>
      </c>
      <c r="AR388" s="565" t="s">
        <v>55</v>
      </c>
      <c r="AS388" s="565" t="s">
        <v>56</v>
      </c>
      <c r="AT388" s="565" t="s">
        <v>57</v>
      </c>
      <c r="AU388" s="565" t="s">
        <v>55</v>
      </c>
      <c r="AV388" s="565" t="s">
        <v>56</v>
      </c>
      <c r="AW388" s="565" t="s">
        <v>57</v>
      </c>
      <c r="AX388" s="565" t="s">
        <v>55</v>
      </c>
      <c r="AY388" s="567"/>
      <c r="AZ388" s="1039" t="s">
        <v>188</v>
      </c>
      <c r="BA388" s="1040"/>
      <c r="BB388" s="1040"/>
      <c r="BC388" s="1040"/>
      <c r="BD388" s="1040"/>
      <c r="BE388" s="1040"/>
      <c r="BF388" s="568"/>
      <c r="BG388" s="569"/>
      <c r="BH388" s="570"/>
    </row>
    <row r="389" spans="1:85" s="571" customFormat="1" ht="13.8" x14ac:dyDescent="0.3">
      <c r="A389" s="572" t="s">
        <v>189</v>
      </c>
      <c r="B389" s="573"/>
      <c r="C389" s="574"/>
      <c r="D389" s="575"/>
      <c r="E389" s="575"/>
      <c r="F389" s="576"/>
      <c r="G389" s="577"/>
      <c r="H389" s="578"/>
      <c r="I389" s="579"/>
      <c r="J389" s="580"/>
      <c r="K389" s="580"/>
      <c r="L389" s="580"/>
      <c r="M389" s="580"/>
      <c r="N389" s="580"/>
      <c r="O389" s="580"/>
      <c r="P389" s="580"/>
      <c r="Q389" s="580"/>
      <c r="R389" s="580"/>
      <c r="S389" s="580"/>
      <c r="T389" s="580"/>
      <c r="U389" s="580"/>
      <c r="V389" s="580"/>
      <c r="W389" s="580"/>
      <c r="X389" s="580"/>
      <c r="Y389" s="580"/>
      <c r="Z389" s="580"/>
      <c r="AA389" s="580"/>
      <c r="AB389" s="580"/>
      <c r="AC389" s="580"/>
      <c r="AD389" s="580"/>
      <c r="AE389" s="580"/>
      <c r="AF389" s="580"/>
      <c r="AG389" s="580"/>
      <c r="AH389" s="580"/>
      <c r="AI389" s="580"/>
      <c r="AJ389" s="580"/>
      <c r="AK389" s="580"/>
      <c r="AL389" s="580"/>
      <c r="AM389" s="580"/>
      <c r="AN389" s="580"/>
      <c r="AO389" s="580"/>
      <c r="AP389" s="580"/>
      <c r="AQ389" s="580"/>
      <c r="AR389" s="580"/>
      <c r="AS389" s="580"/>
      <c r="AT389" s="580"/>
      <c r="AU389" s="580"/>
      <c r="AV389" s="580"/>
      <c r="AW389" s="580"/>
      <c r="AX389" s="580"/>
      <c r="AY389" s="567"/>
      <c r="AZ389" s="581"/>
      <c r="BA389" s="582"/>
      <c r="BB389" s="583"/>
      <c r="BC389" s="583"/>
      <c r="BD389" s="583"/>
      <c r="BE389" s="583"/>
      <c r="BF389" s="584"/>
      <c r="BG389" s="585"/>
      <c r="BH389" s="586"/>
    </row>
    <row r="390" spans="1:85" s="601" customFormat="1" ht="27.6" x14ac:dyDescent="0.3">
      <c r="A390" s="587" t="s">
        <v>221</v>
      </c>
      <c r="B390" s="588">
        <v>1</v>
      </c>
      <c r="C390" s="589" t="s">
        <v>412</v>
      </c>
      <c r="D390" s="590">
        <v>2.41</v>
      </c>
      <c r="E390" s="590">
        <v>5.96</v>
      </c>
      <c r="F390" s="591">
        <v>0.17499999999999999</v>
      </c>
      <c r="G390" s="592">
        <f t="shared" ref="G390:G399" si="265">D390*E390*F390*B390</f>
        <v>2.51363</v>
      </c>
      <c r="H390" s="593">
        <f t="shared" ref="H390:H399" si="266">D390*E390*B390</f>
        <v>14.3636</v>
      </c>
      <c r="I390" s="588" t="e">
        <f>GETPIVOTDATA(#REF!,A390)</f>
        <v>#REF!</v>
      </c>
      <c r="J390" s="593" t="e">
        <f>GETPIVOTDATA(#REF!,A390)*2</f>
        <v>#REF!</v>
      </c>
      <c r="K390" s="588" t="e">
        <f>(ROUND(E390/J390,0)+1)*GETPIVOTDATA(#REF!,A390)</f>
        <v>#REF!</v>
      </c>
      <c r="L390" s="594" t="e">
        <f>GETPIVOTDATA(#REF!,A390)</f>
        <v>#REF!</v>
      </c>
      <c r="M390" s="594">
        <f>0.48+0.27</f>
        <v>0.75</v>
      </c>
      <c r="N390" s="594">
        <f>-(0.02*2)</f>
        <v>-0.04</v>
      </c>
      <c r="O390" s="594">
        <f>2.98*0.3</f>
        <v>0.89400000000000002</v>
      </c>
      <c r="P390" s="593" t="e">
        <f>+D390+SUM(L390:O390)</f>
        <v>#REF!</v>
      </c>
      <c r="Q390" s="588" t="e">
        <f>GETPIVOTDATA(#REF!,A390)</f>
        <v>#REF!</v>
      </c>
      <c r="R390" s="593" t="e">
        <f>GETPIVOTDATA(#REF!,A390)*2</f>
        <v>#REF!</v>
      </c>
      <c r="S390" s="588" t="e">
        <f>(ROUND(E390/R390,0))*GETPIVOTDATA(#REF!,A390)</f>
        <v>#REF!</v>
      </c>
      <c r="T390" s="594" t="e">
        <f>GETPIVOTDATA(#REF!,A390)</f>
        <v>#REF!</v>
      </c>
      <c r="U390" s="594">
        <f>0.48+0.27</f>
        <v>0.75</v>
      </c>
      <c r="V390" s="594">
        <f>-(0.02*2)</f>
        <v>-0.04</v>
      </c>
      <c r="W390" s="594">
        <f>F390-2*0.02</f>
        <v>0.13499999999999998</v>
      </c>
      <c r="X390" s="593" t="e">
        <f>+D390+SUM(T390:W390)</f>
        <v>#REF!</v>
      </c>
      <c r="Y390" s="588" t="e">
        <f>GETPIVOTDATA(#REF!,A390)</f>
        <v>#REF!</v>
      </c>
      <c r="Z390" s="587" t="e">
        <f>GETPIVOTDATA(#REF!,A390)*2</f>
        <v>#REF!</v>
      </c>
      <c r="AA390" s="588" t="e">
        <f>(ROUND(D390/Z390,0)+1)*GETPIVOTDATA(#REF!,A390)</f>
        <v>#REF!</v>
      </c>
      <c r="AB390" s="594" t="e">
        <f>GETPIVOTDATA(#REF!,A390)</f>
        <v>#REF!</v>
      </c>
      <c r="AC390" s="594">
        <f>0.23+0.3</f>
        <v>0.53</v>
      </c>
      <c r="AD390" s="594">
        <f>-(0.02*2)</f>
        <v>-0.04</v>
      </c>
      <c r="AE390" s="594">
        <f>5.69*0.3</f>
        <v>1.7070000000000001</v>
      </c>
      <c r="AF390" s="593" t="e">
        <f>+E390+SUM(AB390:AE390)</f>
        <v>#REF!</v>
      </c>
      <c r="AG390" s="588" t="e">
        <f>GETPIVOTDATA(#REF!,A390)</f>
        <v>#REF!</v>
      </c>
      <c r="AH390" s="587" t="e">
        <f>GETPIVOTDATA(#REF!,A390)*2</f>
        <v>#REF!</v>
      </c>
      <c r="AI390" s="588" t="e">
        <f>(ROUND(D390/AH390,0))*GETPIVOTDATA(#REF!,A390)</f>
        <v>#REF!</v>
      </c>
      <c r="AJ390" s="594" t="e">
        <f>GETPIVOTDATA(#REF!,A390)</f>
        <v>#REF!</v>
      </c>
      <c r="AK390" s="594">
        <f>0.23+0.3</f>
        <v>0.53</v>
      </c>
      <c r="AL390" s="594">
        <f>-(0.02*2)</f>
        <v>-0.04</v>
      </c>
      <c r="AM390" s="594">
        <f t="shared" ref="AM390:AM399" si="267">F390-2*0.02</f>
        <v>0.13499999999999998</v>
      </c>
      <c r="AN390" s="593" t="e">
        <f>+E390+SUM(AJ390:AM390)</f>
        <v>#REF!</v>
      </c>
      <c r="AO390" s="588">
        <v>0</v>
      </c>
      <c r="AP390" s="587">
        <f t="shared" ref="AP390:AP430" si="268">(ROUND(D390/1.5,0)+ROUND(E390/1.5,0))*2</f>
        <v>12</v>
      </c>
      <c r="AQ390" s="587">
        <v>1.5</v>
      </c>
      <c r="AR390" s="592" t="e">
        <f>IF(I390=8,K390*P390*B390,0)+IF(Q390=8,S390*X390*B390,0)</f>
        <v>#REF!</v>
      </c>
      <c r="AS390" s="592" t="e">
        <f>IF(I390=10,K390*P390*B390,0)+IF(Q390=10,S390*X390*B390,0)</f>
        <v>#REF!</v>
      </c>
      <c r="AT390" s="592" t="e">
        <f>IF(I390=12,K390*P390*B390,0)+IF(Q390=12,S390*X390*B390,0)</f>
        <v>#REF!</v>
      </c>
      <c r="AU390" s="592" t="e">
        <f t="shared" ref="AU390:AU399" si="269">IF(AG390=8,AI390*AN390*B390,0)+IF(Y390=8,B390*AA390*AF390,0)</f>
        <v>#REF!</v>
      </c>
      <c r="AV390" s="592" t="e">
        <f t="shared" ref="AV390:AV399" si="270">IF(AG390=10,AI390*AN390*B390,0)+IF(Y390=10,B390*AA390*AF390,0)</f>
        <v>#REF!</v>
      </c>
      <c r="AW390" s="592" t="e">
        <f>IF(AG390=12,AI390*AN390*B390,0)+IF(Y390=12,B390*AA390*AF390,0)</f>
        <v>#REF!</v>
      </c>
      <c r="AX390" s="592">
        <f>AP390*AQ390*B390</f>
        <v>18</v>
      </c>
      <c r="AY390" s="595"/>
      <c r="AZ390" s="596" t="s">
        <v>192</v>
      </c>
      <c r="BA390" s="597" t="s">
        <v>193</v>
      </c>
      <c r="BB390" s="1041" t="s">
        <v>194</v>
      </c>
      <c r="BC390" s="1041"/>
      <c r="BD390" s="1042" t="s">
        <v>195</v>
      </c>
      <c r="BE390" s="1043"/>
      <c r="BF390" s="598"/>
      <c r="BG390" s="599"/>
      <c r="BH390" s="600"/>
      <c r="BK390" s="602"/>
      <c r="BL390" s="602"/>
      <c r="BM390" s="602"/>
      <c r="BN390" s="602"/>
      <c r="BO390" s="602"/>
      <c r="BP390" s="602"/>
      <c r="BQ390" s="603"/>
      <c r="BS390" s="602"/>
      <c r="BT390" s="602"/>
      <c r="BU390" s="602"/>
      <c r="BV390" s="602"/>
      <c r="BW390" s="602"/>
      <c r="BX390" s="602"/>
      <c r="BY390" s="602"/>
    </row>
    <row r="391" spans="1:85" s="601" customFormat="1" ht="13.8" x14ac:dyDescent="0.3">
      <c r="A391" s="587" t="s">
        <v>190</v>
      </c>
      <c r="B391" s="588">
        <v>1</v>
      </c>
      <c r="C391" s="589" t="s">
        <v>413</v>
      </c>
      <c r="D391" s="590">
        <v>2.98</v>
      </c>
      <c r="E391" s="590">
        <v>5.96</v>
      </c>
      <c r="F391" s="591">
        <v>0.2</v>
      </c>
      <c r="G391" s="592">
        <f t="shared" si="265"/>
        <v>3.5521600000000002</v>
      </c>
      <c r="H391" s="593">
        <f t="shared" si="266"/>
        <v>17.7608</v>
      </c>
      <c r="I391" s="588" t="e">
        <f>GETPIVOTDATA(#REF!,A391)</f>
        <v>#REF!</v>
      </c>
      <c r="J391" s="593" t="e">
        <f>GETPIVOTDATA(#REF!,A391)*2</f>
        <v>#REF!</v>
      </c>
      <c r="K391" s="588" t="e">
        <f>(ROUND(E391/J391,0)+1)*GETPIVOTDATA(#REF!,A391)</f>
        <v>#REF!</v>
      </c>
      <c r="L391" s="594" t="e">
        <f>GETPIVOTDATA(#REF!,A391)</f>
        <v>#REF!</v>
      </c>
      <c r="M391" s="594">
        <f>0.3+0.48</f>
        <v>0.78</v>
      </c>
      <c r="N391" s="594">
        <f t="shared" ref="N391:N430" si="271">-(0.02*2)</f>
        <v>-0.04</v>
      </c>
      <c r="O391" s="594">
        <f>3.02*0.3</f>
        <v>0.90599999999999992</v>
      </c>
      <c r="P391" s="593" t="e">
        <f t="shared" ref="P391:P430" si="272">+D391+SUM(L391:O391)</f>
        <v>#REF!</v>
      </c>
      <c r="Q391" s="588" t="e">
        <f>GETPIVOTDATA(#REF!,A391)</f>
        <v>#REF!</v>
      </c>
      <c r="R391" s="593" t="e">
        <f>GETPIVOTDATA(#REF!,A391)*2</f>
        <v>#REF!</v>
      </c>
      <c r="S391" s="588" t="e">
        <f>(ROUND(E391/R391,0))*GETPIVOTDATA(#REF!,A391)</f>
        <v>#REF!</v>
      </c>
      <c r="T391" s="594" t="e">
        <f>GETPIVOTDATA(#REF!,A391)</f>
        <v>#REF!</v>
      </c>
      <c r="U391" s="594">
        <f>0.3+0.48</f>
        <v>0.78</v>
      </c>
      <c r="V391" s="594">
        <f t="shared" ref="V391:V430" si="273">-(0.02*2)</f>
        <v>-0.04</v>
      </c>
      <c r="W391" s="594">
        <f>2.41*0.3</f>
        <v>0.72299999999999998</v>
      </c>
      <c r="X391" s="593" t="e">
        <f t="shared" ref="X391:X430" si="274">+D391+SUM(T391:W391)</f>
        <v>#REF!</v>
      </c>
      <c r="Y391" s="588" t="e">
        <f>GETPIVOTDATA(#REF!,A391)</f>
        <v>#REF!</v>
      </c>
      <c r="Z391" s="587" t="e">
        <f>GETPIVOTDATA(#REF!,A391)*2</f>
        <v>#REF!</v>
      </c>
      <c r="AA391" s="588" t="e">
        <f>(ROUND(D391/Z391,0)+1)*GETPIVOTDATA(#REF!,A391)</f>
        <v>#REF!</v>
      </c>
      <c r="AB391" s="594" t="e">
        <f>GETPIVOTDATA(#REF!,A391)</f>
        <v>#REF!</v>
      </c>
      <c r="AC391" s="594">
        <f>0.3+0.23</f>
        <v>0.53</v>
      </c>
      <c r="AD391" s="594">
        <f t="shared" ref="AD391:AD430" si="275">-(0.02*2)</f>
        <v>-0.04</v>
      </c>
      <c r="AE391" s="594">
        <f>5.69*0.3</f>
        <v>1.7070000000000001</v>
      </c>
      <c r="AF391" s="593" t="e">
        <f t="shared" ref="AF391:AF430" si="276">+E391+SUM(AB391:AE391)</f>
        <v>#REF!</v>
      </c>
      <c r="AG391" s="588" t="e">
        <f>GETPIVOTDATA(#REF!,A391)</f>
        <v>#REF!</v>
      </c>
      <c r="AH391" s="587" t="e">
        <f>GETPIVOTDATA(#REF!,A391)*2</f>
        <v>#REF!</v>
      </c>
      <c r="AI391" s="588" t="e">
        <f>(ROUND(D391/AH391,0))*GETPIVOTDATA(#REF!,A391)</f>
        <v>#REF!</v>
      </c>
      <c r="AJ391" s="594" t="e">
        <f>GETPIVOTDATA(#REF!,A391)</f>
        <v>#REF!</v>
      </c>
      <c r="AK391" s="594">
        <f>0.3+0.23</f>
        <v>0.53</v>
      </c>
      <c r="AL391" s="594">
        <f t="shared" ref="AL391:AL430" si="277">-(0.02*2)</f>
        <v>-0.04</v>
      </c>
      <c r="AM391" s="594">
        <f t="shared" si="267"/>
        <v>0.16</v>
      </c>
      <c r="AN391" s="593" t="e">
        <f t="shared" ref="AN391:AN430" si="278">+E391+SUM(AJ391:AM391)</f>
        <v>#REF!</v>
      </c>
      <c r="AO391" s="588">
        <v>0</v>
      </c>
      <c r="AP391" s="587">
        <f t="shared" si="268"/>
        <v>12</v>
      </c>
      <c r="AQ391" s="587">
        <v>1.5</v>
      </c>
      <c r="AR391" s="592" t="e">
        <f t="shared" ref="AR391:AR399" si="279">IF(I391=8,K391*P391*B391,0)+IF(Q391=8,S391*X391*B391,0)</f>
        <v>#REF!</v>
      </c>
      <c r="AS391" s="592" t="e">
        <f t="shared" ref="AS391:AS399" si="280">IF(I391=10,K391*P391*B391,0)+IF(Q391=10,S391*X391*B391,0)</f>
        <v>#REF!</v>
      </c>
      <c r="AT391" s="592" t="e">
        <f t="shared" ref="AT391:AT399" si="281">IF(I391=12,K391*P391*B391,0)+IF(Q391=12,S391*X391*B391,0)</f>
        <v>#REF!</v>
      </c>
      <c r="AU391" s="592" t="e">
        <f t="shared" si="269"/>
        <v>#REF!</v>
      </c>
      <c r="AV391" s="592" t="e">
        <f t="shared" si="270"/>
        <v>#REF!</v>
      </c>
      <c r="AW391" s="592" t="e">
        <f t="shared" ref="AW391:AW430" si="282">IF(AG391=12,AI391*AN391*B391,0)+IF(Y391=12,B391*AA391*AF391,0)</f>
        <v>#REF!</v>
      </c>
      <c r="AX391" s="592">
        <f t="shared" ref="AX391:AX430" si="283">AP391*AQ391*B391</f>
        <v>18</v>
      </c>
      <c r="AY391" s="595"/>
      <c r="AZ391" s="596"/>
      <c r="BA391" s="597"/>
      <c r="BB391" s="596"/>
      <c r="BC391" s="596"/>
      <c r="BD391" s="604"/>
      <c r="BE391" s="605"/>
      <c r="BF391" s="598"/>
      <c r="BG391" s="599"/>
      <c r="BH391" s="600"/>
      <c r="BK391" s="602"/>
      <c r="BL391" s="602"/>
      <c r="BM391" s="602"/>
      <c r="BN391" s="602"/>
      <c r="BO391" s="602"/>
      <c r="BP391" s="602"/>
      <c r="BQ391" s="603"/>
      <c r="BS391" s="602"/>
      <c r="BT391" s="602"/>
      <c r="BU391" s="602"/>
      <c r="BV391" s="602"/>
      <c r="BW391" s="602"/>
      <c r="BX391" s="602"/>
      <c r="BY391" s="602"/>
    </row>
    <row r="392" spans="1:85" s="601" customFormat="1" ht="13.8" x14ac:dyDescent="0.3">
      <c r="A392" s="587" t="s">
        <v>190</v>
      </c>
      <c r="B392" s="588">
        <v>1</v>
      </c>
      <c r="C392" s="589" t="s">
        <v>414</v>
      </c>
      <c r="D392" s="590">
        <v>3.02</v>
      </c>
      <c r="E392" s="590">
        <v>5.96</v>
      </c>
      <c r="F392" s="591">
        <v>0.2</v>
      </c>
      <c r="G392" s="592">
        <f t="shared" si="265"/>
        <v>3.5998399999999999</v>
      </c>
      <c r="H392" s="593">
        <f t="shared" si="266"/>
        <v>17.999199999999998</v>
      </c>
      <c r="I392" s="588" t="e">
        <f>GETPIVOTDATA(#REF!,A392)</f>
        <v>#REF!</v>
      </c>
      <c r="J392" s="593" t="e">
        <f>GETPIVOTDATA(#REF!,A392)*2</f>
        <v>#REF!</v>
      </c>
      <c r="K392" s="588" t="e">
        <f>(ROUND(E392/J392,0)+1)*GETPIVOTDATA(#REF!,A392)</f>
        <v>#REF!</v>
      </c>
      <c r="L392" s="594" t="e">
        <f>GETPIVOTDATA(#REF!,A392)</f>
        <v>#REF!</v>
      </c>
      <c r="M392" s="594">
        <f>0.45+0.3</f>
        <v>0.75</v>
      </c>
      <c r="N392" s="594">
        <f t="shared" si="271"/>
        <v>-0.04</v>
      </c>
      <c r="O392" s="594">
        <f>3.67*0.3</f>
        <v>1.101</v>
      </c>
      <c r="P392" s="593" t="e">
        <f t="shared" si="272"/>
        <v>#REF!</v>
      </c>
      <c r="Q392" s="588" t="e">
        <f>GETPIVOTDATA(#REF!,A392)</f>
        <v>#REF!</v>
      </c>
      <c r="R392" s="593" t="e">
        <f>GETPIVOTDATA(#REF!,A392)*2</f>
        <v>#REF!</v>
      </c>
      <c r="S392" s="588" t="e">
        <f>(ROUND(E392/R392,0))*GETPIVOTDATA(#REF!,A392)</f>
        <v>#REF!</v>
      </c>
      <c r="T392" s="594" t="e">
        <f>GETPIVOTDATA(#REF!,A392)</f>
        <v>#REF!</v>
      </c>
      <c r="U392" s="594">
        <f>0.45+0.3</f>
        <v>0.75</v>
      </c>
      <c r="V392" s="594">
        <f t="shared" si="273"/>
        <v>-0.04</v>
      </c>
      <c r="W392" s="594">
        <f>2.98*0.3</f>
        <v>0.89400000000000002</v>
      </c>
      <c r="X392" s="593" t="e">
        <f t="shared" si="274"/>
        <v>#REF!</v>
      </c>
      <c r="Y392" s="588" t="e">
        <f>GETPIVOTDATA(#REF!,A392)</f>
        <v>#REF!</v>
      </c>
      <c r="Z392" s="587" t="e">
        <f>GETPIVOTDATA(#REF!,A392)*2</f>
        <v>#REF!</v>
      </c>
      <c r="AA392" s="588" t="e">
        <f>(ROUND(D392/Z392,0)+1)*GETPIVOTDATA(#REF!,A392)</f>
        <v>#REF!</v>
      </c>
      <c r="AB392" s="594" t="e">
        <f>GETPIVOTDATA(#REF!,A392)</f>
        <v>#REF!</v>
      </c>
      <c r="AC392" s="594">
        <f>0.3+0.23</f>
        <v>0.53</v>
      </c>
      <c r="AD392" s="594">
        <f t="shared" si="275"/>
        <v>-0.04</v>
      </c>
      <c r="AE392" s="594">
        <f>5.69*0.3</f>
        <v>1.7070000000000001</v>
      </c>
      <c r="AF392" s="593" t="e">
        <f t="shared" si="276"/>
        <v>#REF!</v>
      </c>
      <c r="AG392" s="588" t="e">
        <f>GETPIVOTDATA(#REF!,A392)</f>
        <v>#REF!</v>
      </c>
      <c r="AH392" s="587" t="e">
        <f>GETPIVOTDATA(#REF!,A392)*2</f>
        <v>#REF!</v>
      </c>
      <c r="AI392" s="588" t="e">
        <f>(ROUND(D392/AH392,0))*GETPIVOTDATA(#REF!,A392)</f>
        <v>#REF!</v>
      </c>
      <c r="AJ392" s="594" t="e">
        <f>GETPIVOTDATA(#REF!,A392)</f>
        <v>#REF!</v>
      </c>
      <c r="AK392" s="594">
        <f>0.3+0.23</f>
        <v>0.53</v>
      </c>
      <c r="AL392" s="594">
        <f t="shared" si="277"/>
        <v>-0.04</v>
      </c>
      <c r="AM392" s="594">
        <f t="shared" si="267"/>
        <v>0.16</v>
      </c>
      <c r="AN392" s="593" t="e">
        <f t="shared" si="278"/>
        <v>#REF!</v>
      </c>
      <c r="AO392" s="588">
        <v>0</v>
      </c>
      <c r="AP392" s="587">
        <f t="shared" si="268"/>
        <v>12</v>
      </c>
      <c r="AQ392" s="587">
        <v>1.5</v>
      </c>
      <c r="AR392" s="592" t="e">
        <f t="shared" si="279"/>
        <v>#REF!</v>
      </c>
      <c r="AS392" s="592" t="e">
        <f t="shared" si="280"/>
        <v>#REF!</v>
      </c>
      <c r="AT392" s="592" t="e">
        <f t="shared" si="281"/>
        <v>#REF!</v>
      </c>
      <c r="AU392" s="592" t="e">
        <f t="shared" si="269"/>
        <v>#REF!</v>
      </c>
      <c r="AV392" s="592" t="e">
        <f t="shared" si="270"/>
        <v>#REF!</v>
      </c>
      <c r="AW392" s="592" t="e">
        <f t="shared" si="282"/>
        <v>#REF!</v>
      </c>
      <c r="AX392" s="592">
        <f t="shared" si="283"/>
        <v>18</v>
      </c>
      <c r="AY392" s="595"/>
      <c r="AZ392" s="596" t="s">
        <v>192</v>
      </c>
      <c r="BA392" s="597" t="s">
        <v>193</v>
      </c>
      <c r="BB392" s="606" t="s">
        <v>198</v>
      </c>
      <c r="BC392" s="606" t="s">
        <v>199</v>
      </c>
      <c r="BD392" s="606" t="s">
        <v>200</v>
      </c>
      <c r="BE392" s="607" t="s">
        <v>201</v>
      </c>
      <c r="BF392" s="598" t="s">
        <v>202</v>
      </c>
      <c r="BG392" s="598" t="s">
        <v>203</v>
      </c>
      <c r="BH392" s="600" t="s">
        <v>204</v>
      </c>
      <c r="BK392" s="602"/>
      <c r="BL392" s="602"/>
      <c r="BM392" s="602"/>
      <c r="BN392" s="602"/>
      <c r="BO392" s="602"/>
      <c r="BP392" s="602"/>
      <c r="BQ392" s="603"/>
      <c r="BS392" s="602"/>
      <c r="BT392" s="602"/>
      <c r="BU392" s="602"/>
      <c r="BV392" s="602"/>
      <c r="BY392" s="602"/>
    </row>
    <row r="393" spans="1:85" s="601" customFormat="1" x14ac:dyDescent="0.3">
      <c r="A393" s="587" t="s">
        <v>217</v>
      </c>
      <c r="B393" s="588">
        <v>1</v>
      </c>
      <c r="C393" s="589" t="s">
        <v>415</v>
      </c>
      <c r="D393" s="608">
        <v>3.67</v>
      </c>
      <c r="E393" s="590">
        <v>5.96</v>
      </c>
      <c r="F393" s="591">
        <v>0.2</v>
      </c>
      <c r="G393" s="592">
        <f t="shared" si="265"/>
        <v>4.3746400000000003</v>
      </c>
      <c r="H393" s="593">
        <f t="shared" si="266"/>
        <v>21.873200000000001</v>
      </c>
      <c r="I393" s="588" t="e">
        <f>GETPIVOTDATA(#REF!,A393)</f>
        <v>#REF!</v>
      </c>
      <c r="J393" s="593" t="e">
        <f>GETPIVOTDATA(#REF!,A393)*2</f>
        <v>#REF!</v>
      </c>
      <c r="K393" s="588" t="e">
        <f>(ROUND(E393/J393,0)+1)*GETPIVOTDATA(#REF!,A393)</f>
        <v>#REF!</v>
      </c>
      <c r="L393" s="594" t="e">
        <f>GETPIVOTDATA(#REF!,A393)</f>
        <v>#REF!</v>
      </c>
      <c r="M393" s="594">
        <f>0.45+0.3</f>
        <v>0.75</v>
      </c>
      <c r="N393" s="594">
        <f t="shared" si="271"/>
        <v>-0.04</v>
      </c>
      <c r="O393" s="594">
        <f>3.05*0.3</f>
        <v>0.91499999999999992</v>
      </c>
      <c r="P393" s="593" t="e">
        <f t="shared" si="272"/>
        <v>#REF!</v>
      </c>
      <c r="Q393" s="588" t="e">
        <f>GETPIVOTDATA(#REF!,A393)</f>
        <v>#REF!</v>
      </c>
      <c r="R393" s="593" t="e">
        <f>GETPIVOTDATA(#REF!,A393)*2</f>
        <v>#REF!</v>
      </c>
      <c r="S393" s="588" t="e">
        <f>(ROUND(E393/R393,0))*GETPIVOTDATA(#REF!,A393)</f>
        <v>#REF!</v>
      </c>
      <c r="T393" s="594" t="e">
        <f>GETPIVOTDATA(#REF!,A393)</f>
        <v>#REF!</v>
      </c>
      <c r="U393" s="594">
        <f>0.45+0.3</f>
        <v>0.75</v>
      </c>
      <c r="V393" s="594">
        <f t="shared" si="273"/>
        <v>-0.04</v>
      </c>
      <c r="W393" s="594">
        <f>3.02*0.3</f>
        <v>0.90599999999999992</v>
      </c>
      <c r="X393" s="593" t="e">
        <f t="shared" si="274"/>
        <v>#REF!</v>
      </c>
      <c r="Y393" s="588" t="e">
        <f>GETPIVOTDATA(#REF!,A393)</f>
        <v>#REF!</v>
      </c>
      <c r="Z393" s="587" t="e">
        <f>GETPIVOTDATA(#REF!,A393)*2</f>
        <v>#REF!</v>
      </c>
      <c r="AA393" s="588" t="e">
        <f>(ROUND(D393/Z393,0)+1)*GETPIVOTDATA(#REF!,A393)</f>
        <v>#REF!</v>
      </c>
      <c r="AB393" s="594" t="e">
        <f>GETPIVOTDATA(#REF!,A393)</f>
        <v>#REF!</v>
      </c>
      <c r="AC393" s="594">
        <f>0.3+0.23</f>
        <v>0.53</v>
      </c>
      <c r="AD393" s="594">
        <f t="shared" si="275"/>
        <v>-0.04</v>
      </c>
      <c r="AE393" s="594">
        <f>2.94*0.3</f>
        <v>0.88200000000000001</v>
      </c>
      <c r="AF393" s="593" t="e">
        <f t="shared" si="276"/>
        <v>#REF!</v>
      </c>
      <c r="AG393" s="588" t="e">
        <f>GETPIVOTDATA(#REF!,A393)</f>
        <v>#REF!</v>
      </c>
      <c r="AH393" s="587" t="e">
        <f>GETPIVOTDATA(#REF!,A393)*2</f>
        <v>#REF!</v>
      </c>
      <c r="AI393" s="588" t="e">
        <f>(ROUND(D393/AH393,0))*GETPIVOTDATA(#REF!,A393)</f>
        <v>#REF!</v>
      </c>
      <c r="AJ393" s="594" t="e">
        <f>GETPIVOTDATA(#REF!,A393)</f>
        <v>#REF!</v>
      </c>
      <c r="AK393" s="594">
        <f>0.3+0.23</f>
        <v>0.53</v>
      </c>
      <c r="AL393" s="594">
        <f t="shared" si="277"/>
        <v>-0.04</v>
      </c>
      <c r="AM393" s="594">
        <f t="shared" si="267"/>
        <v>0.16</v>
      </c>
      <c r="AN393" s="593" t="e">
        <f t="shared" si="278"/>
        <v>#REF!</v>
      </c>
      <c r="AO393" s="588">
        <v>0</v>
      </c>
      <c r="AP393" s="587">
        <f t="shared" si="268"/>
        <v>12</v>
      </c>
      <c r="AQ393" s="587">
        <v>1.5</v>
      </c>
      <c r="AR393" s="592" t="e">
        <f t="shared" si="279"/>
        <v>#REF!</v>
      </c>
      <c r="AS393" s="592" t="e">
        <f t="shared" si="280"/>
        <v>#REF!</v>
      </c>
      <c r="AT393" s="592" t="e">
        <f t="shared" si="281"/>
        <v>#REF!</v>
      </c>
      <c r="AU393" s="592" t="e">
        <f t="shared" si="269"/>
        <v>#REF!</v>
      </c>
      <c r="AV393" s="592" t="e">
        <f t="shared" si="270"/>
        <v>#REF!</v>
      </c>
      <c r="AW393" s="592" t="e">
        <f t="shared" si="282"/>
        <v>#REF!</v>
      </c>
      <c r="AX393" s="592">
        <f t="shared" si="283"/>
        <v>18</v>
      </c>
      <c r="AY393" s="595"/>
      <c r="AZ393" s="609" t="s">
        <v>190</v>
      </c>
      <c r="BA393" s="610">
        <v>0.2</v>
      </c>
      <c r="BB393" s="602">
        <v>12</v>
      </c>
      <c r="BC393" s="611">
        <v>0.1</v>
      </c>
      <c r="BD393" s="602">
        <v>8</v>
      </c>
      <c r="BE393" s="611">
        <v>0.12</v>
      </c>
      <c r="BF393" s="611">
        <f>BA393*0.42</f>
        <v>8.4000000000000005E-2</v>
      </c>
      <c r="BG393" s="611">
        <f>BA393*0.42</f>
        <v>8.4000000000000005E-2</v>
      </c>
      <c r="BH393" s="612">
        <v>1</v>
      </c>
      <c r="BK393" s="613" t="s">
        <v>206</v>
      </c>
      <c r="BL393" s="614"/>
      <c r="BM393" s="602"/>
      <c r="BN393" s="613" t="s">
        <v>207</v>
      </c>
      <c r="BO393" s="614"/>
      <c r="BP393" s="602"/>
      <c r="BQ393" s="615" t="s">
        <v>208</v>
      </c>
      <c r="BR393" s="614"/>
      <c r="BS393" s="602"/>
      <c r="BT393" s="613" t="s">
        <v>209</v>
      </c>
      <c r="BU393" s="614"/>
      <c r="BV393" s="602"/>
      <c r="BW393" s="616" t="s">
        <v>210</v>
      </c>
      <c r="BX393" s="617"/>
      <c r="BY393" s="602"/>
      <c r="BZ393" s="613" t="s">
        <v>211</v>
      </c>
      <c r="CA393" s="614"/>
      <c r="CC393" s="613" t="s">
        <v>212</v>
      </c>
      <c r="CD393" s="614"/>
      <c r="CF393" s="616" t="s">
        <v>213</v>
      </c>
      <c r="CG393" s="617"/>
    </row>
    <row r="394" spans="1:85" s="601" customFormat="1" x14ac:dyDescent="0.3">
      <c r="A394" s="587" t="s">
        <v>190</v>
      </c>
      <c r="B394" s="588">
        <v>1</v>
      </c>
      <c r="C394" s="589" t="s">
        <v>416</v>
      </c>
      <c r="D394" s="608">
        <v>3.05</v>
      </c>
      <c r="E394" s="590">
        <v>5.96</v>
      </c>
      <c r="F394" s="591">
        <v>0.2</v>
      </c>
      <c r="G394" s="592">
        <f t="shared" si="265"/>
        <v>3.6355999999999997</v>
      </c>
      <c r="H394" s="593">
        <f t="shared" si="266"/>
        <v>18.177999999999997</v>
      </c>
      <c r="I394" s="588" t="e">
        <f>GETPIVOTDATA(#REF!,A394)</f>
        <v>#REF!</v>
      </c>
      <c r="J394" s="593" t="e">
        <f>GETPIVOTDATA(#REF!,A394)*2</f>
        <v>#REF!</v>
      </c>
      <c r="K394" s="588" t="e">
        <f>(ROUND(E394/J394,0)+1)*GETPIVOTDATA(#REF!,A394)</f>
        <v>#REF!</v>
      </c>
      <c r="L394" s="594" t="e">
        <f>GETPIVOTDATA(#REF!,A394)</f>
        <v>#REF!</v>
      </c>
      <c r="M394" s="594">
        <f t="shared" ref="M394:M399" si="284">0.3*2</f>
        <v>0.6</v>
      </c>
      <c r="N394" s="594">
        <f t="shared" si="271"/>
        <v>-0.04</v>
      </c>
      <c r="O394" s="594">
        <f>4.11*0.3</f>
        <v>1.2330000000000001</v>
      </c>
      <c r="P394" s="593" t="e">
        <f t="shared" si="272"/>
        <v>#REF!</v>
      </c>
      <c r="Q394" s="588" t="e">
        <f>GETPIVOTDATA(#REF!,A394)</f>
        <v>#REF!</v>
      </c>
      <c r="R394" s="593" t="e">
        <f>GETPIVOTDATA(#REF!,A394)*2</f>
        <v>#REF!</v>
      </c>
      <c r="S394" s="588" t="e">
        <f>(ROUND(E394/R394,0))*GETPIVOTDATA(#REF!,A394)</f>
        <v>#REF!</v>
      </c>
      <c r="T394" s="594" t="e">
        <f>GETPIVOTDATA(#REF!,A394)</f>
        <v>#REF!</v>
      </c>
      <c r="U394" s="594">
        <f t="shared" ref="U394:U399" si="285">0.3*2</f>
        <v>0.6</v>
      </c>
      <c r="V394" s="594">
        <f t="shared" si="273"/>
        <v>-0.04</v>
      </c>
      <c r="W394" s="594">
        <f>3.67*0.3</f>
        <v>1.101</v>
      </c>
      <c r="X394" s="593" t="e">
        <f t="shared" si="274"/>
        <v>#REF!</v>
      </c>
      <c r="Y394" s="588" t="e">
        <f>GETPIVOTDATA(#REF!,A394)</f>
        <v>#REF!</v>
      </c>
      <c r="Z394" s="587" t="e">
        <f>GETPIVOTDATA(#REF!,A394)*2</f>
        <v>#REF!</v>
      </c>
      <c r="AA394" s="588" t="e">
        <f>(ROUND(D394/Z394,0)+1)*GETPIVOTDATA(#REF!,A394)</f>
        <v>#REF!</v>
      </c>
      <c r="AB394" s="594" t="e">
        <f>GETPIVOTDATA(#REF!,A394)</f>
        <v>#REF!</v>
      </c>
      <c r="AC394" s="594">
        <f>0.3+0.23</f>
        <v>0.53</v>
      </c>
      <c r="AD394" s="594">
        <f t="shared" si="275"/>
        <v>-0.04</v>
      </c>
      <c r="AE394" s="594">
        <f>3.01*0.3</f>
        <v>0.90299999999999991</v>
      </c>
      <c r="AF394" s="593" t="e">
        <f t="shared" si="276"/>
        <v>#REF!</v>
      </c>
      <c r="AG394" s="588" t="e">
        <f>GETPIVOTDATA(#REF!,A394)</f>
        <v>#REF!</v>
      </c>
      <c r="AH394" s="587" t="e">
        <f>GETPIVOTDATA(#REF!,A394)*2</f>
        <v>#REF!</v>
      </c>
      <c r="AI394" s="588" t="e">
        <f>(ROUND(D394/AH394,0))*GETPIVOTDATA(#REF!,A394)</f>
        <v>#REF!</v>
      </c>
      <c r="AJ394" s="594" t="e">
        <f>GETPIVOTDATA(#REF!,A394)</f>
        <v>#REF!</v>
      </c>
      <c r="AK394" s="594">
        <f>0.3+0.23</f>
        <v>0.53</v>
      </c>
      <c r="AL394" s="594">
        <f t="shared" si="277"/>
        <v>-0.04</v>
      </c>
      <c r="AM394" s="594">
        <f t="shared" si="267"/>
        <v>0.16</v>
      </c>
      <c r="AN394" s="593" t="e">
        <f t="shared" si="278"/>
        <v>#REF!</v>
      </c>
      <c r="AO394" s="588">
        <v>0</v>
      </c>
      <c r="AP394" s="587">
        <f t="shared" si="268"/>
        <v>12</v>
      </c>
      <c r="AQ394" s="587">
        <v>1.5</v>
      </c>
      <c r="AR394" s="592" t="e">
        <f t="shared" si="279"/>
        <v>#REF!</v>
      </c>
      <c r="AS394" s="592" t="e">
        <f t="shared" si="280"/>
        <v>#REF!</v>
      </c>
      <c r="AT394" s="592" t="e">
        <f t="shared" si="281"/>
        <v>#REF!</v>
      </c>
      <c r="AU394" s="592" t="e">
        <f t="shared" si="269"/>
        <v>#REF!</v>
      </c>
      <c r="AV394" s="592" t="e">
        <f t="shared" si="270"/>
        <v>#REF!</v>
      </c>
      <c r="AW394" s="592" t="e">
        <f t="shared" si="282"/>
        <v>#REF!</v>
      </c>
      <c r="AX394" s="592">
        <f t="shared" si="283"/>
        <v>18</v>
      </c>
      <c r="AY394" s="595"/>
      <c r="AZ394" s="609" t="s">
        <v>215</v>
      </c>
      <c r="BA394" s="610">
        <v>0.22500000000000001</v>
      </c>
      <c r="BB394" s="602">
        <v>12</v>
      </c>
      <c r="BC394" s="611">
        <v>0.09</v>
      </c>
      <c r="BD394" s="602">
        <v>10</v>
      </c>
      <c r="BE394" s="611">
        <v>0.15</v>
      </c>
      <c r="BF394" s="611">
        <f t="shared" ref="BF394:BF417" si="286">BA394*0.42</f>
        <v>9.4500000000000001E-2</v>
      </c>
      <c r="BG394" s="611">
        <f t="shared" ref="BG394:BG406" si="287">BA394*0.42</f>
        <v>9.4500000000000001E-2</v>
      </c>
      <c r="BH394" s="612">
        <v>1</v>
      </c>
      <c r="BK394" s="618" t="s">
        <v>192</v>
      </c>
      <c r="BL394" s="619" t="s">
        <v>95</v>
      </c>
      <c r="BM394" s="602"/>
      <c r="BN394" s="618" t="s">
        <v>192</v>
      </c>
      <c r="BO394" s="619" t="s">
        <v>95</v>
      </c>
      <c r="BP394" s="602"/>
      <c r="BQ394" s="620" t="s">
        <v>192</v>
      </c>
      <c r="BR394" s="619" t="s">
        <v>95</v>
      </c>
      <c r="BS394" s="602"/>
      <c r="BT394" s="618" t="s">
        <v>192</v>
      </c>
      <c r="BU394" s="619" t="s">
        <v>95</v>
      </c>
      <c r="BV394" s="602"/>
      <c r="BW394" s="621" t="s">
        <v>192</v>
      </c>
      <c r="BX394" s="622" t="s">
        <v>95</v>
      </c>
      <c r="BY394" s="602"/>
      <c r="BZ394" s="618" t="s">
        <v>192</v>
      </c>
      <c r="CA394" s="619" t="s">
        <v>95</v>
      </c>
      <c r="CC394" s="618" t="s">
        <v>192</v>
      </c>
      <c r="CD394" s="619" t="s">
        <v>95</v>
      </c>
      <c r="CF394" s="621" t="s">
        <v>192</v>
      </c>
      <c r="CG394" s="622" t="s">
        <v>95</v>
      </c>
    </row>
    <row r="395" spans="1:85" s="623" customFormat="1" x14ac:dyDescent="0.3">
      <c r="A395" s="587" t="s">
        <v>215</v>
      </c>
      <c r="B395" s="588">
        <v>1</v>
      </c>
      <c r="C395" s="589" t="s">
        <v>417</v>
      </c>
      <c r="D395" s="608">
        <v>4.1100000000000003</v>
      </c>
      <c r="E395" s="590">
        <v>5.92</v>
      </c>
      <c r="F395" s="591">
        <v>0.22500000000000001</v>
      </c>
      <c r="G395" s="592">
        <f t="shared" si="265"/>
        <v>5.4745200000000009</v>
      </c>
      <c r="H395" s="593">
        <f t="shared" si="266"/>
        <v>24.331200000000003</v>
      </c>
      <c r="I395" s="588" t="e">
        <f>GETPIVOTDATA(#REF!,A395)</f>
        <v>#REF!</v>
      </c>
      <c r="J395" s="593" t="e">
        <f>GETPIVOTDATA(#REF!,A395)*2</f>
        <v>#REF!</v>
      </c>
      <c r="K395" s="588" t="e">
        <f>(ROUND(E395/J395,0)+1)*GETPIVOTDATA(#REF!,A395)</f>
        <v>#REF!</v>
      </c>
      <c r="L395" s="594" t="e">
        <f>GETPIVOTDATA(#REF!,A395)</f>
        <v>#REF!</v>
      </c>
      <c r="M395" s="594">
        <f t="shared" si="284"/>
        <v>0.6</v>
      </c>
      <c r="N395" s="594">
        <f t="shared" si="271"/>
        <v>-0.04</v>
      </c>
      <c r="O395" s="594">
        <f>3.05*0.3</f>
        <v>0.91499999999999992</v>
      </c>
      <c r="P395" s="593" t="e">
        <f t="shared" si="272"/>
        <v>#REF!</v>
      </c>
      <c r="Q395" s="588" t="e">
        <f>GETPIVOTDATA(#REF!,A395)</f>
        <v>#REF!</v>
      </c>
      <c r="R395" s="593" t="e">
        <f>GETPIVOTDATA(#REF!,A395)*2</f>
        <v>#REF!</v>
      </c>
      <c r="S395" s="588" t="e">
        <f>(ROUND(E395/R395,0))*GETPIVOTDATA(#REF!,A395)</f>
        <v>#REF!</v>
      </c>
      <c r="T395" s="594" t="e">
        <f>GETPIVOTDATA(#REF!,A395)</f>
        <v>#REF!</v>
      </c>
      <c r="U395" s="594">
        <f t="shared" si="285"/>
        <v>0.6</v>
      </c>
      <c r="V395" s="594">
        <f t="shared" si="273"/>
        <v>-0.04</v>
      </c>
      <c r="W395" s="594">
        <f>3.05*0.3</f>
        <v>0.91499999999999992</v>
      </c>
      <c r="X395" s="593" t="e">
        <f t="shared" si="274"/>
        <v>#REF!</v>
      </c>
      <c r="Y395" s="588" t="e">
        <f>GETPIVOTDATA(#REF!,A395)</f>
        <v>#REF!</v>
      </c>
      <c r="Z395" s="587" t="e">
        <f>GETPIVOTDATA(#REF!,A395)*2</f>
        <v>#REF!</v>
      </c>
      <c r="AA395" s="588" t="e">
        <f>(ROUND(D395/Z395,0)+1)*GETPIVOTDATA(#REF!,A395)</f>
        <v>#REF!</v>
      </c>
      <c r="AB395" s="594" t="e">
        <f>GETPIVOTDATA(#REF!,A395)</f>
        <v>#REF!</v>
      </c>
      <c r="AC395" s="594">
        <f>0.23*2</f>
        <v>0.46</v>
      </c>
      <c r="AD395" s="594">
        <f t="shared" si="275"/>
        <v>-0.04</v>
      </c>
      <c r="AE395" s="594">
        <v>0</v>
      </c>
      <c r="AF395" s="593" t="e">
        <f t="shared" si="276"/>
        <v>#REF!</v>
      </c>
      <c r="AG395" s="588" t="e">
        <f>GETPIVOTDATA(#REF!,A395)</f>
        <v>#REF!</v>
      </c>
      <c r="AH395" s="587" t="e">
        <f>GETPIVOTDATA(#REF!,A395)*2</f>
        <v>#REF!</v>
      </c>
      <c r="AI395" s="588" t="e">
        <f>(ROUND(D395/AH395,0))*GETPIVOTDATA(#REF!,A395)</f>
        <v>#REF!</v>
      </c>
      <c r="AJ395" s="594" t="e">
        <f>GETPIVOTDATA(#REF!,A395)</f>
        <v>#REF!</v>
      </c>
      <c r="AK395" s="594">
        <f>0.23*2</f>
        <v>0.46</v>
      </c>
      <c r="AL395" s="594">
        <f t="shared" si="277"/>
        <v>-0.04</v>
      </c>
      <c r="AM395" s="594">
        <f t="shared" si="267"/>
        <v>0.185</v>
      </c>
      <c r="AN395" s="593" t="e">
        <f t="shared" si="278"/>
        <v>#REF!</v>
      </c>
      <c r="AO395" s="588">
        <v>0</v>
      </c>
      <c r="AP395" s="587">
        <f t="shared" si="268"/>
        <v>14</v>
      </c>
      <c r="AQ395" s="587">
        <v>1.5</v>
      </c>
      <c r="AR395" s="592" t="e">
        <f t="shared" si="279"/>
        <v>#REF!</v>
      </c>
      <c r="AS395" s="592" t="e">
        <f t="shared" si="280"/>
        <v>#REF!</v>
      </c>
      <c r="AT395" s="592" t="e">
        <f t="shared" si="281"/>
        <v>#REF!</v>
      </c>
      <c r="AU395" s="592" t="e">
        <f t="shared" si="269"/>
        <v>#REF!</v>
      </c>
      <c r="AV395" s="592" t="e">
        <f t="shared" si="270"/>
        <v>#REF!</v>
      </c>
      <c r="AW395" s="592" t="e">
        <f t="shared" si="282"/>
        <v>#REF!</v>
      </c>
      <c r="AX395" s="592">
        <f t="shared" si="283"/>
        <v>21</v>
      </c>
      <c r="AY395" s="595"/>
      <c r="AZ395" s="609" t="s">
        <v>217</v>
      </c>
      <c r="BA395" s="610">
        <v>0.2</v>
      </c>
      <c r="BB395" s="602">
        <v>12</v>
      </c>
      <c r="BC395" s="611">
        <v>0.1</v>
      </c>
      <c r="BD395" s="602">
        <v>10</v>
      </c>
      <c r="BE395" s="611">
        <v>0.2</v>
      </c>
      <c r="BF395" s="611">
        <f t="shared" si="286"/>
        <v>8.4000000000000005E-2</v>
      </c>
      <c r="BG395" s="611">
        <f t="shared" si="287"/>
        <v>8.4000000000000005E-2</v>
      </c>
      <c r="BH395" s="612">
        <v>1</v>
      </c>
      <c r="BK395" s="624" t="s">
        <v>218</v>
      </c>
      <c r="BL395" s="625">
        <v>0.16500000000000001</v>
      </c>
      <c r="BM395" s="602"/>
      <c r="BN395" s="624" t="s">
        <v>218</v>
      </c>
      <c r="BO395" s="625">
        <v>10</v>
      </c>
      <c r="BP395" s="602"/>
      <c r="BQ395" s="620" t="s">
        <v>218</v>
      </c>
      <c r="BR395" s="626">
        <v>0.1</v>
      </c>
      <c r="BS395" s="602"/>
      <c r="BT395" s="618" t="s">
        <v>219</v>
      </c>
      <c r="BU395" s="626">
        <v>7.3499999999999996E-2</v>
      </c>
      <c r="BV395" s="602"/>
      <c r="BW395" s="618" t="s">
        <v>218</v>
      </c>
      <c r="BX395" s="626">
        <v>10</v>
      </c>
      <c r="BY395" s="602"/>
      <c r="BZ395" s="618" t="s">
        <v>218</v>
      </c>
      <c r="CA395" s="626">
        <v>6.93E-2</v>
      </c>
      <c r="CB395" s="601"/>
      <c r="CC395" s="618" t="s">
        <v>218</v>
      </c>
      <c r="CD395" s="626">
        <v>0.1</v>
      </c>
      <c r="CE395" s="601"/>
      <c r="CF395" s="618" t="s">
        <v>218</v>
      </c>
      <c r="CG395" s="626">
        <v>1</v>
      </c>
    </row>
    <row r="396" spans="1:85" s="601" customFormat="1" x14ac:dyDescent="0.3">
      <c r="A396" s="587" t="s">
        <v>190</v>
      </c>
      <c r="B396" s="588">
        <v>1</v>
      </c>
      <c r="C396" s="589" t="s">
        <v>418</v>
      </c>
      <c r="D396" s="590">
        <v>3.05</v>
      </c>
      <c r="E396" s="590">
        <v>5.96</v>
      </c>
      <c r="F396" s="591">
        <v>0.2</v>
      </c>
      <c r="G396" s="592">
        <f t="shared" si="265"/>
        <v>3.6355999999999997</v>
      </c>
      <c r="H396" s="593">
        <f t="shared" si="266"/>
        <v>18.177999999999997</v>
      </c>
      <c r="I396" s="588" t="e">
        <f>GETPIVOTDATA(#REF!,A396)</f>
        <v>#REF!</v>
      </c>
      <c r="J396" s="593" t="e">
        <f>GETPIVOTDATA(#REF!,A396)*2</f>
        <v>#REF!</v>
      </c>
      <c r="K396" s="588" t="e">
        <f>(ROUND(E396/J396,0)+1)*GETPIVOTDATA(#REF!,A396)</f>
        <v>#REF!</v>
      </c>
      <c r="L396" s="594" t="e">
        <f>GETPIVOTDATA(#REF!,A396)</f>
        <v>#REF!</v>
      </c>
      <c r="M396" s="594">
        <f t="shared" si="284"/>
        <v>0.6</v>
      </c>
      <c r="N396" s="594">
        <f t="shared" si="271"/>
        <v>-0.04</v>
      </c>
      <c r="O396" s="594">
        <f>3.2*0.3</f>
        <v>0.96</v>
      </c>
      <c r="P396" s="593" t="e">
        <f t="shared" si="272"/>
        <v>#REF!</v>
      </c>
      <c r="Q396" s="588" t="e">
        <f>GETPIVOTDATA(#REF!,A396)</f>
        <v>#REF!</v>
      </c>
      <c r="R396" s="593" t="e">
        <f>GETPIVOTDATA(#REF!,A396)*2</f>
        <v>#REF!</v>
      </c>
      <c r="S396" s="588" t="e">
        <f>(ROUND(E396/R396,0))*GETPIVOTDATA(#REF!,A396)</f>
        <v>#REF!</v>
      </c>
      <c r="T396" s="594" t="e">
        <f>GETPIVOTDATA(#REF!,A396)</f>
        <v>#REF!</v>
      </c>
      <c r="U396" s="594">
        <f t="shared" si="285"/>
        <v>0.6</v>
      </c>
      <c r="V396" s="594">
        <f t="shared" si="273"/>
        <v>-0.04</v>
      </c>
      <c r="W396" s="594">
        <f>4.11*0.3</f>
        <v>1.2330000000000001</v>
      </c>
      <c r="X396" s="593" t="e">
        <f t="shared" si="274"/>
        <v>#REF!</v>
      </c>
      <c r="Y396" s="588" t="e">
        <f>GETPIVOTDATA(#REF!,A396)</f>
        <v>#REF!</v>
      </c>
      <c r="Z396" s="587" t="e">
        <f>GETPIVOTDATA(#REF!,A396)*2</f>
        <v>#REF!</v>
      </c>
      <c r="AA396" s="588" t="e">
        <f>(ROUND(D396/Z396,0)+1)*GETPIVOTDATA(#REF!,A396)</f>
        <v>#REF!</v>
      </c>
      <c r="AB396" s="594" t="e">
        <f>GETPIVOTDATA(#REF!,A396)</f>
        <v>#REF!</v>
      </c>
      <c r="AC396" s="594">
        <f>0.3+0.23</f>
        <v>0.53</v>
      </c>
      <c r="AD396" s="594">
        <f t="shared" si="275"/>
        <v>-0.04</v>
      </c>
      <c r="AE396" s="594">
        <f>2.94*0.3</f>
        <v>0.88200000000000001</v>
      </c>
      <c r="AF396" s="593" t="e">
        <f t="shared" si="276"/>
        <v>#REF!</v>
      </c>
      <c r="AG396" s="588" t="e">
        <f>GETPIVOTDATA(#REF!,A396)</f>
        <v>#REF!</v>
      </c>
      <c r="AH396" s="587" t="e">
        <f>GETPIVOTDATA(#REF!,A396)*2</f>
        <v>#REF!</v>
      </c>
      <c r="AI396" s="588" t="e">
        <f>(ROUND(D396/AH396,0))*GETPIVOTDATA(#REF!,A396)</f>
        <v>#REF!</v>
      </c>
      <c r="AJ396" s="594" t="e">
        <f>GETPIVOTDATA(#REF!,A396)</f>
        <v>#REF!</v>
      </c>
      <c r="AK396" s="594">
        <f>0.3+0.23</f>
        <v>0.53</v>
      </c>
      <c r="AL396" s="594">
        <f t="shared" si="277"/>
        <v>-0.04</v>
      </c>
      <c r="AM396" s="594">
        <f t="shared" si="267"/>
        <v>0.16</v>
      </c>
      <c r="AN396" s="593" t="e">
        <f t="shared" si="278"/>
        <v>#REF!</v>
      </c>
      <c r="AO396" s="588">
        <v>0</v>
      </c>
      <c r="AP396" s="587">
        <f t="shared" si="268"/>
        <v>12</v>
      </c>
      <c r="AQ396" s="587">
        <v>1.5</v>
      </c>
      <c r="AR396" s="592" t="e">
        <f t="shared" si="279"/>
        <v>#REF!</v>
      </c>
      <c r="AS396" s="592" t="e">
        <f t="shared" si="280"/>
        <v>#REF!</v>
      </c>
      <c r="AT396" s="592" t="e">
        <f t="shared" si="281"/>
        <v>#REF!</v>
      </c>
      <c r="AU396" s="592" t="e">
        <f t="shared" si="269"/>
        <v>#REF!</v>
      </c>
      <c r="AV396" s="592" t="e">
        <f t="shared" si="270"/>
        <v>#REF!</v>
      </c>
      <c r="AW396" s="592" t="e">
        <f t="shared" si="282"/>
        <v>#REF!</v>
      </c>
      <c r="AX396" s="592">
        <f t="shared" si="283"/>
        <v>18</v>
      </c>
      <c r="AY396" s="595"/>
      <c r="AZ396" s="609" t="s">
        <v>221</v>
      </c>
      <c r="BA396" s="610">
        <v>0.17499999999999999</v>
      </c>
      <c r="BB396" s="602">
        <v>12</v>
      </c>
      <c r="BC396" s="611">
        <v>0.1</v>
      </c>
      <c r="BD396" s="602">
        <v>8</v>
      </c>
      <c r="BE396" s="611">
        <v>0.16</v>
      </c>
      <c r="BF396" s="611">
        <f t="shared" si="286"/>
        <v>7.3499999999999996E-2</v>
      </c>
      <c r="BG396" s="611">
        <f t="shared" si="287"/>
        <v>7.3499999999999996E-2</v>
      </c>
      <c r="BH396" s="612">
        <v>1</v>
      </c>
      <c r="BK396" s="627" t="s">
        <v>219</v>
      </c>
      <c r="BL396" s="628">
        <v>0.17499999999999999</v>
      </c>
      <c r="BM396" s="602"/>
      <c r="BN396" s="627" t="s">
        <v>219</v>
      </c>
      <c r="BO396" s="628">
        <v>10</v>
      </c>
      <c r="BP396" s="602"/>
      <c r="BQ396" s="629" t="s">
        <v>219</v>
      </c>
      <c r="BR396" s="630">
        <v>0.09</v>
      </c>
      <c r="BS396" s="602"/>
      <c r="BT396" s="631" t="s">
        <v>222</v>
      </c>
      <c r="BU396" s="630">
        <v>7.3499999999999996E-2</v>
      </c>
      <c r="BW396" s="631" t="s">
        <v>223</v>
      </c>
      <c r="BX396" s="630">
        <v>8</v>
      </c>
      <c r="BZ396" s="631" t="s">
        <v>223</v>
      </c>
      <c r="CA396" s="630">
        <v>5.4600000000000003E-2</v>
      </c>
      <c r="CC396" s="631" t="s">
        <v>219</v>
      </c>
      <c r="CD396" s="630">
        <v>0.1</v>
      </c>
      <c r="CF396" s="631" t="s">
        <v>223</v>
      </c>
      <c r="CG396" s="630">
        <v>1</v>
      </c>
    </row>
    <row r="397" spans="1:85" s="601" customFormat="1" x14ac:dyDescent="0.3">
      <c r="A397" s="587" t="s">
        <v>190</v>
      </c>
      <c r="B397" s="588">
        <v>1</v>
      </c>
      <c r="C397" s="589" t="s">
        <v>419</v>
      </c>
      <c r="D397" s="590">
        <v>3.2</v>
      </c>
      <c r="E397" s="590">
        <v>5.96</v>
      </c>
      <c r="F397" s="591">
        <v>0.2</v>
      </c>
      <c r="G397" s="592">
        <f t="shared" si="265"/>
        <v>3.8144</v>
      </c>
      <c r="H397" s="593">
        <f t="shared" si="266"/>
        <v>19.071999999999999</v>
      </c>
      <c r="I397" s="588" t="e">
        <f>GETPIVOTDATA(#REF!,A397)</f>
        <v>#REF!</v>
      </c>
      <c r="J397" s="593" t="e">
        <f>GETPIVOTDATA(#REF!,A397)*2</f>
        <v>#REF!</v>
      </c>
      <c r="K397" s="588" t="e">
        <f>(ROUND(E397/J397,0)+1)*GETPIVOTDATA(#REF!,A397)</f>
        <v>#REF!</v>
      </c>
      <c r="L397" s="594" t="e">
        <f>GETPIVOTDATA(#REF!,A397)</f>
        <v>#REF!</v>
      </c>
      <c r="M397" s="594">
        <f t="shared" si="284"/>
        <v>0.6</v>
      </c>
      <c r="N397" s="594">
        <f t="shared" si="271"/>
        <v>-0.04</v>
      </c>
      <c r="O397" s="594">
        <f>2.9*0.3</f>
        <v>0.87</v>
      </c>
      <c r="P397" s="593" t="e">
        <f t="shared" si="272"/>
        <v>#REF!</v>
      </c>
      <c r="Q397" s="588" t="e">
        <f>GETPIVOTDATA(#REF!,A397)</f>
        <v>#REF!</v>
      </c>
      <c r="R397" s="593" t="e">
        <f>GETPIVOTDATA(#REF!,A397)*2</f>
        <v>#REF!</v>
      </c>
      <c r="S397" s="588" t="e">
        <f>(ROUND(E397/R397,0))*GETPIVOTDATA(#REF!,A397)</f>
        <v>#REF!</v>
      </c>
      <c r="T397" s="594" t="e">
        <f>GETPIVOTDATA(#REF!,A397)</f>
        <v>#REF!</v>
      </c>
      <c r="U397" s="594">
        <f t="shared" si="285"/>
        <v>0.6</v>
      </c>
      <c r="V397" s="594">
        <f t="shared" si="273"/>
        <v>-0.04</v>
      </c>
      <c r="W397" s="594">
        <f>3.05*0.3</f>
        <v>0.91499999999999992</v>
      </c>
      <c r="X397" s="593" t="e">
        <f t="shared" si="274"/>
        <v>#REF!</v>
      </c>
      <c r="Y397" s="588" t="e">
        <f>GETPIVOTDATA(#REF!,A397)</f>
        <v>#REF!</v>
      </c>
      <c r="Z397" s="587" t="e">
        <f>GETPIVOTDATA(#REF!,A397)*2</f>
        <v>#REF!</v>
      </c>
      <c r="AA397" s="588" t="e">
        <f>(ROUND(D397/Z397,0)+1)*GETPIVOTDATA(#REF!,A397)</f>
        <v>#REF!</v>
      </c>
      <c r="AB397" s="594" t="e">
        <f>GETPIVOTDATA(#REF!,A397)</f>
        <v>#REF!</v>
      </c>
      <c r="AC397" s="594">
        <f>0.3+0.23</f>
        <v>0.53</v>
      </c>
      <c r="AD397" s="594">
        <f t="shared" si="275"/>
        <v>-0.04</v>
      </c>
      <c r="AE397" s="594">
        <f>2.94*0.3</f>
        <v>0.88200000000000001</v>
      </c>
      <c r="AF397" s="593" t="e">
        <f t="shared" si="276"/>
        <v>#REF!</v>
      </c>
      <c r="AG397" s="588" t="e">
        <f>GETPIVOTDATA(#REF!,A397)</f>
        <v>#REF!</v>
      </c>
      <c r="AH397" s="587" t="e">
        <f>GETPIVOTDATA(#REF!,A397)*2</f>
        <v>#REF!</v>
      </c>
      <c r="AI397" s="588" t="e">
        <f>(ROUND(D397/AH397,0))*GETPIVOTDATA(#REF!,A397)</f>
        <v>#REF!</v>
      </c>
      <c r="AJ397" s="594" t="e">
        <f>GETPIVOTDATA(#REF!,A397)</f>
        <v>#REF!</v>
      </c>
      <c r="AK397" s="594">
        <f>0.3+0.23</f>
        <v>0.53</v>
      </c>
      <c r="AL397" s="594">
        <f t="shared" si="277"/>
        <v>-0.04</v>
      </c>
      <c r="AM397" s="594">
        <f t="shared" si="267"/>
        <v>0.16</v>
      </c>
      <c r="AN397" s="593" t="e">
        <f t="shared" si="278"/>
        <v>#REF!</v>
      </c>
      <c r="AO397" s="588">
        <v>0</v>
      </c>
      <c r="AP397" s="587">
        <f t="shared" si="268"/>
        <v>12</v>
      </c>
      <c r="AQ397" s="587">
        <v>1.5</v>
      </c>
      <c r="AR397" s="592" t="e">
        <f t="shared" si="279"/>
        <v>#REF!</v>
      </c>
      <c r="AS397" s="592" t="e">
        <f t="shared" si="280"/>
        <v>#REF!</v>
      </c>
      <c r="AT397" s="592" t="e">
        <f t="shared" si="281"/>
        <v>#REF!</v>
      </c>
      <c r="AU397" s="592" t="e">
        <f t="shared" si="269"/>
        <v>#REF!</v>
      </c>
      <c r="AV397" s="592" t="e">
        <f t="shared" si="270"/>
        <v>#REF!</v>
      </c>
      <c r="AW397" s="592" t="e">
        <f t="shared" si="282"/>
        <v>#REF!</v>
      </c>
      <c r="AX397" s="592">
        <f t="shared" si="283"/>
        <v>18</v>
      </c>
      <c r="AY397" s="595"/>
      <c r="AZ397" s="609" t="s">
        <v>218</v>
      </c>
      <c r="BA397" s="610">
        <v>0.16500000000000001</v>
      </c>
      <c r="BB397" s="602">
        <v>10</v>
      </c>
      <c r="BC397" s="611">
        <v>0.1</v>
      </c>
      <c r="BD397" s="602">
        <v>10</v>
      </c>
      <c r="BE397" s="611">
        <v>0.1</v>
      </c>
      <c r="BF397" s="611">
        <f t="shared" si="286"/>
        <v>6.93E-2</v>
      </c>
      <c r="BG397" s="611">
        <f t="shared" si="287"/>
        <v>6.93E-2</v>
      </c>
      <c r="BH397" s="612">
        <v>1</v>
      </c>
      <c r="BK397" s="627" t="s">
        <v>222</v>
      </c>
      <c r="BL397" s="628">
        <v>0.17499999999999999</v>
      </c>
      <c r="BM397" s="602"/>
      <c r="BN397" s="627" t="s">
        <v>222</v>
      </c>
      <c r="BO397" s="628">
        <v>10</v>
      </c>
      <c r="BP397" s="602"/>
      <c r="BQ397" s="629" t="s">
        <v>222</v>
      </c>
      <c r="BR397" s="630">
        <v>0.09</v>
      </c>
      <c r="BS397" s="602"/>
      <c r="BT397" s="631" t="s">
        <v>225</v>
      </c>
      <c r="BU397" s="630">
        <v>7.3499999999999996E-2</v>
      </c>
      <c r="BW397" s="631" t="s">
        <v>226</v>
      </c>
      <c r="BX397" s="630">
        <v>8</v>
      </c>
      <c r="BZ397" s="631" t="s">
        <v>227</v>
      </c>
      <c r="CA397" s="630">
        <v>5.2499999999999998E-2</v>
      </c>
      <c r="CC397" s="631" t="s">
        <v>222</v>
      </c>
      <c r="CD397" s="630">
        <v>0.1</v>
      </c>
      <c r="CF397" s="631" t="s">
        <v>226</v>
      </c>
      <c r="CG397" s="630">
        <v>1</v>
      </c>
    </row>
    <row r="398" spans="1:85" s="601" customFormat="1" x14ac:dyDescent="0.3">
      <c r="A398" s="587" t="s">
        <v>190</v>
      </c>
      <c r="B398" s="588">
        <v>1</v>
      </c>
      <c r="C398" s="589" t="s">
        <v>420</v>
      </c>
      <c r="D398" s="590">
        <v>2.9</v>
      </c>
      <c r="E398" s="590">
        <v>5.96</v>
      </c>
      <c r="F398" s="591">
        <v>0.2</v>
      </c>
      <c r="G398" s="592">
        <f t="shared" si="265"/>
        <v>3.4567999999999999</v>
      </c>
      <c r="H398" s="593">
        <f t="shared" si="266"/>
        <v>17.283999999999999</v>
      </c>
      <c r="I398" s="588" t="e">
        <f>GETPIVOTDATA(#REF!,A398)</f>
        <v>#REF!</v>
      </c>
      <c r="J398" s="593" t="e">
        <f>GETPIVOTDATA(#REF!,A398)*2</f>
        <v>#REF!</v>
      </c>
      <c r="K398" s="588" t="e">
        <f>(ROUND(E398/J398,0)+1)*GETPIVOTDATA(#REF!,A398)</f>
        <v>#REF!</v>
      </c>
      <c r="L398" s="594" t="e">
        <f>GETPIVOTDATA(#REF!,A398)</f>
        <v>#REF!</v>
      </c>
      <c r="M398" s="594">
        <f t="shared" si="284"/>
        <v>0.6</v>
      </c>
      <c r="N398" s="594">
        <f t="shared" si="271"/>
        <v>-0.04</v>
      </c>
      <c r="O398" s="594">
        <f>2.92*0.3</f>
        <v>0.876</v>
      </c>
      <c r="P398" s="593" t="e">
        <f t="shared" si="272"/>
        <v>#REF!</v>
      </c>
      <c r="Q398" s="588" t="e">
        <f>GETPIVOTDATA(#REF!,A398)</f>
        <v>#REF!</v>
      </c>
      <c r="R398" s="593" t="e">
        <f>GETPIVOTDATA(#REF!,A398)*2</f>
        <v>#REF!</v>
      </c>
      <c r="S398" s="588" t="e">
        <f>(ROUND(E398/R398,0))*GETPIVOTDATA(#REF!,A398)</f>
        <v>#REF!</v>
      </c>
      <c r="T398" s="594" t="e">
        <f>GETPIVOTDATA(#REF!,A398)</f>
        <v>#REF!</v>
      </c>
      <c r="U398" s="594">
        <f t="shared" si="285"/>
        <v>0.6</v>
      </c>
      <c r="V398" s="594">
        <f t="shared" si="273"/>
        <v>-0.04</v>
      </c>
      <c r="W398" s="594">
        <f>3.2*0.3</f>
        <v>0.96</v>
      </c>
      <c r="X398" s="593" t="e">
        <f t="shared" si="274"/>
        <v>#REF!</v>
      </c>
      <c r="Y398" s="588" t="e">
        <f>GETPIVOTDATA(#REF!,A398)</f>
        <v>#REF!</v>
      </c>
      <c r="Z398" s="587" t="e">
        <f>GETPIVOTDATA(#REF!,A398)*2</f>
        <v>#REF!</v>
      </c>
      <c r="AA398" s="588" t="e">
        <f>(ROUND(D398/Z398,0)+1)*GETPIVOTDATA(#REF!,A398)</f>
        <v>#REF!</v>
      </c>
      <c r="AB398" s="594" t="e">
        <f>GETPIVOTDATA(#REF!,A398)</f>
        <v>#REF!</v>
      </c>
      <c r="AC398" s="594">
        <f>0.3+0.23</f>
        <v>0.53</v>
      </c>
      <c r="AD398" s="594">
        <f t="shared" si="275"/>
        <v>-0.04</v>
      </c>
      <c r="AE398" s="594">
        <f>4.23*0.3</f>
        <v>1.2690000000000001</v>
      </c>
      <c r="AF398" s="593" t="e">
        <f t="shared" si="276"/>
        <v>#REF!</v>
      </c>
      <c r="AG398" s="588" t="e">
        <f>GETPIVOTDATA(#REF!,A398)</f>
        <v>#REF!</v>
      </c>
      <c r="AH398" s="587" t="e">
        <f>GETPIVOTDATA(#REF!,A398)*2</f>
        <v>#REF!</v>
      </c>
      <c r="AI398" s="588" t="e">
        <f>(ROUND(D398/AH398,0))*GETPIVOTDATA(#REF!,A398)</f>
        <v>#REF!</v>
      </c>
      <c r="AJ398" s="594" t="e">
        <f>GETPIVOTDATA(#REF!,A398)</f>
        <v>#REF!</v>
      </c>
      <c r="AK398" s="594">
        <f>0.3+0.23</f>
        <v>0.53</v>
      </c>
      <c r="AL398" s="594">
        <f t="shared" si="277"/>
        <v>-0.04</v>
      </c>
      <c r="AM398" s="594">
        <f t="shared" si="267"/>
        <v>0.16</v>
      </c>
      <c r="AN398" s="593" t="e">
        <f t="shared" si="278"/>
        <v>#REF!</v>
      </c>
      <c r="AO398" s="588">
        <v>0</v>
      </c>
      <c r="AP398" s="587">
        <f t="shared" si="268"/>
        <v>12</v>
      </c>
      <c r="AQ398" s="587">
        <v>1.5</v>
      </c>
      <c r="AR398" s="592" t="e">
        <f t="shared" si="279"/>
        <v>#REF!</v>
      </c>
      <c r="AS398" s="592" t="e">
        <f t="shared" si="280"/>
        <v>#REF!</v>
      </c>
      <c r="AT398" s="592" t="e">
        <f t="shared" si="281"/>
        <v>#REF!</v>
      </c>
      <c r="AU398" s="592" t="e">
        <f t="shared" si="269"/>
        <v>#REF!</v>
      </c>
      <c r="AV398" s="592" t="e">
        <f t="shared" si="270"/>
        <v>#REF!</v>
      </c>
      <c r="AW398" s="592" t="e">
        <f t="shared" si="282"/>
        <v>#REF!</v>
      </c>
      <c r="AX398" s="592">
        <f t="shared" si="283"/>
        <v>18</v>
      </c>
      <c r="AY398" s="595"/>
      <c r="AZ398" s="609" t="s">
        <v>219</v>
      </c>
      <c r="BA398" s="610">
        <v>0.17499999999999999</v>
      </c>
      <c r="BB398" s="602">
        <v>10</v>
      </c>
      <c r="BC398" s="611">
        <v>0.09</v>
      </c>
      <c r="BD398" s="602">
        <v>10</v>
      </c>
      <c r="BE398" s="611">
        <v>0.1</v>
      </c>
      <c r="BF398" s="611">
        <f t="shared" si="286"/>
        <v>7.3499999999999996E-2</v>
      </c>
      <c r="BG398" s="611">
        <f t="shared" si="287"/>
        <v>7.3499999999999996E-2</v>
      </c>
      <c r="BH398" s="612">
        <v>1</v>
      </c>
      <c r="BK398" s="627" t="s">
        <v>225</v>
      </c>
      <c r="BL398" s="628">
        <v>0.17499999999999999</v>
      </c>
      <c r="BM398" s="602"/>
      <c r="BN398" s="627" t="s">
        <v>225</v>
      </c>
      <c r="BO398" s="628">
        <v>10</v>
      </c>
      <c r="BP398" s="602"/>
      <c r="BQ398" s="629" t="s">
        <v>225</v>
      </c>
      <c r="BR398" s="630">
        <v>0.09</v>
      </c>
      <c r="BS398" s="602"/>
      <c r="BT398" s="631" t="s">
        <v>229</v>
      </c>
      <c r="BU398" s="630">
        <v>5.4600000000000003E-2</v>
      </c>
      <c r="BW398" s="631" t="s">
        <v>227</v>
      </c>
      <c r="BX398" s="630">
        <v>8</v>
      </c>
      <c r="BZ398" s="631" t="s">
        <v>230</v>
      </c>
      <c r="CA398" s="630">
        <v>6.93E-2</v>
      </c>
      <c r="CC398" s="631" t="s">
        <v>225</v>
      </c>
      <c r="CD398" s="630">
        <v>0.1</v>
      </c>
      <c r="CF398" s="631" t="s">
        <v>227</v>
      </c>
      <c r="CG398" s="630">
        <v>1</v>
      </c>
    </row>
    <row r="399" spans="1:85" s="601" customFormat="1" x14ac:dyDescent="0.3">
      <c r="A399" s="587" t="s">
        <v>190</v>
      </c>
      <c r="B399" s="588">
        <v>1</v>
      </c>
      <c r="C399" s="589" t="s">
        <v>421</v>
      </c>
      <c r="D399" s="590">
        <v>2.92</v>
      </c>
      <c r="E399" s="590">
        <v>5.96</v>
      </c>
      <c r="F399" s="591">
        <v>0.2</v>
      </c>
      <c r="G399" s="592">
        <f t="shared" si="265"/>
        <v>3.4806399999999997</v>
      </c>
      <c r="H399" s="593">
        <f t="shared" si="266"/>
        <v>17.403199999999998</v>
      </c>
      <c r="I399" s="588" t="e">
        <f>GETPIVOTDATA(#REF!,A399)</f>
        <v>#REF!</v>
      </c>
      <c r="J399" s="593" t="e">
        <f>GETPIVOTDATA(#REF!,A399)*2</f>
        <v>#REF!</v>
      </c>
      <c r="K399" s="588" t="e">
        <f>(ROUND(E399/J399,0)+1)*GETPIVOTDATA(#REF!,A399)</f>
        <v>#REF!</v>
      </c>
      <c r="L399" s="594" t="e">
        <f>GETPIVOTDATA(#REF!,A399)</f>
        <v>#REF!</v>
      </c>
      <c r="M399" s="594">
        <f t="shared" si="284"/>
        <v>0.6</v>
      </c>
      <c r="N399" s="594">
        <f t="shared" si="271"/>
        <v>-0.04</v>
      </c>
      <c r="O399" s="594">
        <f>4.25*0.3</f>
        <v>1.2749999999999999</v>
      </c>
      <c r="P399" s="593" t="e">
        <f t="shared" si="272"/>
        <v>#REF!</v>
      </c>
      <c r="Q399" s="588" t="e">
        <f>GETPIVOTDATA(#REF!,A399)</f>
        <v>#REF!</v>
      </c>
      <c r="R399" s="593" t="e">
        <f>GETPIVOTDATA(#REF!,A399)*2</f>
        <v>#REF!</v>
      </c>
      <c r="S399" s="588" t="e">
        <f>(ROUND(E399/R399,0))*GETPIVOTDATA(#REF!,A399)</f>
        <v>#REF!</v>
      </c>
      <c r="T399" s="594" t="e">
        <f>GETPIVOTDATA(#REF!,A399)</f>
        <v>#REF!</v>
      </c>
      <c r="U399" s="594">
        <f t="shared" si="285"/>
        <v>0.6</v>
      </c>
      <c r="V399" s="594">
        <f t="shared" si="273"/>
        <v>-0.04</v>
      </c>
      <c r="W399" s="594">
        <f>2.9*0.3</f>
        <v>0.87</v>
      </c>
      <c r="X399" s="593" t="e">
        <f t="shared" si="274"/>
        <v>#REF!</v>
      </c>
      <c r="Y399" s="588" t="e">
        <f>GETPIVOTDATA(#REF!,A399)</f>
        <v>#REF!</v>
      </c>
      <c r="Z399" s="587" t="e">
        <f>GETPIVOTDATA(#REF!,A399)*2</f>
        <v>#REF!</v>
      </c>
      <c r="AA399" s="588" t="e">
        <f>(ROUND(D399/Z399,0)+1)*GETPIVOTDATA(#REF!,A399)</f>
        <v>#REF!</v>
      </c>
      <c r="AB399" s="594" t="e">
        <f>GETPIVOTDATA(#REF!,A399)</f>
        <v>#REF!</v>
      </c>
      <c r="AC399" s="594">
        <f>0.3+0.23</f>
        <v>0.53</v>
      </c>
      <c r="AD399" s="594">
        <f t="shared" si="275"/>
        <v>-0.04</v>
      </c>
      <c r="AE399" s="594">
        <f>4.23*0.3</f>
        <v>1.2690000000000001</v>
      </c>
      <c r="AF399" s="593" t="e">
        <f t="shared" si="276"/>
        <v>#REF!</v>
      </c>
      <c r="AG399" s="588" t="e">
        <f>GETPIVOTDATA(#REF!,A399)</f>
        <v>#REF!</v>
      </c>
      <c r="AH399" s="587" t="e">
        <f>GETPIVOTDATA(#REF!,A399)*2</f>
        <v>#REF!</v>
      </c>
      <c r="AI399" s="588" t="e">
        <f>(ROUND(D399/AH399,0))*GETPIVOTDATA(#REF!,A399)</f>
        <v>#REF!</v>
      </c>
      <c r="AJ399" s="594" t="e">
        <f>GETPIVOTDATA(#REF!,A399)</f>
        <v>#REF!</v>
      </c>
      <c r="AK399" s="594">
        <f>0.3+0.23</f>
        <v>0.53</v>
      </c>
      <c r="AL399" s="594">
        <f t="shared" si="277"/>
        <v>-0.04</v>
      </c>
      <c r="AM399" s="594">
        <f t="shared" si="267"/>
        <v>0.16</v>
      </c>
      <c r="AN399" s="593" t="e">
        <f t="shared" si="278"/>
        <v>#REF!</v>
      </c>
      <c r="AO399" s="588">
        <v>0</v>
      </c>
      <c r="AP399" s="587">
        <f t="shared" si="268"/>
        <v>12</v>
      </c>
      <c r="AQ399" s="587">
        <v>1.5</v>
      </c>
      <c r="AR399" s="592" t="e">
        <f t="shared" si="279"/>
        <v>#REF!</v>
      </c>
      <c r="AS399" s="592" t="e">
        <f t="shared" si="280"/>
        <v>#REF!</v>
      </c>
      <c r="AT399" s="592" t="e">
        <f t="shared" si="281"/>
        <v>#REF!</v>
      </c>
      <c r="AU399" s="592" t="e">
        <f t="shared" si="269"/>
        <v>#REF!</v>
      </c>
      <c r="AV399" s="592" t="e">
        <f t="shared" si="270"/>
        <v>#REF!</v>
      </c>
      <c r="AW399" s="592" t="e">
        <f t="shared" si="282"/>
        <v>#REF!</v>
      </c>
      <c r="AX399" s="592">
        <f t="shared" si="283"/>
        <v>18</v>
      </c>
      <c r="AY399" s="595"/>
      <c r="AZ399" s="609" t="s">
        <v>222</v>
      </c>
      <c r="BA399" s="610">
        <v>0.17499999999999999</v>
      </c>
      <c r="BB399" s="602">
        <v>10</v>
      </c>
      <c r="BC399" s="611">
        <v>0.09</v>
      </c>
      <c r="BD399" s="602">
        <v>10</v>
      </c>
      <c r="BE399" s="611">
        <v>0.1</v>
      </c>
      <c r="BF399" s="611">
        <f t="shared" si="286"/>
        <v>7.3499999999999996E-2</v>
      </c>
      <c r="BG399" s="611">
        <f t="shared" si="287"/>
        <v>7.3499999999999996E-2</v>
      </c>
      <c r="BH399" s="612">
        <v>1</v>
      </c>
      <c r="BK399" s="627" t="s">
        <v>229</v>
      </c>
      <c r="BL399" s="628">
        <v>0.13</v>
      </c>
      <c r="BM399" s="602"/>
      <c r="BN399" s="627" t="s">
        <v>229</v>
      </c>
      <c r="BO399" s="628">
        <v>8</v>
      </c>
      <c r="BP399" s="602"/>
      <c r="BQ399" s="629" t="s">
        <v>229</v>
      </c>
      <c r="BR399" s="630">
        <v>8.5000000000000006E-2</v>
      </c>
      <c r="BS399" s="602"/>
      <c r="BT399" s="631" t="s">
        <v>232</v>
      </c>
      <c r="BU399" s="630">
        <v>5.4600000000000003E-2</v>
      </c>
      <c r="BW399" s="631" t="s">
        <v>233</v>
      </c>
      <c r="BX399" s="630">
        <v>10</v>
      </c>
      <c r="BZ399" s="631" t="s">
        <v>234</v>
      </c>
      <c r="CA399" s="630"/>
      <c r="CC399" s="631" t="s">
        <v>229</v>
      </c>
      <c r="CD399" s="630">
        <v>0.12</v>
      </c>
      <c r="CF399" s="631" t="s">
        <v>233</v>
      </c>
      <c r="CG399" s="630">
        <v>1</v>
      </c>
    </row>
    <row r="400" spans="1:85" s="601" customFormat="1" x14ac:dyDescent="0.3">
      <c r="A400" s="632" t="s">
        <v>265</v>
      </c>
      <c r="B400" s="596"/>
      <c r="C400" s="633"/>
      <c r="D400" s="634"/>
      <c r="E400" s="634"/>
      <c r="F400" s="635"/>
      <c r="G400" s="636"/>
      <c r="H400" s="637"/>
      <c r="I400" s="596"/>
      <c r="J400" s="637"/>
      <c r="K400" s="596"/>
      <c r="L400" s="638"/>
      <c r="M400" s="639"/>
      <c r="N400" s="638"/>
      <c r="O400" s="638"/>
      <c r="P400" s="637"/>
      <c r="Q400" s="596"/>
      <c r="R400" s="637"/>
      <c r="S400" s="596"/>
      <c r="T400" s="638"/>
      <c r="U400" s="639"/>
      <c r="V400" s="638"/>
      <c r="W400" s="638"/>
      <c r="X400" s="637"/>
      <c r="Y400" s="596"/>
      <c r="Z400" s="606"/>
      <c r="AA400" s="596"/>
      <c r="AB400" s="638"/>
      <c r="AC400" s="639"/>
      <c r="AD400" s="638"/>
      <c r="AE400" s="638"/>
      <c r="AF400" s="637"/>
      <c r="AG400" s="596"/>
      <c r="AH400" s="606"/>
      <c r="AI400" s="596"/>
      <c r="AJ400" s="638"/>
      <c r="AK400" s="639"/>
      <c r="AL400" s="638"/>
      <c r="AM400" s="638"/>
      <c r="AN400" s="637"/>
      <c r="AO400" s="596"/>
      <c r="AP400" s="606"/>
      <c r="AQ400" s="606"/>
      <c r="AR400" s="636"/>
      <c r="AS400" s="636"/>
      <c r="AT400" s="636"/>
      <c r="AU400" s="636"/>
      <c r="AV400" s="636"/>
      <c r="AW400" s="636"/>
      <c r="AX400" s="636"/>
      <c r="AY400" s="595"/>
      <c r="AZ400" s="609" t="s">
        <v>225</v>
      </c>
      <c r="BA400" s="610">
        <v>0.17499999999999999</v>
      </c>
      <c r="BB400" s="602">
        <v>10</v>
      </c>
      <c r="BC400" s="611">
        <v>0.09</v>
      </c>
      <c r="BD400" s="602">
        <v>10</v>
      </c>
      <c r="BE400" s="611">
        <v>0.1</v>
      </c>
      <c r="BF400" s="611">
        <f t="shared" si="286"/>
        <v>7.3499999999999996E-2</v>
      </c>
      <c r="BG400" s="611">
        <f t="shared" si="287"/>
        <v>7.3499999999999996E-2</v>
      </c>
      <c r="BH400" s="612">
        <v>1</v>
      </c>
      <c r="BK400" s="627" t="s">
        <v>232</v>
      </c>
      <c r="BL400" s="628">
        <v>0.13</v>
      </c>
      <c r="BM400" s="602"/>
      <c r="BN400" s="627" t="s">
        <v>232</v>
      </c>
      <c r="BO400" s="628">
        <v>8</v>
      </c>
      <c r="BP400" s="602"/>
      <c r="BQ400" s="629" t="s">
        <v>232</v>
      </c>
      <c r="BR400" s="630">
        <v>0.1</v>
      </c>
      <c r="BS400" s="602"/>
      <c r="BT400" s="631" t="s">
        <v>218</v>
      </c>
      <c r="BU400" s="630">
        <v>6.93E-2</v>
      </c>
      <c r="BW400" s="631" t="s">
        <v>230</v>
      </c>
      <c r="BX400" s="630">
        <v>8</v>
      </c>
      <c r="BZ400" s="631" t="s">
        <v>236</v>
      </c>
      <c r="CA400" s="630">
        <v>6.93E-2</v>
      </c>
      <c r="CC400" s="631" t="s">
        <v>232</v>
      </c>
      <c r="CD400" s="630">
        <v>0.12</v>
      </c>
      <c r="CF400" s="631" t="s">
        <v>230</v>
      </c>
      <c r="CG400" s="630">
        <v>1</v>
      </c>
    </row>
    <row r="401" spans="1:85" s="601" customFormat="1" x14ac:dyDescent="0.3">
      <c r="A401" s="606"/>
      <c r="B401" s="596"/>
      <c r="C401" s="633"/>
      <c r="D401" s="634"/>
      <c r="E401" s="634"/>
      <c r="F401" s="635"/>
      <c r="G401" s="636"/>
      <c r="H401" s="637"/>
      <c r="I401" s="596"/>
      <c r="J401" s="637"/>
      <c r="K401" s="596"/>
      <c r="L401" s="638"/>
      <c r="M401" s="639"/>
      <c r="N401" s="638"/>
      <c r="O401" s="638"/>
      <c r="P401" s="637"/>
      <c r="Q401" s="596"/>
      <c r="R401" s="637"/>
      <c r="S401" s="596"/>
      <c r="T401" s="638"/>
      <c r="U401" s="639"/>
      <c r="V401" s="638"/>
      <c r="W401" s="638"/>
      <c r="X401" s="637"/>
      <c r="Y401" s="596"/>
      <c r="Z401" s="606"/>
      <c r="AA401" s="596"/>
      <c r="AB401" s="638"/>
      <c r="AC401" s="639"/>
      <c r="AD401" s="638"/>
      <c r="AE401" s="638"/>
      <c r="AF401" s="637"/>
      <c r="AG401" s="596"/>
      <c r="AH401" s="606"/>
      <c r="AI401" s="596"/>
      <c r="AJ401" s="638"/>
      <c r="AK401" s="639"/>
      <c r="AL401" s="638"/>
      <c r="AM401" s="638"/>
      <c r="AN401" s="637"/>
      <c r="AO401" s="596"/>
      <c r="AP401" s="606"/>
      <c r="AQ401" s="606"/>
      <c r="AR401" s="636"/>
      <c r="AS401" s="636"/>
      <c r="AT401" s="636"/>
      <c r="AU401" s="636"/>
      <c r="AV401" s="636"/>
      <c r="AW401" s="636"/>
      <c r="AX401" s="636"/>
      <c r="AY401" s="595"/>
      <c r="AZ401" s="609" t="s">
        <v>229</v>
      </c>
      <c r="BA401" s="610">
        <v>0.13</v>
      </c>
      <c r="BB401" s="602">
        <v>8</v>
      </c>
      <c r="BC401" s="611">
        <v>8.5000000000000006E-2</v>
      </c>
      <c r="BD401" s="602">
        <v>8</v>
      </c>
      <c r="BE401" s="611">
        <v>0.12</v>
      </c>
      <c r="BF401" s="611">
        <f t="shared" si="286"/>
        <v>5.4600000000000003E-2</v>
      </c>
      <c r="BG401" s="611">
        <f t="shared" si="287"/>
        <v>5.4600000000000003E-2</v>
      </c>
      <c r="BH401" s="612">
        <v>1</v>
      </c>
      <c r="BK401" s="627" t="s">
        <v>238</v>
      </c>
      <c r="BL401" s="628"/>
      <c r="BM401" s="602"/>
      <c r="BN401" s="627" t="s">
        <v>238</v>
      </c>
      <c r="BO401" s="628"/>
      <c r="BP401" s="602"/>
      <c r="BQ401" s="631" t="s">
        <v>238</v>
      </c>
      <c r="BR401" s="630"/>
      <c r="BS401" s="602"/>
      <c r="BT401" s="631" t="s">
        <v>239</v>
      </c>
      <c r="BU401" s="630">
        <v>5.2499999999999998E-2</v>
      </c>
      <c r="BW401" s="631" t="s">
        <v>219</v>
      </c>
      <c r="BX401" s="630">
        <v>10</v>
      </c>
      <c r="BZ401" s="631" t="s">
        <v>240</v>
      </c>
      <c r="CA401" s="630">
        <v>6.7199999999999996E-2</v>
      </c>
      <c r="CC401" s="631" t="s">
        <v>238</v>
      </c>
      <c r="CD401" s="630"/>
      <c r="CF401" s="631" t="s">
        <v>234</v>
      </c>
      <c r="CG401" s="630">
        <v>1</v>
      </c>
    </row>
    <row r="402" spans="1:85" s="601" customFormat="1" x14ac:dyDescent="0.3">
      <c r="A402" s="606"/>
      <c r="B402" s="596"/>
      <c r="C402" s="633"/>
      <c r="D402" s="634"/>
      <c r="E402" s="634"/>
      <c r="F402" s="635"/>
      <c r="G402" s="636"/>
      <c r="H402" s="637"/>
      <c r="I402" s="596"/>
      <c r="J402" s="637"/>
      <c r="K402" s="596"/>
      <c r="L402" s="638"/>
      <c r="M402" s="639"/>
      <c r="N402" s="638"/>
      <c r="O402" s="638"/>
      <c r="P402" s="637"/>
      <c r="Q402" s="596"/>
      <c r="R402" s="637"/>
      <c r="S402" s="596"/>
      <c r="T402" s="638"/>
      <c r="U402" s="639"/>
      <c r="V402" s="638"/>
      <c r="W402" s="638"/>
      <c r="X402" s="637"/>
      <c r="Y402" s="596"/>
      <c r="Z402" s="606"/>
      <c r="AA402" s="596"/>
      <c r="AB402" s="638"/>
      <c r="AC402" s="639"/>
      <c r="AD402" s="638"/>
      <c r="AE402" s="638"/>
      <c r="AF402" s="637"/>
      <c r="AG402" s="596"/>
      <c r="AH402" s="606"/>
      <c r="AI402" s="596"/>
      <c r="AJ402" s="638"/>
      <c r="AK402" s="639"/>
      <c r="AL402" s="638"/>
      <c r="AM402" s="638"/>
      <c r="AN402" s="637"/>
      <c r="AO402" s="596"/>
      <c r="AP402" s="606"/>
      <c r="AQ402" s="606"/>
      <c r="AR402" s="636"/>
      <c r="AS402" s="636"/>
      <c r="AT402" s="636"/>
      <c r="AU402" s="636"/>
      <c r="AV402" s="636"/>
      <c r="AW402" s="636"/>
      <c r="AX402" s="636"/>
      <c r="AY402" s="595"/>
      <c r="AZ402" s="609" t="s">
        <v>232</v>
      </c>
      <c r="BA402" s="610">
        <v>0.13</v>
      </c>
      <c r="BB402" s="602">
        <v>8</v>
      </c>
      <c r="BC402" s="611">
        <v>0.1</v>
      </c>
      <c r="BD402" s="602">
        <v>8</v>
      </c>
      <c r="BE402" s="611">
        <v>0.12</v>
      </c>
      <c r="BF402" s="611">
        <f t="shared" si="286"/>
        <v>5.4600000000000003E-2</v>
      </c>
      <c r="BG402" s="611">
        <f t="shared" si="287"/>
        <v>5.4600000000000003E-2</v>
      </c>
      <c r="BH402" s="612">
        <v>1</v>
      </c>
      <c r="BI402" s="602"/>
      <c r="BK402" s="627" t="s">
        <v>239</v>
      </c>
      <c r="BL402" s="628">
        <v>0.125</v>
      </c>
      <c r="BM402" s="602"/>
      <c r="BN402" s="627" t="s">
        <v>239</v>
      </c>
      <c r="BO402" s="628">
        <v>8</v>
      </c>
      <c r="BP402" s="602"/>
      <c r="BQ402" s="631" t="s">
        <v>239</v>
      </c>
      <c r="BR402" s="630">
        <v>0.115</v>
      </c>
      <c r="BS402" s="602"/>
      <c r="BT402" s="631" t="s">
        <v>242</v>
      </c>
      <c r="BU402" s="630">
        <v>5.8800000000000005E-2</v>
      </c>
      <c r="BW402" s="631" t="s">
        <v>222</v>
      </c>
      <c r="BX402" s="630">
        <v>10</v>
      </c>
      <c r="BZ402" s="631" t="s">
        <v>219</v>
      </c>
      <c r="CA402" s="630">
        <v>7.3499999999999996E-2</v>
      </c>
      <c r="CC402" s="631" t="s">
        <v>239</v>
      </c>
      <c r="CD402" s="630">
        <v>0.15</v>
      </c>
      <c r="CF402" s="631" t="s">
        <v>243</v>
      </c>
      <c r="CG402" s="630">
        <v>1</v>
      </c>
    </row>
    <row r="403" spans="1:85" s="601" customFormat="1" x14ac:dyDescent="0.3">
      <c r="A403" s="606"/>
      <c r="B403" s="596"/>
      <c r="C403" s="633"/>
      <c r="D403" s="634"/>
      <c r="E403" s="634"/>
      <c r="F403" s="635"/>
      <c r="G403" s="636"/>
      <c r="H403" s="637"/>
      <c r="I403" s="596"/>
      <c r="J403" s="637"/>
      <c r="K403" s="596"/>
      <c r="L403" s="638"/>
      <c r="M403" s="639"/>
      <c r="N403" s="638"/>
      <c r="O403" s="638"/>
      <c r="P403" s="637"/>
      <c r="Q403" s="596"/>
      <c r="R403" s="637"/>
      <c r="S403" s="596"/>
      <c r="T403" s="638"/>
      <c r="U403" s="639"/>
      <c r="V403" s="638"/>
      <c r="W403" s="638"/>
      <c r="X403" s="637"/>
      <c r="Y403" s="596"/>
      <c r="Z403" s="606"/>
      <c r="AA403" s="596"/>
      <c r="AB403" s="638"/>
      <c r="AC403" s="639"/>
      <c r="AD403" s="638"/>
      <c r="AE403" s="638"/>
      <c r="AF403" s="637"/>
      <c r="AG403" s="596"/>
      <c r="AH403" s="606"/>
      <c r="AI403" s="596"/>
      <c r="AJ403" s="638"/>
      <c r="AK403" s="639"/>
      <c r="AL403" s="638"/>
      <c r="AM403" s="638"/>
      <c r="AN403" s="637"/>
      <c r="AO403" s="596"/>
      <c r="AP403" s="606"/>
      <c r="AQ403" s="606"/>
      <c r="AR403" s="636"/>
      <c r="AS403" s="636"/>
      <c r="AT403" s="636"/>
      <c r="AU403" s="636"/>
      <c r="AV403" s="636"/>
      <c r="AW403" s="636"/>
      <c r="AX403" s="636"/>
      <c r="AY403" s="595"/>
      <c r="AZ403" s="609" t="s">
        <v>239</v>
      </c>
      <c r="BA403" s="610">
        <v>0.125</v>
      </c>
      <c r="BB403" s="602">
        <v>8</v>
      </c>
      <c r="BC403" s="611">
        <v>0.115</v>
      </c>
      <c r="BD403" s="602">
        <v>8</v>
      </c>
      <c r="BE403" s="611">
        <v>0.15</v>
      </c>
      <c r="BF403" s="611">
        <f t="shared" si="286"/>
        <v>5.2499999999999998E-2</v>
      </c>
      <c r="BG403" s="611">
        <f t="shared" si="287"/>
        <v>5.2499999999999998E-2</v>
      </c>
      <c r="BH403" s="612">
        <v>1</v>
      </c>
      <c r="BI403" s="602"/>
      <c r="BK403" s="627" t="s">
        <v>242</v>
      </c>
      <c r="BL403" s="628">
        <v>0.14000000000000001</v>
      </c>
      <c r="BM403" s="602"/>
      <c r="BN403" s="627" t="s">
        <v>242</v>
      </c>
      <c r="BO403" s="628">
        <v>10</v>
      </c>
      <c r="BQ403" s="631" t="s">
        <v>242</v>
      </c>
      <c r="BR403" s="630">
        <v>0.1</v>
      </c>
      <c r="BS403" s="602"/>
      <c r="BT403" s="631" t="s">
        <v>245</v>
      </c>
      <c r="BU403" s="630">
        <v>5.8800000000000005E-2</v>
      </c>
      <c r="BW403" s="631" t="s">
        <v>225</v>
      </c>
      <c r="BX403" s="630">
        <v>10</v>
      </c>
      <c r="BZ403" s="631" t="s">
        <v>222</v>
      </c>
      <c r="CA403" s="630">
        <v>7.3499999999999996E-2</v>
      </c>
      <c r="CC403" s="631" t="s">
        <v>242</v>
      </c>
      <c r="CD403" s="630">
        <v>0.15</v>
      </c>
      <c r="CF403" s="631" t="s">
        <v>219</v>
      </c>
      <c r="CG403" s="630">
        <v>1</v>
      </c>
    </row>
    <row r="404" spans="1:85" s="601" customFormat="1" x14ac:dyDescent="0.3">
      <c r="A404" s="606" t="s">
        <v>218</v>
      </c>
      <c r="B404" s="596">
        <v>1</v>
      </c>
      <c r="C404" s="633" t="s">
        <v>422</v>
      </c>
      <c r="D404" s="634">
        <v>4.8280000000000003</v>
      </c>
      <c r="E404" s="634">
        <v>4.2300000000000004</v>
      </c>
      <c r="F404" s="635">
        <v>0.16500000000000001</v>
      </c>
      <c r="G404" s="636">
        <f>D404*E404*F404*B404</f>
        <v>3.3697026000000005</v>
      </c>
      <c r="H404" s="637">
        <f t="shared" ref="H404" si="288">D404*E404*B404</f>
        <v>20.422440000000002</v>
      </c>
      <c r="I404" s="596" t="e">
        <f>GETPIVOTDATA(#REF!,A404)</f>
        <v>#REF!</v>
      </c>
      <c r="J404" s="637" t="e">
        <f>GETPIVOTDATA(#REF!,A404)*2</f>
        <v>#REF!</v>
      </c>
      <c r="K404" s="596" t="e">
        <f>(ROUND(E404/J404,0)+1)*GETPIVOTDATA(#REF!,A404)</f>
        <v>#REF!</v>
      </c>
      <c r="L404" s="638" t="e">
        <f>GETPIVOTDATA(#REF!,A404)</f>
        <v>#REF!</v>
      </c>
      <c r="M404" s="639">
        <f>0.3*2</f>
        <v>0.6</v>
      </c>
      <c r="N404" s="638">
        <f t="shared" si="271"/>
        <v>-0.04</v>
      </c>
      <c r="O404" s="638">
        <f>1.125*0.3</f>
        <v>0.33749999999999997</v>
      </c>
      <c r="P404" s="637" t="e">
        <f t="shared" si="272"/>
        <v>#REF!</v>
      </c>
      <c r="Q404" s="596" t="e">
        <f>GETPIVOTDATA(#REF!,A404)</f>
        <v>#REF!</v>
      </c>
      <c r="R404" s="637" t="e">
        <f>GETPIVOTDATA(#REF!,A404)*2</f>
        <v>#REF!</v>
      </c>
      <c r="S404" s="596" t="e">
        <f>(ROUND(E404/R404,0))*GETPIVOTDATA(#REF!,A404)</f>
        <v>#REF!</v>
      </c>
      <c r="T404" s="638" t="e">
        <f>GETPIVOTDATA(#REF!,A404)</f>
        <v>#REF!</v>
      </c>
      <c r="U404" s="639">
        <f>0.3*2</f>
        <v>0.6</v>
      </c>
      <c r="V404" s="638">
        <f t="shared" si="273"/>
        <v>-0.04</v>
      </c>
      <c r="W404" s="638">
        <f>5.4*0.3</f>
        <v>1.62</v>
      </c>
      <c r="X404" s="637" t="e">
        <f t="shared" si="274"/>
        <v>#REF!</v>
      </c>
      <c r="Y404" s="596" t="e">
        <f>GETPIVOTDATA(#REF!,A404)</f>
        <v>#REF!</v>
      </c>
      <c r="Z404" s="606" t="e">
        <f>GETPIVOTDATA(#REF!,A404)*2</f>
        <v>#REF!</v>
      </c>
      <c r="AA404" s="596" t="e">
        <f>(ROUND(D404/Z404,0)+1)*GETPIVOTDATA(#REF!,A404)</f>
        <v>#REF!</v>
      </c>
      <c r="AB404" s="638" t="e">
        <f>GETPIVOTDATA(#REF!,A404)</f>
        <v>#REF!</v>
      </c>
      <c r="AC404" s="639">
        <f>0.3*2</f>
        <v>0.6</v>
      </c>
      <c r="AD404" s="638">
        <f t="shared" si="275"/>
        <v>-0.04</v>
      </c>
      <c r="AE404" s="638">
        <f>4.85*0.3</f>
        <v>1.4549999999999998</v>
      </c>
      <c r="AF404" s="637" t="e">
        <f t="shared" si="276"/>
        <v>#REF!</v>
      </c>
      <c r="AG404" s="596" t="e">
        <f>GETPIVOTDATA(#REF!,A404)</f>
        <v>#REF!</v>
      </c>
      <c r="AH404" s="606" t="e">
        <f>GETPIVOTDATA(#REF!,A404)*2</f>
        <v>#REF!</v>
      </c>
      <c r="AI404" s="596" t="e">
        <f>(ROUND(D404/AH404,0))*GETPIVOTDATA(#REF!,A404)</f>
        <v>#REF!</v>
      </c>
      <c r="AJ404" s="638" t="e">
        <f>GETPIVOTDATA(#REF!,A404)</f>
        <v>#REF!</v>
      </c>
      <c r="AK404" s="639">
        <f>0.3*2</f>
        <v>0.6</v>
      </c>
      <c r="AL404" s="638">
        <f t="shared" si="277"/>
        <v>-0.04</v>
      </c>
      <c r="AM404" s="638">
        <f>5.96*0.3</f>
        <v>1.788</v>
      </c>
      <c r="AN404" s="637" t="e">
        <f t="shared" si="278"/>
        <v>#REF!</v>
      </c>
      <c r="AO404" s="596">
        <v>0</v>
      </c>
      <c r="AP404" s="606">
        <f t="shared" si="268"/>
        <v>12</v>
      </c>
      <c r="AQ404" s="606">
        <v>1.5</v>
      </c>
      <c r="AR404" s="636" t="e">
        <f t="shared" ref="AR404:AR432" si="289">IF(I404=8,K404*P404*B404,0)+IF(Q404=8,S404*X404*B404,0)</f>
        <v>#REF!</v>
      </c>
      <c r="AS404" s="636" t="e">
        <f t="shared" ref="AS404:AS432" si="290">IF(I404=10,K404*P404*B404,0)+IF(Q404=10,S404*X404*B404,0)</f>
        <v>#REF!</v>
      </c>
      <c r="AT404" s="636" t="e">
        <f t="shared" ref="AT404:AT432" si="291">IF(I404=12,K404*P404*B404,0)+IF(Q404=12,S404*X404*B404,0)</f>
        <v>#REF!</v>
      </c>
      <c r="AU404" s="636" t="e">
        <f t="shared" ref="AU404:AU432" si="292">IF(AG404=8,AI404*AN404*B404,0)+IF(Y404=8,B404*AA404*AF404,0)</f>
        <v>#REF!</v>
      </c>
      <c r="AV404" s="636" t="e">
        <f t="shared" ref="AV404:AV432" si="293">IF(AG404=10,AI404*AN404*B404,0)+IF(Y404=10,B404*AA404*AF404,0)</f>
        <v>#REF!</v>
      </c>
      <c r="AW404" s="636" t="e">
        <f t="shared" si="282"/>
        <v>#REF!</v>
      </c>
      <c r="AX404" s="636">
        <f t="shared" si="283"/>
        <v>18</v>
      </c>
      <c r="AY404" s="595"/>
      <c r="AZ404" s="609" t="s">
        <v>242</v>
      </c>
      <c r="BA404" s="610">
        <v>0.14000000000000001</v>
      </c>
      <c r="BB404" s="602">
        <v>10</v>
      </c>
      <c r="BC404" s="611">
        <v>0.1</v>
      </c>
      <c r="BD404" s="602">
        <v>8</v>
      </c>
      <c r="BE404" s="611">
        <v>0.15</v>
      </c>
      <c r="BF404" s="611">
        <f t="shared" si="286"/>
        <v>5.8800000000000005E-2</v>
      </c>
      <c r="BG404" s="611">
        <f t="shared" si="287"/>
        <v>5.8800000000000005E-2</v>
      </c>
      <c r="BH404" s="612">
        <v>1</v>
      </c>
      <c r="BI404" s="602"/>
      <c r="BK404" s="627" t="s">
        <v>245</v>
      </c>
      <c r="BL404" s="628">
        <v>0.14000000000000001</v>
      </c>
      <c r="BM404" s="602"/>
      <c r="BN404" s="627" t="s">
        <v>245</v>
      </c>
      <c r="BO404" s="628">
        <v>10</v>
      </c>
      <c r="BQ404" s="631" t="s">
        <v>245</v>
      </c>
      <c r="BR404" s="630">
        <v>0.1</v>
      </c>
      <c r="BS404" s="602"/>
      <c r="BT404" s="631" t="s">
        <v>223</v>
      </c>
      <c r="BU404" s="630">
        <v>5.4600000000000003E-2</v>
      </c>
      <c r="BW404" s="631" t="s">
        <v>229</v>
      </c>
      <c r="BX404" s="630">
        <v>8</v>
      </c>
      <c r="BZ404" s="631" t="s">
        <v>225</v>
      </c>
      <c r="CA404" s="630">
        <v>7.3499999999999996E-2</v>
      </c>
      <c r="CC404" s="631" t="s">
        <v>245</v>
      </c>
      <c r="CD404" s="630">
        <v>0.12</v>
      </c>
      <c r="CF404" s="631" t="s">
        <v>222</v>
      </c>
      <c r="CG404" s="630">
        <v>1</v>
      </c>
    </row>
    <row r="405" spans="1:85" s="601" customFormat="1" x14ac:dyDescent="0.3">
      <c r="A405" s="606"/>
      <c r="B405" s="596"/>
      <c r="C405" s="633"/>
      <c r="D405" s="634"/>
      <c r="E405" s="634"/>
      <c r="F405" s="635"/>
      <c r="G405" s="636"/>
      <c r="H405" s="637"/>
      <c r="I405" s="596"/>
      <c r="J405" s="637"/>
      <c r="K405" s="596"/>
      <c r="L405" s="638"/>
      <c r="M405" s="639"/>
      <c r="N405" s="638"/>
      <c r="O405" s="638"/>
      <c r="P405" s="637"/>
      <c r="Q405" s="596"/>
      <c r="R405" s="637"/>
      <c r="S405" s="596"/>
      <c r="T405" s="638"/>
      <c r="U405" s="639"/>
      <c r="V405" s="638"/>
      <c r="W405" s="638"/>
      <c r="X405" s="637"/>
      <c r="Y405" s="596"/>
      <c r="Z405" s="606"/>
      <c r="AA405" s="596"/>
      <c r="AB405" s="638"/>
      <c r="AC405" s="639"/>
      <c r="AD405" s="638"/>
      <c r="AE405" s="638"/>
      <c r="AF405" s="637"/>
      <c r="AG405" s="596"/>
      <c r="AH405" s="606"/>
      <c r="AI405" s="596"/>
      <c r="AJ405" s="638"/>
      <c r="AK405" s="639"/>
      <c r="AL405" s="638"/>
      <c r="AM405" s="638"/>
      <c r="AN405" s="637"/>
      <c r="AO405" s="596"/>
      <c r="AP405" s="606"/>
      <c r="AQ405" s="606"/>
      <c r="AR405" s="636"/>
      <c r="AS405" s="636"/>
      <c r="AT405" s="636"/>
      <c r="AU405" s="636"/>
      <c r="AV405" s="636"/>
      <c r="AW405" s="636"/>
      <c r="AX405" s="636"/>
      <c r="AY405" s="595"/>
      <c r="AZ405" s="609" t="s">
        <v>245</v>
      </c>
      <c r="BA405" s="610">
        <v>0.14000000000000001</v>
      </c>
      <c r="BB405" s="602">
        <v>10</v>
      </c>
      <c r="BC405" s="611">
        <v>0.1</v>
      </c>
      <c r="BD405" s="602">
        <v>10</v>
      </c>
      <c r="BE405" s="602">
        <v>0.12</v>
      </c>
      <c r="BF405" s="611">
        <f t="shared" si="286"/>
        <v>5.8800000000000005E-2</v>
      </c>
      <c r="BG405" s="611">
        <f t="shared" si="287"/>
        <v>5.8800000000000005E-2</v>
      </c>
      <c r="BH405" s="612">
        <v>1</v>
      </c>
      <c r="BI405" s="602"/>
      <c r="BK405" s="627" t="s">
        <v>223</v>
      </c>
      <c r="BL405" s="628">
        <v>0.13</v>
      </c>
      <c r="BM405" s="602"/>
      <c r="BN405" s="627" t="s">
        <v>223</v>
      </c>
      <c r="BO405" s="628">
        <v>8</v>
      </c>
      <c r="BQ405" s="631" t="s">
        <v>223</v>
      </c>
      <c r="BR405" s="630">
        <v>0.1</v>
      </c>
      <c r="BS405" s="602"/>
      <c r="BT405" s="631" t="s">
        <v>226</v>
      </c>
      <c r="BU405" s="630">
        <v>4.8300000000000003E-2</v>
      </c>
      <c r="BW405" s="631" t="s">
        <v>232</v>
      </c>
      <c r="BX405" s="630">
        <v>8</v>
      </c>
      <c r="BZ405" s="631" t="s">
        <v>229</v>
      </c>
      <c r="CA405" s="630">
        <v>5.4600000000000003E-2</v>
      </c>
      <c r="CC405" s="631" t="s">
        <v>223</v>
      </c>
      <c r="CD405" s="630">
        <v>0.18</v>
      </c>
      <c r="CF405" s="631" t="s">
        <v>225</v>
      </c>
      <c r="CG405" s="630">
        <v>1</v>
      </c>
    </row>
    <row r="406" spans="1:85" s="601" customFormat="1" x14ac:dyDescent="0.3">
      <c r="A406" s="606"/>
      <c r="B406" s="596"/>
      <c r="C406" s="633"/>
      <c r="D406" s="634"/>
      <c r="E406" s="634"/>
      <c r="F406" s="635"/>
      <c r="G406" s="636"/>
      <c r="H406" s="637"/>
      <c r="I406" s="596"/>
      <c r="J406" s="637"/>
      <c r="K406" s="596"/>
      <c r="L406" s="638"/>
      <c r="M406" s="639"/>
      <c r="N406" s="638"/>
      <c r="O406" s="638"/>
      <c r="P406" s="637"/>
      <c r="Q406" s="596"/>
      <c r="R406" s="637"/>
      <c r="S406" s="596"/>
      <c r="T406" s="638"/>
      <c r="U406" s="639"/>
      <c r="V406" s="638"/>
      <c r="W406" s="638"/>
      <c r="X406" s="637"/>
      <c r="Y406" s="596"/>
      <c r="Z406" s="606"/>
      <c r="AA406" s="596"/>
      <c r="AB406" s="638"/>
      <c r="AC406" s="639"/>
      <c r="AD406" s="638"/>
      <c r="AE406" s="638"/>
      <c r="AF406" s="637"/>
      <c r="AG406" s="596"/>
      <c r="AH406" s="606"/>
      <c r="AI406" s="596"/>
      <c r="AJ406" s="638"/>
      <c r="AK406" s="639"/>
      <c r="AL406" s="638"/>
      <c r="AM406" s="638"/>
      <c r="AN406" s="637"/>
      <c r="AO406" s="596"/>
      <c r="AP406" s="606"/>
      <c r="AQ406" s="606"/>
      <c r="AR406" s="636"/>
      <c r="AS406" s="636"/>
      <c r="AT406" s="636"/>
      <c r="AU406" s="636"/>
      <c r="AV406" s="636"/>
      <c r="AW406" s="636"/>
      <c r="AX406" s="636"/>
      <c r="AY406" s="595"/>
      <c r="AZ406" s="609" t="s">
        <v>223</v>
      </c>
      <c r="BA406" s="610">
        <v>0.13</v>
      </c>
      <c r="BB406" s="602">
        <v>8</v>
      </c>
      <c r="BC406" s="611">
        <v>0.1</v>
      </c>
      <c r="BD406" s="602">
        <v>8</v>
      </c>
      <c r="BE406" s="602">
        <v>0.18</v>
      </c>
      <c r="BF406" s="611">
        <f t="shared" si="286"/>
        <v>5.4600000000000003E-2</v>
      </c>
      <c r="BG406" s="611">
        <f t="shared" si="287"/>
        <v>5.4600000000000003E-2</v>
      </c>
      <c r="BH406" s="612">
        <v>1</v>
      </c>
      <c r="BI406" s="602"/>
      <c r="BK406" s="627" t="s">
        <v>226</v>
      </c>
      <c r="BL406" s="628">
        <v>0.115</v>
      </c>
      <c r="BM406" s="602"/>
      <c r="BN406" s="627" t="s">
        <v>226</v>
      </c>
      <c r="BO406" s="628">
        <v>8</v>
      </c>
      <c r="BQ406" s="631" t="s">
        <v>226</v>
      </c>
      <c r="BR406" s="630">
        <v>0.125</v>
      </c>
      <c r="BS406" s="602"/>
      <c r="BT406" s="631" t="s">
        <v>227</v>
      </c>
      <c r="BU406" s="630">
        <v>5.2499999999999998E-2</v>
      </c>
      <c r="BW406" s="631" t="s">
        <v>239</v>
      </c>
      <c r="BX406" s="630">
        <v>8</v>
      </c>
      <c r="BZ406" s="631" t="s">
        <v>232</v>
      </c>
      <c r="CA406" s="630">
        <v>5.4600000000000003E-2</v>
      </c>
      <c r="CC406" s="631" t="s">
        <v>226</v>
      </c>
      <c r="CD406" s="630">
        <v>0.17499999999999999</v>
      </c>
      <c r="CF406" s="631" t="s">
        <v>229</v>
      </c>
      <c r="CG406" s="630">
        <v>1</v>
      </c>
    </row>
    <row r="407" spans="1:85" s="601" customFormat="1" x14ac:dyDescent="0.3">
      <c r="A407" s="606"/>
      <c r="B407" s="596"/>
      <c r="C407" s="633"/>
      <c r="D407" s="634"/>
      <c r="E407" s="634"/>
      <c r="F407" s="635"/>
      <c r="G407" s="636"/>
      <c r="H407" s="637"/>
      <c r="I407" s="596"/>
      <c r="J407" s="637"/>
      <c r="K407" s="596"/>
      <c r="L407" s="638"/>
      <c r="M407" s="639"/>
      <c r="N407" s="638"/>
      <c r="O407" s="638"/>
      <c r="P407" s="637"/>
      <c r="Q407" s="596"/>
      <c r="R407" s="637"/>
      <c r="S407" s="596"/>
      <c r="T407" s="638"/>
      <c r="U407" s="639"/>
      <c r="V407" s="638"/>
      <c r="W407" s="638"/>
      <c r="X407" s="637"/>
      <c r="Y407" s="596"/>
      <c r="Z407" s="606"/>
      <c r="AA407" s="596"/>
      <c r="AB407" s="638"/>
      <c r="AC407" s="639"/>
      <c r="AD407" s="638"/>
      <c r="AE407" s="638"/>
      <c r="AF407" s="637"/>
      <c r="AG407" s="596"/>
      <c r="AH407" s="606"/>
      <c r="AI407" s="596"/>
      <c r="AJ407" s="638"/>
      <c r="AK407" s="639"/>
      <c r="AL407" s="638"/>
      <c r="AM407" s="638"/>
      <c r="AN407" s="637"/>
      <c r="AO407" s="596"/>
      <c r="AP407" s="606"/>
      <c r="AQ407" s="606"/>
      <c r="AR407" s="636"/>
      <c r="AS407" s="636"/>
      <c r="AT407" s="636"/>
      <c r="AU407" s="636"/>
      <c r="AV407" s="636"/>
      <c r="AW407" s="636"/>
      <c r="AX407" s="636"/>
      <c r="AY407" s="595"/>
      <c r="AZ407" s="609" t="s">
        <v>226</v>
      </c>
      <c r="BA407" s="610">
        <v>0.115</v>
      </c>
      <c r="BB407" s="602">
        <v>8</v>
      </c>
      <c r="BC407" s="602">
        <v>0.125</v>
      </c>
      <c r="BD407" s="602">
        <v>8</v>
      </c>
      <c r="BE407" s="602">
        <v>0.17499999999999999</v>
      </c>
      <c r="BF407" s="611">
        <f t="shared" si="286"/>
        <v>4.8300000000000003E-2</v>
      </c>
      <c r="BG407" s="611"/>
      <c r="BH407" s="612">
        <v>1</v>
      </c>
      <c r="BI407" s="602"/>
      <c r="BK407" s="627" t="s">
        <v>227</v>
      </c>
      <c r="BL407" s="628">
        <v>0.125</v>
      </c>
      <c r="BM407" s="602"/>
      <c r="BN407" s="627" t="s">
        <v>227</v>
      </c>
      <c r="BO407" s="628">
        <v>8</v>
      </c>
      <c r="BQ407" s="631" t="s">
        <v>227</v>
      </c>
      <c r="BR407" s="630">
        <v>0.1</v>
      </c>
      <c r="BS407" s="602"/>
      <c r="BT407" s="631" t="s">
        <v>233</v>
      </c>
      <c r="BU407" s="630">
        <v>6.3E-2</v>
      </c>
      <c r="BW407" s="631" t="s">
        <v>242</v>
      </c>
      <c r="BX407" s="630">
        <v>8</v>
      </c>
      <c r="BZ407" s="631" t="s">
        <v>239</v>
      </c>
      <c r="CA407" s="630">
        <v>5.2499999999999998E-2</v>
      </c>
      <c r="CC407" s="631" t="s">
        <v>227</v>
      </c>
      <c r="CD407" s="630">
        <v>0.1</v>
      </c>
      <c r="CF407" s="631" t="s">
        <v>232</v>
      </c>
      <c r="CG407" s="630">
        <v>1</v>
      </c>
    </row>
    <row r="408" spans="1:85" s="601" customFormat="1" x14ac:dyDescent="0.3">
      <c r="A408" s="606"/>
      <c r="B408" s="596"/>
      <c r="C408" s="633"/>
      <c r="D408" s="634"/>
      <c r="E408" s="634"/>
      <c r="F408" s="635"/>
      <c r="G408" s="636"/>
      <c r="H408" s="637"/>
      <c r="I408" s="596"/>
      <c r="J408" s="637"/>
      <c r="K408" s="596"/>
      <c r="L408" s="638"/>
      <c r="M408" s="639"/>
      <c r="N408" s="638"/>
      <c r="O408" s="638"/>
      <c r="P408" s="637"/>
      <c r="Q408" s="596"/>
      <c r="R408" s="637"/>
      <c r="S408" s="596"/>
      <c r="T408" s="638"/>
      <c r="U408" s="639"/>
      <c r="V408" s="638"/>
      <c r="W408" s="638"/>
      <c r="X408" s="637"/>
      <c r="Y408" s="596"/>
      <c r="Z408" s="606"/>
      <c r="AA408" s="596"/>
      <c r="AB408" s="638"/>
      <c r="AC408" s="639"/>
      <c r="AD408" s="638"/>
      <c r="AE408" s="638"/>
      <c r="AF408" s="637"/>
      <c r="AG408" s="596"/>
      <c r="AH408" s="606"/>
      <c r="AI408" s="596"/>
      <c r="AJ408" s="638"/>
      <c r="AK408" s="639"/>
      <c r="AL408" s="638"/>
      <c r="AM408" s="638"/>
      <c r="AN408" s="637"/>
      <c r="AO408" s="596"/>
      <c r="AP408" s="606"/>
      <c r="AQ408" s="606"/>
      <c r="AR408" s="636"/>
      <c r="AS408" s="636"/>
      <c r="AT408" s="636"/>
      <c r="AU408" s="636"/>
      <c r="AV408" s="636"/>
      <c r="AW408" s="636"/>
      <c r="AX408" s="636"/>
      <c r="AY408" s="595"/>
      <c r="AZ408" s="609" t="s">
        <v>227</v>
      </c>
      <c r="BA408" s="610">
        <v>0.125</v>
      </c>
      <c r="BB408" s="602">
        <v>8</v>
      </c>
      <c r="BC408" s="602">
        <v>0.1</v>
      </c>
      <c r="BD408" s="602">
        <v>8</v>
      </c>
      <c r="BE408" s="602">
        <v>0.1</v>
      </c>
      <c r="BF408" s="611">
        <f t="shared" si="286"/>
        <v>5.2499999999999998E-2</v>
      </c>
      <c r="BG408" s="611">
        <f t="shared" ref="BG408:BG410" si="294">BA408*0.42</f>
        <v>5.2499999999999998E-2</v>
      </c>
      <c r="BH408" s="612">
        <v>1</v>
      </c>
      <c r="BI408" s="602"/>
      <c r="BK408" s="640" t="s">
        <v>233</v>
      </c>
      <c r="BL408" s="641">
        <v>0.15</v>
      </c>
      <c r="BM408" s="602"/>
      <c r="BN408" s="640" t="s">
        <v>233</v>
      </c>
      <c r="BO408" s="641">
        <v>10</v>
      </c>
      <c r="BQ408" s="642" t="s">
        <v>233</v>
      </c>
      <c r="BR408" s="643">
        <v>8.5000000000000006E-2</v>
      </c>
      <c r="BT408" s="642" t="s">
        <v>230</v>
      </c>
      <c r="BU408" s="643">
        <v>6.93E-2</v>
      </c>
      <c r="BW408" s="642" t="s">
        <v>245</v>
      </c>
      <c r="BX408" s="643">
        <v>10</v>
      </c>
      <c r="BZ408" s="631" t="s">
        <v>242</v>
      </c>
      <c r="CA408" s="630">
        <v>5.8800000000000005E-2</v>
      </c>
      <c r="CC408" s="642" t="s">
        <v>233</v>
      </c>
      <c r="CD408" s="643">
        <v>0.125</v>
      </c>
      <c r="CF408" s="642" t="s">
        <v>239</v>
      </c>
      <c r="CG408" s="643">
        <v>1</v>
      </c>
    </row>
    <row r="409" spans="1:85" s="601" customFormat="1" x14ac:dyDescent="0.3">
      <c r="A409" s="606"/>
      <c r="B409" s="596"/>
      <c r="C409" s="633"/>
      <c r="D409" s="634"/>
      <c r="E409" s="634"/>
      <c r="F409" s="635"/>
      <c r="G409" s="636"/>
      <c r="H409" s="637"/>
      <c r="I409" s="596"/>
      <c r="J409" s="637"/>
      <c r="K409" s="596"/>
      <c r="L409" s="638"/>
      <c r="M409" s="639"/>
      <c r="N409" s="638"/>
      <c r="O409" s="638"/>
      <c r="P409" s="637"/>
      <c r="Q409" s="596"/>
      <c r="R409" s="637"/>
      <c r="S409" s="596"/>
      <c r="T409" s="638"/>
      <c r="U409" s="639"/>
      <c r="V409" s="638"/>
      <c r="W409" s="638"/>
      <c r="X409" s="637"/>
      <c r="Y409" s="596"/>
      <c r="Z409" s="606"/>
      <c r="AA409" s="596"/>
      <c r="AB409" s="638"/>
      <c r="AC409" s="639"/>
      <c r="AD409" s="638"/>
      <c r="AE409" s="638"/>
      <c r="AF409" s="637"/>
      <c r="AG409" s="596"/>
      <c r="AH409" s="606"/>
      <c r="AI409" s="596"/>
      <c r="AJ409" s="638"/>
      <c r="AK409" s="639"/>
      <c r="AL409" s="638"/>
      <c r="AM409" s="638"/>
      <c r="AN409" s="637"/>
      <c r="AO409" s="596"/>
      <c r="AP409" s="606"/>
      <c r="AQ409" s="606"/>
      <c r="AR409" s="636"/>
      <c r="AS409" s="636"/>
      <c r="AT409" s="636"/>
      <c r="AU409" s="636"/>
      <c r="AV409" s="636"/>
      <c r="AW409" s="636"/>
      <c r="AX409" s="636"/>
      <c r="AY409" s="595"/>
      <c r="AZ409" s="609" t="s">
        <v>233</v>
      </c>
      <c r="BA409" s="610">
        <v>0.15</v>
      </c>
      <c r="BB409" s="602">
        <v>10</v>
      </c>
      <c r="BC409" s="602">
        <v>8.5000000000000006E-2</v>
      </c>
      <c r="BD409" s="602">
        <v>10</v>
      </c>
      <c r="BE409" s="602">
        <v>0.125</v>
      </c>
      <c r="BF409" s="611">
        <f t="shared" si="286"/>
        <v>6.3E-2</v>
      </c>
      <c r="BG409" s="611">
        <f t="shared" si="294"/>
        <v>6.3E-2</v>
      </c>
      <c r="BH409" s="612">
        <v>1</v>
      </c>
      <c r="BI409" s="602"/>
      <c r="BK409" s="627" t="s">
        <v>230</v>
      </c>
      <c r="BL409" s="628">
        <v>0.16500000000000001</v>
      </c>
      <c r="BM409" s="602"/>
      <c r="BN409" s="627" t="s">
        <v>230</v>
      </c>
      <c r="BO409" s="628">
        <v>10</v>
      </c>
      <c r="BQ409" s="631" t="s">
        <v>230</v>
      </c>
      <c r="BR409" s="630">
        <v>0.115</v>
      </c>
      <c r="BT409" s="631" t="s">
        <v>234</v>
      </c>
      <c r="BU409" s="630">
        <v>6.3E-2</v>
      </c>
      <c r="BW409" s="631" t="s">
        <v>238</v>
      </c>
      <c r="BX409" s="630"/>
      <c r="BZ409" s="631" t="s">
        <v>245</v>
      </c>
      <c r="CA409" s="630">
        <v>5.8800000000000005E-2</v>
      </c>
      <c r="CC409" s="631" t="s">
        <v>230</v>
      </c>
      <c r="CD409" s="630">
        <v>0.115</v>
      </c>
      <c r="CF409" s="631" t="s">
        <v>242</v>
      </c>
      <c r="CG409" s="630">
        <v>1</v>
      </c>
    </row>
    <row r="410" spans="1:85" s="601" customFormat="1" x14ac:dyDescent="0.3">
      <c r="A410" s="606"/>
      <c r="B410" s="596"/>
      <c r="C410" s="633"/>
      <c r="D410" s="634"/>
      <c r="E410" s="634"/>
      <c r="F410" s="635"/>
      <c r="G410" s="636"/>
      <c r="H410" s="637"/>
      <c r="I410" s="596"/>
      <c r="J410" s="637"/>
      <c r="K410" s="596"/>
      <c r="L410" s="638"/>
      <c r="M410" s="639"/>
      <c r="N410" s="638"/>
      <c r="O410" s="638"/>
      <c r="P410" s="637"/>
      <c r="Q410" s="596"/>
      <c r="R410" s="637"/>
      <c r="S410" s="596"/>
      <c r="T410" s="638"/>
      <c r="U410" s="639"/>
      <c r="V410" s="638"/>
      <c r="W410" s="638"/>
      <c r="X410" s="637"/>
      <c r="Y410" s="596"/>
      <c r="Z410" s="606"/>
      <c r="AA410" s="596"/>
      <c r="AB410" s="638"/>
      <c r="AC410" s="639"/>
      <c r="AD410" s="638"/>
      <c r="AE410" s="638"/>
      <c r="AF410" s="637"/>
      <c r="AG410" s="596"/>
      <c r="AH410" s="606"/>
      <c r="AI410" s="596"/>
      <c r="AJ410" s="638"/>
      <c r="AK410" s="639"/>
      <c r="AL410" s="638"/>
      <c r="AM410" s="638"/>
      <c r="AN410" s="637"/>
      <c r="AO410" s="596"/>
      <c r="AP410" s="606"/>
      <c r="AQ410" s="606"/>
      <c r="AR410" s="636"/>
      <c r="AS410" s="636"/>
      <c r="AT410" s="636"/>
      <c r="AU410" s="636"/>
      <c r="AV410" s="636"/>
      <c r="AW410" s="636"/>
      <c r="AX410" s="636"/>
      <c r="AY410" s="595"/>
      <c r="AZ410" s="609" t="s">
        <v>230</v>
      </c>
      <c r="BA410" s="644">
        <v>0.16500000000000001</v>
      </c>
      <c r="BB410" s="602">
        <v>10</v>
      </c>
      <c r="BC410" s="602">
        <v>0.115</v>
      </c>
      <c r="BD410" s="602">
        <v>8</v>
      </c>
      <c r="BE410" s="602">
        <v>0.115</v>
      </c>
      <c r="BF410" s="611">
        <f t="shared" si="286"/>
        <v>6.93E-2</v>
      </c>
      <c r="BG410" s="611">
        <f t="shared" si="294"/>
        <v>6.93E-2</v>
      </c>
      <c r="BH410" s="612">
        <v>1</v>
      </c>
      <c r="BI410" s="602"/>
      <c r="BK410" s="627" t="s">
        <v>234</v>
      </c>
      <c r="BL410" s="628">
        <v>0.15</v>
      </c>
      <c r="BM410" s="602"/>
      <c r="BN410" s="627" t="s">
        <v>234</v>
      </c>
      <c r="BO410" s="628">
        <v>12</v>
      </c>
      <c r="BQ410" s="631" t="s">
        <v>234</v>
      </c>
      <c r="BR410" s="630">
        <v>0.1</v>
      </c>
      <c r="BT410" s="631" t="s">
        <v>243</v>
      </c>
      <c r="BU410" s="630">
        <v>6.3E-2</v>
      </c>
      <c r="BW410" s="631" t="s">
        <v>234</v>
      </c>
      <c r="BX410" s="630">
        <v>8</v>
      </c>
      <c r="BZ410" s="642" t="s">
        <v>226</v>
      </c>
      <c r="CA410" s="643"/>
      <c r="CC410" s="631" t="s">
        <v>234</v>
      </c>
      <c r="CD410" s="630">
        <v>0.15</v>
      </c>
      <c r="CF410" s="631" t="s">
        <v>245</v>
      </c>
      <c r="CG410" s="630">
        <v>1</v>
      </c>
    </row>
    <row r="411" spans="1:85" s="602" customFormat="1" x14ac:dyDescent="0.3">
      <c r="A411" s="606"/>
      <c r="B411" s="596"/>
      <c r="C411" s="633"/>
      <c r="D411" s="634"/>
      <c r="E411" s="634"/>
      <c r="F411" s="635"/>
      <c r="G411" s="636"/>
      <c r="H411" s="637"/>
      <c r="I411" s="596"/>
      <c r="J411" s="637"/>
      <c r="K411" s="596"/>
      <c r="L411" s="638"/>
      <c r="M411" s="639"/>
      <c r="N411" s="638"/>
      <c r="O411" s="638"/>
      <c r="P411" s="637"/>
      <c r="Q411" s="596"/>
      <c r="R411" s="637"/>
      <c r="S411" s="596"/>
      <c r="T411" s="638"/>
      <c r="U411" s="639"/>
      <c r="V411" s="638"/>
      <c r="W411" s="638"/>
      <c r="X411" s="637"/>
      <c r="Y411" s="596"/>
      <c r="Z411" s="606"/>
      <c r="AA411" s="596"/>
      <c r="AB411" s="638"/>
      <c r="AC411" s="639"/>
      <c r="AD411" s="638"/>
      <c r="AE411" s="638"/>
      <c r="AF411" s="637"/>
      <c r="AG411" s="596"/>
      <c r="AH411" s="606"/>
      <c r="AI411" s="596"/>
      <c r="AJ411" s="638"/>
      <c r="AK411" s="639"/>
      <c r="AL411" s="638"/>
      <c r="AM411" s="638"/>
      <c r="AN411" s="637"/>
      <c r="AO411" s="596"/>
      <c r="AP411" s="606"/>
      <c r="AQ411" s="606"/>
      <c r="AR411" s="636"/>
      <c r="AS411" s="636"/>
      <c r="AT411" s="636"/>
      <c r="AU411" s="636"/>
      <c r="AV411" s="636"/>
      <c r="AW411" s="636"/>
      <c r="AX411" s="636"/>
      <c r="AY411" s="595"/>
      <c r="AZ411" s="609" t="s">
        <v>234</v>
      </c>
      <c r="BA411" s="644">
        <v>0.15</v>
      </c>
      <c r="BB411" s="602">
        <v>12</v>
      </c>
      <c r="BC411" s="602">
        <v>0.1</v>
      </c>
      <c r="BD411" s="602">
        <v>8</v>
      </c>
      <c r="BE411" s="602">
        <v>0.15</v>
      </c>
      <c r="BF411" s="611">
        <f t="shared" si="286"/>
        <v>6.3E-2</v>
      </c>
      <c r="BG411" s="611"/>
      <c r="BH411" s="612">
        <v>1</v>
      </c>
      <c r="BK411" s="627" t="s">
        <v>243</v>
      </c>
      <c r="BL411" s="628">
        <v>0.15</v>
      </c>
      <c r="BN411" s="627" t="s">
        <v>243</v>
      </c>
      <c r="BO411" s="628">
        <v>10</v>
      </c>
      <c r="BQ411" s="645" t="s">
        <v>243</v>
      </c>
      <c r="BR411" s="646">
        <v>0.1</v>
      </c>
      <c r="BT411" s="631" t="s">
        <v>254</v>
      </c>
      <c r="BU411" s="630">
        <v>6.3E-2</v>
      </c>
      <c r="BW411" s="645" t="s">
        <v>243</v>
      </c>
      <c r="BX411" s="646">
        <v>8</v>
      </c>
      <c r="BZ411" s="631" t="s">
        <v>233</v>
      </c>
      <c r="CA411" s="630">
        <v>6.3E-2</v>
      </c>
      <c r="CC411" s="645" t="s">
        <v>243</v>
      </c>
      <c r="CD411" s="646">
        <v>0.12</v>
      </c>
      <c r="CF411" s="645" t="s">
        <v>238</v>
      </c>
      <c r="CG411" s="646"/>
    </row>
    <row r="412" spans="1:85" s="602" customFormat="1" x14ac:dyDescent="0.3">
      <c r="A412" s="606"/>
      <c r="B412" s="596"/>
      <c r="C412" s="633"/>
      <c r="D412" s="634"/>
      <c r="E412" s="634"/>
      <c r="F412" s="635"/>
      <c r="G412" s="636"/>
      <c r="H412" s="637"/>
      <c r="I412" s="596"/>
      <c r="J412" s="637"/>
      <c r="K412" s="596"/>
      <c r="L412" s="638"/>
      <c r="M412" s="639"/>
      <c r="N412" s="638"/>
      <c r="O412" s="638"/>
      <c r="P412" s="637"/>
      <c r="Q412" s="596"/>
      <c r="R412" s="637"/>
      <c r="S412" s="596"/>
      <c r="T412" s="638"/>
      <c r="U412" s="639"/>
      <c r="V412" s="638"/>
      <c r="W412" s="638"/>
      <c r="X412" s="637"/>
      <c r="Y412" s="596"/>
      <c r="Z412" s="606"/>
      <c r="AA412" s="596"/>
      <c r="AB412" s="638"/>
      <c r="AC412" s="639"/>
      <c r="AD412" s="638"/>
      <c r="AE412" s="638"/>
      <c r="AF412" s="637"/>
      <c r="AG412" s="596"/>
      <c r="AH412" s="606"/>
      <c r="AI412" s="596"/>
      <c r="AJ412" s="638"/>
      <c r="AK412" s="639"/>
      <c r="AL412" s="638"/>
      <c r="AM412" s="638"/>
      <c r="AN412" s="637"/>
      <c r="AO412" s="596"/>
      <c r="AP412" s="606"/>
      <c r="AQ412" s="606"/>
      <c r="AR412" s="636"/>
      <c r="AS412" s="636"/>
      <c r="AT412" s="636"/>
      <c r="AU412" s="636"/>
      <c r="AV412" s="636"/>
      <c r="AW412" s="636"/>
      <c r="AX412" s="636"/>
      <c r="AY412" s="595"/>
      <c r="AZ412" s="609" t="s">
        <v>243</v>
      </c>
      <c r="BA412" s="644">
        <v>0.15</v>
      </c>
      <c r="BB412" s="602">
        <v>10</v>
      </c>
      <c r="BC412" s="602">
        <v>0.1</v>
      </c>
      <c r="BD412" s="602">
        <v>8</v>
      </c>
      <c r="BE412" s="602">
        <v>0.12</v>
      </c>
      <c r="BF412" s="611">
        <f t="shared" si="286"/>
        <v>6.3E-2</v>
      </c>
      <c r="BG412" s="611">
        <f t="shared" ref="BG412:BG416" si="295">BA412*0.42</f>
        <v>6.3E-2</v>
      </c>
      <c r="BH412" s="612">
        <v>1</v>
      </c>
      <c r="BK412" s="627" t="s">
        <v>254</v>
      </c>
      <c r="BL412" s="628">
        <v>0.15</v>
      </c>
      <c r="BN412" s="627" t="s">
        <v>254</v>
      </c>
      <c r="BO412" s="628">
        <v>10</v>
      </c>
      <c r="BQ412" s="631" t="s">
        <v>254</v>
      </c>
      <c r="BR412" s="630">
        <v>0.09</v>
      </c>
      <c r="BT412" s="631" t="s">
        <v>236</v>
      </c>
      <c r="BU412" s="630">
        <v>6.93E-2</v>
      </c>
      <c r="BW412" s="631" t="s">
        <v>254</v>
      </c>
      <c r="BX412" s="630">
        <v>8</v>
      </c>
      <c r="BZ412" s="631" t="s">
        <v>243</v>
      </c>
      <c r="CA412" s="630">
        <v>6.3E-2</v>
      </c>
      <c r="CC412" s="631" t="s">
        <v>254</v>
      </c>
      <c r="CD412" s="630">
        <v>0.1</v>
      </c>
      <c r="CF412" s="631" t="s">
        <v>254</v>
      </c>
      <c r="CG412" s="630">
        <v>1</v>
      </c>
    </row>
    <row r="413" spans="1:85" s="602" customFormat="1" x14ac:dyDescent="0.3">
      <c r="A413" s="606"/>
      <c r="B413" s="596"/>
      <c r="C413" s="633"/>
      <c r="D413" s="634"/>
      <c r="E413" s="634"/>
      <c r="F413" s="635"/>
      <c r="G413" s="636"/>
      <c r="H413" s="637"/>
      <c r="I413" s="596"/>
      <c r="J413" s="637"/>
      <c r="K413" s="596"/>
      <c r="L413" s="638"/>
      <c r="M413" s="639"/>
      <c r="N413" s="638"/>
      <c r="O413" s="639"/>
      <c r="P413" s="637"/>
      <c r="Q413" s="596"/>
      <c r="R413" s="637"/>
      <c r="S413" s="596"/>
      <c r="T413" s="638"/>
      <c r="U413" s="639"/>
      <c r="V413" s="638"/>
      <c r="W413" s="638"/>
      <c r="X413" s="637"/>
      <c r="Y413" s="596"/>
      <c r="Z413" s="606"/>
      <c r="AA413" s="596"/>
      <c r="AB413" s="638"/>
      <c r="AC413" s="639"/>
      <c r="AD413" s="638"/>
      <c r="AE413" s="638"/>
      <c r="AF413" s="637"/>
      <c r="AG413" s="596"/>
      <c r="AH413" s="606"/>
      <c r="AI413" s="596"/>
      <c r="AJ413" s="638"/>
      <c r="AK413" s="639"/>
      <c r="AL413" s="638"/>
      <c r="AM413" s="638"/>
      <c r="AN413" s="637"/>
      <c r="AO413" s="596"/>
      <c r="AP413" s="606"/>
      <c r="AQ413" s="606"/>
      <c r="AR413" s="636"/>
      <c r="AS413" s="636"/>
      <c r="AT413" s="636"/>
      <c r="AU413" s="636"/>
      <c r="AV413" s="636"/>
      <c r="AW413" s="636"/>
      <c r="AX413" s="636"/>
      <c r="AY413" s="595"/>
      <c r="AZ413" s="609" t="s">
        <v>254</v>
      </c>
      <c r="BA413" s="644">
        <v>0.15</v>
      </c>
      <c r="BB413" s="602">
        <v>10</v>
      </c>
      <c r="BC413" s="602">
        <v>0.09</v>
      </c>
      <c r="BD413" s="602">
        <v>8</v>
      </c>
      <c r="BE413" s="602">
        <v>0.1</v>
      </c>
      <c r="BF413" s="611">
        <f t="shared" si="286"/>
        <v>6.3E-2</v>
      </c>
      <c r="BG413" s="611">
        <f t="shared" si="295"/>
        <v>6.3E-2</v>
      </c>
      <c r="BH413" s="612">
        <v>1</v>
      </c>
      <c r="BK413" s="627" t="s">
        <v>236</v>
      </c>
      <c r="BL413" s="628">
        <v>0.16500000000000001</v>
      </c>
      <c r="BN413" s="627" t="s">
        <v>236</v>
      </c>
      <c r="BO413" s="628">
        <v>10</v>
      </c>
      <c r="BQ413" s="631" t="s">
        <v>236</v>
      </c>
      <c r="BR413" s="630">
        <v>9.5000000000000001E-2</v>
      </c>
      <c r="BT413" s="645" t="s">
        <v>238</v>
      </c>
      <c r="BU413" s="646"/>
      <c r="BW413" s="631" t="s">
        <v>190</v>
      </c>
      <c r="BX413" s="630">
        <v>8</v>
      </c>
      <c r="BZ413" s="645" t="s">
        <v>238</v>
      </c>
      <c r="CA413" s="646"/>
      <c r="CC413" s="631" t="s">
        <v>236</v>
      </c>
      <c r="CD413" s="630">
        <v>0.1</v>
      </c>
      <c r="CF413" s="631" t="s">
        <v>190</v>
      </c>
      <c r="CG413" s="630">
        <v>1</v>
      </c>
    </row>
    <row r="414" spans="1:85" s="602" customFormat="1" x14ac:dyDescent="0.3">
      <c r="A414" s="606"/>
      <c r="B414" s="596"/>
      <c r="C414" s="633"/>
      <c r="D414" s="634"/>
      <c r="E414" s="634"/>
      <c r="F414" s="635"/>
      <c r="G414" s="636"/>
      <c r="H414" s="637"/>
      <c r="I414" s="596"/>
      <c r="J414" s="637"/>
      <c r="K414" s="596"/>
      <c r="L414" s="638"/>
      <c r="M414" s="639"/>
      <c r="N414" s="638"/>
      <c r="O414" s="638"/>
      <c r="P414" s="637"/>
      <c r="Q414" s="596"/>
      <c r="R414" s="637"/>
      <c r="S414" s="596"/>
      <c r="T414" s="638"/>
      <c r="U414" s="639"/>
      <c r="V414" s="638"/>
      <c r="W414" s="638"/>
      <c r="X414" s="637"/>
      <c r="Y414" s="596"/>
      <c r="Z414" s="606"/>
      <c r="AA414" s="596"/>
      <c r="AB414" s="638"/>
      <c r="AC414" s="639"/>
      <c r="AD414" s="638"/>
      <c r="AE414" s="638"/>
      <c r="AF414" s="637"/>
      <c r="AG414" s="596"/>
      <c r="AH414" s="606"/>
      <c r="AI414" s="596"/>
      <c r="AJ414" s="638"/>
      <c r="AK414" s="639"/>
      <c r="AL414" s="638"/>
      <c r="AM414" s="638"/>
      <c r="AN414" s="637"/>
      <c r="AO414" s="596"/>
      <c r="AP414" s="606"/>
      <c r="AQ414" s="606"/>
      <c r="AR414" s="636"/>
      <c r="AS414" s="636"/>
      <c r="AT414" s="636"/>
      <c r="AU414" s="636"/>
      <c r="AV414" s="636"/>
      <c r="AW414" s="636"/>
      <c r="AX414" s="636"/>
      <c r="AY414" s="595"/>
      <c r="AZ414" s="609" t="s">
        <v>236</v>
      </c>
      <c r="BA414" s="644">
        <v>0.16500000000000001</v>
      </c>
      <c r="BB414" s="602">
        <v>10</v>
      </c>
      <c r="BC414" s="602">
        <v>9.5000000000000001E-2</v>
      </c>
      <c r="BD414" s="602">
        <v>8</v>
      </c>
      <c r="BE414" s="602">
        <v>0.1</v>
      </c>
      <c r="BF414" s="611">
        <f t="shared" si="286"/>
        <v>6.93E-2</v>
      </c>
      <c r="BG414" s="611">
        <f t="shared" si="295"/>
        <v>6.93E-2</v>
      </c>
      <c r="BH414" s="612">
        <v>1</v>
      </c>
      <c r="BK414" s="627" t="s">
        <v>240</v>
      </c>
      <c r="BL414" s="628">
        <v>0.16</v>
      </c>
      <c r="BN414" s="627" t="s">
        <v>240</v>
      </c>
      <c r="BO414" s="628">
        <v>10</v>
      </c>
      <c r="BQ414" s="631" t="s">
        <v>240</v>
      </c>
      <c r="BR414" s="630">
        <v>0.1</v>
      </c>
      <c r="BT414" s="631" t="s">
        <v>240</v>
      </c>
      <c r="BU414" s="630">
        <v>6.7199999999999996E-2</v>
      </c>
      <c r="BW414" s="631" t="s">
        <v>215</v>
      </c>
      <c r="BX414" s="630">
        <v>10</v>
      </c>
      <c r="BZ414" s="631" t="s">
        <v>254</v>
      </c>
      <c r="CA414" s="630">
        <v>6.3E-2</v>
      </c>
      <c r="CC414" s="631" t="s">
        <v>240</v>
      </c>
      <c r="CD414" s="630">
        <v>0.1</v>
      </c>
      <c r="CF414" s="631" t="s">
        <v>215</v>
      </c>
      <c r="CG414" s="630">
        <v>1</v>
      </c>
    </row>
    <row r="415" spans="1:85" s="602" customFormat="1" x14ac:dyDescent="0.3">
      <c r="A415" s="606"/>
      <c r="B415" s="596"/>
      <c r="C415" s="633"/>
      <c r="D415" s="636"/>
      <c r="E415" s="636"/>
      <c r="F415" s="635"/>
      <c r="G415" s="636"/>
      <c r="H415" s="637"/>
      <c r="I415" s="596"/>
      <c r="J415" s="637"/>
      <c r="K415" s="596"/>
      <c r="L415" s="638"/>
      <c r="M415" s="639"/>
      <c r="N415" s="638"/>
      <c r="O415" s="638"/>
      <c r="P415" s="637"/>
      <c r="Q415" s="596"/>
      <c r="R415" s="637"/>
      <c r="S415" s="596"/>
      <c r="T415" s="638"/>
      <c r="U415" s="639"/>
      <c r="V415" s="638"/>
      <c r="W415" s="638"/>
      <c r="X415" s="637"/>
      <c r="Y415" s="596"/>
      <c r="Z415" s="606"/>
      <c r="AA415" s="596"/>
      <c r="AB415" s="638"/>
      <c r="AC415" s="639"/>
      <c r="AD415" s="638"/>
      <c r="AE415" s="638"/>
      <c r="AF415" s="637"/>
      <c r="AG415" s="596"/>
      <c r="AH415" s="606"/>
      <c r="AI415" s="596"/>
      <c r="AJ415" s="638"/>
      <c r="AK415" s="639"/>
      <c r="AL415" s="638"/>
      <c r="AM415" s="638"/>
      <c r="AN415" s="637"/>
      <c r="AO415" s="596"/>
      <c r="AP415" s="606"/>
      <c r="AQ415" s="606"/>
      <c r="AR415" s="636"/>
      <c r="AS415" s="636"/>
      <c r="AT415" s="636"/>
      <c r="AU415" s="636"/>
      <c r="AV415" s="636"/>
      <c r="AW415" s="636"/>
      <c r="AX415" s="636"/>
      <c r="AY415" s="595"/>
      <c r="AZ415" s="609" t="s">
        <v>240</v>
      </c>
      <c r="BA415" s="644">
        <v>0.16</v>
      </c>
      <c r="BB415" s="602">
        <v>10</v>
      </c>
      <c r="BC415" s="602">
        <v>0.1</v>
      </c>
      <c r="BD415" s="602">
        <v>10</v>
      </c>
      <c r="BE415" s="602">
        <v>0.1</v>
      </c>
      <c r="BF415" s="611">
        <f t="shared" si="286"/>
        <v>6.7199999999999996E-2</v>
      </c>
      <c r="BG415" s="611">
        <f t="shared" si="295"/>
        <v>6.7199999999999996E-2</v>
      </c>
      <c r="BH415" s="612">
        <v>1</v>
      </c>
      <c r="BK415" s="627" t="s">
        <v>190</v>
      </c>
      <c r="BL415" s="628">
        <v>0.2</v>
      </c>
      <c r="BN415" s="627" t="s">
        <v>190</v>
      </c>
      <c r="BO415" s="628">
        <v>12</v>
      </c>
      <c r="BQ415" s="631" t="s">
        <v>190</v>
      </c>
      <c r="BR415" s="630">
        <v>0.1</v>
      </c>
      <c r="BT415" s="631" t="s">
        <v>190</v>
      </c>
      <c r="BU415" s="630">
        <v>8.4000000000000005E-2</v>
      </c>
      <c r="BW415" s="631" t="s">
        <v>217</v>
      </c>
      <c r="BX415" s="630">
        <v>10</v>
      </c>
      <c r="BZ415" s="631" t="s">
        <v>190</v>
      </c>
      <c r="CA415" s="630">
        <v>8.4000000000000005E-2</v>
      </c>
      <c r="CC415" s="631" t="s">
        <v>190</v>
      </c>
      <c r="CD415" s="630">
        <v>0.12</v>
      </c>
      <c r="CF415" s="631" t="s">
        <v>217</v>
      </c>
      <c r="CG415" s="630">
        <v>1</v>
      </c>
    </row>
    <row r="416" spans="1:85" s="602" customFormat="1" x14ac:dyDescent="0.3">
      <c r="A416" s="606"/>
      <c r="B416" s="596"/>
      <c r="C416" s="633"/>
      <c r="D416" s="636"/>
      <c r="E416" s="636"/>
      <c r="F416" s="635"/>
      <c r="G416" s="636"/>
      <c r="H416" s="637"/>
      <c r="I416" s="596"/>
      <c r="J416" s="637"/>
      <c r="K416" s="596"/>
      <c r="L416" s="638"/>
      <c r="M416" s="639"/>
      <c r="N416" s="638"/>
      <c r="O416" s="638"/>
      <c r="P416" s="637"/>
      <c r="Q416" s="596"/>
      <c r="R416" s="637"/>
      <c r="S416" s="596"/>
      <c r="T416" s="638"/>
      <c r="U416" s="639"/>
      <c r="V416" s="638"/>
      <c r="W416" s="638"/>
      <c r="X416" s="637"/>
      <c r="Y416" s="596"/>
      <c r="Z416" s="606"/>
      <c r="AA416" s="596"/>
      <c r="AB416" s="638"/>
      <c r="AC416" s="639"/>
      <c r="AD416" s="638"/>
      <c r="AE416" s="638"/>
      <c r="AF416" s="637"/>
      <c r="AG416" s="596"/>
      <c r="AH416" s="606"/>
      <c r="AI416" s="596"/>
      <c r="AJ416" s="638"/>
      <c r="AK416" s="639"/>
      <c r="AL416" s="638"/>
      <c r="AM416" s="638"/>
      <c r="AN416" s="637"/>
      <c r="AO416" s="596"/>
      <c r="AP416" s="606"/>
      <c r="AQ416" s="606"/>
      <c r="AR416" s="636"/>
      <c r="AS416" s="636"/>
      <c r="AT416" s="636"/>
      <c r="AU416" s="636"/>
      <c r="AV416" s="636"/>
      <c r="AW416" s="636"/>
      <c r="AX416" s="636"/>
      <c r="AY416" s="595"/>
      <c r="AZ416" s="609" t="s">
        <v>259</v>
      </c>
      <c r="BA416" s="644">
        <v>0.17499999999999999</v>
      </c>
      <c r="BB416" s="602">
        <v>10</v>
      </c>
      <c r="BC416" s="602">
        <v>0.75</v>
      </c>
      <c r="BD416" s="602">
        <v>10</v>
      </c>
      <c r="BE416" s="602">
        <v>8.5000000000000006E-2</v>
      </c>
      <c r="BF416" s="611">
        <f t="shared" si="286"/>
        <v>7.3499999999999996E-2</v>
      </c>
      <c r="BG416" s="611">
        <f t="shared" si="295"/>
        <v>7.3499999999999996E-2</v>
      </c>
      <c r="BH416" s="612">
        <v>1</v>
      </c>
      <c r="BK416" s="627" t="s">
        <v>215</v>
      </c>
      <c r="BL416" s="628">
        <v>0.22500000000000001</v>
      </c>
      <c r="BN416" s="627" t="s">
        <v>215</v>
      </c>
      <c r="BO416" s="628">
        <v>12</v>
      </c>
      <c r="BQ416" s="631" t="s">
        <v>215</v>
      </c>
      <c r="BR416" s="630">
        <v>0.09</v>
      </c>
      <c r="BT416" s="631" t="s">
        <v>215</v>
      </c>
      <c r="BU416" s="630">
        <v>9.4500000000000001E-2</v>
      </c>
      <c r="BW416" s="631" t="s">
        <v>221</v>
      </c>
      <c r="BX416" s="630">
        <v>8</v>
      </c>
      <c r="BZ416" s="631" t="s">
        <v>215</v>
      </c>
      <c r="CA416" s="630">
        <v>9.4500000000000001E-2</v>
      </c>
      <c r="CC416" s="631" t="s">
        <v>215</v>
      </c>
      <c r="CD416" s="630">
        <v>0.15</v>
      </c>
      <c r="CF416" s="631" t="s">
        <v>221</v>
      </c>
      <c r="CG416" s="630">
        <v>1</v>
      </c>
    </row>
    <row r="417" spans="1:85" s="602" customFormat="1" x14ac:dyDescent="0.3">
      <c r="A417" s="606"/>
      <c r="B417" s="596"/>
      <c r="C417" s="633"/>
      <c r="D417" s="636"/>
      <c r="E417" s="636"/>
      <c r="F417" s="635"/>
      <c r="G417" s="636"/>
      <c r="H417" s="637"/>
      <c r="I417" s="596"/>
      <c r="J417" s="637"/>
      <c r="K417" s="596"/>
      <c r="L417" s="638"/>
      <c r="M417" s="639"/>
      <c r="N417" s="638"/>
      <c r="O417" s="638"/>
      <c r="P417" s="637"/>
      <c r="Q417" s="596"/>
      <c r="R417" s="637"/>
      <c r="S417" s="596"/>
      <c r="T417" s="638"/>
      <c r="U417" s="639"/>
      <c r="V417" s="638"/>
      <c r="W417" s="638"/>
      <c r="X417" s="637"/>
      <c r="Y417" s="596"/>
      <c r="Z417" s="606"/>
      <c r="AA417" s="596"/>
      <c r="AB417" s="638"/>
      <c r="AC417" s="639"/>
      <c r="AD417" s="638"/>
      <c r="AE417" s="638"/>
      <c r="AF417" s="637"/>
      <c r="AG417" s="596"/>
      <c r="AH417" s="606"/>
      <c r="AI417" s="596"/>
      <c r="AJ417" s="638"/>
      <c r="AK417" s="639"/>
      <c r="AL417" s="638"/>
      <c r="AM417" s="638"/>
      <c r="AN417" s="637"/>
      <c r="AO417" s="596"/>
      <c r="AP417" s="606"/>
      <c r="AQ417" s="606"/>
      <c r="AR417" s="636"/>
      <c r="AS417" s="636"/>
      <c r="AT417" s="636"/>
      <c r="AU417" s="636"/>
      <c r="AV417" s="636"/>
      <c r="AW417" s="636"/>
      <c r="AX417" s="636"/>
      <c r="AY417" s="595"/>
      <c r="AZ417" s="609" t="s">
        <v>261</v>
      </c>
      <c r="BA417" s="644">
        <v>0.12</v>
      </c>
      <c r="BB417" s="602">
        <v>10</v>
      </c>
      <c r="BC417" s="602">
        <v>0.125</v>
      </c>
      <c r="BD417" s="602">
        <v>8</v>
      </c>
      <c r="BE417" s="602">
        <v>0.2</v>
      </c>
      <c r="BF417" s="611">
        <f t="shared" si="286"/>
        <v>5.0399999999999993E-2</v>
      </c>
      <c r="BG417" s="611"/>
      <c r="BH417" s="612">
        <v>1</v>
      </c>
      <c r="BK417" s="627" t="s">
        <v>217</v>
      </c>
      <c r="BL417" s="628">
        <v>0.2</v>
      </c>
      <c r="BN417" s="627" t="s">
        <v>217</v>
      </c>
      <c r="BO417" s="628">
        <v>12</v>
      </c>
      <c r="BQ417" s="631" t="s">
        <v>217</v>
      </c>
      <c r="BR417" s="630">
        <v>0.1</v>
      </c>
      <c r="BT417" s="631" t="s">
        <v>217</v>
      </c>
      <c r="BU417" s="630">
        <v>8.4000000000000005E-2</v>
      </c>
      <c r="BW417" s="631" t="s">
        <v>236</v>
      </c>
      <c r="BX417" s="630">
        <v>8</v>
      </c>
      <c r="BZ417" s="631" t="s">
        <v>217</v>
      </c>
      <c r="CA417" s="630">
        <v>8.4000000000000005E-2</v>
      </c>
      <c r="CC417" s="631" t="s">
        <v>217</v>
      </c>
      <c r="CD417" s="630">
        <v>0.2</v>
      </c>
      <c r="CF417" s="631" t="s">
        <v>236</v>
      </c>
      <c r="CG417" s="630">
        <v>1</v>
      </c>
    </row>
    <row r="418" spans="1:85" s="602" customFormat="1" x14ac:dyDescent="0.3">
      <c r="A418" s="606"/>
      <c r="B418" s="596"/>
      <c r="C418" s="633"/>
      <c r="D418" s="636"/>
      <c r="E418" s="636"/>
      <c r="F418" s="635"/>
      <c r="G418" s="636"/>
      <c r="H418" s="637"/>
      <c r="I418" s="596"/>
      <c r="J418" s="637"/>
      <c r="K418" s="596"/>
      <c r="L418" s="638"/>
      <c r="M418" s="639"/>
      <c r="N418" s="638"/>
      <c r="O418" s="638"/>
      <c r="P418" s="637"/>
      <c r="Q418" s="596"/>
      <c r="R418" s="637"/>
      <c r="S418" s="596"/>
      <c r="T418" s="638"/>
      <c r="U418" s="639"/>
      <c r="V418" s="638"/>
      <c r="W418" s="638"/>
      <c r="X418" s="637"/>
      <c r="Y418" s="596"/>
      <c r="Z418" s="606"/>
      <c r="AA418" s="596"/>
      <c r="AB418" s="638"/>
      <c r="AC418" s="639"/>
      <c r="AD418" s="638"/>
      <c r="AE418" s="638"/>
      <c r="AF418" s="637"/>
      <c r="AG418" s="596"/>
      <c r="AH418" s="606"/>
      <c r="AI418" s="596"/>
      <c r="AJ418" s="638"/>
      <c r="AK418" s="639"/>
      <c r="AL418" s="638"/>
      <c r="AM418" s="638"/>
      <c r="AN418" s="637"/>
      <c r="AO418" s="596"/>
      <c r="AP418" s="606"/>
      <c r="AQ418" s="606"/>
      <c r="AR418" s="636"/>
      <c r="AS418" s="636"/>
      <c r="AT418" s="636"/>
      <c r="AU418" s="636"/>
      <c r="AV418" s="636"/>
      <c r="AW418" s="636"/>
      <c r="AX418" s="636"/>
      <c r="AY418" s="595"/>
      <c r="AZ418" s="609"/>
      <c r="BA418" s="644"/>
      <c r="BF418" s="611"/>
      <c r="BG418" s="611"/>
      <c r="BH418" s="612"/>
      <c r="BK418" s="627" t="s">
        <v>221</v>
      </c>
      <c r="BL418" s="628">
        <v>0.17499999999999999</v>
      </c>
      <c r="BN418" s="627" t="s">
        <v>221</v>
      </c>
      <c r="BO418" s="628">
        <v>12</v>
      </c>
      <c r="BQ418" s="631" t="s">
        <v>221</v>
      </c>
      <c r="BR418" s="630">
        <v>0.1</v>
      </c>
      <c r="BT418" s="631" t="s">
        <v>221</v>
      </c>
      <c r="BU418" s="630">
        <v>7.3499999999999996E-2</v>
      </c>
      <c r="BW418" s="631" t="s">
        <v>240</v>
      </c>
      <c r="BX418" s="630">
        <v>10</v>
      </c>
      <c r="BZ418" s="631" t="s">
        <v>221</v>
      </c>
      <c r="CA418" s="630">
        <v>7.3499999999999996E-2</v>
      </c>
      <c r="CC418" s="631" t="s">
        <v>221</v>
      </c>
      <c r="CD418" s="630">
        <v>0.16</v>
      </c>
      <c r="CF418" s="631" t="s">
        <v>240</v>
      </c>
      <c r="CG418" s="630">
        <v>1</v>
      </c>
    </row>
    <row r="419" spans="1:85" s="602" customFormat="1" x14ac:dyDescent="0.3">
      <c r="A419" s="606"/>
      <c r="B419" s="596"/>
      <c r="C419" s="633"/>
      <c r="D419" s="636"/>
      <c r="E419" s="636"/>
      <c r="F419" s="635"/>
      <c r="G419" s="636"/>
      <c r="H419" s="637"/>
      <c r="I419" s="596"/>
      <c r="J419" s="637"/>
      <c r="K419" s="596"/>
      <c r="L419" s="638"/>
      <c r="M419" s="639"/>
      <c r="N419" s="638"/>
      <c r="O419" s="638"/>
      <c r="P419" s="637"/>
      <c r="Q419" s="596"/>
      <c r="R419" s="637"/>
      <c r="S419" s="596"/>
      <c r="T419" s="638"/>
      <c r="U419" s="639"/>
      <c r="V419" s="638"/>
      <c r="W419" s="638"/>
      <c r="X419" s="637"/>
      <c r="Y419" s="596"/>
      <c r="Z419" s="606"/>
      <c r="AA419" s="596"/>
      <c r="AB419" s="638"/>
      <c r="AC419" s="639"/>
      <c r="AD419" s="638"/>
      <c r="AE419" s="638"/>
      <c r="AF419" s="637"/>
      <c r="AG419" s="596"/>
      <c r="AH419" s="606"/>
      <c r="AI419" s="596"/>
      <c r="AJ419" s="638"/>
      <c r="AK419" s="639"/>
      <c r="AL419" s="638"/>
      <c r="AM419" s="638"/>
      <c r="AN419" s="637"/>
      <c r="AO419" s="596"/>
      <c r="AP419" s="606"/>
      <c r="AQ419" s="606"/>
      <c r="AR419" s="636"/>
      <c r="AS419" s="636"/>
      <c r="AT419" s="636"/>
      <c r="AU419" s="636"/>
      <c r="AV419" s="636"/>
      <c r="AW419" s="636"/>
      <c r="AX419" s="636"/>
      <c r="AY419" s="595"/>
      <c r="AZ419" s="647"/>
      <c r="BA419" s="648"/>
      <c r="BB419" s="649"/>
      <c r="BC419" s="649"/>
      <c r="BD419" s="649"/>
      <c r="BE419" s="649"/>
      <c r="BF419" s="650"/>
      <c r="BG419" s="649"/>
      <c r="BH419" s="651"/>
      <c r="BK419" s="627" t="s">
        <v>259</v>
      </c>
      <c r="BL419" s="628">
        <v>0.17499999999999999</v>
      </c>
      <c r="BN419" s="627" t="s">
        <v>259</v>
      </c>
      <c r="BO419" s="628">
        <v>10</v>
      </c>
      <c r="BQ419" s="631" t="s">
        <v>259</v>
      </c>
      <c r="BR419" s="630">
        <v>0.75</v>
      </c>
      <c r="BT419" s="631" t="s">
        <v>259</v>
      </c>
      <c r="BU419" s="630">
        <v>7.3499999999999996E-2</v>
      </c>
      <c r="BW419" s="631" t="s">
        <v>259</v>
      </c>
      <c r="BX419" s="630">
        <v>10</v>
      </c>
      <c r="BZ419" s="631" t="s">
        <v>259</v>
      </c>
      <c r="CA419" s="630">
        <v>7.3499999999999996E-2</v>
      </c>
      <c r="CC419" s="631" t="s">
        <v>259</v>
      </c>
      <c r="CD419" s="630">
        <v>8.5000000000000006E-2</v>
      </c>
      <c r="CF419" s="631" t="s">
        <v>259</v>
      </c>
      <c r="CG419" s="630">
        <v>1</v>
      </c>
    </row>
    <row r="420" spans="1:85" s="602" customFormat="1" x14ac:dyDescent="0.3">
      <c r="A420" s="606"/>
      <c r="B420" s="596"/>
      <c r="C420" s="633"/>
      <c r="D420" s="636"/>
      <c r="E420" s="636"/>
      <c r="F420" s="635"/>
      <c r="G420" s="636"/>
      <c r="H420" s="637"/>
      <c r="I420" s="596"/>
      <c r="J420" s="637"/>
      <c r="K420" s="596"/>
      <c r="L420" s="638"/>
      <c r="M420" s="639"/>
      <c r="N420" s="638"/>
      <c r="O420" s="638"/>
      <c r="P420" s="637"/>
      <c r="Q420" s="596"/>
      <c r="R420" s="637"/>
      <c r="S420" s="596"/>
      <c r="T420" s="638"/>
      <c r="U420" s="639"/>
      <c r="V420" s="638"/>
      <c r="W420" s="638"/>
      <c r="X420" s="637"/>
      <c r="Y420" s="596"/>
      <c r="Z420" s="606"/>
      <c r="AA420" s="596"/>
      <c r="AB420" s="638"/>
      <c r="AC420" s="639"/>
      <c r="AD420" s="638"/>
      <c r="AE420" s="638"/>
      <c r="AF420" s="637"/>
      <c r="AG420" s="596"/>
      <c r="AH420" s="606"/>
      <c r="AI420" s="596"/>
      <c r="AJ420" s="638"/>
      <c r="AK420" s="639"/>
      <c r="AL420" s="638"/>
      <c r="AM420" s="638"/>
      <c r="AN420" s="637"/>
      <c r="AO420" s="596"/>
      <c r="AP420" s="606"/>
      <c r="AQ420" s="606"/>
      <c r="AR420" s="636"/>
      <c r="AS420" s="636"/>
      <c r="AT420" s="636"/>
      <c r="AU420" s="636"/>
      <c r="AV420" s="636"/>
      <c r="AW420" s="636"/>
      <c r="AX420" s="636"/>
      <c r="AY420" s="595"/>
      <c r="AZ420" s="652"/>
      <c r="BA420" s="644"/>
      <c r="BF420" s="611"/>
      <c r="BG420" s="611"/>
      <c r="BK420" s="653" t="s">
        <v>261</v>
      </c>
      <c r="BL420" s="628">
        <v>0.12</v>
      </c>
      <c r="BN420" s="653" t="s">
        <v>261</v>
      </c>
      <c r="BO420" s="654">
        <v>10</v>
      </c>
      <c r="BQ420" s="631" t="s">
        <v>261</v>
      </c>
      <c r="BR420" s="630">
        <v>0.125</v>
      </c>
      <c r="BT420" s="631" t="s">
        <v>261</v>
      </c>
      <c r="BU420" s="630">
        <v>5.0399999999999993E-2</v>
      </c>
      <c r="BW420" s="631" t="s">
        <v>261</v>
      </c>
      <c r="BX420" s="630">
        <v>8</v>
      </c>
      <c r="BZ420" s="631" t="s">
        <v>261</v>
      </c>
      <c r="CA420" s="630"/>
      <c r="CC420" s="631" t="s">
        <v>261</v>
      </c>
      <c r="CD420" s="630">
        <v>0.2</v>
      </c>
      <c r="CF420" s="631" t="s">
        <v>261</v>
      </c>
      <c r="CG420" s="630">
        <v>1</v>
      </c>
    </row>
    <row r="421" spans="1:85" s="602" customFormat="1" x14ac:dyDescent="0.3">
      <c r="A421" s="606"/>
      <c r="B421" s="596"/>
      <c r="C421" s="633"/>
      <c r="D421" s="636"/>
      <c r="E421" s="636"/>
      <c r="F421" s="635"/>
      <c r="G421" s="636"/>
      <c r="H421" s="637"/>
      <c r="I421" s="596"/>
      <c r="J421" s="637"/>
      <c r="K421" s="596"/>
      <c r="L421" s="638"/>
      <c r="M421" s="639"/>
      <c r="N421" s="638"/>
      <c r="O421" s="638"/>
      <c r="P421" s="637"/>
      <c r="Q421" s="596"/>
      <c r="R421" s="637"/>
      <c r="S421" s="596"/>
      <c r="T421" s="638"/>
      <c r="U421" s="639"/>
      <c r="V421" s="638"/>
      <c r="W421" s="638"/>
      <c r="X421" s="637"/>
      <c r="Y421" s="596"/>
      <c r="Z421" s="606"/>
      <c r="AA421" s="596"/>
      <c r="AB421" s="638"/>
      <c r="AC421" s="639"/>
      <c r="AD421" s="638"/>
      <c r="AE421" s="638"/>
      <c r="AF421" s="637"/>
      <c r="AG421" s="596"/>
      <c r="AH421" s="606"/>
      <c r="AI421" s="596"/>
      <c r="AJ421" s="638"/>
      <c r="AK421" s="639"/>
      <c r="AL421" s="638"/>
      <c r="AM421" s="638"/>
      <c r="AN421" s="637"/>
      <c r="AO421" s="596"/>
      <c r="AP421" s="606"/>
      <c r="AQ421" s="606"/>
      <c r="AR421" s="636"/>
      <c r="AS421" s="636"/>
      <c r="AT421" s="636"/>
      <c r="AU421" s="636"/>
      <c r="AV421" s="636"/>
      <c r="AW421" s="636"/>
      <c r="AX421" s="636"/>
      <c r="AY421" s="595"/>
      <c r="AZ421" s="652"/>
      <c r="BA421" s="644"/>
      <c r="BF421" s="611"/>
      <c r="BG421" s="611"/>
      <c r="BK421" s="655" t="s">
        <v>266</v>
      </c>
      <c r="BL421" s="656">
        <v>3.9099999999999997</v>
      </c>
      <c r="BN421" s="653" t="s">
        <v>266</v>
      </c>
      <c r="BO421" s="654">
        <v>248</v>
      </c>
      <c r="BQ421" s="657" t="s">
        <v>266</v>
      </c>
      <c r="BR421" s="646">
        <v>3.1450000000000005</v>
      </c>
      <c r="BT421" s="645" t="s">
        <v>266</v>
      </c>
      <c r="BU421" s="646">
        <v>1.6421999999999997</v>
      </c>
      <c r="BW421" s="645" t="s">
        <v>266</v>
      </c>
      <c r="BX421" s="646">
        <v>220</v>
      </c>
      <c r="BZ421" s="645" t="s">
        <v>266</v>
      </c>
      <c r="CA421" s="646">
        <v>1.4804999999999997</v>
      </c>
      <c r="CC421" s="645" t="s">
        <v>266</v>
      </c>
      <c r="CD421" s="646">
        <v>3.2400000000000007</v>
      </c>
      <c r="CF421" s="645" t="s">
        <v>266</v>
      </c>
      <c r="CG421" s="646">
        <v>25</v>
      </c>
    </row>
    <row r="422" spans="1:85" s="602" customFormat="1" x14ac:dyDescent="0.3">
      <c r="A422" s="606"/>
      <c r="B422" s="596"/>
      <c r="C422" s="633"/>
      <c r="D422" s="658"/>
      <c r="E422" s="636"/>
      <c r="F422" s="635"/>
      <c r="G422" s="636"/>
      <c r="H422" s="637"/>
      <c r="I422" s="596"/>
      <c r="J422" s="637"/>
      <c r="K422" s="596"/>
      <c r="L422" s="638"/>
      <c r="M422" s="639"/>
      <c r="N422" s="638"/>
      <c r="O422" s="638"/>
      <c r="P422" s="637"/>
      <c r="Q422" s="596"/>
      <c r="R422" s="637"/>
      <c r="S422" s="596"/>
      <c r="T422" s="638"/>
      <c r="U422" s="639"/>
      <c r="V422" s="638"/>
      <c r="W422" s="638"/>
      <c r="X422" s="637"/>
      <c r="Y422" s="596"/>
      <c r="Z422" s="606"/>
      <c r="AA422" s="596"/>
      <c r="AB422" s="638"/>
      <c r="AC422" s="638"/>
      <c r="AD422" s="638"/>
      <c r="AE422" s="638"/>
      <c r="AF422" s="637"/>
      <c r="AG422" s="596"/>
      <c r="AH422" s="606"/>
      <c r="AI422" s="596"/>
      <c r="AJ422" s="638"/>
      <c r="AK422" s="638"/>
      <c r="AL422" s="638"/>
      <c r="AM422" s="638"/>
      <c r="AN422" s="637"/>
      <c r="AO422" s="596"/>
      <c r="AP422" s="606"/>
      <c r="AQ422" s="606"/>
      <c r="AR422" s="636"/>
      <c r="AS422" s="636"/>
      <c r="AT422" s="636"/>
      <c r="AU422" s="636"/>
      <c r="AV422" s="636"/>
      <c r="AW422" s="636"/>
      <c r="AX422" s="636"/>
      <c r="AY422" s="595"/>
      <c r="AZ422" s="652"/>
      <c r="BA422" s="644"/>
      <c r="BF422" s="611"/>
      <c r="BG422" s="611"/>
      <c r="BK422" s="454"/>
      <c r="BL422" s="454"/>
      <c r="BN422" s="454"/>
      <c r="BO422" s="454"/>
      <c r="BQ422" s="454"/>
      <c r="BR422" s="454"/>
      <c r="BT422" s="454"/>
      <c r="BU422" s="454"/>
      <c r="BW422" s="454"/>
      <c r="BX422" s="454"/>
      <c r="BZ422" s="454"/>
      <c r="CA422" s="454"/>
      <c r="CC422" s="454"/>
      <c r="CD422" s="454"/>
      <c r="CF422" s="454"/>
      <c r="CG422" s="454"/>
    </row>
    <row r="423" spans="1:85" s="197" customFormat="1" x14ac:dyDescent="0.3">
      <c r="A423" s="201" t="s">
        <v>219</v>
      </c>
      <c r="B423" s="191">
        <v>1</v>
      </c>
      <c r="C423" s="356" t="s">
        <v>423</v>
      </c>
      <c r="D423" s="369">
        <v>5.31</v>
      </c>
      <c r="E423" s="352">
        <v>4.8499999999999996</v>
      </c>
      <c r="F423" s="351">
        <v>0.17499999999999999</v>
      </c>
      <c r="G423" s="352">
        <f t="shared" ref="G423:G432" si="296">D423*E423*F423*B423</f>
        <v>4.5068624999999987</v>
      </c>
      <c r="H423" s="353">
        <f t="shared" ref="H423" si="297">D423*E423*B423</f>
        <v>25.753499999999995</v>
      </c>
      <c r="I423" s="191" t="e">
        <f>GETPIVOTDATA(#REF!,A423)</f>
        <v>#REF!</v>
      </c>
      <c r="J423" s="353" t="e">
        <f>GETPIVOTDATA(#REF!,A423)*2</f>
        <v>#REF!</v>
      </c>
      <c r="K423" s="191" t="e">
        <f>(ROUND(E423/J423,0)+1)*GETPIVOTDATA(#REF!,A423)</f>
        <v>#REF!</v>
      </c>
      <c r="L423" s="354" t="e">
        <f>GETPIVOTDATA(#REF!,A423)</f>
        <v>#REF!</v>
      </c>
      <c r="M423" s="355">
        <f>0.3*2</f>
        <v>0.6</v>
      </c>
      <c r="N423" s="354">
        <f t="shared" si="271"/>
        <v>-0.04</v>
      </c>
      <c r="O423" s="354">
        <f>1.114*0.3</f>
        <v>0.3342</v>
      </c>
      <c r="P423" s="353" t="e">
        <f t="shared" si="272"/>
        <v>#REF!</v>
      </c>
      <c r="Q423" s="191" t="e">
        <f>GETPIVOTDATA(#REF!,A423)</f>
        <v>#REF!</v>
      </c>
      <c r="R423" s="353" t="e">
        <f>GETPIVOTDATA(#REF!,A423)*2</f>
        <v>#REF!</v>
      </c>
      <c r="S423" s="191" t="e">
        <f>(ROUND(E423/R423,0))*GETPIVOTDATA(#REF!,A423)</f>
        <v>#REF!</v>
      </c>
      <c r="T423" s="354" t="e">
        <f>GETPIVOTDATA(#REF!,A423)</f>
        <v>#REF!</v>
      </c>
      <c r="U423" s="355">
        <f>0.3*2</f>
        <v>0.6</v>
      </c>
      <c r="V423" s="354">
        <f t="shared" si="273"/>
        <v>-0.04</v>
      </c>
      <c r="W423" s="354">
        <f>5.4*0.3</f>
        <v>1.62</v>
      </c>
      <c r="X423" s="353" t="e">
        <f t="shared" si="274"/>
        <v>#REF!</v>
      </c>
      <c r="Y423" s="191" t="e">
        <f>GETPIVOTDATA(#REF!,A423)</f>
        <v>#REF!</v>
      </c>
      <c r="Z423" s="201" t="e">
        <f>GETPIVOTDATA(#REF!,A423)*2</f>
        <v>#REF!</v>
      </c>
      <c r="AA423" s="191" t="e">
        <f>(ROUND(D423/Z423,0)+1)*GETPIVOTDATA(#REF!,A423)</f>
        <v>#REF!</v>
      </c>
      <c r="AB423" s="354" t="e">
        <f>GETPIVOTDATA(#REF!,A423)</f>
        <v>#REF!</v>
      </c>
      <c r="AC423" s="355">
        <f>0.3*2</f>
        <v>0.6</v>
      </c>
      <c r="AD423" s="354">
        <f t="shared" si="275"/>
        <v>-0.04</v>
      </c>
      <c r="AE423" s="354">
        <f>4.42*0.3</f>
        <v>1.3259999999999998</v>
      </c>
      <c r="AF423" s="353" t="e">
        <f t="shared" si="276"/>
        <v>#REF!</v>
      </c>
      <c r="AG423" s="191" t="e">
        <f>GETPIVOTDATA(#REF!,A423)</f>
        <v>#REF!</v>
      </c>
      <c r="AH423" s="201" t="e">
        <f>GETPIVOTDATA(#REF!,A423)*2</f>
        <v>#REF!</v>
      </c>
      <c r="AI423" s="191" t="e">
        <f>(ROUND(D423/AH423,0))*GETPIVOTDATA(#REF!,A423)</f>
        <v>#REF!</v>
      </c>
      <c r="AJ423" s="354" t="e">
        <f>GETPIVOTDATA(#REF!,A423)</f>
        <v>#REF!</v>
      </c>
      <c r="AK423" s="355">
        <f>0.3*2</f>
        <v>0.6</v>
      </c>
      <c r="AL423" s="354">
        <f t="shared" si="277"/>
        <v>-0.04</v>
      </c>
      <c r="AM423" s="354">
        <f>4.23*0.3</f>
        <v>1.2690000000000001</v>
      </c>
      <c r="AN423" s="353" t="e">
        <f t="shared" si="278"/>
        <v>#REF!</v>
      </c>
      <c r="AO423" s="191">
        <v>0</v>
      </c>
      <c r="AP423" s="201">
        <f t="shared" si="268"/>
        <v>14</v>
      </c>
      <c r="AQ423" s="201">
        <v>1.5</v>
      </c>
      <c r="AR423" s="352" t="e">
        <f t="shared" si="289"/>
        <v>#REF!</v>
      </c>
      <c r="AS423" s="352" t="e">
        <f t="shared" si="290"/>
        <v>#REF!</v>
      </c>
      <c r="AT423" s="352" t="e">
        <f t="shared" si="291"/>
        <v>#REF!</v>
      </c>
      <c r="AU423" s="352" t="e">
        <f t="shared" si="292"/>
        <v>#REF!</v>
      </c>
      <c r="AV423" s="352" t="e">
        <f t="shared" si="293"/>
        <v>#REF!</v>
      </c>
      <c r="AW423" s="352" t="e">
        <f t="shared" si="282"/>
        <v>#REF!</v>
      </c>
      <c r="AX423" s="352">
        <f t="shared" si="283"/>
        <v>21</v>
      </c>
      <c r="AY423" s="190"/>
      <c r="AZ423" s="240"/>
      <c r="BA423" s="232"/>
      <c r="BF423" s="206"/>
      <c r="BG423" s="206"/>
      <c r="BK423" s="126"/>
      <c r="BL423" s="126"/>
      <c r="BN423" s="126"/>
      <c r="BO423" s="126"/>
      <c r="BQ423" s="126"/>
      <c r="BR423" s="126"/>
      <c r="BT423" s="126"/>
      <c r="BU423" s="126"/>
      <c r="BW423" s="126"/>
      <c r="BX423" s="126"/>
      <c r="BZ423" s="126"/>
      <c r="CA423" s="126"/>
      <c r="CC423" s="126"/>
      <c r="CD423" s="126"/>
      <c r="CF423" s="126"/>
      <c r="CG423" s="126"/>
    </row>
    <row r="424" spans="1:85" s="197" customFormat="1" x14ac:dyDescent="0.3">
      <c r="A424" s="201"/>
      <c r="B424" s="191"/>
      <c r="C424" s="349"/>
      <c r="D424" s="352"/>
      <c r="E424" s="352"/>
      <c r="F424" s="351"/>
      <c r="G424" s="352"/>
      <c r="H424" s="353"/>
      <c r="I424" s="191"/>
      <c r="J424" s="353"/>
      <c r="K424" s="191"/>
      <c r="L424" s="354"/>
      <c r="M424" s="355"/>
      <c r="N424" s="354"/>
      <c r="O424" s="354"/>
      <c r="P424" s="353"/>
      <c r="Q424" s="191"/>
      <c r="R424" s="353"/>
      <c r="S424" s="191"/>
      <c r="T424" s="354"/>
      <c r="U424" s="355"/>
      <c r="V424" s="354"/>
      <c r="W424" s="354"/>
      <c r="X424" s="353"/>
      <c r="Y424" s="191"/>
      <c r="Z424" s="353"/>
      <c r="AA424" s="191"/>
      <c r="AB424" s="354"/>
      <c r="AC424" s="355"/>
      <c r="AD424" s="354"/>
      <c r="AE424" s="354"/>
      <c r="AF424" s="353"/>
      <c r="AG424" s="191"/>
      <c r="AH424" s="201"/>
      <c r="AI424" s="191"/>
      <c r="AJ424" s="354"/>
      <c r="AK424" s="355"/>
      <c r="AL424" s="354"/>
      <c r="AM424" s="354"/>
      <c r="AN424" s="353"/>
      <c r="AO424" s="191"/>
      <c r="AP424" s="201"/>
      <c r="AQ424" s="201"/>
      <c r="AR424" s="352"/>
      <c r="AS424" s="352"/>
      <c r="AT424" s="352"/>
      <c r="AU424" s="352"/>
      <c r="AV424" s="352"/>
      <c r="AW424" s="352"/>
      <c r="AX424" s="352"/>
      <c r="AY424" s="190"/>
      <c r="AZ424" s="240"/>
      <c r="BA424" s="232"/>
      <c r="BF424" s="206"/>
      <c r="BG424" s="206"/>
      <c r="BK424" s="126"/>
      <c r="BL424" s="126"/>
      <c r="BN424" s="126"/>
      <c r="BO424" s="126"/>
      <c r="BQ424" s="126"/>
      <c r="BR424" s="126"/>
      <c r="BT424" s="126"/>
      <c r="BU424" s="126"/>
      <c r="BW424" s="126"/>
      <c r="BX424" s="126"/>
      <c r="BZ424" s="126"/>
      <c r="CA424" s="126"/>
      <c r="CC424" s="126"/>
      <c r="CD424" s="126"/>
      <c r="CF424" s="126"/>
      <c r="CG424" s="126"/>
    </row>
    <row r="425" spans="1:85" s="197" customFormat="1" x14ac:dyDescent="0.3">
      <c r="A425" s="201"/>
      <c r="B425" s="191"/>
      <c r="C425" s="349"/>
      <c r="D425" s="352"/>
      <c r="E425" s="352"/>
      <c r="F425" s="351"/>
      <c r="G425" s="352"/>
      <c r="H425" s="353"/>
      <c r="I425" s="191"/>
      <c r="J425" s="353"/>
      <c r="K425" s="191"/>
      <c r="L425" s="354"/>
      <c r="M425" s="355"/>
      <c r="N425" s="354"/>
      <c r="O425" s="354"/>
      <c r="P425" s="353"/>
      <c r="Q425" s="191"/>
      <c r="R425" s="353"/>
      <c r="S425" s="191"/>
      <c r="T425" s="354"/>
      <c r="U425" s="355"/>
      <c r="V425" s="354"/>
      <c r="W425" s="354"/>
      <c r="X425" s="353"/>
      <c r="Y425" s="191"/>
      <c r="Z425" s="353"/>
      <c r="AA425" s="191"/>
      <c r="AB425" s="354"/>
      <c r="AC425" s="355"/>
      <c r="AD425" s="354"/>
      <c r="AE425" s="354"/>
      <c r="AF425" s="353"/>
      <c r="AG425" s="191"/>
      <c r="AH425" s="201"/>
      <c r="AI425" s="191"/>
      <c r="AJ425" s="354"/>
      <c r="AK425" s="355"/>
      <c r="AL425" s="354"/>
      <c r="AM425" s="354"/>
      <c r="AN425" s="353"/>
      <c r="AO425" s="191"/>
      <c r="AP425" s="201"/>
      <c r="AQ425" s="201"/>
      <c r="AR425" s="352"/>
      <c r="AS425" s="352"/>
      <c r="AT425" s="352"/>
      <c r="AU425" s="352"/>
      <c r="AV425" s="352"/>
      <c r="AW425" s="352"/>
      <c r="AX425" s="352"/>
      <c r="AY425" s="190"/>
      <c r="AZ425" s="240"/>
      <c r="BA425" s="232"/>
      <c r="BF425" s="206"/>
      <c r="BG425" s="206"/>
      <c r="BK425" s="126"/>
      <c r="BL425" s="126"/>
      <c r="BN425" s="126"/>
      <c r="BO425" s="126"/>
      <c r="BQ425" s="126"/>
      <c r="BR425" s="126"/>
      <c r="BT425" s="126"/>
      <c r="BU425" s="126"/>
      <c r="BW425" s="126"/>
      <c r="BX425" s="126"/>
      <c r="BZ425" s="126"/>
      <c r="CA425" s="126"/>
      <c r="CC425" s="126"/>
      <c r="CD425" s="126"/>
      <c r="CF425" s="126"/>
      <c r="CG425" s="126"/>
    </row>
    <row r="426" spans="1:85" s="197" customFormat="1" ht="27.6" x14ac:dyDescent="0.3">
      <c r="A426" s="201" t="s">
        <v>223</v>
      </c>
      <c r="B426" s="191">
        <v>1</v>
      </c>
      <c r="C426" s="356" t="s">
        <v>424</v>
      </c>
      <c r="D426" s="352">
        <v>2.9</v>
      </c>
      <c r="E426" s="352">
        <v>4.42</v>
      </c>
      <c r="F426" s="351">
        <v>0.13</v>
      </c>
      <c r="G426" s="352">
        <f t="shared" si="296"/>
        <v>1.6663399999999999</v>
      </c>
      <c r="H426" s="353">
        <f t="shared" ref="H426:H436" si="298">D426*E426*B426</f>
        <v>12.818</v>
      </c>
      <c r="I426" s="191" t="e">
        <f>GETPIVOTDATA(#REF!,A426)</f>
        <v>#REF!</v>
      </c>
      <c r="J426" s="353" t="e">
        <f>GETPIVOTDATA(#REF!,A426)*2</f>
        <v>#REF!</v>
      </c>
      <c r="K426" s="191" t="e">
        <f>(ROUND(E426/J426,0)+1)*GETPIVOTDATA(#REF!,A426)</f>
        <v>#REF!</v>
      </c>
      <c r="L426" s="354" t="e">
        <f>GETPIVOTDATA(#REF!,A426)</f>
        <v>#REF!</v>
      </c>
      <c r="M426" s="355">
        <f>0.3*2</f>
        <v>0.6</v>
      </c>
      <c r="N426" s="354">
        <f t="shared" si="271"/>
        <v>-0.04</v>
      </c>
      <c r="O426" s="354">
        <f>1.112*0.3</f>
        <v>0.33360000000000001</v>
      </c>
      <c r="P426" s="353" t="e">
        <f t="shared" si="272"/>
        <v>#REF!</v>
      </c>
      <c r="Q426" s="191" t="e">
        <f>GETPIVOTDATA(#REF!,A426)</f>
        <v>#REF!</v>
      </c>
      <c r="R426" s="353" t="e">
        <f>GETPIVOTDATA(#REF!,A426)*2</f>
        <v>#REF!</v>
      </c>
      <c r="S426" s="191" t="e">
        <f>(ROUND(E426/R426,0))*GETPIVOTDATA(#REF!,A426)</f>
        <v>#REF!</v>
      </c>
      <c r="T426" s="354" t="e">
        <f>GETPIVOTDATA(#REF!,A426)</f>
        <v>#REF!</v>
      </c>
      <c r="U426" s="355">
        <f>0.3*2</f>
        <v>0.6</v>
      </c>
      <c r="V426" s="354">
        <f t="shared" si="273"/>
        <v>-0.04</v>
      </c>
      <c r="W426" s="354">
        <f>2.58*0.3</f>
        <v>0.77400000000000002</v>
      </c>
      <c r="X426" s="353" t="e">
        <f t="shared" si="274"/>
        <v>#REF!</v>
      </c>
      <c r="Y426" s="191" t="e">
        <f>GETPIVOTDATA(#REF!,A426)</f>
        <v>#REF!</v>
      </c>
      <c r="Z426" s="353" t="e">
        <f>GETPIVOTDATA(#REF!,A426)*2</f>
        <v>#REF!</v>
      </c>
      <c r="AA426" s="191" t="e">
        <f>(ROUND(D426/Z426,0)+1)*GETPIVOTDATA(#REF!,A426)</f>
        <v>#REF!</v>
      </c>
      <c r="AB426" s="354" t="e">
        <f>GETPIVOTDATA(#REF!,A426)</f>
        <v>#REF!</v>
      </c>
      <c r="AC426" s="355">
        <f>0.3*2</f>
        <v>0.6</v>
      </c>
      <c r="AD426" s="354">
        <f t="shared" si="275"/>
        <v>-0.04</v>
      </c>
      <c r="AE426" s="354">
        <f>2.83*0.3</f>
        <v>0.84899999999999998</v>
      </c>
      <c r="AF426" s="353" t="e">
        <f t="shared" si="276"/>
        <v>#REF!</v>
      </c>
      <c r="AG426" s="191" t="e">
        <f>GETPIVOTDATA(#REF!,A426)</f>
        <v>#REF!</v>
      </c>
      <c r="AH426" s="201" t="e">
        <f>GETPIVOTDATA(#REF!,A426)*2</f>
        <v>#REF!</v>
      </c>
      <c r="AI426" s="191" t="e">
        <f>(ROUND(D426/AH426,0))*GETPIVOTDATA(#REF!,A426)</f>
        <v>#REF!</v>
      </c>
      <c r="AJ426" s="354" t="e">
        <f>GETPIVOTDATA(#REF!,A426)</f>
        <v>#REF!</v>
      </c>
      <c r="AK426" s="355">
        <f>0.3*2</f>
        <v>0.6</v>
      </c>
      <c r="AL426" s="354">
        <f t="shared" si="277"/>
        <v>-0.04</v>
      </c>
      <c r="AM426" s="354">
        <f>4.85*0.3</f>
        <v>1.4549999999999998</v>
      </c>
      <c r="AN426" s="353" t="e">
        <f t="shared" si="278"/>
        <v>#REF!</v>
      </c>
      <c r="AO426" s="191">
        <v>0</v>
      </c>
      <c r="AP426" s="201">
        <f t="shared" si="268"/>
        <v>10</v>
      </c>
      <c r="AQ426" s="201">
        <v>1.5</v>
      </c>
      <c r="AR426" s="352" t="e">
        <f t="shared" si="289"/>
        <v>#REF!</v>
      </c>
      <c r="AS426" s="352" t="e">
        <f t="shared" si="290"/>
        <v>#REF!</v>
      </c>
      <c r="AT426" s="352" t="e">
        <f t="shared" si="291"/>
        <v>#REF!</v>
      </c>
      <c r="AU426" s="352" t="e">
        <f t="shared" si="292"/>
        <v>#REF!</v>
      </c>
      <c r="AV426" s="352" t="e">
        <f t="shared" si="293"/>
        <v>#REF!</v>
      </c>
      <c r="AW426" s="352" t="e">
        <f t="shared" si="282"/>
        <v>#REF!</v>
      </c>
      <c r="AX426" s="352">
        <f t="shared" si="283"/>
        <v>15</v>
      </c>
      <c r="AY426" s="190"/>
      <c r="AZ426" s="240"/>
      <c r="BA426" s="232"/>
      <c r="BF426" s="206"/>
      <c r="BG426" s="206"/>
      <c r="BK426" s="126"/>
      <c r="BL426" s="126"/>
      <c r="BN426" s="126"/>
      <c r="BO426" s="126"/>
      <c r="BQ426" s="126"/>
      <c r="BR426" s="126"/>
      <c r="BT426" s="126"/>
      <c r="BU426" s="126"/>
      <c r="BW426" s="126"/>
      <c r="BX426" s="126"/>
      <c r="BZ426" s="126"/>
      <c r="CA426" s="126"/>
      <c r="CC426" s="126"/>
      <c r="CD426" s="126"/>
      <c r="CF426" s="126"/>
      <c r="CG426" s="126"/>
    </row>
    <row r="427" spans="1:85" s="197" customFormat="1" ht="27.6" x14ac:dyDescent="0.3">
      <c r="A427" s="201" t="s">
        <v>223</v>
      </c>
      <c r="B427" s="191">
        <v>1</v>
      </c>
      <c r="C427" s="356" t="s">
        <v>425</v>
      </c>
      <c r="D427" s="352">
        <v>2.58</v>
      </c>
      <c r="E427" s="352">
        <v>4.42</v>
      </c>
      <c r="F427" s="351">
        <v>0.13</v>
      </c>
      <c r="G427" s="352">
        <f t="shared" si="296"/>
        <v>1.4824680000000001</v>
      </c>
      <c r="H427" s="353">
        <f t="shared" si="298"/>
        <v>11.403600000000001</v>
      </c>
      <c r="I427" s="191" t="e">
        <f>GETPIVOTDATA(#REF!,A427)</f>
        <v>#REF!</v>
      </c>
      <c r="J427" s="353" t="e">
        <f>GETPIVOTDATA(#REF!,A427)*2</f>
        <v>#REF!</v>
      </c>
      <c r="K427" s="191" t="e">
        <f>(ROUND(E427/J427,0)+1)*GETPIVOTDATA(#REF!,A427)</f>
        <v>#REF!</v>
      </c>
      <c r="L427" s="354" t="e">
        <f>GETPIVOTDATA(#REF!,A427)</f>
        <v>#REF!</v>
      </c>
      <c r="M427" s="355">
        <f>0.3*2</f>
        <v>0.6</v>
      </c>
      <c r="N427" s="354">
        <f t="shared" si="271"/>
        <v>-0.04</v>
      </c>
      <c r="O427" s="354">
        <f>2.9*0.3</f>
        <v>0.87</v>
      </c>
      <c r="P427" s="353" t="e">
        <f t="shared" si="272"/>
        <v>#REF!</v>
      </c>
      <c r="Q427" s="191" t="e">
        <f>GETPIVOTDATA(#REF!,A427)</f>
        <v>#REF!</v>
      </c>
      <c r="R427" s="353" t="e">
        <f>GETPIVOTDATA(#REF!,A427)*2</f>
        <v>#REF!</v>
      </c>
      <c r="S427" s="191" t="e">
        <f>(ROUND(E427/R427,0))*GETPIVOTDATA(#REF!,A427)</f>
        <v>#REF!</v>
      </c>
      <c r="T427" s="354" t="e">
        <f>GETPIVOTDATA(#REF!,A427)</f>
        <v>#REF!</v>
      </c>
      <c r="U427" s="355">
        <f>0.3*2</f>
        <v>0.6</v>
      </c>
      <c r="V427" s="354">
        <f t="shared" si="273"/>
        <v>-0.04</v>
      </c>
      <c r="W427" s="354">
        <f>3.72*0.3</f>
        <v>1.1160000000000001</v>
      </c>
      <c r="X427" s="353" t="e">
        <f t="shared" si="274"/>
        <v>#REF!</v>
      </c>
      <c r="Y427" s="191" t="e">
        <f>GETPIVOTDATA(#REF!,A427)</f>
        <v>#REF!</v>
      </c>
      <c r="Z427" s="353" t="e">
        <f>GETPIVOTDATA(#REF!,A427)*2</f>
        <v>#REF!</v>
      </c>
      <c r="AA427" s="191" t="e">
        <f>(ROUND(D427/Z427,0)+1)*GETPIVOTDATA(#REF!,A427)</f>
        <v>#REF!</v>
      </c>
      <c r="AB427" s="354" t="e">
        <f>GETPIVOTDATA(#REF!,A427)</f>
        <v>#REF!</v>
      </c>
      <c r="AC427" s="355">
        <f>0.3*2</f>
        <v>0.6</v>
      </c>
      <c r="AD427" s="354">
        <f t="shared" si="275"/>
        <v>-0.04</v>
      </c>
      <c r="AE427" s="354">
        <f>2.83*0.3</f>
        <v>0.84899999999999998</v>
      </c>
      <c r="AF427" s="353" t="e">
        <f t="shared" si="276"/>
        <v>#REF!</v>
      </c>
      <c r="AG427" s="191" t="e">
        <f>GETPIVOTDATA(#REF!,A427)</f>
        <v>#REF!</v>
      </c>
      <c r="AH427" s="201" t="e">
        <f>GETPIVOTDATA(#REF!,A427)*2</f>
        <v>#REF!</v>
      </c>
      <c r="AI427" s="191" t="e">
        <f>(ROUND(D427/AH427,0))*GETPIVOTDATA(#REF!,A427)</f>
        <v>#REF!</v>
      </c>
      <c r="AJ427" s="354" t="e">
        <f>GETPIVOTDATA(#REF!,A427)</f>
        <v>#REF!</v>
      </c>
      <c r="AK427" s="355">
        <f>0.3*2</f>
        <v>0.6</v>
      </c>
      <c r="AL427" s="354">
        <f t="shared" si="277"/>
        <v>-0.04</v>
      </c>
      <c r="AM427" s="354">
        <f>4.85*0.3</f>
        <v>1.4549999999999998</v>
      </c>
      <c r="AN427" s="353" t="e">
        <f t="shared" si="278"/>
        <v>#REF!</v>
      </c>
      <c r="AO427" s="191">
        <v>0</v>
      </c>
      <c r="AP427" s="201">
        <f t="shared" si="268"/>
        <v>10</v>
      </c>
      <c r="AQ427" s="201">
        <v>1.5</v>
      </c>
      <c r="AR427" s="352" t="e">
        <f t="shared" si="289"/>
        <v>#REF!</v>
      </c>
      <c r="AS427" s="352" t="e">
        <f t="shared" si="290"/>
        <v>#REF!</v>
      </c>
      <c r="AT427" s="352" t="e">
        <f t="shared" si="291"/>
        <v>#REF!</v>
      </c>
      <c r="AU427" s="352" t="e">
        <f t="shared" si="292"/>
        <v>#REF!</v>
      </c>
      <c r="AV427" s="352" t="e">
        <f t="shared" si="293"/>
        <v>#REF!</v>
      </c>
      <c r="AW427" s="352" t="e">
        <f t="shared" si="282"/>
        <v>#REF!</v>
      </c>
      <c r="AX427" s="352">
        <f t="shared" si="283"/>
        <v>15</v>
      </c>
      <c r="AY427" s="190"/>
      <c r="AZ427" s="240"/>
      <c r="BA427" s="232"/>
      <c r="BF427" s="206"/>
      <c r="BG427" s="206"/>
      <c r="BK427" s="126"/>
      <c r="BL427" s="126"/>
      <c r="BN427" s="126"/>
      <c r="BO427" s="126"/>
      <c r="BQ427" s="126"/>
      <c r="BR427" s="126"/>
      <c r="BT427" s="126"/>
      <c r="BU427" s="126"/>
      <c r="BW427" s="126"/>
      <c r="BX427" s="126"/>
      <c r="BZ427" s="126"/>
      <c r="CA427" s="126"/>
      <c r="CC427" s="126"/>
      <c r="CD427" s="126"/>
      <c r="CF427" s="126"/>
      <c r="CG427" s="126"/>
    </row>
    <row r="428" spans="1:85" s="197" customFormat="1" x14ac:dyDescent="0.3">
      <c r="A428" s="201"/>
      <c r="B428" s="191"/>
      <c r="C428" s="349"/>
      <c r="D428" s="352"/>
      <c r="E428" s="352"/>
      <c r="F428" s="351"/>
      <c r="G428" s="352"/>
      <c r="H428" s="353"/>
      <c r="I428" s="191"/>
      <c r="J428" s="353"/>
      <c r="K428" s="191"/>
      <c r="L428" s="354"/>
      <c r="M428" s="355"/>
      <c r="N428" s="354"/>
      <c r="O428" s="354"/>
      <c r="P428" s="353"/>
      <c r="Q428" s="191"/>
      <c r="R428" s="353"/>
      <c r="S428" s="191"/>
      <c r="T428" s="354"/>
      <c r="U428" s="355"/>
      <c r="V428" s="354"/>
      <c r="W428" s="354"/>
      <c r="X428" s="353"/>
      <c r="Y428" s="191"/>
      <c r="Z428" s="353"/>
      <c r="AA428" s="191"/>
      <c r="AB428" s="354"/>
      <c r="AC428" s="355"/>
      <c r="AD428" s="354"/>
      <c r="AE428" s="354"/>
      <c r="AF428" s="353"/>
      <c r="AG428" s="191"/>
      <c r="AH428" s="201"/>
      <c r="AI428" s="191"/>
      <c r="AJ428" s="354"/>
      <c r="AK428" s="355"/>
      <c r="AL428" s="354"/>
      <c r="AM428" s="354"/>
      <c r="AN428" s="353"/>
      <c r="AO428" s="191"/>
      <c r="AP428" s="201"/>
      <c r="AQ428" s="201"/>
      <c r="AR428" s="352"/>
      <c r="AS428" s="352"/>
      <c r="AT428" s="352"/>
      <c r="AU428" s="352"/>
      <c r="AV428" s="352"/>
      <c r="AW428" s="352"/>
      <c r="AX428" s="352"/>
      <c r="AY428" s="190"/>
      <c r="AZ428" s="240"/>
      <c r="BA428" s="232"/>
      <c r="BF428" s="206"/>
      <c r="BG428" s="206"/>
      <c r="BK428" s="126"/>
      <c r="BL428" s="126"/>
      <c r="BN428" s="126"/>
      <c r="BO428" s="126"/>
      <c r="BQ428" s="126"/>
      <c r="BR428" s="126"/>
      <c r="BT428" s="126"/>
      <c r="BU428" s="126"/>
      <c r="BW428" s="126"/>
      <c r="BX428" s="126"/>
      <c r="BZ428" s="126"/>
      <c r="CA428" s="126"/>
      <c r="CC428" s="126"/>
      <c r="CD428" s="126"/>
      <c r="CF428" s="126"/>
      <c r="CG428" s="126"/>
    </row>
    <row r="429" spans="1:85" s="197" customFormat="1" x14ac:dyDescent="0.3">
      <c r="A429" s="201"/>
      <c r="B429" s="191"/>
      <c r="C429" s="349"/>
      <c r="D429" s="352"/>
      <c r="E429" s="352"/>
      <c r="F429" s="351"/>
      <c r="G429" s="352"/>
      <c r="H429" s="353"/>
      <c r="I429" s="191"/>
      <c r="J429" s="353"/>
      <c r="K429" s="191"/>
      <c r="L429" s="354"/>
      <c r="M429" s="355"/>
      <c r="N429" s="354"/>
      <c r="O429" s="354"/>
      <c r="P429" s="353"/>
      <c r="Q429" s="191"/>
      <c r="R429" s="353"/>
      <c r="S429" s="191"/>
      <c r="T429" s="354"/>
      <c r="U429" s="355"/>
      <c r="V429" s="354"/>
      <c r="W429" s="354"/>
      <c r="X429" s="353"/>
      <c r="Y429" s="191"/>
      <c r="Z429" s="353"/>
      <c r="AA429" s="191"/>
      <c r="AB429" s="354"/>
      <c r="AC429" s="355"/>
      <c r="AD429" s="354"/>
      <c r="AE429" s="354"/>
      <c r="AF429" s="353"/>
      <c r="AG429" s="191"/>
      <c r="AH429" s="201"/>
      <c r="AI429" s="191"/>
      <c r="AJ429" s="354"/>
      <c r="AK429" s="355"/>
      <c r="AL429" s="354"/>
      <c r="AM429" s="354"/>
      <c r="AN429" s="353"/>
      <c r="AO429" s="191"/>
      <c r="AP429" s="201"/>
      <c r="AQ429" s="201"/>
      <c r="AR429" s="352"/>
      <c r="AS429" s="352"/>
      <c r="AT429" s="352"/>
      <c r="AU429" s="352"/>
      <c r="AV429" s="352"/>
      <c r="AW429" s="352"/>
      <c r="AX429" s="352"/>
      <c r="AY429" s="190"/>
      <c r="AZ429" s="240"/>
      <c r="BA429" s="232"/>
      <c r="BF429" s="206"/>
      <c r="BG429" s="206"/>
      <c r="BK429" s="126"/>
      <c r="BL429" s="126"/>
      <c r="BN429" s="126"/>
      <c r="BO429" s="126"/>
      <c r="BQ429" s="126"/>
      <c r="BR429" s="126"/>
      <c r="BT429" s="126"/>
      <c r="BU429" s="126"/>
      <c r="BW429" s="126"/>
      <c r="BX429" s="126"/>
      <c r="BZ429" s="126"/>
      <c r="CA429" s="126"/>
      <c r="CC429" s="126"/>
      <c r="CD429" s="126"/>
      <c r="CF429" s="126"/>
      <c r="CG429" s="126"/>
    </row>
    <row r="430" spans="1:85" s="197" customFormat="1" x14ac:dyDescent="0.3">
      <c r="A430" s="201" t="s">
        <v>223</v>
      </c>
      <c r="B430" s="191">
        <v>1</v>
      </c>
      <c r="C430" s="356" t="s">
        <v>426</v>
      </c>
      <c r="D430" s="352">
        <v>6.16</v>
      </c>
      <c r="E430" s="352">
        <v>2.83</v>
      </c>
      <c r="F430" s="351">
        <v>0.13</v>
      </c>
      <c r="G430" s="352">
        <f t="shared" si="296"/>
        <v>2.2662640000000001</v>
      </c>
      <c r="H430" s="353">
        <f t="shared" si="298"/>
        <v>17.4328</v>
      </c>
      <c r="I430" s="191" t="e">
        <f>GETPIVOTDATA(#REF!,A430)</f>
        <v>#REF!</v>
      </c>
      <c r="J430" s="353" t="e">
        <f>GETPIVOTDATA(#REF!,A430)*2</f>
        <v>#REF!</v>
      </c>
      <c r="K430" s="191" t="e">
        <f>(ROUND(E430/J430,0)+1)*GETPIVOTDATA(#REF!,A430)</f>
        <v>#REF!</v>
      </c>
      <c r="L430" s="354" t="e">
        <f>GETPIVOTDATA(#REF!,A430)</f>
        <v>#REF!</v>
      </c>
      <c r="M430" s="355">
        <f>0.3*2</f>
        <v>0.6</v>
      </c>
      <c r="N430" s="354">
        <f t="shared" si="271"/>
        <v>-0.04</v>
      </c>
      <c r="O430" s="354">
        <f>1.11*0.3</f>
        <v>0.33300000000000002</v>
      </c>
      <c r="P430" s="353" t="e">
        <f t="shared" si="272"/>
        <v>#REF!</v>
      </c>
      <c r="Q430" s="191" t="e">
        <f>GETPIVOTDATA(#REF!,A430)</f>
        <v>#REF!</v>
      </c>
      <c r="R430" s="353" t="e">
        <f>GETPIVOTDATA(#REF!,A430)*2</f>
        <v>#REF!</v>
      </c>
      <c r="S430" s="191" t="e">
        <f>(ROUND(E430/R430,0))*GETPIVOTDATA(#REF!,A430)</f>
        <v>#REF!</v>
      </c>
      <c r="T430" s="354" t="e">
        <f>GETPIVOTDATA(#REF!,A430)</f>
        <v>#REF!</v>
      </c>
      <c r="U430" s="355">
        <f>0.3*2</f>
        <v>0.6</v>
      </c>
      <c r="V430" s="354">
        <f t="shared" si="273"/>
        <v>-0.04</v>
      </c>
      <c r="W430" s="354">
        <f>2.31*0.3</f>
        <v>0.69299999999999995</v>
      </c>
      <c r="X430" s="353" t="e">
        <f t="shared" si="274"/>
        <v>#REF!</v>
      </c>
      <c r="Y430" s="191" t="e">
        <f>GETPIVOTDATA(#REF!,A430)</f>
        <v>#REF!</v>
      </c>
      <c r="Z430" s="353" t="e">
        <f>GETPIVOTDATA(#REF!,A430)*2</f>
        <v>#REF!</v>
      </c>
      <c r="AA430" s="191" t="e">
        <f>(ROUND(D430/Z430,0)+1)*GETPIVOTDATA(#REF!,A430)</f>
        <v>#REF!</v>
      </c>
      <c r="AB430" s="354" t="e">
        <f>GETPIVOTDATA(#REF!,A430)</f>
        <v>#REF!</v>
      </c>
      <c r="AC430" s="355">
        <f>0.3*2</f>
        <v>0.6</v>
      </c>
      <c r="AD430" s="354">
        <f t="shared" si="275"/>
        <v>-0.04</v>
      </c>
      <c r="AE430" s="354">
        <f>2.83*0.3</f>
        <v>0.84899999999999998</v>
      </c>
      <c r="AF430" s="353" t="e">
        <f t="shared" si="276"/>
        <v>#REF!</v>
      </c>
      <c r="AG430" s="191" t="e">
        <f>GETPIVOTDATA(#REF!,A430)</f>
        <v>#REF!</v>
      </c>
      <c r="AH430" s="201" t="e">
        <f>GETPIVOTDATA(#REF!,A430)*2</f>
        <v>#REF!</v>
      </c>
      <c r="AI430" s="191" t="e">
        <f>(ROUND(D430/AH430,0))*GETPIVOTDATA(#REF!,A430)</f>
        <v>#REF!</v>
      </c>
      <c r="AJ430" s="354" t="e">
        <f>GETPIVOTDATA(#REF!,A430)</f>
        <v>#REF!</v>
      </c>
      <c r="AK430" s="355">
        <f>0.3*2</f>
        <v>0.6</v>
      </c>
      <c r="AL430" s="354">
        <f t="shared" si="277"/>
        <v>-0.04</v>
      </c>
      <c r="AM430" s="354">
        <f>4.42*0.3</f>
        <v>1.3259999999999998</v>
      </c>
      <c r="AN430" s="353" t="e">
        <f t="shared" si="278"/>
        <v>#REF!</v>
      </c>
      <c r="AO430" s="191">
        <v>0</v>
      </c>
      <c r="AP430" s="201">
        <f t="shared" si="268"/>
        <v>12</v>
      </c>
      <c r="AQ430" s="201">
        <v>1.5</v>
      </c>
      <c r="AR430" s="352" t="e">
        <f t="shared" si="289"/>
        <v>#REF!</v>
      </c>
      <c r="AS430" s="352" t="e">
        <f t="shared" si="290"/>
        <v>#REF!</v>
      </c>
      <c r="AT430" s="352" t="e">
        <f t="shared" si="291"/>
        <v>#REF!</v>
      </c>
      <c r="AU430" s="352" t="e">
        <f t="shared" si="292"/>
        <v>#REF!</v>
      </c>
      <c r="AV430" s="352" t="e">
        <f t="shared" si="293"/>
        <v>#REF!</v>
      </c>
      <c r="AW430" s="352" t="e">
        <f t="shared" si="282"/>
        <v>#REF!</v>
      </c>
      <c r="AX430" s="352">
        <f t="shared" si="283"/>
        <v>18</v>
      </c>
      <c r="AY430" s="190"/>
      <c r="AZ430" s="240"/>
      <c r="BA430" s="232"/>
      <c r="BF430" s="206"/>
      <c r="BG430" s="206"/>
      <c r="BK430" s="126"/>
      <c r="BL430" s="126"/>
      <c r="BN430" s="126"/>
      <c r="BO430" s="126"/>
      <c r="BQ430" s="126"/>
      <c r="BR430" s="126"/>
      <c r="BT430" s="126"/>
      <c r="BU430" s="126"/>
      <c r="BW430" s="126"/>
      <c r="BX430" s="126"/>
      <c r="BZ430" s="126"/>
      <c r="CA430" s="126"/>
      <c r="CC430" s="126"/>
      <c r="CD430" s="126"/>
      <c r="CF430" s="126"/>
      <c r="CG430" s="126"/>
    </row>
    <row r="431" spans="1:85" s="197" customFormat="1" x14ac:dyDescent="0.3">
      <c r="A431" s="201"/>
      <c r="B431" s="191"/>
      <c r="C431" s="349"/>
      <c r="D431" s="352"/>
      <c r="E431" s="352"/>
      <c r="F431" s="351"/>
      <c r="G431" s="352"/>
      <c r="H431" s="353"/>
      <c r="I431" s="191"/>
      <c r="J431" s="353"/>
      <c r="K431" s="191"/>
      <c r="L431" s="354"/>
      <c r="M431" s="355"/>
      <c r="N431" s="354"/>
      <c r="O431" s="354"/>
      <c r="P431" s="353"/>
      <c r="Q431" s="191"/>
      <c r="R431" s="353"/>
      <c r="S431" s="191"/>
      <c r="T431" s="354"/>
      <c r="U431" s="355"/>
      <c r="V431" s="354"/>
      <c r="W431" s="354"/>
      <c r="X431" s="353"/>
      <c r="Y431" s="191"/>
      <c r="Z431" s="353"/>
      <c r="AA431" s="191"/>
      <c r="AB431" s="354"/>
      <c r="AC431" s="355"/>
      <c r="AD431" s="354"/>
      <c r="AE431" s="354"/>
      <c r="AF431" s="353"/>
      <c r="AG431" s="191"/>
      <c r="AH431" s="201"/>
      <c r="AI431" s="191"/>
      <c r="AJ431" s="354"/>
      <c r="AK431" s="355"/>
      <c r="AL431" s="354"/>
      <c r="AM431" s="354"/>
      <c r="AN431" s="353"/>
      <c r="AO431" s="191"/>
      <c r="AP431" s="201"/>
      <c r="AQ431" s="201"/>
      <c r="AR431" s="352"/>
      <c r="AS431" s="352"/>
      <c r="AT431" s="352"/>
      <c r="AU431" s="352"/>
      <c r="AV431" s="352"/>
      <c r="AW431" s="352"/>
      <c r="AX431" s="352"/>
      <c r="AY431" s="190"/>
      <c r="AZ431" s="240"/>
      <c r="BA431" s="232"/>
      <c r="BF431" s="206"/>
      <c r="BG431" s="206"/>
      <c r="BK431" s="126"/>
      <c r="BL431" s="126"/>
      <c r="BN431" s="126"/>
      <c r="BO431" s="126"/>
      <c r="BQ431" s="126"/>
      <c r="BR431" s="126"/>
      <c r="BT431" s="126"/>
      <c r="BU431" s="126"/>
      <c r="BW431" s="126"/>
      <c r="BX431" s="126"/>
      <c r="BZ431" s="126"/>
      <c r="CA431" s="126"/>
      <c r="CC431" s="126"/>
      <c r="CD431" s="126"/>
      <c r="CF431" s="126"/>
      <c r="CG431" s="126"/>
    </row>
    <row r="432" spans="1:85" s="197" customFormat="1" x14ac:dyDescent="0.3">
      <c r="A432" s="201" t="s">
        <v>223</v>
      </c>
      <c r="B432" s="191">
        <v>1</v>
      </c>
      <c r="C432" s="356" t="s">
        <v>427</v>
      </c>
      <c r="D432" s="352">
        <v>6.5</v>
      </c>
      <c r="E432" s="352">
        <v>2.83</v>
      </c>
      <c r="F432" s="351">
        <v>0.13</v>
      </c>
      <c r="G432" s="352">
        <f t="shared" si="296"/>
        <v>2.3913500000000001</v>
      </c>
      <c r="H432" s="353">
        <f t="shared" si="298"/>
        <v>18.395</v>
      </c>
      <c r="I432" s="191" t="e">
        <f>GETPIVOTDATA(#REF!,A432)</f>
        <v>#REF!</v>
      </c>
      <c r="J432" s="353" t="e">
        <f>GETPIVOTDATA(#REF!,A432)*2</f>
        <v>#REF!</v>
      </c>
      <c r="K432" s="191" t="e">
        <f>(ROUND(E432/J432,0)+1)*GETPIVOTDATA(#REF!,A432)</f>
        <v>#REF!</v>
      </c>
      <c r="L432" s="354" t="e">
        <f>GETPIVOTDATA(#REF!,A432)</f>
        <v>#REF!</v>
      </c>
      <c r="M432" s="355">
        <f>0.3*2</f>
        <v>0.6</v>
      </c>
      <c r="N432" s="354">
        <f t="shared" ref="N432:N457" si="299">-(0.02*2)</f>
        <v>-0.04</v>
      </c>
      <c r="O432" s="354">
        <f>1.11*0.3</f>
        <v>0.33300000000000002</v>
      </c>
      <c r="P432" s="353" t="e">
        <f t="shared" ref="P432:P457" si="300">+D432+SUM(L432:O432)</f>
        <v>#REF!</v>
      </c>
      <c r="Q432" s="191" t="e">
        <f>GETPIVOTDATA(#REF!,A432)</f>
        <v>#REF!</v>
      </c>
      <c r="R432" s="353" t="e">
        <f>GETPIVOTDATA(#REF!,A432)*2</f>
        <v>#REF!</v>
      </c>
      <c r="S432" s="191" t="e">
        <f>(ROUND(E432/R432,0))*GETPIVOTDATA(#REF!,A432)</f>
        <v>#REF!</v>
      </c>
      <c r="T432" s="354" t="e">
        <f>GETPIVOTDATA(#REF!,A432)</f>
        <v>#REF!</v>
      </c>
      <c r="U432" s="355">
        <f>0.3*2</f>
        <v>0.6</v>
      </c>
      <c r="V432" s="354">
        <f t="shared" ref="V432:V457" si="301">-(0.02*2)</f>
        <v>-0.04</v>
      </c>
      <c r="W432" s="354">
        <f>2.31*0.3</f>
        <v>0.69299999999999995</v>
      </c>
      <c r="X432" s="353" t="e">
        <f t="shared" ref="X432:X457" si="302">+D432+SUM(T432:W432)</f>
        <v>#REF!</v>
      </c>
      <c r="Y432" s="191" t="e">
        <f>GETPIVOTDATA(#REF!,A432)</f>
        <v>#REF!</v>
      </c>
      <c r="Z432" s="353" t="e">
        <f>GETPIVOTDATA(#REF!,A432)*2</f>
        <v>#REF!</v>
      </c>
      <c r="AA432" s="191" t="e">
        <f>(ROUND(D432/Z432,0)+1)*GETPIVOTDATA(#REF!,A432)</f>
        <v>#REF!</v>
      </c>
      <c r="AB432" s="354" t="e">
        <f>GETPIVOTDATA(#REF!,A432)</f>
        <v>#REF!</v>
      </c>
      <c r="AC432" s="355">
        <f>0.3*2</f>
        <v>0.6</v>
      </c>
      <c r="AD432" s="354">
        <f t="shared" ref="AD432:AD457" si="303">-(0.02*2)</f>
        <v>-0.04</v>
      </c>
      <c r="AE432" s="354">
        <f>4.42*0.3</f>
        <v>1.3259999999999998</v>
      </c>
      <c r="AF432" s="353" t="e">
        <f t="shared" ref="AF432:AF457" si="304">+E432+SUM(AB432:AE432)</f>
        <v>#REF!</v>
      </c>
      <c r="AG432" s="191" t="e">
        <f>GETPIVOTDATA(#REF!,A432)</f>
        <v>#REF!</v>
      </c>
      <c r="AH432" s="201" t="e">
        <f>GETPIVOTDATA(#REF!,A432)*2</f>
        <v>#REF!</v>
      </c>
      <c r="AI432" s="191" t="e">
        <f>(ROUND(D432/AH432,0))*GETPIVOTDATA(#REF!,A432)</f>
        <v>#REF!</v>
      </c>
      <c r="AJ432" s="354" t="e">
        <f>GETPIVOTDATA(#REF!,A432)</f>
        <v>#REF!</v>
      </c>
      <c r="AK432" s="355">
        <f>0.3*2</f>
        <v>0.6</v>
      </c>
      <c r="AL432" s="354">
        <f t="shared" ref="AL432:AL457" si="305">-(0.02*2)</f>
        <v>-0.04</v>
      </c>
      <c r="AM432" s="354">
        <f>2.83*0.3</f>
        <v>0.84899999999999998</v>
      </c>
      <c r="AN432" s="353" t="e">
        <f t="shared" ref="AN432:AN457" si="306">+E432+SUM(AJ432:AM432)</f>
        <v>#REF!</v>
      </c>
      <c r="AO432" s="191">
        <v>0</v>
      </c>
      <c r="AP432" s="201">
        <f t="shared" ref="AP432:AP457" si="307">(ROUND(D432/1.5,0)+ROUND(E432/1.5,0))*2</f>
        <v>12</v>
      </c>
      <c r="AQ432" s="201">
        <v>1.5</v>
      </c>
      <c r="AR432" s="352" t="e">
        <f t="shared" si="289"/>
        <v>#REF!</v>
      </c>
      <c r="AS432" s="352" t="e">
        <f t="shared" si="290"/>
        <v>#REF!</v>
      </c>
      <c r="AT432" s="352" t="e">
        <f t="shared" si="291"/>
        <v>#REF!</v>
      </c>
      <c r="AU432" s="352" t="e">
        <f t="shared" si="292"/>
        <v>#REF!</v>
      </c>
      <c r="AV432" s="352" t="e">
        <f t="shared" si="293"/>
        <v>#REF!</v>
      </c>
      <c r="AW432" s="352" t="e">
        <f t="shared" ref="AW432:AW457" si="308">IF(AG432=12,AI432*AN432*B432,0)+IF(Y432=12,B432*AA432*AF432,0)</f>
        <v>#REF!</v>
      </c>
      <c r="AX432" s="352">
        <f t="shared" ref="AX432:AX457" si="309">AP432*AQ432*B432</f>
        <v>18</v>
      </c>
      <c r="AY432" s="190"/>
      <c r="AZ432" s="240"/>
      <c r="BA432" s="232"/>
      <c r="BF432" s="206"/>
      <c r="BG432" s="206"/>
      <c r="BK432" s="126"/>
      <c r="BL432" s="126"/>
      <c r="BN432" s="126"/>
      <c r="BO432" s="126"/>
      <c r="BQ432" s="126"/>
      <c r="BR432" s="126"/>
      <c r="BT432" s="126"/>
      <c r="BU432" s="126"/>
      <c r="BW432" s="126"/>
      <c r="BX432" s="126"/>
      <c r="BZ432" s="126"/>
      <c r="CA432" s="126"/>
      <c r="CC432" s="126"/>
      <c r="CD432" s="126"/>
      <c r="CF432" s="126"/>
      <c r="CG432" s="126"/>
    </row>
    <row r="433" spans="1:85" s="197" customFormat="1" x14ac:dyDescent="0.3">
      <c r="A433" s="201"/>
      <c r="B433" s="191"/>
      <c r="C433" s="349"/>
      <c r="D433" s="352"/>
      <c r="E433" s="352"/>
      <c r="F433" s="351"/>
      <c r="G433" s="352"/>
      <c r="H433" s="353"/>
      <c r="I433" s="191"/>
      <c r="J433" s="353"/>
      <c r="K433" s="191"/>
      <c r="L433" s="354"/>
      <c r="M433" s="355"/>
      <c r="N433" s="354"/>
      <c r="O433" s="354"/>
      <c r="P433" s="353"/>
      <c r="Q433" s="191"/>
      <c r="R433" s="353"/>
      <c r="S433" s="191"/>
      <c r="T433" s="354"/>
      <c r="U433" s="355"/>
      <c r="V433" s="354"/>
      <c r="W433" s="354"/>
      <c r="X433" s="353"/>
      <c r="Y433" s="191"/>
      <c r="Z433" s="353"/>
      <c r="AA433" s="191"/>
      <c r="AB433" s="354"/>
      <c r="AC433" s="355"/>
      <c r="AD433" s="354"/>
      <c r="AE433" s="354"/>
      <c r="AF433" s="353"/>
      <c r="AG433" s="191"/>
      <c r="AH433" s="201"/>
      <c r="AI433" s="191"/>
      <c r="AJ433" s="354"/>
      <c r="AK433" s="355"/>
      <c r="AL433" s="354"/>
      <c r="AM433" s="354"/>
      <c r="AN433" s="353"/>
      <c r="AO433" s="191"/>
      <c r="AP433" s="201"/>
      <c r="AQ433" s="201"/>
      <c r="AR433" s="352"/>
      <c r="AS433" s="352"/>
      <c r="AT433" s="352"/>
      <c r="AU433" s="352"/>
      <c r="AV433" s="352"/>
      <c r="AW433" s="352"/>
      <c r="AX433" s="352"/>
      <c r="AY433" s="190"/>
      <c r="AZ433" s="240"/>
      <c r="BA433" s="232"/>
      <c r="BF433" s="206"/>
      <c r="BG433" s="206"/>
      <c r="BK433" s="126"/>
      <c r="BL433" s="126"/>
      <c r="BN433" s="126"/>
      <c r="BO433" s="126"/>
      <c r="BQ433" s="126"/>
      <c r="BR433" s="126"/>
      <c r="BT433" s="126"/>
      <c r="BU433" s="126"/>
      <c r="BW433" s="126"/>
      <c r="BX433" s="126"/>
      <c r="BZ433" s="126"/>
      <c r="CA433" s="126"/>
      <c r="CC433" s="126"/>
      <c r="CD433" s="126"/>
      <c r="CF433" s="126"/>
      <c r="CG433" s="126"/>
    </row>
    <row r="434" spans="1:85" s="197" customFormat="1" x14ac:dyDescent="0.3">
      <c r="A434" s="201"/>
      <c r="B434" s="191"/>
      <c r="C434" s="349"/>
      <c r="D434" s="352"/>
      <c r="E434" s="352"/>
      <c r="F434" s="351"/>
      <c r="G434" s="352"/>
      <c r="H434" s="353">
        <f t="shared" si="298"/>
        <v>0</v>
      </c>
      <c r="I434" s="191" t="e">
        <f>GETPIVOTDATA(#REF!,A434)</f>
        <v>#REF!</v>
      </c>
      <c r="J434" s="353" t="e">
        <f>GETPIVOTDATA(#REF!,A434)*2</f>
        <v>#REF!</v>
      </c>
      <c r="K434" s="191" t="e">
        <f>(ROUND(E434/J434,0)+1)*GETPIVOTDATA(#REF!,A434)</f>
        <v>#REF!</v>
      </c>
      <c r="L434" s="354" t="e">
        <f>GETPIVOTDATA(#REF!,A434)</f>
        <v>#REF!</v>
      </c>
      <c r="M434" s="355">
        <f>0.23+0.3</f>
        <v>0.53</v>
      </c>
      <c r="N434" s="354">
        <f t="shared" si="299"/>
        <v>-0.04</v>
      </c>
      <c r="O434" s="354">
        <f>F434-2*0.02</f>
        <v>-0.04</v>
      </c>
      <c r="P434" s="353" t="e">
        <f t="shared" si="300"/>
        <v>#REF!</v>
      </c>
      <c r="Q434" s="191" t="e">
        <f>GETPIVOTDATA(#REF!,A434)</f>
        <v>#REF!</v>
      </c>
      <c r="R434" s="353" t="e">
        <f>GETPIVOTDATA(#REF!,A434)*2</f>
        <v>#REF!</v>
      </c>
      <c r="S434" s="191" t="e">
        <f>(ROUND(E434/R434,0))*GETPIVOTDATA(#REF!,A434)</f>
        <v>#REF!</v>
      </c>
      <c r="T434" s="354" t="e">
        <f>GETPIVOTDATA(#REF!,A434)</f>
        <v>#REF!</v>
      </c>
      <c r="U434" s="355">
        <f>0.23+0.3</f>
        <v>0.53</v>
      </c>
      <c r="V434" s="354">
        <f t="shared" si="301"/>
        <v>-0.04</v>
      </c>
      <c r="W434" s="354">
        <f>3.55*0.3</f>
        <v>1.0649999999999999</v>
      </c>
      <c r="X434" s="353" t="e">
        <f t="shared" si="302"/>
        <v>#REF!</v>
      </c>
      <c r="Y434" s="191" t="e">
        <f>GETPIVOTDATA(#REF!,A434)</f>
        <v>#REF!</v>
      </c>
      <c r="Z434" s="353" t="e">
        <f>GETPIVOTDATA(#REF!,A434)*2</f>
        <v>#REF!</v>
      </c>
      <c r="AA434" s="191" t="e">
        <f>(ROUND(D434/Z434,0)+1)*GETPIVOTDATA(#REF!,A434)</f>
        <v>#REF!</v>
      </c>
      <c r="AB434" s="354" t="e">
        <f>GETPIVOTDATA(#REF!,A434)</f>
        <v>#REF!</v>
      </c>
      <c r="AC434" s="355">
        <f>0.3+0.3</f>
        <v>0.6</v>
      </c>
      <c r="AD434" s="354">
        <f t="shared" si="303"/>
        <v>-0.04</v>
      </c>
      <c r="AE434" s="354">
        <v>0</v>
      </c>
      <c r="AF434" s="353" t="e">
        <f t="shared" si="304"/>
        <v>#REF!</v>
      </c>
      <c r="AG434" s="191" t="e">
        <f>GETPIVOTDATA(#REF!,A434)</f>
        <v>#REF!</v>
      </c>
      <c r="AH434" s="201" t="e">
        <f>GETPIVOTDATA(#REF!,A434)*2</f>
        <v>#REF!</v>
      </c>
      <c r="AI434" s="191" t="e">
        <f>(ROUND(D434/AH434,0))*GETPIVOTDATA(#REF!,A434)</f>
        <v>#REF!</v>
      </c>
      <c r="AJ434" s="354" t="e">
        <f>GETPIVOTDATA(#REF!,A434)</f>
        <v>#REF!</v>
      </c>
      <c r="AK434" s="355">
        <f>0.3+0.3</f>
        <v>0.6</v>
      </c>
      <c r="AL434" s="354">
        <f t="shared" si="305"/>
        <v>-0.04</v>
      </c>
      <c r="AM434" s="354">
        <v>0</v>
      </c>
      <c r="AN434" s="353" t="e">
        <f t="shared" si="306"/>
        <v>#REF!</v>
      </c>
      <c r="AO434" s="191">
        <v>0</v>
      </c>
      <c r="AP434" s="201">
        <f t="shared" si="307"/>
        <v>0</v>
      </c>
      <c r="AQ434" s="201">
        <v>1.5</v>
      </c>
      <c r="AR434" s="352" t="e">
        <f t="shared" ref="AR434:AR473" si="310">IF(I434=8,K434*P434*B434,0)+IF(Q434=8,S434*X434*B434,0)</f>
        <v>#REF!</v>
      </c>
      <c r="AS434" s="352" t="e">
        <f t="shared" ref="AS434:AS473" si="311">IF(I434=10,K434*P434*B434,0)+IF(Q434=10,S434*X434*B434,0)</f>
        <v>#REF!</v>
      </c>
      <c r="AT434" s="352" t="e">
        <f t="shared" ref="AT434:AT473" si="312">IF(I434=12,K434*P434*B434,0)+IF(Q434=12,S434*X434*B434,0)</f>
        <v>#REF!</v>
      </c>
      <c r="AU434" s="352" t="e">
        <f t="shared" ref="AU434:AU473" si="313">IF(AG434=8,AI434*AN434*B434,0)+IF(Y434=8,B434*AA434*AF434,0)</f>
        <v>#REF!</v>
      </c>
      <c r="AV434" s="352" t="e">
        <f t="shared" ref="AV434:AV473" si="314">IF(AG434=10,AI434*AN434*B434,0)+IF(Y434=10,B434*AA434*AF434,0)</f>
        <v>#REF!</v>
      </c>
      <c r="AW434" s="352" t="e">
        <f t="shared" si="308"/>
        <v>#REF!</v>
      </c>
      <c r="AX434" s="352">
        <f t="shared" si="309"/>
        <v>0</v>
      </c>
      <c r="AY434" s="190"/>
      <c r="AZ434" s="240"/>
      <c r="BA434" s="232"/>
      <c r="BF434" s="206"/>
      <c r="BG434" s="206"/>
      <c r="BK434" s="126"/>
      <c r="BL434" s="126"/>
      <c r="BN434" s="126"/>
      <c r="BO434" s="126"/>
      <c r="BQ434" s="126"/>
      <c r="BR434" s="126"/>
      <c r="BT434" s="126"/>
      <c r="BU434" s="126"/>
      <c r="BW434" s="126"/>
      <c r="BX434" s="126"/>
      <c r="BZ434" s="126"/>
      <c r="CA434" s="126"/>
      <c r="CC434" s="126"/>
      <c r="CD434" s="126"/>
      <c r="CF434" s="126"/>
      <c r="CG434" s="126"/>
    </row>
    <row r="435" spans="1:85" s="197" customFormat="1" x14ac:dyDescent="0.3">
      <c r="A435" s="201" t="s">
        <v>233</v>
      </c>
      <c r="B435" s="191">
        <v>1</v>
      </c>
      <c r="C435" s="356" t="s">
        <v>428</v>
      </c>
      <c r="D435" s="352">
        <v>3.55</v>
      </c>
      <c r="E435" s="352">
        <v>4.42</v>
      </c>
      <c r="F435" s="351">
        <v>0.15</v>
      </c>
      <c r="G435" s="352">
        <f t="shared" ref="G435:G436" si="315">D435*E435*F435*B435</f>
        <v>2.3536499999999996</v>
      </c>
      <c r="H435" s="353">
        <f t="shared" si="298"/>
        <v>15.690999999999999</v>
      </c>
      <c r="I435" s="191" t="e">
        <f>GETPIVOTDATA(#REF!,A435)</f>
        <v>#REF!</v>
      </c>
      <c r="J435" s="353" t="e">
        <f>GETPIVOTDATA(#REF!,A435)*2</f>
        <v>#REF!</v>
      </c>
      <c r="K435" s="191" t="e">
        <f>(ROUND(E435/J435,0)+1)*GETPIVOTDATA(#REF!,A435)</f>
        <v>#REF!</v>
      </c>
      <c r="L435" s="354" t="e">
        <f>GETPIVOTDATA(#REF!,A435)</f>
        <v>#REF!</v>
      </c>
      <c r="M435" s="355">
        <f>0.3*2</f>
        <v>0.6</v>
      </c>
      <c r="N435" s="354">
        <f t="shared" si="299"/>
        <v>-0.04</v>
      </c>
      <c r="O435" s="354">
        <f>1.107*0.3</f>
        <v>0.33210000000000001</v>
      </c>
      <c r="P435" s="353" t="e">
        <f t="shared" si="300"/>
        <v>#REF!</v>
      </c>
      <c r="Q435" s="191" t="e">
        <f>GETPIVOTDATA(#REF!,A435)</f>
        <v>#REF!</v>
      </c>
      <c r="R435" s="353" t="e">
        <f>GETPIVOTDATA(#REF!,A435)*2</f>
        <v>#REF!</v>
      </c>
      <c r="S435" s="191" t="e">
        <f>(ROUND(E435/R435,0))*GETPIVOTDATA(#REF!,A435)</f>
        <v>#REF!</v>
      </c>
      <c r="T435" s="354" t="e">
        <f>GETPIVOTDATA(#REF!,A435)</f>
        <v>#REF!</v>
      </c>
      <c r="U435" s="355">
        <f>0.3*2</f>
        <v>0.6</v>
      </c>
      <c r="V435" s="354">
        <f t="shared" si="301"/>
        <v>-0.04</v>
      </c>
      <c r="W435" s="354">
        <f>3.15*0.3</f>
        <v>0.94499999999999995</v>
      </c>
      <c r="X435" s="353" t="e">
        <f t="shared" si="302"/>
        <v>#REF!</v>
      </c>
      <c r="Y435" s="191" t="e">
        <f>GETPIVOTDATA(#REF!,A435)</f>
        <v>#REF!</v>
      </c>
      <c r="Z435" s="353" t="e">
        <f>GETPIVOTDATA(#REF!,A435)*2</f>
        <v>#REF!</v>
      </c>
      <c r="AA435" s="191" t="e">
        <f>(ROUND(D435/Z435,0)+1)*GETPIVOTDATA(#REF!,A435)</f>
        <v>#REF!</v>
      </c>
      <c r="AB435" s="354" t="e">
        <f>GETPIVOTDATA(#REF!,A435)</f>
        <v>#REF!</v>
      </c>
      <c r="AC435" s="355">
        <f>0.3*2</f>
        <v>0.6</v>
      </c>
      <c r="AD435" s="354">
        <f t="shared" si="303"/>
        <v>-0.04</v>
      </c>
      <c r="AE435" s="354">
        <f>2.975*0.3</f>
        <v>0.89249999999999996</v>
      </c>
      <c r="AF435" s="353" t="e">
        <f t="shared" si="304"/>
        <v>#REF!</v>
      </c>
      <c r="AG435" s="191" t="e">
        <f>GETPIVOTDATA(#REF!,A435)</f>
        <v>#REF!</v>
      </c>
      <c r="AH435" s="201" t="e">
        <f>GETPIVOTDATA(#REF!,A435)*2</f>
        <v>#REF!</v>
      </c>
      <c r="AI435" s="191" t="e">
        <f>(ROUND(D435/AH435,0))*GETPIVOTDATA(#REF!,A435)</f>
        <v>#REF!</v>
      </c>
      <c r="AJ435" s="354" t="e">
        <f>GETPIVOTDATA(#REF!,A435)</f>
        <v>#REF!</v>
      </c>
      <c r="AK435" s="355">
        <f>0.3*2</f>
        <v>0.6</v>
      </c>
      <c r="AL435" s="354">
        <f t="shared" si="305"/>
        <v>-0.04</v>
      </c>
      <c r="AM435" s="354">
        <f>2.83*0.3</f>
        <v>0.84899999999999998</v>
      </c>
      <c r="AN435" s="353" t="e">
        <f t="shared" si="306"/>
        <v>#REF!</v>
      </c>
      <c r="AO435" s="191">
        <v>0</v>
      </c>
      <c r="AP435" s="201">
        <f t="shared" si="307"/>
        <v>10</v>
      </c>
      <c r="AQ435" s="201">
        <v>1.5</v>
      </c>
      <c r="AR435" s="352" t="e">
        <f t="shared" si="310"/>
        <v>#REF!</v>
      </c>
      <c r="AS435" s="352" t="e">
        <f t="shared" si="311"/>
        <v>#REF!</v>
      </c>
      <c r="AT435" s="352" t="e">
        <f t="shared" si="312"/>
        <v>#REF!</v>
      </c>
      <c r="AU435" s="352" t="e">
        <f t="shared" si="313"/>
        <v>#REF!</v>
      </c>
      <c r="AV435" s="352" t="e">
        <f t="shared" si="314"/>
        <v>#REF!</v>
      </c>
      <c r="AW435" s="352" t="e">
        <f t="shared" si="308"/>
        <v>#REF!</v>
      </c>
      <c r="AX435" s="352">
        <f t="shared" si="309"/>
        <v>15</v>
      </c>
      <c r="AY435" s="190"/>
      <c r="AZ435" s="240"/>
      <c r="BA435" s="232"/>
      <c r="BF435" s="206"/>
      <c r="BG435" s="206"/>
      <c r="BK435" s="126"/>
      <c r="BL435" s="126"/>
      <c r="BN435" s="126"/>
      <c r="BO435" s="126"/>
      <c r="BQ435" s="126"/>
      <c r="BR435" s="126"/>
      <c r="BT435" s="126"/>
      <c r="BU435" s="126"/>
      <c r="BW435" s="126"/>
      <c r="BX435" s="126"/>
      <c r="BZ435" s="126"/>
      <c r="CA435" s="126"/>
      <c r="CC435" s="126"/>
      <c r="CD435" s="126"/>
      <c r="CF435" s="126"/>
      <c r="CG435" s="126"/>
    </row>
    <row r="436" spans="1:85" s="197" customFormat="1" x14ac:dyDescent="0.3">
      <c r="A436" s="201" t="s">
        <v>233</v>
      </c>
      <c r="B436" s="191">
        <v>1</v>
      </c>
      <c r="C436" s="356" t="s">
        <v>429</v>
      </c>
      <c r="D436" s="352">
        <v>3.15</v>
      </c>
      <c r="E436" s="352">
        <v>4.42</v>
      </c>
      <c r="F436" s="351">
        <v>0.15</v>
      </c>
      <c r="G436" s="352">
        <f t="shared" si="315"/>
        <v>2.0884499999999999</v>
      </c>
      <c r="H436" s="353">
        <f t="shared" si="298"/>
        <v>13.923</v>
      </c>
      <c r="I436" s="191" t="e">
        <f>GETPIVOTDATA(#REF!,A436)</f>
        <v>#REF!</v>
      </c>
      <c r="J436" s="353" t="e">
        <f>GETPIVOTDATA(#REF!,A436)*2</f>
        <v>#REF!</v>
      </c>
      <c r="K436" s="191" t="e">
        <f>(ROUND(E436/J436,0)+1)*GETPIVOTDATA(#REF!,A436)</f>
        <v>#REF!</v>
      </c>
      <c r="L436" s="354" t="e">
        <f>GETPIVOTDATA(#REF!,A436)</f>
        <v>#REF!</v>
      </c>
      <c r="M436" s="355">
        <f>0.3*2</f>
        <v>0.6</v>
      </c>
      <c r="N436" s="354">
        <f t="shared" si="299"/>
        <v>-0.04</v>
      </c>
      <c r="O436" s="354">
        <f>3.55*0.3</f>
        <v>1.0649999999999999</v>
      </c>
      <c r="P436" s="353" t="e">
        <f t="shared" si="300"/>
        <v>#REF!</v>
      </c>
      <c r="Q436" s="191" t="e">
        <f>GETPIVOTDATA(#REF!,A436)</f>
        <v>#REF!</v>
      </c>
      <c r="R436" s="353" t="e">
        <f>GETPIVOTDATA(#REF!,A436)*2</f>
        <v>#REF!</v>
      </c>
      <c r="S436" s="191" t="e">
        <f>(ROUND(E436/R436,0))*GETPIVOTDATA(#REF!,A436)</f>
        <v>#REF!</v>
      </c>
      <c r="T436" s="354" t="e">
        <f>GETPIVOTDATA(#REF!,A436)</f>
        <v>#REF!</v>
      </c>
      <c r="U436" s="355">
        <f>0.3*2</f>
        <v>0.6</v>
      </c>
      <c r="V436" s="354">
        <f t="shared" si="301"/>
        <v>-0.04</v>
      </c>
      <c r="W436" s="354">
        <f>3.68*0.3</f>
        <v>1.1040000000000001</v>
      </c>
      <c r="X436" s="353" t="e">
        <f t="shared" si="302"/>
        <v>#REF!</v>
      </c>
      <c r="Y436" s="191" t="e">
        <f>GETPIVOTDATA(#REF!,A436)</f>
        <v>#REF!</v>
      </c>
      <c r="Z436" s="353" t="e">
        <f>GETPIVOTDATA(#REF!,A436)*2</f>
        <v>#REF!</v>
      </c>
      <c r="AA436" s="191" t="e">
        <f>(ROUND(D436/Z436,0)+1)*GETPIVOTDATA(#REF!,A436)</f>
        <v>#REF!</v>
      </c>
      <c r="AB436" s="354" t="e">
        <f>GETPIVOTDATA(#REF!,A436)</f>
        <v>#REF!</v>
      </c>
      <c r="AC436" s="355">
        <f>0.3*2</f>
        <v>0.6</v>
      </c>
      <c r="AD436" s="354">
        <f t="shared" si="303"/>
        <v>-0.04</v>
      </c>
      <c r="AE436" s="354">
        <f>2.98*0.3</f>
        <v>0.89400000000000002</v>
      </c>
      <c r="AF436" s="353" t="e">
        <f t="shared" si="304"/>
        <v>#REF!</v>
      </c>
      <c r="AG436" s="191" t="e">
        <f>GETPIVOTDATA(#REF!,A436)</f>
        <v>#REF!</v>
      </c>
      <c r="AH436" s="201" t="e">
        <f>GETPIVOTDATA(#REF!,A436)*2</f>
        <v>#REF!</v>
      </c>
      <c r="AI436" s="191" t="e">
        <f>(ROUND(D436/AH436,0))*GETPIVOTDATA(#REF!,A436)</f>
        <v>#REF!</v>
      </c>
      <c r="AJ436" s="354" t="e">
        <f>GETPIVOTDATA(#REF!,A436)</f>
        <v>#REF!</v>
      </c>
      <c r="AK436" s="355">
        <f>0.3*2</f>
        <v>0.6</v>
      </c>
      <c r="AL436" s="354">
        <f t="shared" si="305"/>
        <v>-0.04</v>
      </c>
      <c r="AM436" s="354">
        <f>2.83*0.3</f>
        <v>0.84899999999999998</v>
      </c>
      <c r="AN436" s="353" t="e">
        <f t="shared" si="306"/>
        <v>#REF!</v>
      </c>
      <c r="AO436" s="191">
        <v>0</v>
      </c>
      <c r="AP436" s="201">
        <f t="shared" si="307"/>
        <v>10</v>
      </c>
      <c r="AQ436" s="201">
        <v>1.5</v>
      </c>
      <c r="AR436" s="352" t="e">
        <f t="shared" si="310"/>
        <v>#REF!</v>
      </c>
      <c r="AS436" s="352" t="e">
        <f t="shared" si="311"/>
        <v>#REF!</v>
      </c>
      <c r="AT436" s="352" t="e">
        <f t="shared" si="312"/>
        <v>#REF!</v>
      </c>
      <c r="AU436" s="352" t="e">
        <f t="shared" si="313"/>
        <v>#REF!</v>
      </c>
      <c r="AV436" s="352" t="e">
        <f t="shared" si="314"/>
        <v>#REF!</v>
      </c>
      <c r="AW436" s="352" t="e">
        <f t="shared" si="308"/>
        <v>#REF!</v>
      </c>
      <c r="AX436" s="352">
        <f t="shared" si="309"/>
        <v>15</v>
      </c>
      <c r="AY436" s="190"/>
      <c r="AZ436" s="240"/>
      <c r="BA436" s="232"/>
      <c r="BF436" s="206"/>
      <c r="BG436" s="206"/>
      <c r="BK436" s="126"/>
      <c r="BL436" s="126"/>
      <c r="BN436" s="126"/>
      <c r="BO436" s="126"/>
      <c r="BQ436" s="126"/>
      <c r="BR436" s="126"/>
      <c r="BT436" s="126"/>
      <c r="BU436" s="126"/>
      <c r="BW436" s="126"/>
      <c r="BX436" s="126"/>
      <c r="BZ436" s="126"/>
      <c r="CA436" s="126"/>
      <c r="CC436" s="126"/>
      <c r="CD436" s="126"/>
      <c r="CF436" s="126"/>
      <c r="CG436" s="126"/>
    </row>
    <row r="437" spans="1:85" s="197" customFormat="1" x14ac:dyDescent="0.3">
      <c r="A437" s="201"/>
      <c r="B437" s="191"/>
      <c r="C437" s="349"/>
      <c r="D437" s="352"/>
      <c r="E437" s="352"/>
      <c r="F437" s="351"/>
      <c r="G437" s="352"/>
      <c r="H437" s="353"/>
      <c r="I437" s="191"/>
      <c r="J437" s="353"/>
      <c r="K437" s="191"/>
      <c r="L437" s="354"/>
      <c r="M437" s="355"/>
      <c r="N437" s="354"/>
      <c r="O437" s="354"/>
      <c r="P437" s="353"/>
      <c r="Q437" s="191"/>
      <c r="R437" s="353"/>
      <c r="S437" s="191"/>
      <c r="T437" s="354"/>
      <c r="U437" s="355"/>
      <c r="V437" s="354"/>
      <c r="W437" s="354"/>
      <c r="X437" s="353"/>
      <c r="Y437" s="191"/>
      <c r="Z437" s="353"/>
      <c r="AA437" s="191"/>
      <c r="AB437" s="354"/>
      <c r="AC437" s="355"/>
      <c r="AD437" s="354"/>
      <c r="AE437" s="354"/>
      <c r="AF437" s="353"/>
      <c r="AG437" s="191"/>
      <c r="AH437" s="201"/>
      <c r="AI437" s="191"/>
      <c r="AJ437" s="354"/>
      <c r="AK437" s="355"/>
      <c r="AL437" s="354"/>
      <c r="AM437" s="354"/>
      <c r="AN437" s="353"/>
      <c r="AO437" s="191"/>
      <c r="AP437" s="201"/>
      <c r="AQ437" s="201"/>
      <c r="AR437" s="352"/>
      <c r="AS437" s="352"/>
      <c r="AT437" s="352"/>
      <c r="AU437" s="352"/>
      <c r="AV437" s="352"/>
      <c r="AW437" s="352"/>
      <c r="AX437" s="352"/>
      <c r="AY437" s="190"/>
      <c r="AZ437" s="240"/>
      <c r="BA437" s="232"/>
      <c r="BF437" s="206"/>
      <c r="BG437" s="206"/>
      <c r="BK437" s="126"/>
      <c r="BL437" s="126"/>
      <c r="BN437" s="126"/>
      <c r="BO437" s="126"/>
      <c r="BQ437" s="126"/>
      <c r="BR437" s="126"/>
      <c r="BT437" s="126"/>
      <c r="BU437" s="126"/>
      <c r="BW437" s="126"/>
      <c r="BX437" s="126"/>
      <c r="BZ437" s="126"/>
      <c r="CA437" s="126"/>
      <c r="CC437" s="126"/>
      <c r="CD437" s="126"/>
      <c r="CF437" s="126"/>
      <c r="CG437" s="126"/>
    </row>
    <row r="438" spans="1:85" s="197" customFormat="1" x14ac:dyDescent="0.3">
      <c r="A438" s="201"/>
      <c r="B438" s="191"/>
      <c r="C438" s="349"/>
      <c r="D438" s="352"/>
      <c r="E438" s="352"/>
      <c r="F438" s="351"/>
      <c r="G438" s="352"/>
      <c r="H438" s="353"/>
      <c r="I438" s="191"/>
      <c r="J438" s="353"/>
      <c r="K438" s="191"/>
      <c r="L438" s="354"/>
      <c r="M438" s="355"/>
      <c r="N438" s="354"/>
      <c r="O438" s="354"/>
      <c r="P438" s="353"/>
      <c r="Q438" s="191"/>
      <c r="R438" s="353"/>
      <c r="S438" s="191"/>
      <c r="T438" s="354"/>
      <c r="U438" s="355"/>
      <c r="V438" s="354"/>
      <c r="W438" s="354"/>
      <c r="X438" s="353"/>
      <c r="Y438" s="191"/>
      <c r="Z438" s="353"/>
      <c r="AA438" s="191"/>
      <c r="AB438" s="354"/>
      <c r="AC438" s="355"/>
      <c r="AD438" s="354"/>
      <c r="AE438" s="354"/>
      <c r="AF438" s="353"/>
      <c r="AG438" s="191"/>
      <c r="AH438" s="201"/>
      <c r="AI438" s="191"/>
      <c r="AJ438" s="354"/>
      <c r="AK438" s="355"/>
      <c r="AL438" s="354"/>
      <c r="AM438" s="354"/>
      <c r="AN438" s="353"/>
      <c r="AO438" s="191"/>
      <c r="AP438" s="201"/>
      <c r="AQ438" s="201"/>
      <c r="AR438" s="352"/>
      <c r="AS438" s="352"/>
      <c r="AT438" s="352"/>
      <c r="AU438" s="352"/>
      <c r="AV438" s="352"/>
      <c r="AW438" s="352"/>
      <c r="AX438" s="352"/>
      <c r="AY438" s="190"/>
      <c r="AZ438" s="240"/>
      <c r="BA438" s="232"/>
      <c r="BF438" s="206"/>
      <c r="BG438" s="206"/>
      <c r="BK438" s="126"/>
      <c r="BL438" s="126"/>
      <c r="BN438" s="126"/>
      <c r="BO438" s="126"/>
      <c r="BQ438" s="126"/>
      <c r="BR438" s="126"/>
      <c r="BT438" s="126"/>
      <c r="BU438" s="126"/>
      <c r="BW438" s="126"/>
      <c r="BX438" s="126"/>
      <c r="BZ438" s="126"/>
      <c r="CA438" s="126"/>
      <c r="CC438" s="126"/>
      <c r="CD438" s="126"/>
      <c r="CF438" s="126"/>
      <c r="CG438" s="126"/>
    </row>
    <row r="439" spans="1:85" s="197" customFormat="1" x14ac:dyDescent="0.3">
      <c r="A439" s="201" t="s">
        <v>223</v>
      </c>
      <c r="B439" s="191">
        <v>1</v>
      </c>
      <c r="C439" s="356" t="s">
        <v>430</v>
      </c>
      <c r="D439" s="352">
        <v>7.32</v>
      </c>
      <c r="E439" s="352">
        <v>2.98</v>
      </c>
      <c r="F439" s="351">
        <v>0.13</v>
      </c>
      <c r="G439" s="352">
        <f t="shared" ref="G439:G448" si="316">D439*E439*F439*B439</f>
        <v>2.8357680000000003</v>
      </c>
      <c r="H439" s="353">
        <f t="shared" ref="H439:H448" si="317">D439*E439*B439</f>
        <v>21.813600000000001</v>
      </c>
      <c r="I439" s="191" t="e">
        <f>GETPIVOTDATA(#REF!,A439)</f>
        <v>#REF!</v>
      </c>
      <c r="J439" s="353" t="e">
        <f>GETPIVOTDATA(#REF!,A439)*2</f>
        <v>#REF!</v>
      </c>
      <c r="K439" s="191" t="e">
        <f>(ROUND(E439/J439,0)+1)*GETPIVOTDATA(#REF!,A439)</f>
        <v>#REF!</v>
      </c>
      <c r="L439" s="354" t="e">
        <f>GETPIVOTDATA(#REF!,A439)</f>
        <v>#REF!</v>
      </c>
      <c r="M439" s="355">
        <f>0.3*2</f>
        <v>0.6</v>
      </c>
      <c r="N439" s="354">
        <f t="shared" si="299"/>
        <v>-0.04</v>
      </c>
      <c r="O439" s="354">
        <f>1.107*0.3</f>
        <v>0.33210000000000001</v>
      </c>
      <c r="P439" s="353" t="e">
        <f t="shared" si="300"/>
        <v>#REF!</v>
      </c>
      <c r="Q439" s="191" t="e">
        <f>GETPIVOTDATA(#REF!,A439)</f>
        <v>#REF!</v>
      </c>
      <c r="R439" s="353" t="e">
        <f>GETPIVOTDATA(#REF!,A439)*2</f>
        <v>#REF!</v>
      </c>
      <c r="S439" s="191" t="e">
        <f>(ROUND(E439/R439,0))*GETPIVOTDATA(#REF!,A439)</f>
        <v>#REF!</v>
      </c>
      <c r="T439" s="354" t="e">
        <f>GETPIVOTDATA(#REF!,A439)</f>
        <v>#REF!</v>
      </c>
      <c r="U439" s="355">
        <f>0.3*2</f>
        <v>0.6</v>
      </c>
      <c r="V439" s="354">
        <f t="shared" si="301"/>
        <v>-0.04</v>
      </c>
      <c r="W439" s="354">
        <f>5.4*0.3</f>
        <v>1.62</v>
      </c>
      <c r="X439" s="353" t="e">
        <f t="shared" si="302"/>
        <v>#REF!</v>
      </c>
      <c r="Y439" s="191" t="e">
        <f>GETPIVOTDATA(#REF!,A439)</f>
        <v>#REF!</v>
      </c>
      <c r="Z439" s="353" t="e">
        <f>GETPIVOTDATA(#REF!,A439)*2</f>
        <v>#REF!</v>
      </c>
      <c r="AA439" s="191" t="e">
        <f>(ROUND(D439/Z439,0)+1)*GETPIVOTDATA(#REF!,A439)</f>
        <v>#REF!</v>
      </c>
      <c r="AB439" s="354" t="e">
        <f>GETPIVOTDATA(#REF!,A439)</f>
        <v>#REF!</v>
      </c>
      <c r="AC439" s="355">
        <f>0.3*2</f>
        <v>0.6</v>
      </c>
      <c r="AD439" s="354">
        <f t="shared" si="303"/>
        <v>-0.04</v>
      </c>
      <c r="AE439" s="354">
        <f>2.925*0.3</f>
        <v>0.87749999999999995</v>
      </c>
      <c r="AF439" s="353" t="e">
        <f t="shared" si="304"/>
        <v>#REF!</v>
      </c>
      <c r="AG439" s="191" t="e">
        <f>GETPIVOTDATA(#REF!,A439)</f>
        <v>#REF!</v>
      </c>
      <c r="AH439" s="201" t="e">
        <f>GETPIVOTDATA(#REF!,A439)*2</f>
        <v>#REF!</v>
      </c>
      <c r="AI439" s="191" t="e">
        <f>(ROUND(D439/AH439,0))*GETPIVOTDATA(#REF!,A439)</f>
        <v>#REF!</v>
      </c>
      <c r="AJ439" s="354" t="e">
        <f>GETPIVOTDATA(#REF!,A439)</f>
        <v>#REF!</v>
      </c>
      <c r="AK439" s="355">
        <f>0.3*2</f>
        <v>0.6</v>
      </c>
      <c r="AL439" s="354">
        <f t="shared" si="305"/>
        <v>-0.04</v>
      </c>
      <c r="AM439" s="354">
        <f>4.42*0.3</f>
        <v>1.3259999999999998</v>
      </c>
      <c r="AN439" s="353" t="e">
        <f t="shared" si="306"/>
        <v>#REF!</v>
      </c>
      <c r="AO439" s="191">
        <v>0</v>
      </c>
      <c r="AP439" s="201">
        <f t="shared" si="307"/>
        <v>14</v>
      </c>
      <c r="AQ439" s="201">
        <v>1.5</v>
      </c>
      <c r="AR439" s="352" t="e">
        <f t="shared" si="310"/>
        <v>#REF!</v>
      </c>
      <c r="AS439" s="352" t="e">
        <f t="shared" si="311"/>
        <v>#REF!</v>
      </c>
      <c r="AT439" s="352" t="e">
        <f t="shared" si="312"/>
        <v>#REF!</v>
      </c>
      <c r="AU439" s="352" t="e">
        <f t="shared" si="313"/>
        <v>#REF!</v>
      </c>
      <c r="AV439" s="352" t="e">
        <f t="shared" si="314"/>
        <v>#REF!</v>
      </c>
      <c r="AW439" s="352" t="e">
        <f t="shared" si="308"/>
        <v>#REF!</v>
      </c>
      <c r="AX439" s="352">
        <f t="shared" si="309"/>
        <v>21</v>
      </c>
      <c r="AY439" s="190"/>
      <c r="AZ439" s="240"/>
      <c r="BA439" s="232"/>
      <c r="BF439" s="206"/>
      <c r="BG439" s="206"/>
      <c r="BK439" s="126"/>
      <c r="BL439" s="126"/>
      <c r="BN439" s="126"/>
      <c r="BO439" s="126"/>
      <c r="BQ439" s="126"/>
      <c r="BR439" s="126"/>
      <c r="BT439" s="126"/>
      <c r="BU439" s="126"/>
      <c r="BW439" s="126"/>
      <c r="BX439" s="126"/>
      <c r="BZ439" s="126"/>
      <c r="CA439" s="126"/>
      <c r="CC439" s="126"/>
      <c r="CD439" s="126"/>
      <c r="CF439" s="126"/>
      <c r="CG439" s="126"/>
    </row>
    <row r="440" spans="1:85" s="197" customFormat="1" x14ac:dyDescent="0.3">
      <c r="A440" s="201" t="s">
        <v>223</v>
      </c>
      <c r="B440" s="191">
        <v>1</v>
      </c>
      <c r="C440" s="356" t="s">
        <v>431</v>
      </c>
      <c r="D440" s="352">
        <v>7.67</v>
      </c>
      <c r="E440" s="352">
        <v>2.93</v>
      </c>
      <c r="F440" s="351">
        <v>0.13</v>
      </c>
      <c r="G440" s="352">
        <f t="shared" si="316"/>
        <v>2.9215030000000004</v>
      </c>
      <c r="H440" s="353">
        <f t="shared" si="317"/>
        <v>22.473100000000002</v>
      </c>
      <c r="I440" s="191" t="e">
        <f>GETPIVOTDATA(#REF!,A440)</f>
        <v>#REF!</v>
      </c>
      <c r="J440" s="353" t="e">
        <f>GETPIVOTDATA(#REF!,A440)*2</f>
        <v>#REF!</v>
      </c>
      <c r="K440" s="191" t="e">
        <f>(ROUND(E440/J440,0)+1)*GETPIVOTDATA(#REF!,A440)</f>
        <v>#REF!</v>
      </c>
      <c r="L440" s="354" t="e">
        <f>GETPIVOTDATA(#REF!,A440)</f>
        <v>#REF!</v>
      </c>
      <c r="M440" s="355">
        <f>0.3*2</f>
        <v>0.6</v>
      </c>
      <c r="N440" s="354">
        <f t="shared" si="299"/>
        <v>-0.04</v>
      </c>
      <c r="O440" s="354">
        <f>1.107*0.3</f>
        <v>0.33210000000000001</v>
      </c>
      <c r="P440" s="353" t="e">
        <f t="shared" si="300"/>
        <v>#REF!</v>
      </c>
      <c r="Q440" s="191" t="e">
        <f>GETPIVOTDATA(#REF!,A440)</f>
        <v>#REF!</v>
      </c>
      <c r="R440" s="353" t="e">
        <f>GETPIVOTDATA(#REF!,A440)*2</f>
        <v>#REF!</v>
      </c>
      <c r="S440" s="191" t="e">
        <f>(ROUND(E440/R440,0))*GETPIVOTDATA(#REF!,A440)</f>
        <v>#REF!</v>
      </c>
      <c r="T440" s="354" t="e">
        <f>GETPIVOTDATA(#REF!,A440)</f>
        <v>#REF!</v>
      </c>
      <c r="U440" s="355">
        <f>0.3*2</f>
        <v>0.6</v>
      </c>
      <c r="V440" s="354">
        <f t="shared" si="301"/>
        <v>-0.04</v>
      </c>
      <c r="W440" s="354">
        <f>5.4*0.3</f>
        <v>1.62</v>
      </c>
      <c r="X440" s="353" t="e">
        <f t="shared" si="302"/>
        <v>#REF!</v>
      </c>
      <c r="Y440" s="191" t="e">
        <f>GETPIVOTDATA(#REF!,A440)</f>
        <v>#REF!</v>
      </c>
      <c r="Z440" s="353" t="e">
        <f>GETPIVOTDATA(#REF!,A440)*2</f>
        <v>#REF!</v>
      </c>
      <c r="AA440" s="191" t="e">
        <f>(ROUND(D440/Z440,0)+1)*GETPIVOTDATA(#REF!,A440)</f>
        <v>#REF!</v>
      </c>
      <c r="AB440" s="354" t="e">
        <f>GETPIVOTDATA(#REF!,A440)</f>
        <v>#REF!</v>
      </c>
      <c r="AC440" s="355">
        <f>0.3+0.38</f>
        <v>0.67999999999999994</v>
      </c>
      <c r="AD440" s="354">
        <f t="shared" si="303"/>
        <v>-0.04</v>
      </c>
      <c r="AE440" s="354">
        <f>5.24*0.3</f>
        <v>1.5720000000000001</v>
      </c>
      <c r="AF440" s="353" t="e">
        <f t="shared" si="304"/>
        <v>#REF!</v>
      </c>
      <c r="AG440" s="191" t="e">
        <f>GETPIVOTDATA(#REF!,A440)</f>
        <v>#REF!</v>
      </c>
      <c r="AH440" s="201" t="e">
        <f>GETPIVOTDATA(#REF!,A440)*2</f>
        <v>#REF!</v>
      </c>
      <c r="AI440" s="191" t="e">
        <f>(ROUND(D440/AH440,0))*GETPIVOTDATA(#REF!,A440)</f>
        <v>#REF!</v>
      </c>
      <c r="AJ440" s="354" t="e">
        <f>GETPIVOTDATA(#REF!,A440)</f>
        <v>#REF!</v>
      </c>
      <c r="AK440" s="355">
        <f>0.3+0.38</f>
        <v>0.67999999999999994</v>
      </c>
      <c r="AL440" s="354">
        <f t="shared" si="305"/>
        <v>-0.04</v>
      </c>
      <c r="AM440" s="354">
        <f>2.98*0.3</f>
        <v>0.89400000000000002</v>
      </c>
      <c r="AN440" s="353" t="e">
        <f t="shared" si="306"/>
        <v>#REF!</v>
      </c>
      <c r="AO440" s="191">
        <v>0</v>
      </c>
      <c r="AP440" s="201">
        <f t="shared" si="307"/>
        <v>14</v>
      </c>
      <c r="AQ440" s="201">
        <v>1.5</v>
      </c>
      <c r="AR440" s="352" t="e">
        <f t="shared" si="310"/>
        <v>#REF!</v>
      </c>
      <c r="AS440" s="352" t="e">
        <f t="shared" si="311"/>
        <v>#REF!</v>
      </c>
      <c r="AT440" s="352" t="e">
        <f t="shared" si="312"/>
        <v>#REF!</v>
      </c>
      <c r="AU440" s="352" t="e">
        <f t="shared" si="313"/>
        <v>#REF!</v>
      </c>
      <c r="AV440" s="352" t="e">
        <f t="shared" si="314"/>
        <v>#REF!</v>
      </c>
      <c r="AW440" s="352" t="e">
        <f t="shared" si="308"/>
        <v>#REF!</v>
      </c>
      <c r="AX440" s="352">
        <f t="shared" si="309"/>
        <v>21</v>
      </c>
      <c r="AY440" s="190"/>
      <c r="AZ440" s="240"/>
      <c r="BA440" s="232"/>
      <c r="BF440" s="206"/>
      <c r="BG440" s="206"/>
      <c r="BK440" s="126"/>
      <c r="BL440" s="126"/>
      <c r="BN440" s="126"/>
      <c r="BO440" s="126"/>
      <c r="BQ440" s="126"/>
      <c r="BR440" s="126"/>
      <c r="BT440" s="126"/>
      <c r="BU440" s="126"/>
      <c r="BW440" s="126"/>
      <c r="BX440" s="126"/>
      <c r="BZ440" s="126"/>
      <c r="CA440" s="126"/>
      <c r="CC440" s="126"/>
      <c r="CD440" s="126"/>
      <c r="CF440" s="126"/>
      <c r="CG440" s="126"/>
    </row>
    <row r="441" spans="1:85" s="197" customFormat="1" x14ac:dyDescent="0.3">
      <c r="A441" s="201" t="s">
        <v>223</v>
      </c>
      <c r="B441" s="191">
        <v>1</v>
      </c>
      <c r="C441" s="356" t="s">
        <v>432</v>
      </c>
      <c r="D441" s="352">
        <v>5.4</v>
      </c>
      <c r="E441" s="352">
        <v>2.9750000000000001</v>
      </c>
      <c r="F441" s="351">
        <v>0.13</v>
      </c>
      <c r="G441" s="352">
        <f t="shared" si="316"/>
        <v>2.0884500000000004</v>
      </c>
      <c r="H441" s="353">
        <f t="shared" si="317"/>
        <v>16.065000000000001</v>
      </c>
      <c r="I441" s="191" t="e">
        <f>GETPIVOTDATA(#REF!,A441)</f>
        <v>#REF!</v>
      </c>
      <c r="J441" s="353" t="e">
        <f>GETPIVOTDATA(#REF!,A441)*2</f>
        <v>#REF!</v>
      </c>
      <c r="K441" s="191" t="e">
        <f>(ROUND(E441/J441,0)+1)*GETPIVOTDATA(#REF!,A441)</f>
        <v>#REF!</v>
      </c>
      <c r="L441" s="354" t="e">
        <f>GETPIVOTDATA(#REF!,A441)</f>
        <v>#REF!</v>
      </c>
      <c r="M441" s="355">
        <f>0.3*2</f>
        <v>0.6</v>
      </c>
      <c r="N441" s="354">
        <f t="shared" si="299"/>
        <v>-0.04</v>
      </c>
      <c r="O441" s="354">
        <f>7.32*0.3</f>
        <v>2.1960000000000002</v>
      </c>
      <c r="P441" s="353" t="e">
        <f t="shared" si="300"/>
        <v>#REF!</v>
      </c>
      <c r="Q441" s="191" t="e">
        <f>GETPIVOTDATA(#REF!,A441)</f>
        <v>#REF!</v>
      </c>
      <c r="R441" s="353" t="e">
        <f>GETPIVOTDATA(#REF!,A441)*2</f>
        <v>#REF!</v>
      </c>
      <c r="S441" s="191" t="e">
        <f>(ROUND(E441/R441,0))*GETPIVOTDATA(#REF!,A441)</f>
        <v>#REF!</v>
      </c>
      <c r="T441" s="354" t="e">
        <f>GETPIVOTDATA(#REF!,A441)</f>
        <v>#REF!</v>
      </c>
      <c r="U441" s="355">
        <f>0.3*2</f>
        <v>0.6</v>
      </c>
      <c r="V441" s="354">
        <f t="shared" si="301"/>
        <v>-0.04</v>
      </c>
      <c r="W441" s="354">
        <f>3.62*0.3</f>
        <v>1.0860000000000001</v>
      </c>
      <c r="X441" s="353" t="e">
        <f t="shared" si="302"/>
        <v>#REF!</v>
      </c>
      <c r="Y441" s="191" t="e">
        <f>GETPIVOTDATA(#REF!,A441)</f>
        <v>#REF!</v>
      </c>
      <c r="Z441" s="353" t="e">
        <f>GETPIVOTDATA(#REF!,A441)*2</f>
        <v>#REF!</v>
      </c>
      <c r="AA441" s="191" t="e">
        <f>(ROUND(D441/Z441,0)+1)*GETPIVOTDATA(#REF!,A441)</f>
        <v>#REF!</v>
      </c>
      <c r="AB441" s="354" t="e">
        <f>GETPIVOTDATA(#REF!,A441)</f>
        <v>#REF!</v>
      </c>
      <c r="AC441" s="355">
        <f>0.3*2</f>
        <v>0.6</v>
      </c>
      <c r="AD441" s="354">
        <f t="shared" si="303"/>
        <v>-0.04</v>
      </c>
      <c r="AE441" s="354">
        <f>2.93*0.3</f>
        <v>0.879</v>
      </c>
      <c r="AF441" s="353" t="e">
        <f t="shared" si="304"/>
        <v>#REF!</v>
      </c>
      <c r="AG441" s="191" t="e">
        <f>GETPIVOTDATA(#REF!,A441)</f>
        <v>#REF!</v>
      </c>
      <c r="AH441" s="201" t="e">
        <f>GETPIVOTDATA(#REF!,A441)*2</f>
        <v>#REF!</v>
      </c>
      <c r="AI441" s="191" t="e">
        <f>(ROUND(D441/AH441,0))*GETPIVOTDATA(#REF!,A441)</f>
        <v>#REF!</v>
      </c>
      <c r="AJ441" s="354" t="e">
        <f>GETPIVOTDATA(#REF!,A441)</f>
        <v>#REF!</v>
      </c>
      <c r="AK441" s="355">
        <f>0.3*2</f>
        <v>0.6</v>
      </c>
      <c r="AL441" s="354">
        <f t="shared" si="305"/>
        <v>-0.04</v>
      </c>
      <c r="AM441" s="354">
        <f>4.42*0.3</f>
        <v>1.3259999999999998</v>
      </c>
      <c r="AN441" s="353" t="e">
        <f t="shared" si="306"/>
        <v>#REF!</v>
      </c>
      <c r="AO441" s="191">
        <v>0</v>
      </c>
      <c r="AP441" s="201">
        <f t="shared" si="307"/>
        <v>12</v>
      </c>
      <c r="AQ441" s="201">
        <v>1.5</v>
      </c>
      <c r="AR441" s="352" t="e">
        <f t="shared" si="310"/>
        <v>#REF!</v>
      </c>
      <c r="AS441" s="352" t="e">
        <f t="shared" si="311"/>
        <v>#REF!</v>
      </c>
      <c r="AT441" s="352" t="e">
        <f t="shared" si="312"/>
        <v>#REF!</v>
      </c>
      <c r="AU441" s="352" t="e">
        <f t="shared" si="313"/>
        <v>#REF!</v>
      </c>
      <c r="AV441" s="352" t="e">
        <f t="shared" si="314"/>
        <v>#REF!</v>
      </c>
      <c r="AW441" s="352" t="e">
        <f t="shared" si="308"/>
        <v>#REF!</v>
      </c>
      <c r="AX441" s="352">
        <f t="shared" si="309"/>
        <v>18</v>
      </c>
      <c r="AY441" s="190"/>
      <c r="AZ441" s="240"/>
      <c r="BA441" s="232"/>
      <c r="BF441" s="206"/>
      <c r="BG441" s="206"/>
      <c r="BK441" s="126"/>
      <c r="BL441" s="126"/>
      <c r="BN441" s="126"/>
      <c r="BO441" s="126"/>
      <c r="BQ441" s="126"/>
      <c r="BR441" s="126"/>
      <c r="BT441" s="126"/>
      <c r="BU441" s="126"/>
      <c r="BW441" s="126"/>
      <c r="BX441" s="126"/>
      <c r="BZ441" s="126"/>
      <c r="CA441" s="126"/>
      <c r="CC441" s="126"/>
      <c r="CD441" s="126"/>
      <c r="CF441" s="126"/>
      <c r="CG441" s="126"/>
    </row>
    <row r="442" spans="1:85" s="197" customFormat="1" x14ac:dyDescent="0.3">
      <c r="A442" s="201" t="s">
        <v>245</v>
      </c>
      <c r="B442" s="191">
        <v>1</v>
      </c>
      <c r="C442" s="356" t="s">
        <v>433</v>
      </c>
      <c r="D442" s="352">
        <v>3.62</v>
      </c>
      <c r="E442" s="352">
        <v>3.39</v>
      </c>
      <c r="F442" s="351">
        <v>0.14000000000000001</v>
      </c>
      <c r="G442" s="352">
        <f t="shared" si="316"/>
        <v>1.7180520000000004</v>
      </c>
      <c r="H442" s="353">
        <f t="shared" si="317"/>
        <v>12.271800000000001</v>
      </c>
      <c r="I442" s="191" t="e">
        <f>GETPIVOTDATA(#REF!,A442)</f>
        <v>#REF!</v>
      </c>
      <c r="J442" s="353" t="e">
        <f>GETPIVOTDATA(#REF!,A442)*2</f>
        <v>#REF!</v>
      </c>
      <c r="K442" s="191" t="e">
        <f>(ROUND(E442/J442,0)+1)*GETPIVOTDATA(#REF!,A442)</f>
        <v>#REF!</v>
      </c>
      <c r="L442" s="354" t="e">
        <f>GETPIVOTDATA(#REF!,A442)</f>
        <v>#REF!</v>
      </c>
      <c r="M442" s="355">
        <f>0.3*2</f>
        <v>0.6</v>
      </c>
      <c r="N442" s="354">
        <f t="shared" si="299"/>
        <v>-0.04</v>
      </c>
      <c r="O442" s="354">
        <f>5.4*0.3</f>
        <v>1.62</v>
      </c>
      <c r="P442" s="353" t="e">
        <f t="shared" si="300"/>
        <v>#REF!</v>
      </c>
      <c r="Q442" s="191" t="e">
        <f>GETPIVOTDATA(#REF!,A442)</f>
        <v>#REF!</v>
      </c>
      <c r="R442" s="353" t="e">
        <f>GETPIVOTDATA(#REF!,A442)*2</f>
        <v>#REF!</v>
      </c>
      <c r="S442" s="191" t="e">
        <f>(ROUND(E442/R442,0))*GETPIVOTDATA(#REF!,A442)</f>
        <v>#REF!</v>
      </c>
      <c r="T442" s="354" t="e">
        <f>GETPIVOTDATA(#REF!,A442)</f>
        <v>#REF!</v>
      </c>
      <c r="U442" s="355">
        <f>0.3*2</f>
        <v>0.6</v>
      </c>
      <c r="V442" s="354">
        <f t="shared" si="301"/>
        <v>-0.04</v>
      </c>
      <c r="W442" s="354">
        <f>3.5*0.3</f>
        <v>1.05</v>
      </c>
      <c r="X442" s="353" t="e">
        <f t="shared" si="302"/>
        <v>#REF!</v>
      </c>
      <c r="Y442" s="191" t="e">
        <f>GETPIVOTDATA(#REF!,A442)</f>
        <v>#REF!</v>
      </c>
      <c r="Z442" s="353" t="e">
        <f>GETPIVOTDATA(#REF!,A442)*2</f>
        <v>#REF!</v>
      </c>
      <c r="AA442" s="191" t="e">
        <f>(ROUND(D442/Z442,0)+1)*GETPIVOTDATA(#REF!,A442)</f>
        <v>#REF!</v>
      </c>
      <c r="AB442" s="354" t="e">
        <f>GETPIVOTDATA(#REF!,A442)</f>
        <v>#REF!</v>
      </c>
      <c r="AC442" s="355">
        <f>0.3*2</f>
        <v>0.6</v>
      </c>
      <c r="AD442" s="354">
        <f t="shared" si="303"/>
        <v>-0.04</v>
      </c>
      <c r="AE442" s="354">
        <f>2.6*0.3</f>
        <v>0.78</v>
      </c>
      <c r="AF442" s="353" t="e">
        <f t="shared" si="304"/>
        <v>#REF!</v>
      </c>
      <c r="AG442" s="191" t="e">
        <f>GETPIVOTDATA(#REF!,A442)</f>
        <v>#REF!</v>
      </c>
      <c r="AH442" s="201" t="e">
        <f>GETPIVOTDATA(#REF!,A442)*2</f>
        <v>#REF!</v>
      </c>
      <c r="AI442" s="191" t="e">
        <f>(ROUND(D442/AH442,0))*GETPIVOTDATA(#REF!,A442)</f>
        <v>#REF!</v>
      </c>
      <c r="AJ442" s="354" t="e">
        <f>GETPIVOTDATA(#REF!,A442)</f>
        <v>#REF!</v>
      </c>
      <c r="AK442" s="355">
        <f>0.3*2</f>
        <v>0.6</v>
      </c>
      <c r="AL442" s="354">
        <f t="shared" si="305"/>
        <v>-0.04</v>
      </c>
      <c r="AM442" s="354">
        <f>3.59*0.3</f>
        <v>1.077</v>
      </c>
      <c r="AN442" s="353" t="e">
        <f t="shared" si="306"/>
        <v>#REF!</v>
      </c>
      <c r="AO442" s="191">
        <v>0</v>
      </c>
      <c r="AP442" s="201">
        <f t="shared" si="307"/>
        <v>8</v>
      </c>
      <c r="AQ442" s="201">
        <v>1.5</v>
      </c>
      <c r="AR442" s="352" t="e">
        <f t="shared" si="310"/>
        <v>#REF!</v>
      </c>
      <c r="AS442" s="352" t="e">
        <f t="shared" si="311"/>
        <v>#REF!</v>
      </c>
      <c r="AT442" s="352" t="e">
        <f t="shared" si="312"/>
        <v>#REF!</v>
      </c>
      <c r="AU442" s="352" t="e">
        <f t="shared" si="313"/>
        <v>#REF!</v>
      </c>
      <c r="AV442" s="352" t="e">
        <f t="shared" si="314"/>
        <v>#REF!</v>
      </c>
      <c r="AW442" s="352" t="e">
        <f t="shared" si="308"/>
        <v>#REF!</v>
      </c>
      <c r="AX442" s="352">
        <f t="shared" si="309"/>
        <v>12</v>
      </c>
      <c r="AY442" s="190"/>
      <c r="AZ442" s="240"/>
      <c r="BA442" s="232"/>
      <c r="BF442" s="206"/>
      <c r="BG442" s="206"/>
      <c r="BK442" s="126"/>
      <c r="BL442" s="126"/>
      <c r="BN442" s="126"/>
      <c r="BO442" s="126"/>
      <c r="BQ442" s="126"/>
      <c r="BR442" s="126"/>
      <c r="BT442" s="126"/>
      <c r="BU442" s="126"/>
      <c r="BW442" s="126"/>
      <c r="BX442" s="126"/>
      <c r="BZ442" s="126"/>
      <c r="CA442" s="126"/>
      <c r="CC442" s="126"/>
      <c r="CD442" s="126"/>
      <c r="CF442" s="126"/>
      <c r="CG442" s="126"/>
    </row>
    <row r="443" spans="1:85" s="197" customFormat="1" x14ac:dyDescent="0.3">
      <c r="A443" s="201"/>
      <c r="B443" s="191"/>
      <c r="C443" s="349"/>
      <c r="D443" s="352"/>
      <c r="E443" s="352"/>
      <c r="F443" s="351"/>
      <c r="G443" s="352"/>
      <c r="H443" s="353"/>
      <c r="I443" s="191"/>
      <c r="J443" s="353"/>
      <c r="K443" s="191"/>
      <c r="L443" s="354"/>
      <c r="M443" s="355"/>
      <c r="N443" s="354"/>
      <c r="O443" s="354"/>
      <c r="P443" s="353"/>
      <c r="Q443" s="191"/>
      <c r="R443" s="353"/>
      <c r="S443" s="191"/>
      <c r="T443" s="354"/>
      <c r="U443" s="355"/>
      <c r="V443" s="354"/>
      <c r="W443" s="354"/>
      <c r="X443" s="353"/>
      <c r="Y443" s="191"/>
      <c r="Z443" s="353"/>
      <c r="AA443" s="191"/>
      <c r="AB443" s="354"/>
      <c r="AC443" s="355"/>
      <c r="AD443" s="354"/>
      <c r="AE443" s="354"/>
      <c r="AF443" s="353"/>
      <c r="AG443" s="191"/>
      <c r="AH443" s="201"/>
      <c r="AI443" s="191"/>
      <c r="AJ443" s="354"/>
      <c r="AK443" s="355"/>
      <c r="AL443" s="354"/>
      <c r="AM443" s="354"/>
      <c r="AN443" s="353"/>
      <c r="AO443" s="191"/>
      <c r="AP443" s="201"/>
      <c r="AQ443" s="201"/>
      <c r="AR443" s="352"/>
      <c r="AS443" s="352"/>
      <c r="AT443" s="352"/>
      <c r="AU443" s="352"/>
      <c r="AV443" s="352"/>
      <c r="AW443" s="352"/>
      <c r="AX443" s="352"/>
      <c r="AY443" s="190"/>
      <c r="AZ443" s="240"/>
      <c r="BA443" s="232"/>
      <c r="BF443" s="206"/>
      <c r="BG443" s="206"/>
      <c r="BK443" s="126"/>
      <c r="BL443" s="126"/>
      <c r="BN443" s="126"/>
      <c r="BO443" s="126"/>
      <c r="BQ443" s="126"/>
      <c r="BR443" s="126"/>
      <c r="BT443" s="126"/>
      <c r="BU443" s="126"/>
      <c r="BW443" s="126"/>
      <c r="BX443" s="126"/>
      <c r="BZ443" s="126"/>
      <c r="CA443" s="126"/>
      <c r="CC443" s="126"/>
      <c r="CD443" s="126"/>
      <c r="CF443" s="126"/>
      <c r="CG443" s="126"/>
    </row>
    <row r="444" spans="1:85" s="197" customFormat="1" x14ac:dyDescent="0.3">
      <c r="A444" s="201" t="s">
        <v>254</v>
      </c>
      <c r="B444" s="191">
        <v>1</v>
      </c>
      <c r="C444" s="356" t="s">
        <v>434</v>
      </c>
      <c r="D444" s="352">
        <v>5.76</v>
      </c>
      <c r="E444" s="352">
        <v>3.63</v>
      </c>
      <c r="F444" s="351">
        <v>0.15</v>
      </c>
      <c r="G444" s="352">
        <f t="shared" si="316"/>
        <v>3.13632</v>
      </c>
      <c r="H444" s="353">
        <f t="shared" si="317"/>
        <v>20.908799999999999</v>
      </c>
      <c r="I444" s="191" t="e">
        <f>GETPIVOTDATA(#REF!,A444)</f>
        <v>#REF!</v>
      </c>
      <c r="J444" s="353" t="e">
        <f>GETPIVOTDATA(#REF!,A444)*2</f>
        <v>#REF!</v>
      </c>
      <c r="K444" s="191" t="e">
        <f>(ROUND(E444/J444,0)+1)*GETPIVOTDATA(#REF!,A444)</f>
        <v>#REF!</v>
      </c>
      <c r="L444" s="354" t="e">
        <f>GETPIVOTDATA(#REF!,A444)</f>
        <v>#REF!</v>
      </c>
      <c r="M444" s="355">
        <f>0.4+0.3</f>
        <v>0.7</v>
      </c>
      <c r="N444" s="354">
        <f t="shared" si="299"/>
        <v>-0.04</v>
      </c>
      <c r="O444" s="354">
        <f>1.78*0.3</f>
        <v>0.53400000000000003</v>
      </c>
      <c r="P444" s="353" t="e">
        <f t="shared" si="300"/>
        <v>#REF!</v>
      </c>
      <c r="Q444" s="191" t="e">
        <f>GETPIVOTDATA(#REF!,A444)</f>
        <v>#REF!</v>
      </c>
      <c r="R444" s="353" t="e">
        <f>GETPIVOTDATA(#REF!,A444)*2</f>
        <v>#REF!</v>
      </c>
      <c r="S444" s="191" t="e">
        <f>(ROUND(E444/R444,0))*GETPIVOTDATA(#REF!,A444)</f>
        <v>#REF!</v>
      </c>
      <c r="T444" s="354" t="e">
        <f>GETPIVOTDATA(#REF!,A444)</f>
        <v>#REF!</v>
      </c>
      <c r="U444" s="355">
        <f>0.4+0.3</f>
        <v>0.7</v>
      </c>
      <c r="V444" s="354">
        <f t="shared" si="301"/>
        <v>-0.04</v>
      </c>
      <c r="W444" s="354">
        <f>2.72*0.3</f>
        <v>0.81600000000000006</v>
      </c>
      <c r="X444" s="353" t="e">
        <f t="shared" si="302"/>
        <v>#REF!</v>
      </c>
      <c r="Y444" s="191" t="e">
        <f>GETPIVOTDATA(#REF!,A444)</f>
        <v>#REF!</v>
      </c>
      <c r="Z444" s="353" t="e">
        <f>GETPIVOTDATA(#REF!,A444)*2</f>
        <v>#REF!</v>
      </c>
      <c r="AA444" s="191" t="e">
        <f>(ROUND(D444/Z444,0)+1)*GETPIVOTDATA(#REF!,A444)</f>
        <v>#REF!</v>
      </c>
      <c r="AB444" s="354" t="e">
        <f>GETPIVOTDATA(#REF!,A444)</f>
        <v>#REF!</v>
      </c>
      <c r="AC444" s="355">
        <f>0.6+0.3</f>
        <v>0.89999999999999991</v>
      </c>
      <c r="AD444" s="354">
        <f t="shared" si="303"/>
        <v>-0.04</v>
      </c>
      <c r="AE444" s="354">
        <f>2.44*0.3</f>
        <v>0.73199999999999998</v>
      </c>
      <c r="AF444" s="353" t="e">
        <f t="shared" si="304"/>
        <v>#REF!</v>
      </c>
      <c r="AG444" s="191" t="e">
        <f>GETPIVOTDATA(#REF!,A444)</f>
        <v>#REF!</v>
      </c>
      <c r="AH444" s="201" t="e">
        <f>GETPIVOTDATA(#REF!,A444)*2</f>
        <v>#REF!</v>
      </c>
      <c r="AI444" s="191" t="e">
        <f>(ROUND(D444/AH444,0))*GETPIVOTDATA(#REF!,A444)</f>
        <v>#REF!</v>
      </c>
      <c r="AJ444" s="354" t="e">
        <f>GETPIVOTDATA(#REF!,A444)</f>
        <v>#REF!</v>
      </c>
      <c r="AK444" s="355">
        <f>0.6+0.3</f>
        <v>0.89999999999999991</v>
      </c>
      <c r="AL444" s="354">
        <f t="shared" si="305"/>
        <v>-0.04</v>
      </c>
      <c r="AM444" s="354">
        <f>2.94*0.3</f>
        <v>0.88200000000000001</v>
      </c>
      <c r="AN444" s="353" t="e">
        <f t="shared" si="306"/>
        <v>#REF!</v>
      </c>
      <c r="AO444" s="191">
        <v>0</v>
      </c>
      <c r="AP444" s="201">
        <f t="shared" si="307"/>
        <v>12</v>
      </c>
      <c r="AQ444" s="201">
        <v>1.5</v>
      </c>
      <c r="AR444" s="352" t="e">
        <f t="shared" si="310"/>
        <v>#REF!</v>
      </c>
      <c r="AS444" s="352" t="e">
        <f t="shared" si="311"/>
        <v>#REF!</v>
      </c>
      <c r="AT444" s="352" t="e">
        <f t="shared" si="312"/>
        <v>#REF!</v>
      </c>
      <c r="AU444" s="352" t="e">
        <f t="shared" si="313"/>
        <v>#REF!</v>
      </c>
      <c r="AV444" s="352" t="e">
        <f t="shared" si="314"/>
        <v>#REF!</v>
      </c>
      <c r="AW444" s="352" t="e">
        <f t="shared" si="308"/>
        <v>#REF!</v>
      </c>
      <c r="AX444" s="352">
        <f t="shared" si="309"/>
        <v>18</v>
      </c>
      <c r="AY444" s="190"/>
      <c r="AZ444" s="240"/>
      <c r="BA444" s="232"/>
      <c r="BF444" s="206"/>
      <c r="BG444" s="206"/>
      <c r="BK444" s="126"/>
      <c r="BL444" s="126"/>
      <c r="BN444" s="126"/>
      <c r="BO444" s="126"/>
      <c r="BQ444" s="126"/>
      <c r="BR444" s="126"/>
      <c r="BT444" s="126"/>
      <c r="BU444" s="126"/>
      <c r="BW444" s="126"/>
      <c r="BX444" s="126"/>
      <c r="BZ444" s="126"/>
      <c r="CA444" s="126"/>
      <c r="CC444" s="126"/>
      <c r="CD444" s="126"/>
      <c r="CF444" s="126"/>
      <c r="CG444" s="126"/>
    </row>
    <row r="445" spans="1:85" s="197" customFormat="1" x14ac:dyDescent="0.3">
      <c r="A445" s="201" t="s">
        <v>242</v>
      </c>
      <c r="B445" s="191">
        <v>1</v>
      </c>
      <c r="C445" s="356" t="s">
        <v>435</v>
      </c>
      <c r="D445" s="352">
        <v>2.72</v>
      </c>
      <c r="E445" s="352">
        <v>6.53</v>
      </c>
      <c r="F445" s="351">
        <v>0.14000000000000001</v>
      </c>
      <c r="G445" s="352">
        <f t="shared" si="316"/>
        <v>2.4866240000000004</v>
      </c>
      <c r="H445" s="353">
        <f t="shared" si="317"/>
        <v>17.761600000000001</v>
      </c>
      <c r="I445" s="191" t="e">
        <f>GETPIVOTDATA(#REF!,A445)</f>
        <v>#REF!</v>
      </c>
      <c r="J445" s="353" t="e">
        <f>GETPIVOTDATA(#REF!,A445)*2</f>
        <v>#REF!</v>
      </c>
      <c r="K445" s="191" t="e">
        <f>(ROUND(E445/J445,0)+1)*GETPIVOTDATA(#REF!,A445)</f>
        <v>#REF!</v>
      </c>
      <c r="L445" s="354" t="e">
        <f>GETPIVOTDATA(#REF!,A445)</f>
        <v>#REF!</v>
      </c>
      <c r="M445" s="355">
        <f>0.4+0.4</f>
        <v>0.8</v>
      </c>
      <c r="N445" s="354">
        <f t="shared" si="299"/>
        <v>-0.04</v>
      </c>
      <c r="O445" s="354">
        <f>5.76*0.3</f>
        <v>1.728</v>
      </c>
      <c r="P445" s="353" t="e">
        <f t="shared" si="300"/>
        <v>#REF!</v>
      </c>
      <c r="Q445" s="191" t="e">
        <f>GETPIVOTDATA(#REF!,A445)</f>
        <v>#REF!</v>
      </c>
      <c r="R445" s="353" t="e">
        <f>GETPIVOTDATA(#REF!,A445)*2</f>
        <v>#REF!</v>
      </c>
      <c r="S445" s="191" t="e">
        <f>(ROUND(E445/R445,0))*GETPIVOTDATA(#REF!,A445)</f>
        <v>#REF!</v>
      </c>
      <c r="T445" s="354" t="e">
        <f>GETPIVOTDATA(#REF!,A445)</f>
        <v>#REF!</v>
      </c>
      <c r="U445" s="355">
        <f>0.4+0.4</f>
        <v>0.8</v>
      </c>
      <c r="V445" s="354">
        <f t="shared" si="301"/>
        <v>-0.04</v>
      </c>
      <c r="W445" s="354">
        <f>2.9*0.3</f>
        <v>0.87</v>
      </c>
      <c r="X445" s="353" t="e">
        <f t="shared" si="302"/>
        <v>#REF!</v>
      </c>
      <c r="Y445" s="191" t="e">
        <f>GETPIVOTDATA(#REF!,A445)</f>
        <v>#REF!</v>
      </c>
      <c r="Z445" s="353" t="e">
        <f>GETPIVOTDATA(#REF!,A445)*2</f>
        <v>#REF!</v>
      </c>
      <c r="AA445" s="191" t="e">
        <f>(ROUND(D445/Z445,0)+1)*GETPIVOTDATA(#REF!,A445)</f>
        <v>#REF!</v>
      </c>
      <c r="AB445" s="354" t="e">
        <f>GETPIVOTDATA(#REF!,A445)</f>
        <v>#REF!</v>
      </c>
      <c r="AC445" s="355">
        <f>0.2+0.3</f>
        <v>0.5</v>
      </c>
      <c r="AD445" s="354">
        <f t="shared" si="303"/>
        <v>-0.04</v>
      </c>
      <c r="AE445" s="354">
        <f>5.4*0.3</f>
        <v>1.62</v>
      </c>
      <c r="AF445" s="353" t="e">
        <f t="shared" si="304"/>
        <v>#REF!</v>
      </c>
      <c r="AG445" s="191" t="e">
        <f>GETPIVOTDATA(#REF!,A445)</f>
        <v>#REF!</v>
      </c>
      <c r="AH445" s="201" t="e">
        <f>GETPIVOTDATA(#REF!,A445)*2</f>
        <v>#REF!</v>
      </c>
      <c r="AI445" s="191" t="e">
        <f>(ROUND(D445/AH445,0))*GETPIVOTDATA(#REF!,A445)</f>
        <v>#REF!</v>
      </c>
      <c r="AJ445" s="354" t="e">
        <f>GETPIVOTDATA(#REF!,A445)</f>
        <v>#REF!</v>
      </c>
      <c r="AK445" s="355">
        <f>0.2+0.3</f>
        <v>0.5</v>
      </c>
      <c r="AL445" s="354">
        <f t="shared" si="305"/>
        <v>-0.04</v>
      </c>
      <c r="AM445" s="354">
        <f>2.95*0.3</f>
        <v>0.88500000000000001</v>
      </c>
      <c r="AN445" s="353" t="e">
        <f t="shared" si="306"/>
        <v>#REF!</v>
      </c>
      <c r="AO445" s="191">
        <v>0</v>
      </c>
      <c r="AP445" s="201">
        <f t="shared" si="307"/>
        <v>12</v>
      </c>
      <c r="AQ445" s="201">
        <v>1.5</v>
      </c>
      <c r="AR445" s="352" t="e">
        <f t="shared" si="310"/>
        <v>#REF!</v>
      </c>
      <c r="AS445" s="352" t="e">
        <f t="shared" si="311"/>
        <v>#REF!</v>
      </c>
      <c r="AT445" s="352" t="e">
        <f t="shared" si="312"/>
        <v>#REF!</v>
      </c>
      <c r="AU445" s="352" t="e">
        <f t="shared" si="313"/>
        <v>#REF!</v>
      </c>
      <c r="AV445" s="352" t="e">
        <f t="shared" si="314"/>
        <v>#REF!</v>
      </c>
      <c r="AW445" s="352" t="e">
        <f t="shared" si="308"/>
        <v>#REF!</v>
      </c>
      <c r="AX445" s="352">
        <f t="shared" si="309"/>
        <v>18</v>
      </c>
      <c r="AY445" s="190"/>
      <c r="AZ445" s="240"/>
      <c r="BA445" s="232"/>
      <c r="BF445" s="206"/>
      <c r="BG445" s="206"/>
      <c r="BK445" s="126"/>
      <c r="BL445" s="126"/>
      <c r="BN445" s="126"/>
      <c r="BO445" s="126"/>
      <c r="BQ445" s="126"/>
      <c r="BR445" s="126"/>
      <c r="BT445" s="126"/>
      <c r="BU445" s="126"/>
      <c r="BW445" s="126"/>
      <c r="BX445" s="126"/>
      <c r="BZ445" s="126"/>
      <c r="CA445" s="126"/>
      <c r="CC445" s="126"/>
      <c r="CD445" s="126"/>
      <c r="CF445" s="126"/>
      <c r="CG445" s="126"/>
    </row>
    <row r="446" spans="1:85" s="197" customFormat="1" x14ac:dyDescent="0.3">
      <c r="A446" s="201" t="s">
        <v>242</v>
      </c>
      <c r="B446" s="191">
        <v>1</v>
      </c>
      <c r="C446" s="356" t="s">
        <v>436</v>
      </c>
      <c r="D446" s="352">
        <v>2.9</v>
      </c>
      <c r="E446" s="352">
        <v>7.48</v>
      </c>
      <c r="F446" s="351">
        <v>0.14000000000000001</v>
      </c>
      <c r="G446" s="352">
        <f t="shared" si="316"/>
        <v>3.0368800000000005</v>
      </c>
      <c r="H446" s="353">
        <f t="shared" si="317"/>
        <v>21.692</v>
      </c>
      <c r="I446" s="191" t="e">
        <f>GETPIVOTDATA(#REF!,A446)</f>
        <v>#REF!</v>
      </c>
      <c r="J446" s="353" t="e">
        <f>GETPIVOTDATA(#REF!,A446)*2</f>
        <v>#REF!</v>
      </c>
      <c r="K446" s="191" t="e">
        <f>(ROUND(E446/J446,0)+1)*GETPIVOTDATA(#REF!,A446)</f>
        <v>#REF!</v>
      </c>
      <c r="L446" s="354" t="e">
        <f>GETPIVOTDATA(#REF!,A446)</f>
        <v>#REF!</v>
      </c>
      <c r="M446" s="355">
        <f>0.4+0.3</f>
        <v>0.7</v>
      </c>
      <c r="N446" s="354">
        <f t="shared" si="299"/>
        <v>-0.04</v>
      </c>
      <c r="O446" s="354">
        <f>2.72*0.3</f>
        <v>0.81600000000000006</v>
      </c>
      <c r="P446" s="353" t="e">
        <f t="shared" si="300"/>
        <v>#REF!</v>
      </c>
      <c r="Q446" s="191" t="e">
        <f>GETPIVOTDATA(#REF!,A446)</f>
        <v>#REF!</v>
      </c>
      <c r="R446" s="353" t="e">
        <f>GETPIVOTDATA(#REF!,A446)*2</f>
        <v>#REF!</v>
      </c>
      <c r="S446" s="191" t="e">
        <f>(ROUND(E446/R446,0))*GETPIVOTDATA(#REF!,A446)</f>
        <v>#REF!</v>
      </c>
      <c r="T446" s="354" t="e">
        <f>GETPIVOTDATA(#REF!,A446)</f>
        <v>#REF!</v>
      </c>
      <c r="U446" s="355">
        <f>0.4+0.3</f>
        <v>0.7</v>
      </c>
      <c r="V446" s="354">
        <f t="shared" si="301"/>
        <v>-0.04</v>
      </c>
      <c r="W446" s="354">
        <f>F446-2*0.02</f>
        <v>0.1</v>
      </c>
      <c r="X446" s="353" t="e">
        <f t="shared" si="302"/>
        <v>#REF!</v>
      </c>
      <c r="Y446" s="191" t="e">
        <f>GETPIVOTDATA(#REF!,A446)</f>
        <v>#REF!</v>
      </c>
      <c r="Z446" s="353" t="e">
        <f>GETPIVOTDATA(#REF!,A446)*2</f>
        <v>#REF!</v>
      </c>
      <c r="AA446" s="191" t="e">
        <f>(ROUND(D446/Z446,0)+1)*GETPIVOTDATA(#REF!,A446)</f>
        <v>#REF!</v>
      </c>
      <c r="AB446" s="354" t="e">
        <f>GETPIVOTDATA(#REF!,A446)</f>
        <v>#REF!</v>
      </c>
      <c r="AC446" s="355">
        <f>0.3*2</f>
        <v>0.6</v>
      </c>
      <c r="AD446" s="354">
        <f t="shared" si="303"/>
        <v>-0.04</v>
      </c>
      <c r="AE446" s="354">
        <f>5.4*0.3</f>
        <v>1.62</v>
      </c>
      <c r="AF446" s="353" t="e">
        <f t="shared" si="304"/>
        <v>#REF!</v>
      </c>
      <c r="AG446" s="191" t="e">
        <f>GETPIVOTDATA(#REF!,A446)</f>
        <v>#REF!</v>
      </c>
      <c r="AH446" s="201" t="e">
        <f>GETPIVOTDATA(#REF!,A446)*2</f>
        <v>#REF!</v>
      </c>
      <c r="AI446" s="191" t="e">
        <f>(ROUND(D446/AH446,0))*GETPIVOTDATA(#REF!,A446)</f>
        <v>#REF!</v>
      </c>
      <c r="AJ446" s="354" t="e">
        <f>GETPIVOTDATA(#REF!,A446)</f>
        <v>#REF!</v>
      </c>
      <c r="AK446" s="355">
        <f>0.3*2</f>
        <v>0.6</v>
      </c>
      <c r="AL446" s="354">
        <f t="shared" si="305"/>
        <v>-0.04</v>
      </c>
      <c r="AM446" s="354">
        <f>1.65*0.3</f>
        <v>0.49499999999999994</v>
      </c>
      <c r="AN446" s="353" t="e">
        <f t="shared" si="306"/>
        <v>#REF!</v>
      </c>
      <c r="AO446" s="191">
        <v>0</v>
      </c>
      <c r="AP446" s="201">
        <f t="shared" si="307"/>
        <v>14</v>
      </c>
      <c r="AQ446" s="201">
        <v>1.5</v>
      </c>
      <c r="AR446" s="352" t="e">
        <f t="shared" si="310"/>
        <v>#REF!</v>
      </c>
      <c r="AS446" s="352" t="e">
        <f t="shared" si="311"/>
        <v>#REF!</v>
      </c>
      <c r="AT446" s="352" t="e">
        <f t="shared" si="312"/>
        <v>#REF!</v>
      </c>
      <c r="AU446" s="352" t="e">
        <f t="shared" si="313"/>
        <v>#REF!</v>
      </c>
      <c r="AV446" s="352" t="e">
        <f t="shared" si="314"/>
        <v>#REF!</v>
      </c>
      <c r="AW446" s="352" t="e">
        <f t="shared" si="308"/>
        <v>#REF!</v>
      </c>
      <c r="AX446" s="352">
        <f t="shared" si="309"/>
        <v>21</v>
      </c>
      <c r="AY446" s="190"/>
      <c r="AZ446" s="240"/>
      <c r="BA446" s="232"/>
      <c r="BF446" s="206"/>
      <c r="BG446" s="206"/>
      <c r="BK446" s="126"/>
      <c r="BL446" s="126"/>
      <c r="BN446" s="126"/>
      <c r="BO446" s="126"/>
      <c r="BQ446" s="126"/>
      <c r="BR446" s="126"/>
      <c r="BT446" s="126"/>
      <c r="BU446" s="126"/>
      <c r="BW446" s="126"/>
      <c r="BX446" s="126"/>
      <c r="BZ446" s="126"/>
      <c r="CA446" s="126"/>
      <c r="CC446" s="126"/>
      <c r="CD446" s="126"/>
      <c r="CF446" s="126"/>
      <c r="CG446" s="126"/>
    </row>
    <row r="447" spans="1:85" s="197" customFormat="1" x14ac:dyDescent="0.3">
      <c r="A447" s="201" t="s">
        <v>223</v>
      </c>
      <c r="B447" s="191">
        <v>1</v>
      </c>
      <c r="C447" s="356" t="s">
        <v>437</v>
      </c>
      <c r="D447" s="352">
        <v>5.4</v>
      </c>
      <c r="E447" s="352">
        <v>2.93</v>
      </c>
      <c r="F447" s="351">
        <v>0.13</v>
      </c>
      <c r="G447" s="352">
        <f t="shared" si="316"/>
        <v>2.0568600000000004</v>
      </c>
      <c r="H447" s="353">
        <f t="shared" si="317"/>
        <v>15.822000000000003</v>
      </c>
      <c r="I447" s="191" t="e">
        <f>GETPIVOTDATA(#REF!,A447)</f>
        <v>#REF!</v>
      </c>
      <c r="J447" s="353" t="e">
        <f>GETPIVOTDATA(#REF!,A447)*2</f>
        <v>#REF!</v>
      </c>
      <c r="K447" s="191" t="e">
        <f>(ROUND(E447/J447,0)+1)*GETPIVOTDATA(#REF!,A447)</f>
        <v>#REF!</v>
      </c>
      <c r="L447" s="354" t="e">
        <f>GETPIVOTDATA(#REF!,A447)</f>
        <v>#REF!</v>
      </c>
      <c r="M447" s="355">
        <f>0.3*2</f>
        <v>0.6</v>
      </c>
      <c r="N447" s="354">
        <f t="shared" si="299"/>
        <v>-0.04</v>
      </c>
      <c r="O447" s="354">
        <f>7.67*0.3</f>
        <v>2.3009999999999997</v>
      </c>
      <c r="P447" s="353" t="e">
        <f t="shared" si="300"/>
        <v>#REF!</v>
      </c>
      <c r="Q447" s="191" t="e">
        <f>GETPIVOTDATA(#REF!,A447)</f>
        <v>#REF!</v>
      </c>
      <c r="R447" s="353" t="e">
        <f>GETPIVOTDATA(#REF!,A447)*2</f>
        <v>#REF!</v>
      </c>
      <c r="S447" s="191" t="e">
        <f>(ROUND(E447/R447,0))*GETPIVOTDATA(#REF!,A447)</f>
        <v>#REF!</v>
      </c>
      <c r="T447" s="354" t="e">
        <f>GETPIVOTDATA(#REF!,A447)</f>
        <v>#REF!</v>
      </c>
      <c r="U447" s="355">
        <f>0.3*2</f>
        <v>0.6</v>
      </c>
      <c r="V447" s="354">
        <f t="shared" si="301"/>
        <v>-0.04</v>
      </c>
      <c r="W447" s="354">
        <f>3.15*0.3</f>
        <v>0.94499999999999995</v>
      </c>
      <c r="X447" s="353" t="e">
        <f t="shared" si="302"/>
        <v>#REF!</v>
      </c>
      <c r="Y447" s="191" t="e">
        <f>GETPIVOTDATA(#REF!,A447)</f>
        <v>#REF!</v>
      </c>
      <c r="Z447" s="353" t="e">
        <f>GETPIVOTDATA(#REF!,A447)*2</f>
        <v>#REF!</v>
      </c>
      <c r="AA447" s="191" t="e">
        <f>(ROUND(D447/Z447,0)+1)*GETPIVOTDATA(#REF!,A447)</f>
        <v>#REF!</v>
      </c>
      <c r="AB447" s="354" t="e">
        <f>GETPIVOTDATA(#REF!,A447)</f>
        <v>#REF!</v>
      </c>
      <c r="AC447" s="355">
        <f>0.3+0.38</f>
        <v>0.67999999999999994</v>
      </c>
      <c r="AD447" s="354">
        <f t="shared" si="303"/>
        <v>-0.04</v>
      </c>
      <c r="AE447" s="354">
        <f>5.24*0.3</f>
        <v>1.5720000000000001</v>
      </c>
      <c r="AF447" s="353" t="e">
        <f t="shared" si="304"/>
        <v>#REF!</v>
      </c>
      <c r="AG447" s="191" t="e">
        <f>GETPIVOTDATA(#REF!,A447)</f>
        <v>#REF!</v>
      </c>
      <c r="AH447" s="201" t="e">
        <f>GETPIVOTDATA(#REF!,A447)*2</f>
        <v>#REF!</v>
      </c>
      <c r="AI447" s="191" t="e">
        <f>(ROUND(D447/AH447,0))*GETPIVOTDATA(#REF!,A447)</f>
        <v>#REF!</v>
      </c>
      <c r="AJ447" s="354" t="e">
        <f>GETPIVOTDATA(#REF!,A447)</f>
        <v>#REF!</v>
      </c>
      <c r="AK447" s="355">
        <f>0.3+0.38</f>
        <v>0.67999999999999994</v>
      </c>
      <c r="AL447" s="354">
        <f t="shared" si="305"/>
        <v>-0.04</v>
      </c>
      <c r="AM447" s="354">
        <f>2.98*0.3</f>
        <v>0.89400000000000002</v>
      </c>
      <c r="AN447" s="353" t="e">
        <f t="shared" si="306"/>
        <v>#REF!</v>
      </c>
      <c r="AO447" s="191">
        <v>0</v>
      </c>
      <c r="AP447" s="201">
        <f t="shared" si="307"/>
        <v>12</v>
      </c>
      <c r="AQ447" s="201">
        <v>1.5</v>
      </c>
      <c r="AR447" s="352" t="e">
        <f t="shared" si="310"/>
        <v>#REF!</v>
      </c>
      <c r="AS447" s="352" t="e">
        <f t="shared" si="311"/>
        <v>#REF!</v>
      </c>
      <c r="AT447" s="352" t="e">
        <f t="shared" si="312"/>
        <v>#REF!</v>
      </c>
      <c r="AU447" s="352" t="e">
        <f t="shared" si="313"/>
        <v>#REF!</v>
      </c>
      <c r="AV447" s="352" t="e">
        <f t="shared" si="314"/>
        <v>#REF!</v>
      </c>
      <c r="AW447" s="352" t="e">
        <f t="shared" si="308"/>
        <v>#REF!</v>
      </c>
      <c r="AX447" s="352">
        <f t="shared" si="309"/>
        <v>18</v>
      </c>
      <c r="AY447" s="190"/>
      <c r="AZ447" s="240"/>
      <c r="BA447" s="232"/>
      <c r="BF447" s="206"/>
      <c r="BG447" s="206"/>
      <c r="BK447" s="126"/>
      <c r="BL447" s="126"/>
      <c r="BN447" s="126"/>
      <c r="BO447" s="126"/>
      <c r="BQ447" s="126"/>
      <c r="BR447" s="126"/>
      <c r="BT447" s="126"/>
      <c r="BU447" s="126"/>
      <c r="BW447" s="126"/>
      <c r="BX447" s="126"/>
      <c r="BZ447" s="126"/>
      <c r="CA447" s="126"/>
      <c r="CC447" s="126"/>
      <c r="CD447" s="126"/>
      <c r="CF447" s="126"/>
      <c r="CG447" s="126"/>
    </row>
    <row r="448" spans="1:85" s="197" customFormat="1" x14ac:dyDescent="0.3">
      <c r="A448" s="201" t="s">
        <v>239</v>
      </c>
      <c r="B448" s="191">
        <v>1</v>
      </c>
      <c r="C448" s="356" t="s">
        <v>438</v>
      </c>
      <c r="D448" s="352">
        <v>3.15</v>
      </c>
      <c r="E448" s="352">
        <v>2.6</v>
      </c>
      <c r="F448" s="351">
        <v>0.125</v>
      </c>
      <c r="G448" s="352">
        <f t="shared" si="316"/>
        <v>1.0237499999999999</v>
      </c>
      <c r="H448" s="353">
        <f t="shared" si="317"/>
        <v>8.19</v>
      </c>
      <c r="I448" s="191" t="e">
        <f>GETPIVOTDATA(#REF!,A448)</f>
        <v>#REF!</v>
      </c>
      <c r="J448" s="353" t="e">
        <f>GETPIVOTDATA(#REF!,A448)*2</f>
        <v>#REF!</v>
      </c>
      <c r="K448" s="191" t="e">
        <f>(ROUND(E448/J448,0)+1)*GETPIVOTDATA(#REF!,A448)</f>
        <v>#REF!</v>
      </c>
      <c r="L448" s="354" t="e">
        <f>GETPIVOTDATA(#REF!,A448)</f>
        <v>#REF!</v>
      </c>
      <c r="M448" s="355">
        <f>0.23+0.3</f>
        <v>0.53</v>
      </c>
      <c r="N448" s="354">
        <f t="shared" si="299"/>
        <v>-0.04</v>
      </c>
      <c r="O448" s="354">
        <f>5.4*0.3</f>
        <v>1.62</v>
      </c>
      <c r="P448" s="353" t="e">
        <f t="shared" si="300"/>
        <v>#REF!</v>
      </c>
      <c r="Q448" s="191" t="e">
        <f>GETPIVOTDATA(#REF!,A448)</f>
        <v>#REF!</v>
      </c>
      <c r="R448" s="353" t="e">
        <f>GETPIVOTDATA(#REF!,A448)*2</f>
        <v>#REF!</v>
      </c>
      <c r="S448" s="191" t="e">
        <f>(ROUND(E448/R448,0))*GETPIVOTDATA(#REF!,A448)</f>
        <v>#REF!</v>
      </c>
      <c r="T448" s="354" t="e">
        <f>GETPIVOTDATA(#REF!,A448)</f>
        <v>#REF!</v>
      </c>
      <c r="U448" s="355">
        <f>0.23+0.3</f>
        <v>0.53</v>
      </c>
      <c r="V448" s="354">
        <f t="shared" si="301"/>
        <v>-0.04</v>
      </c>
      <c r="W448" s="354">
        <f>1.87*0.3</f>
        <v>0.56100000000000005</v>
      </c>
      <c r="X448" s="353" t="e">
        <f t="shared" si="302"/>
        <v>#REF!</v>
      </c>
      <c r="Y448" s="191" t="e">
        <f>GETPIVOTDATA(#REF!,A448)</f>
        <v>#REF!</v>
      </c>
      <c r="Z448" s="353" t="e">
        <f>GETPIVOTDATA(#REF!,A448)*2</f>
        <v>#REF!</v>
      </c>
      <c r="AA448" s="191" t="e">
        <f>(ROUND(D448/Z448,0)+1)*GETPIVOTDATA(#REF!,A448)</f>
        <v>#REF!</v>
      </c>
      <c r="AB448" s="354" t="e">
        <f>GETPIVOTDATA(#REF!,A448)</f>
        <v>#REF!</v>
      </c>
      <c r="AC448" s="355">
        <f>0.3*2</f>
        <v>0.6</v>
      </c>
      <c r="AD448" s="354">
        <f t="shared" si="303"/>
        <v>-0.04</v>
      </c>
      <c r="AE448" s="354">
        <f>5.23*0.3</f>
        <v>1.5690000000000002</v>
      </c>
      <c r="AF448" s="353" t="e">
        <f t="shared" si="304"/>
        <v>#REF!</v>
      </c>
      <c r="AG448" s="191" t="e">
        <f>GETPIVOTDATA(#REF!,A448)</f>
        <v>#REF!</v>
      </c>
      <c r="AH448" s="201" t="e">
        <f>GETPIVOTDATA(#REF!,A448)*2</f>
        <v>#REF!</v>
      </c>
      <c r="AI448" s="191" t="e">
        <f>(ROUND(D448/AH448,0))*GETPIVOTDATA(#REF!,A448)</f>
        <v>#REF!</v>
      </c>
      <c r="AJ448" s="354" t="e">
        <f>GETPIVOTDATA(#REF!,A448)</f>
        <v>#REF!</v>
      </c>
      <c r="AK448" s="355">
        <f>0.3*2</f>
        <v>0.6</v>
      </c>
      <c r="AL448" s="354">
        <f t="shared" si="305"/>
        <v>-0.04</v>
      </c>
      <c r="AM448" s="354">
        <f>3.39*0.3</f>
        <v>1.0169999999999999</v>
      </c>
      <c r="AN448" s="353" t="e">
        <f t="shared" si="306"/>
        <v>#REF!</v>
      </c>
      <c r="AO448" s="191">
        <v>0</v>
      </c>
      <c r="AP448" s="201">
        <f t="shared" si="307"/>
        <v>8</v>
      </c>
      <c r="AQ448" s="201">
        <v>1.5</v>
      </c>
      <c r="AR448" s="352" t="e">
        <f t="shared" si="310"/>
        <v>#REF!</v>
      </c>
      <c r="AS448" s="352" t="e">
        <f t="shared" si="311"/>
        <v>#REF!</v>
      </c>
      <c r="AT448" s="352" t="e">
        <f t="shared" si="312"/>
        <v>#REF!</v>
      </c>
      <c r="AU448" s="352" t="e">
        <f t="shared" si="313"/>
        <v>#REF!</v>
      </c>
      <c r="AV448" s="352" t="e">
        <f t="shared" si="314"/>
        <v>#REF!</v>
      </c>
      <c r="AW448" s="352" t="e">
        <f t="shared" si="308"/>
        <v>#REF!</v>
      </c>
      <c r="AX448" s="352">
        <f t="shared" si="309"/>
        <v>12</v>
      </c>
      <c r="AY448" s="190"/>
      <c r="AZ448" s="240"/>
      <c r="BA448" s="232"/>
      <c r="BF448" s="206"/>
      <c r="BG448" s="206"/>
      <c r="BK448" s="126"/>
      <c r="BL448" s="126"/>
      <c r="BN448" s="126"/>
      <c r="BO448" s="126"/>
      <c r="BQ448" s="126"/>
      <c r="BR448" s="126"/>
      <c r="BT448" s="126"/>
      <c r="BU448" s="126"/>
      <c r="BW448" s="126"/>
      <c r="BX448" s="126"/>
      <c r="BZ448" s="126"/>
      <c r="CA448" s="126"/>
      <c r="CC448" s="126"/>
      <c r="CD448" s="126"/>
      <c r="CF448" s="126"/>
      <c r="CG448" s="126"/>
    </row>
    <row r="449" spans="1:85" s="197" customFormat="1" x14ac:dyDescent="0.3">
      <c r="A449" s="201"/>
      <c r="B449" s="191"/>
      <c r="C449" s="349"/>
      <c r="D449" s="352"/>
      <c r="E449" s="352"/>
      <c r="F449" s="351"/>
      <c r="G449" s="352"/>
      <c r="H449" s="353"/>
      <c r="I449" s="191"/>
      <c r="J449" s="353"/>
      <c r="K449" s="191"/>
      <c r="L449" s="354"/>
      <c r="M449" s="355"/>
      <c r="N449" s="354"/>
      <c r="O449" s="354"/>
      <c r="P449" s="353"/>
      <c r="Q449" s="191"/>
      <c r="R449" s="353"/>
      <c r="S449" s="191"/>
      <c r="T449" s="354"/>
      <c r="U449" s="355"/>
      <c r="V449" s="354"/>
      <c r="W449" s="354"/>
      <c r="X449" s="353"/>
      <c r="Y449" s="191"/>
      <c r="Z449" s="353"/>
      <c r="AA449" s="191"/>
      <c r="AB449" s="354"/>
      <c r="AC449" s="355"/>
      <c r="AD449" s="354"/>
      <c r="AE449" s="354"/>
      <c r="AF449" s="353"/>
      <c r="AG449" s="191"/>
      <c r="AH449" s="201"/>
      <c r="AI449" s="191"/>
      <c r="AJ449" s="354"/>
      <c r="AK449" s="355"/>
      <c r="AL449" s="354"/>
      <c r="AM449" s="354"/>
      <c r="AN449" s="353"/>
      <c r="AO449" s="191"/>
      <c r="AP449" s="201"/>
      <c r="AQ449" s="201"/>
      <c r="AR449" s="352"/>
      <c r="AS449" s="352"/>
      <c r="AT449" s="352"/>
      <c r="AU449" s="352"/>
      <c r="AV449" s="352"/>
      <c r="AW449" s="352"/>
      <c r="AX449" s="352"/>
      <c r="AY449" s="190"/>
      <c r="AZ449" s="240"/>
      <c r="BA449" s="232"/>
      <c r="BF449" s="206"/>
      <c r="BG449" s="206"/>
      <c r="BK449" s="126"/>
      <c r="BL449" s="126"/>
      <c r="BN449" s="126"/>
      <c r="BO449" s="126"/>
      <c r="BQ449" s="126"/>
      <c r="BR449" s="126"/>
      <c r="BT449" s="126"/>
      <c r="BU449" s="126"/>
      <c r="BW449" s="126"/>
      <c r="BX449" s="126"/>
      <c r="BZ449" s="126"/>
      <c r="CA449" s="126"/>
      <c r="CC449" s="126"/>
      <c r="CD449" s="126"/>
      <c r="CF449" s="126"/>
      <c r="CG449" s="126"/>
    </row>
    <row r="450" spans="1:85" s="197" customFormat="1" x14ac:dyDescent="0.3">
      <c r="A450" s="201"/>
      <c r="B450" s="191"/>
      <c r="C450" s="349"/>
      <c r="D450" s="352"/>
      <c r="E450" s="352"/>
      <c r="F450" s="351"/>
      <c r="G450" s="352"/>
      <c r="H450" s="353"/>
      <c r="I450" s="191"/>
      <c r="J450" s="353"/>
      <c r="K450" s="191"/>
      <c r="L450" s="354"/>
      <c r="M450" s="355"/>
      <c r="N450" s="354"/>
      <c r="O450" s="354"/>
      <c r="P450" s="353"/>
      <c r="Q450" s="191"/>
      <c r="R450" s="353"/>
      <c r="S450" s="191"/>
      <c r="T450" s="354"/>
      <c r="U450" s="355"/>
      <c r="V450" s="354"/>
      <c r="W450" s="354"/>
      <c r="X450" s="353"/>
      <c r="Y450" s="191"/>
      <c r="Z450" s="353"/>
      <c r="AA450" s="191"/>
      <c r="AB450" s="354"/>
      <c r="AC450" s="355"/>
      <c r="AD450" s="354"/>
      <c r="AE450" s="354"/>
      <c r="AF450" s="353"/>
      <c r="AG450" s="191"/>
      <c r="AH450" s="201"/>
      <c r="AI450" s="191"/>
      <c r="AJ450" s="354"/>
      <c r="AK450" s="355"/>
      <c r="AL450" s="354"/>
      <c r="AM450" s="354"/>
      <c r="AN450" s="353"/>
      <c r="AO450" s="191"/>
      <c r="AP450" s="201"/>
      <c r="AQ450" s="201"/>
      <c r="AR450" s="352"/>
      <c r="AS450" s="352"/>
      <c r="AT450" s="352"/>
      <c r="AU450" s="352"/>
      <c r="AV450" s="352"/>
      <c r="AW450" s="352"/>
      <c r="AX450" s="352"/>
      <c r="AY450" s="190"/>
      <c r="AZ450" s="240"/>
      <c r="BA450" s="232"/>
      <c r="BF450" s="206"/>
      <c r="BG450" s="206"/>
      <c r="BK450" s="126"/>
      <c r="BL450" s="126"/>
      <c r="BN450" s="126"/>
      <c r="BO450" s="126"/>
      <c r="BQ450" s="126"/>
      <c r="BR450" s="126"/>
      <c r="BT450" s="126"/>
      <c r="BU450" s="126"/>
      <c r="BW450" s="126"/>
      <c r="BX450" s="126"/>
      <c r="BZ450" s="126"/>
      <c r="CA450" s="126"/>
      <c r="CC450" s="126"/>
      <c r="CD450" s="126"/>
      <c r="CF450" s="126"/>
      <c r="CG450" s="126"/>
    </row>
    <row r="451" spans="1:85" s="197" customFormat="1" ht="27.6" x14ac:dyDescent="0.3">
      <c r="A451" s="201" t="s">
        <v>239</v>
      </c>
      <c r="B451" s="191">
        <v>1</v>
      </c>
      <c r="C451" s="356" t="s">
        <v>439</v>
      </c>
      <c r="D451" s="352">
        <v>2.98</v>
      </c>
      <c r="E451" s="352">
        <v>2.44</v>
      </c>
      <c r="F451" s="351">
        <v>0.125</v>
      </c>
      <c r="G451" s="352">
        <f t="shared" ref="G451:G473" si="318">D451*E451*F451*B451</f>
        <v>0.90889999999999993</v>
      </c>
      <c r="H451" s="353">
        <f t="shared" ref="H451:H473" si="319">D451*E451*B451</f>
        <v>7.2711999999999994</v>
      </c>
      <c r="I451" s="191" t="e">
        <f>GETPIVOTDATA(#REF!,A451)</f>
        <v>#REF!</v>
      </c>
      <c r="J451" s="353" t="e">
        <f>GETPIVOTDATA(#REF!,A451)*2</f>
        <v>#REF!</v>
      </c>
      <c r="K451" s="191" t="e">
        <f>(ROUND(E451/J451,0)+1)*GETPIVOTDATA(#REF!,A451)</f>
        <v>#REF!</v>
      </c>
      <c r="L451" s="354" t="e">
        <f>GETPIVOTDATA(#REF!,A451)</f>
        <v>#REF!</v>
      </c>
      <c r="M451" s="355">
        <f>0.2+0.3</f>
        <v>0.5</v>
      </c>
      <c r="N451" s="354">
        <f t="shared" si="299"/>
        <v>-0.04</v>
      </c>
      <c r="O451" s="354">
        <f>2.35*0.3</f>
        <v>0.70499999999999996</v>
      </c>
      <c r="P451" s="353" t="e">
        <f t="shared" si="300"/>
        <v>#REF!</v>
      </c>
      <c r="Q451" s="191" t="e">
        <f>GETPIVOTDATA(#REF!,A451)</f>
        <v>#REF!</v>
      </c>
      <c r="R451" s="353" t="e">
        <f>GETPIVOTDATA(#REF!,A451)*2</f>
        <v>#REF!</v>
      </c>
      <c r="S451" s="191" t="e">
        <f>(ROUND(E451/R451,0))*GETPIVOTDATA(#REF!,A451)</f>
        <v>#REF!</v>
      </c>
      <c r="T451" s="354" t="e">
        <f>GETPIVOTDATA(#REF!,A451)</f>
        <v>#REF!</v>
      </c>
      <c r="U451" s="355">
        <f>0.2+0.3</f>
        <v>0.5</v>
      </c>
      <c r="V451" s="354">
        <f t="shared" si="301"/>
        <v>-0.04</v>
      </c>
      <c r="W451" s="354">
        <f>2.86*0.3</f>
        <v>0.85799999999999998</v>
      </c>
      <c r="X451" s="353" t="e">
        <f t="shared" si="302"/>
        <v>#REF!</v>
      </c>
      <c r="Y451" s="191" t="e">
        <f>GETPIVOTDATA(#REF!,A451)</f>
        <v>#REF!</v>
      </c>
      <c r="Z451" s="353" t="e">
        <f>GETPIVOTDATA(#REF!,A451)*2</f>
        <v>#REF!</v>
      </c>
      <c r="AA451" s="191" t="e">
        <f>(ROUND(D451/Z451,0)+1)*GETPIVOTDATA(#REF!,A451)</f>
        <v>#REF!</v>
      </c>
      <c r="AB451" s="354" t="e">
        <f>GETPIVOTDATA(#REF!,A451)</f>
        <v>#REF!</v>
      </c>
      <c r="AC451" s="355">
        <f>0.6+0.3</f>
        <v>0.89999999999999991</v>
      </c>
      <c r="AD451" s="354">
        <f t="shared" si="303"/>
        <v>-0.04</v>
      </c>
      <c r="AE451" s="354">
        <f>5.31*0.3</f>
        <v>1.5929999999999997</v>
      </c>
      <c r="AF451" s="353" t="e">
        <f t="shared" si="304"/>
        <v>#REF!</v>
      </c>
      <c r="AG451" s="191" t="e">
        <f>GETPIVOTDATA(#REF!,A451)</f>
        <v>#REF!</v>
      </c>
      <c r="AH451" s="201" t="e">
        <f>GETPIVOTDATA(#REF!,A451)*2</f>
        <v>#REF!</v>
      </c>
      <c r="AI451" s="191" t="e">
        <f>(ROUND(D451/AH451,0))*GETPIVOTDATA(#REF!,A451)</f>
        <v>#REF!</v>
      </c>
      <c r="AJ451" s="354" t="e">
        <f>GETPIVOTDATA(#REF!,A451)</f>
        <v>#REF!</v>
      </c>
      <c r="AK451" s="355">
        <f>0.6+0.3</f>
        <v>0.89999999999999991</v>
      </c>
      <c r="AL451" s="354">
        <f t="shared" si="305"/>
        <v>-0.04</v>
      </c>
      <c r="AM451" s="354">
        <f>3.63*0.3</f>
        <v>1.089</v>
      </c>
      <c r="AN451" s="353" t="e">
        <f t="shared" si="306"/>
        <v>#REF!</v>
      </c>
      <c r="AO451" s="191">
        <v>0</v>
      </c>
      <c r="AP451" s="201">
        <f t="shared" si="307"/>
        <v>8</v>
      </c>
      <c r="AQ451" s="201">
        <v>1.5</v>
      </c>
      <c r="AR451" s="352" t="e">
        <f t="shared" si="310"/>
        <v>#REF!</v>
      </c>
      <c r="AS451" s="352" t="e">
        <f t="shared" si="311"/>
        <v>#REF!</v>
      </c>
      <c r="AT451" s="352" t="e">
        <f t="shared" si="312"/>
        <v>#REF!</v>
      </c>
      <c r="AU451" s="352" t="e">
        <f t="shared" si="313"/>
        <v>#REF!</v>
      </c>
      <c r="AV451" s="352" t="e">
        <f t="shared" si="314"/>
        <v>#REF!</v>
      </c>
      <c r="AW451" s="352" t="e">
        <f t="shared" si="308"/>
        <v>#REF!</v>
      </c>
      <c r="AX451" s="352">
        <f t="shared" si="309"/>
        <v>12</v>
      </c>
      <c r="AY451" s="190"/>
      <c r="AZ451" s="240"/>
      <c r="BA451" s="232"/>
      <c r="BF451" s="206"/>
      <c r="BG451" s="206"/>
      <c r="BK451" s="126"/>
      <c r="BL451" s="126"/>
      <c r="BN451" s="126"/>
      <c r="BO451" s="126"/>
      <c r="BQ451" s="126"/>
      <c r="BR451" s="126"/>
      <c r="BT451" s="126"/>
      <c r="BU451" s="126"/>
      <c r="BW451" s="126"/>
      <c r="BX451" s="126"/>
      <c r="BZ451" s="126"/>
      <c r="CA451" s="126"/>
      <c r="CC451" s="126"/>
      <c r="CD451" s="126"/>
      <c r="CF451" s="126"/>
      <c r="CG451" s="126"/>
    </row>
    <row r="452" spans="1:85" s="197" customFormat="1" ht="27.6" x14ac:dyDescent="0.3">
      <c r="A452" s="201" t="s">
        <v>239</v>
      </c>
      <c r="B452" s="191">
        <v>1</v>
      </c>
      <c r="C452" s="356" t="s">
        <v>440</v>
      </c>
      <c r="D452" s="352">
        <v>2.86</v>
      </c>
      <c r="E452" s="352">
        <v>2.35</v>
      </c>
      <c r="F452" s="351">
        <v>0.125</v>
      </c>
      <c r="G452" s="352">
        <f t="shared" si="318"/>
        <v>0.84012500000000001</v>
      </c>
      <c r="H452" s="353">
        <f t="shared" si="319"/>
        <v>6.7210000000000001</v>
      </c>
      <c r="I452" s="191" t="e">
        <f>GETPIVOTDATA(#REF!,A452)</f>
        <v>#REF!</v>
      </c>
      <c r="J452" s="353" t="e">
        <f>GETPIVOTDATA(#REF!,A452)*2</f>
        <v>#REF!</v>
      </c>
      <c r="K452" s="191" t="e">
        <f>(ROUND(E452/J452,0)+1)*GETPIVOTDATA(#REF!,A452)</f>
        <v>#REF!</v>
      </c>
      <c r="L452" s="354" t="e">
        <f>GETPIVOTDATA(#REF!,A452)</f>
        <v>#REF!</v>
      </c>
      <c r="M452" s="355">
        <f>0.3+0.4</f>
        <v>0.7</v>
      </c>
      <c r="N452" s="354">
        <f t="shared" si="299"/>
        <v>-0.04</v>
      </c>
      <c r="O452" s="354">
        <f>2.98*0.3</f>
        <v>0.89400000000000002</v>
      </c>
      <c r="P452" s="353" t="e">
        <f t="shared" si="300"/>
        <v>#REF!</v>
      </c>
      <c r="Q452" s="191" t="e">
        <f>GETPIVOTDATA(#REF!,A452)</f>
        <v>#REF!</v>
      </c>
      <c r="R452" s="353" t="e">
        <f>GETPIVOTDATA(#REF!,A452)*2</f>
        <v>#REF!</v>
      </c>
      <c r="S452" s="191" t="e">
        <f>(ROUND(E452/R452,0))*GETPIVOTDATA(#REF!,A452)</f>
        <v>#REF!</v>
      </c>
      <c r="T452" s="354" t="e">
        <f>GETPIVOTDATA(#REF!,A452)</f>
        <v>#REF!</v>
      </c>
      <c r="U452" s="355">
        <f>0.3+0.4</f>
        <v>0.7</v>
      </c>
      <c r="V452" s="354">
        <f t="shared" si="301"/>
        <v>-0.04</v>
      </c>
      <c r="W452" s="354">
        <f>2.72*0.3</f>
        <v>0.81600000000000006</v>
      </c>
      <c r="X452" s="353" t="e">
        <f t="shared" si="302"/>
        <v>#REF!</v>
      </c>
      <c r="Y452" s="191" t="e">
        <f>GETPIVOTDATA(#REF!,A452)</f>
        <v>#REF!</v>
      </c>
      <c r="Z452" s="353" t="e">
        <f>GETPIVOTDATA(#REF!,A452)*2</f>
        <v>#REF!</v>
      </c>
      <c r="AA452" s="191" t="e">
        <f>(ROUND(D452/Z452,0)+1)*GETPIVOTDATA(#REF!,A452)</f>
        <v>#REF!</v>
      </c>
      <c r="AB452" s="354" t="e">
        <f>GETPIVOTDATA(#REF!,A452)</f>
        <v>#REF!</v>
      </c>
      <c r="AC452" s="355">
        <f>0.6+0.3</f>
        <v>0.89999999999999991</v>
      </c>
      <c r="AD452" s="354">
        <f t="shared" si="303"/>
        <v>-0.04</v>
      </c>
      <c r="AE452" s="354">
        <f>5.4*0.3</f>
        <v>1.62</v>
      </c>
      <c r="AF452" s="353" t="e">
        <f t="shared" si="304"/>
        <v>#REF!</v>
      </c>
      <c r="AG452" s="191" t="e">
        <f>GETPIVOTDATA(#REF!,A452)</f>
        <v>#REF!</v>
      </c>
      <c r="AH452" s="201" t="e">
        <f>GETPIVOTDATA(#REF!,A452)*2</f>
        <v>#REF!</v>
      </c>
      <c r="AI452" s="191" t="e">
        <f>(ROUND(D452/AH452,0))*GETPIVOTDATA(#REF!,A452)</f>
        <v>#REF!</v>
      </c>
      <c r="AJ452" s="354" t="e">
        <f>GETPIVOTDATA(#REF!,A452)</f>
        <v>#REF!</v>
      </c>
      <c r="AK452" s="355">
        <f>0.6+0.3</f>
        <v>0.89999999999999991</v>
      </c>
      <c r="AL452" s="354">
        <f t="shared" si="305"/>
        <v>-0.04</v>
      </c>
      <c r="AM452" s="354">
        <f>3.63*0.3</f>
        <v>1.089</v>
      </c>
      <c r="AN452" s="353" t="e">
        <f t="shared" si="306"/>
        <v>#REF!</v>
      </c>
      <c r="AO452" s="191">
        <v>8</v>
      </c>
      <c r="AP452" s="201">
        <f t="shared" si="307"/>
        <v>8</v>
      </c>
      <c r="AQ452" s="201">
        <v>1.5</v>
      </c>
      <c r="AR452" s="352" t="e">
        <f t="shared" si="310"/>
        <v>#REF!</v>
      </c>
      <c r="AS452" s="352" t="e">
        <f t="shared" si="311"/>
        <v>#REF!</v>
      </c>
      <c r="AT452" s="352" t="e">
        <f t="shared" si="312"/>
        <v>#REF!</v>
      </c>
      <c r="AU452" s="352" t="e">
        <f t="shared" si="313"/>
        <v>#REF!</v>
      </c>
      <c r="AV452" s="352" t="e">
        <f t="shared" si="314"/>
        <v>#REF!</v>
      </c>
      <c r="AW452" s="352" t="e">
        <f t="shared" si="308"/>
        <v>#REF!</v>
      </c>
      <c r="AX452" s="352">
        <f t="shared" si="309"/>
        <v>12</v>
      </c>
      <c r="AY452" s="190"/>
      <c r="AZ452" s="240"/>
      <c r="BA452" s="232"/>
      <c r="BF452" s="206"/>
      <c r="BG452" s="206"/>
      <c r="BK452" s="126"/>
      <c r="BL452" s="126"/>
      <c r="BN452" s="126"/>
      <c r="BO452" s="126"/>
      <c r="BQ452" s="126"/>
      <c r="BR452" s="126"/>
      <c r="BT452" s="126"/>
      <c r="BU452" s="126"/>
      <c r="BW452" s="126"/>
      <c r="BX452" s="126"/>
      <c r="BZ452" s="126"/>
      <c r="CA452" s="126"/>
      <c r="CC452" s="126"/>
      <c r="CD452" s="126"/>
      <c r="CF452" s="126"/>
      <c r="CG452" s="126"/>
    </row>
    <row r="453" spans="1:85" s="197" customFormat="1" x14ac:dyDescent="0.3">
      <c r="A453" s="201"/>
      <c r="B453" s="191"/>
      <c r="C453" s="349"/>
      <c r="D453" s="352"/>
      <c r="E453" s="352"/>
      <c r="F453" s="351"/>
      <c r="G453" s="352"/>
      <c r="H453" s="353"/>
      <c r="I453" s="191"/>
      <c r="J453" s="353"/>
      <c r="K453" s="191"/>
      <c r="L453" s="354"/>
      <c r="M453" s="355"/>
      <c r="N453" s="354"/>
      <c r="O453" s="354"/>
      <c r="P453" s="353"/>
      <c r="Q453" s="191"/>
      <c r="R453" s="353"/>
      <c r="S453" s="191"/>
      <c r="T453" s="354"/>
      <c r="U453" s="355"/>
      <c r="V453" s="354"/>
      <c r="W453" s="354"/>
      <c r="X453" s="353"/>
      <c r="Y453" s="191"/>
      <c r="Z453" s="353"/>
      <c r="AA453" s="191"/>
      <c r="AB453" s="354"/>
      <c r="AC453" s="355"/>
      <c r="AD453" s="354"/>
      <c r="AE453" s="354"/>
      <c r="AF453" s="353"/>
      <c r="AG453" s="191"/>
      <c r="AH453" s="201"/>
      <c r="AI453" s="191"/>
      <c r="AJ453" s="354"/>
      <c r="AK453" s="355"/>
      <c r="AL453" s="354"/>
      <c r="AM453" s="354"/>
      <c r="AN453" s="353"/>
      <c r="AO453" s="191"/>
      <c r="AP453" s="201"/>
      <c r="AQ453" s="201"/>
      <c r="AR453" s="352"/>
      <c r="AS453" s="352"/>
      <c r="AT453" s="352"/>
      <c r="AU453" s="352"/>
      <c r="AV453" s="352"/>
      <c r="AW453" s="352"/>
      <c r="AX453" s="352"/>
      <c r="AY453" s="190"/>
      <c r="AZ453" s="240"/>
      <c r="BA453" s="232"/>
      <c r="BF453" s="206"/>
      <c r="BG453" s="206"/>
      <c r="BK453" s="126"/>
      <c r="BL453" s="126"/>
      <c r="BN453" s="126"/>
      <c r="BO453" s="126"/>
      <c r="BQ453" s="126"/>
      <c r="BR453" s="126"/>
      <c r="BT453" s="126"/>
      <c r="BU453" s="126"/>
      <c r="BW453" s="126"/>
      <c r="BX453" s="126"/>
      <c r="BZ453" s="126"/>
      <c r="CA453" s="126"/>
      <c r="CC453" s="126"/>
      <c r="CD453" s="126"/>
      <c r="CF453" s="126"/>
      <c r="CG453" s="126"/>
    </row>
    <row r="454" spans="1:85" s="197" customFormat="1" x14ac:dyDescent="0.3">
      <c r="A454" s="201" t="s">
        <v>233</v>
      </c>
      <c r="B454" s="191">
        <v>1</v>
      </c>
      <c r="C454" s="356" t="s">
        <v>441</v>
      </c>
      <c r="D454" s="352">
        <v>4.1050000000000004</v>
      </c>
      <c r="E454" s="352">
        <v>5.24</v>
      </c>
      <c r="F454" s="351">
        <v>0.15</v>
      </c>
      <c r="G454" s="352">
        <f t="shared" si="318"/>
        <v>3.2265300000000008</v>
      </c>
      <c r="H454" s="353">
        <f t="shared" si="319"/>
        <v>21.510200000000005</v>
      </c>
      <c r="I454" s="191" t="e">
        <f>GETPIVOTDATA(#REF!,A454)</f>
        <v>#REF!</v>
      </c>
      <c r="J454" s="353" t="e">
        <f>GETPIVOTDATA(#REF!,A454)*2</f>
        <v>#REF!</v>
      </c>
      <c r="K454" s="191" t="e">
        <f>(ROUND(E454/J454,0)+1)*GETPIVOTDATA(#REF!,A454)</f>
        <v>#REF!</v>
      </c>
      <c r="L454" s="354" t="e">
        <f>GETPIVOTDATA(#REF!,A454)</f>
        <v>#REF!</v>
      </c>
      <c r="M454" s="355">
        <f>0.3*2</f>
        <v>0.6</v>
      </c>
      <c r="N454" s="354">
        <f t="shared" si="299"/>
        <v>-0.04</v>
      </c>
      <c r="O454" s="354">
        <f>1.18*0.3</f>
        <v>0.35399999999999998</v>
      </c>
      <c r="P454" s="353" t="e">
        <f t="shared" si="300"/>
        <v>#REF!</v>
      </c>
      <c r="Q454" s="191" t="e">
        <f>GETPIVOTDATA(#REF!,A454)</f>
        <v>#REF!</v>
      </c>
      <c r="R454" s="353" t="e">
        <f>GETPIVOTDATA(#REF!,A454)*2</f>
        <v>#REF!</v>
      </c>
      <c r="S454" s="191" t="e">
        <f>(ROUND(E454/R454,0))*GETPIVOTDATA(#REF!,A454)</f>
        <v>#REF!</v>
      </c>
      <c r="T454" s="354" t="e">
        <f>GETPIVOTDATA(#REF!,A454)</f>
        <v>#REF!</v>
      </c>
      <c r="U454" s="355">
        <f>0.3*2</f>
        <v>0.6</v>
      </c>
      <c r="V454" s="354">
        <f t="shared" si="301"/>
        <v>-0.04</v>
      </c>
      <c r="W454" s="354">
        <f>3.73*0.3</f>
        <v>1.119</v>
      </c>
      <c r="X454" s="353" t="e">
        <f t="shared" si="302"/>
        <v>#REF!</v>
      </c>
      <c r="Y454" s="191" t="e">
        <f>GETPIVOTDATA(#REF!,A454)</f>
        <v>#REF!</v>
      </c>
      <c r="Z454" s="353" t="e">
        <f>GETPIVOTDATA(#REF!,A454)*2</f>
        <v>#REF!</v>
      </c>
      <c r="AA454" s="191" t="e">
        <f>(ROUND(D454/Z454,0)+1)*GETPIVOTDATA(#REF!,A454)</f>
        <v>#REF!</v>
      </c>
      <c r="AB454" s="354" t="e">
        <f>GETPIVOTDATA(#REF!,A454)</f>
        <v>#REF!</v>
      </c>
      <c r="AC454" s="355">
        <f>0.38*2</f>
        <v>0.76</v>
      </c>
      <c r="AD454" s="354">
        <f t="shared" si="303"/>
        <v>-0.04</v>
      </c>
      <c r="AE454" s="354">
        <f>4.27*0.3</f>
        <v>1.2809999999999999</v>
      </c>
      <c r="AF454" s="353" t="e">
        <f t="shared" si="304"/>
        <v>#REF!</v>
      </c>
      <c r="AG454" s="191" t="e">
        <f>GETPIVOTDATA(#REF!,A454)</f>
        <v>#REF!</v>
      </c>
      <c r="AH454" s="201" t="e">
        <f>GETPIVOTDATA(#REF!,A454)*2</f>
        <v>#REF!</v>
      </c>
      <c r="AI454" s="191" t="e">
        <f>(ROUND(D454/AH454,0))*GETPIVOTDATA(#REF!,A454)</f>
        <v>#REF!</v>
      </c>
      <c r="AJ454" s="354" t="e">
        <f>GETPIVOTDATA(#REF!,A454)</f>
        <v>#REF!</v>
      </c>
      <c r="AK454" s="355">
        <f>0.38*2</f>
        <v>0.76</v>
      </c>
      <c r="AL454" s="354">
        <f t="shared" si="305"/>
        <v>-0.04</v>
      </c>
      <c r="AM454" s="354">
        <f>2.93*0.3</f>
        <v>0.879</v>
      </c>
      <c r="AN454" s="353" t="e">
        <f t="shared" si="306"/>
        <v>#REF!</v>
      </c>
      <c r="AO454" s="191">
        <v>8</v>
      </c>
      <c r="AP454" s="201">
        <f t="shared" si="307"/>
        <v>12</v>
      </c>
      <c r="AQ454" s="201">
        <v>1.5</v>
      </c>
      <c r="AR454" s="352" t="e">
        <f t="shared" si="310"/>
        <v>#REF!</v>
      </c>
      <c r="AS454" s="352" t="e">
        <f t="shared" si="311"/>
        <v>#REF!</v>
      </c>
      <c r="AT454" s="352" t="e">
        <f t="shared" si="312"/>
        <v>#REF!</v>
      </c>
      <c r="AU454" s="352" t="e">
        <f t="shared" si="313"/>
        <v>#REF!</v>
      </c>
      <c r="AV454" s="352" t="e">
        <f t="shared" si="314"/>
        <v>#REF!</v>
      </c>
      <c r="AW454" s="352" t="e">
        <f t="shared" si="308"/>
        <v>#REF!</v>
      </c>
      <c r="AX454" s="352">
        <f t="shared" si="309"/>
        <v>18</v>
      </c>
      <c r="AY454" s="190"/>
      <c r="AZ454" s="240"/>
      <c r="BA454" s="232"/>
      <c r="BF454" s="206"/>
      <c r="BG454" s="206"/>
      <c r="BK454" s="126"/>
      <c r="BL454" s="126"/>
      <c r="BN454" s="126"/>
      <c r="BO454" s="126"/>
      <c r="BQ454" s="126"/>
      <c r="BR454" s="126"/>
      <c r="BT454" s="126"/>
      <c r="BU454" s="126"/>
      <c r="BW454" s="126"/>
      <c r="BX454" s="126"/>
      <c r="BZ454" s="126"/>
      <c r="CA454" s="126"/>
      <c r="CC454" s="126"/>
      <c r="CD454" s="126"/>
      <c r="CF454" s="126"/>
      <c r="CG454" s="126"/>
    </row>
    <row r="455" spans="1:85" s="197" customFormat="1" ht="27.6" x14ac:dyDescent="0.3">
      <c r="A455" s="201" t="s">
        <v>233</v>
      </c>
      <c r="B455" s="191">
        <v>1</v>
      </c>
      <c r="C455" s="356" t="s">
        <v>442</v>
      </c>
      <c r="D455" s="352">
        <v>3.73</v>
      </c>
      <c r="E455" s="352">
        <v>5.24</v>
      </c>
      <c r="F455" s="351">
        <v>0.15</v>
      </c>
      <c r="G455" s="352">
        <f t="shared" si="318"/>
        <v>2.9317800000000003</v>
      </c>
      <c r="H455" s="353">
        <f t="shared" si="319"/>
        <v>19.545200000000001</v>
      </c>
      <c r="I455" s="191" t="e">
        <f>GETPIVOTDATA(#REF!,A455)</f>
        <v>#REF!</v>
      </c>
      <c r="J455" s="353" t="e">
        <f>GETPIVOTDATA(#REF!,A455)*2</f>
        <v>#REF!</v>
      </c>
      <c r="K455" s="191" t="e">
        <f>(ROUND(E455/J455,0)+1)*GETPIVOTDATA(#REF!,A455)</f>
        <v>#REF!</v>
      </c>
      <c r="L455" s="354" t="e">
        <f>GETPIVOTDATA(#REF!,A455)</f>
        <v>#REF!</v>
      </c>
      <c r="M455" s="355">
        <f>0.3*2</f>
        <v>0.6</v>
      </c>
      <c r="N455" s="354">
        <f t="shared" si="299"/>
        <v>-0.04</v>
      </c>
      <c r="O455" s="354">
        <f>4.1*0.3</f>
        <v>1.2299999999999998</v>
      </c>
      <c r="P455" s="353" t="e">
        <f t="shared" si="300"/>
        <v>#REF!</v>
      </c>
      <c r="Q455" s="191" t="e">
        <f>GETPIVOTDATA(#REF!,A455)</f>
        <v>#REF!</v>
      </c>
      <c r="R455" s="353" t="e">
        <f>GETPIVOTDATA(#REF!,A455)*2</f>
        <v>#REF!</v>
      </c>
      <c r="S455" s="191" t="e">
        <f>(ROUND(E455/R455,0))*GETPIVOTDATA(#REF!,A455)</f>
        <v>#REF!</v>
      </c>
      <c r="T455" s="354" t="e">
        <f>GETPIVOTDATA(#REF!,A455)</f>
        <v>#REF!</v>
      </c>
      <c r="U455" s="355">
        <f>0.3*2</f>
        <v>0.6</v>
      </c>
      <c r="V455" s="354">
        <f t="shared" si="301"/>
        <v>-0.04</v>
      </c>
      <c r="W455" s="354">
        <f>5.4*0.3</f>
        <v>1.62</v>
      </c>
      <c r="X455" s="353" t="e">
        <f t="shared" si="302"/>
        <v>#REF!</v>
      </c>
      <c r="Y455" s="191" t="e">
        <f>GETPIVOTDATA(#REF!,A455)</f>
        <v>#REF!</v>
      </c>
      <c r="Z455" s="353" t="e">
        <f>GETPIVOTDATA(#REF!,A455)*2</f>
        <v>#REF!</v>
      </c>
      <c r="AA455" s="191" t="e">
        <f>(ROUND(D455/Z455,0)+1)*GETPIVOTDATA(#REF!,A455)</f>
        <v>#REF!</v>
      </c>
      <c r="AB455" s="354" t="e">
        <f>GETPIVOTDATA(#REF!,A455)</f>
        <v>#REF!</v>
      </c>
      <c r="AC455" s="355">
        <f>0.38*2</f>
        <v>0.76</v>
      </c>
      <c r="AD455" s="354">
        <f t="shared" si="303"/>
        <v>-0.04</v>
      </c>
      <c r="AE455" s="354">
        <f>3.06*0.3</f>
        <v>0.91799999999999993</v>
      </c>
      <c r="AF455" s="353" t="e">
        <f t="shared" si="304"/>
        <v>#REF!</v>
      </c>
      <c r="AG455" s="191" t="e">
        <f>GETPIVOTDATA(#REF!,A455)</f>
        <v>#REF!</v>
      </c>
      <c r="AH455" s="201" t="e">
        <f>GETPIVOTDATA(#REF!,A455)*2</f>
        <v>#REF!</v>
      </c>
      <c r="AI455" s="191" t="e">
        <f>(ROUND(D455/AH455,0))*GETPIVOTDATA(#REF!,A455)</f>
        <v>#REF!</v>
      </c>
      <c r="AJ455" s="354" t="e">
        <f>GETPIVOTDATA(#REF!,A455)</f>
        <v>#REF!</v>
      </c>
      <c r="AK455" s="355">
        <f>0.38*2</f>
        <v>0.76</v>
      </c>
      <c r="AL455" s="354">
        <f t="shared" si="305"/>
        <v>-0.04</v>
      </c>
      <c r="AM455" s="354">
        <f>2.93*0.3</f>
        <v>0.879</v>
      </c>
      <c r="AN455" s="353" t="e">
        <f t="shared" si="306"/>
        <v>#REF!</v>
      </c>
      <c r="AO455" s="191">
        <v>8</v>
      </c>
      <c r="AP455" s="201">
        <f t="shared" si="307"/>
        <v>10</v>
      </c>
      <c r="AQ455" s="201">
        <v>1.5</v>
      </c>
      <c r="AR455" s="352" t="e">
        <f t="shared" si="310"/>
        <v>#REF!</v>
      </c>
      <c r="AS455" s="352" t="e">
        <f t="shared" si="311"/>
        <v>#REF!</v>
      </c>
      <c r="AT455" s="352" t="e">
        <f t="shared" si="312"/>
        <v>#REF!</v>
      </c>
      <c r="AU455" s="352" t="e">
        <f t="shared" si="313"/>
        <v>#REF!</v>
      </c>
      <c r="AV455" s="352" t="e">
        <f t="shared" si="314"/>
        <v>#REF!</v>
      </c>
      <c r="AW455" s="352" t="e">
        <f t="shared" si="308"/>
        <v>#REF!</v>
      </c>
      <c r="AX455" s="352">
        <f t="shared" si="309"/>
        <v>15</v>
      </c>
      <c r="AY455" s="190"/>
      <c r="AZ455" s="240"/>
      <c r="BA455" s="232"/>
      <c r="BF455" s="206"/>
      <c r="BG455" s="206"/>
      <c r="BK455" s="126"/>
      <c r="BL455" s="126"/>
      <c r="BN455" s="126"/>
      <c r="BO455" s="126"/>
      <c r="BQ455" s="126"/>
      <c r="BR455" s="126"/>
      <c r="BT455" s="126"/>
      <c r="BU455" s="126"/>
      <c r="BW455" s="126"/>
      <c r="BX455" s="126"/>
      <c r="BZ455" s="126"/>
      <c r="CA455" s="126"/>
      <c r="CC455" s="126"/>
      <c r="CD455" s="126"/>
      <c r="CF455" s="126"/>
      <c r="CG455" s="126"/>
    </row>
    <row r="456" spans="1:85" s="197" customFormat="1" x14ac:dyDescent="0.3">
      <c r="A456" s="201" t="s">
        <v>259</v>
      </c>
      <c r="B456" s="191">
        <v>1</v>
      </c>
      <c r="C456" s="356" t="s">
        <v>443</v>
      </c>
      <c r="D456" s="352">
        <v>5.4</v>
      </c>
      <c r="E456" s="352">
        <v>5.24</v>
      </c>
      <c r="F456" s="351">
        <v>0.17499999999999999</v>
      </c>
      <c r="G456" s="352">
        <f t="shared" si="318"/>
        <v>4.9518000000000004</v>
      </c>
      <c r="H456" s="353">
        <f t="shared" si="319"/>
        <v>28.296000000000003</v>
      </c>
      <c r="I456" s="191" t="e">
        <f>GETPIVOTDATA(#REF!,A456)</f>
        <v>#REF!</v>
      </c>
      <c r="J456" s="353" t="e">
        <f>GETPIVOTDATA(#REF!,A456)*2</f>
        <v>#REF!</v>
      </c>
      <c r="K456" s="191" t="e">
        <f>(ROUND(E456/J456,0)+1)*GETPIVOTDATA(#REF!,A456)</f>
        <v>#REF!</v>
      </c>
      <c r="L456" s="354" t="e">
        <f>GETPIVOTDATA(#REF!,A456)</f>
        <v>#REF!</v>
      </c>
      <c r="M456" s="355">
        <f>0.3*2</f>
        <v>0.6</v>
      </c>
      <c r="N456" s="354">
        <f t="shared" si="299"/>
        <v>-0.04</v>
      </c>
      <c r="O456" s="354">
        <f>3.73*0.3</f>
        <v>1.119</v>
      </c>
      <c r="P456" s="353" t="e">
        <f t="shared" si="300"/>
        <v>#REF!</v>
      </c>
      <c r="Q456" s="191" t="e">
        <f>GETPIVOTDATA(#REF!,A456)</f>
        <v>#REF!</v>
      </c>
      <c r="R456" s="353" t="e">
        <f>GETPIVOTDATA(#REF!,A456)*2</f>
        <v>#REF!</v>
      </c>
      <c r="S456" s="191" t="e">
        <f>(ROUND(E456/R456,0))*GETPIVOTDATA(#REF!,A456)</f>
        <v>#REF!</v>
      </c>
      <c r="T456" s="354" t="e">
        <f>GETPIVOTDATA(#REF!,A456)</f>
        <v>#REF!</v>
      </c>
      <c r="U456" s="355">
        <f>0.3*2</f>
        <v>0.6</v>
      </c>
      <c r="V456" s="354">
        <f t="shared" si="301"/>
        <v>-0.04</v>
      </c>
      <c r="W456" s="354">
        <f>2.7*0.3</f>
        <v>0.81</v>
      </c>
      <c r="X456" s="353" t="e">
        <f t="shared" si="302"/>
        <v>#REF!</v>
      </c>
      <c r="Y456" s="191" t="e">
        <f>GETPIVOTDATA(#REF!,A456)</f>
        <v>#REF!</v>
      </c>
      <c r="Z456" s="353" t="e">
        <f>GETPIVOTDATA(#REF!,A456)*2</f>
        <v>#REF!</v>
      </c>
      <c r="AA456" s="191" t="e">
        <f>(ROUND(D456/Z456,0)+1)*GETPIVOTDATA(#REF!,A456)</f>
        <v>#REF!</v>
      </c>
      <c r="AB456" s="354" t="e">
        <f>GETPIVOTDATA(#REF!,A456)</f>
        <v>#REF!</v>
      </c>
      <c r="AC456" s="355">
        <f>0.38*2</f>
        <v>0.76</v>
      </c>
      <c r="AD456" s="354">
        <f t="shared" si="303"/>
        <v>-0.04</v>
      </c>
      <c r="AE456" s="354">
        <f>5.85*0.3</f>
        <v>1.7549999999999999</v>
      </c>
      <c r="AF456" s="353" t="e">
        <f t="shared" si="304"/>
        <v>#REF!</v>
      </c>
      <c r="AG456" s="191" t="e">
        <f>GETPIVOTDATA(#REF!,A456)</f>
        <v>#REF!</v>
      </c>
      <c r="AH456" s="201" t="e">
        <f>GETPIVOTDATA(#REF!,A456)*2</f>
        <v>#REF!</v>
      </c>
      <c r="AI456" s="191" t="e">
        <f>(ROUND(D456/AH456,0))*GETPIVOTDATA(#REF!,A456)</f>
        <v>#REF!</v>
      </c>
      <c r="AJ456" s="354" t="e">
        <f>GETPIVOTDATA(#REF!,A456)</f>
        <v>#REF!</v>
      </c>
      <c r="AK456" s="355">
        <f>0.38*2</f>
        <v>0.76</v>
      </c>
      <c r="AL456" s="354">
        <f t="shared" si="305"/>
        <v>-0.04</v>
      </c>
      <c r="AM456" s="354">
        <f>2.93*0.3</f>
        <v>0.879</v>
      </c>
      <c r="AN456" s="353" t="e">
        <f t="shared" si="306"/>
        <v>#REF!</v>
      </c>
      <c r="AO456" s="191">
        <v>8</v>
      </c>
      <c r="AP456" s="201">
        <f t="shared" si="307"/>
        <v>14</v>
      </c>
      <c r="AQ456" s="201">
        <v>1.5</v>
      </c>
      <c r="AR456" s="352" t="e">
        <f t="shared" si="310"/>
        <v>#REF!</v>
      </c>
      <c r="AS456" s="352" t="e">
        <f t="shared" si="311"/>
        <v>#REF!</v>
      </c>
      <c r="AT456" s="352" t="e">
        <f t="shared" si="312"/>
        <v>#REF!</v>
      </c>
      <c r="AU456" s="352" t="e">
        <f t="shared" si="313"/>
        <v>#REF!</v>
      </c>
      <c r="AV456" s="352" t="e">
        <f t="shared" si="314"/>
        <v>#REF!</v>
      </c>
      <c r="AW456" s="352" t="e">
        <f t="shared" si="308"/>
        <v>#REF!</v>
      </c>
      <c r="AX456" s="352">
        <f t="shared" si="309"/>
        <v>21</v>
      </c>
      <c r="AY456" s="190"/>
      <c r="AZ456" s="240"/>
      <c r="BA456" s="232"/>
      <c r="BF456" s="206"/>
      <c r="BG456" s="206"/>
      <c r="BK456" s="126"/>
      <c r="BL456" s="126"/>
      <c r="BN456" s="126"/>
      <c r="BO456" s="126"/>
      <c r="BQ456" s="126"/>
      <c r="BR456" s="126"/>
      <c r="BT456" s="126"/>
      <c r="BU456" s="126"/>
      <c r="BW456" s="126"/>
      <c r="BX456" s="126"/>
      <c r="BZ456" s="126"/>
      <c r="CA456" s="126"/>
      <c r="CC456" s="126"/>
      <c r="CD456" s="126"/>
      <c r="CF456" s="126"/>
      <c r="CG456" s="126"/>
    </row>
    <row r="457" spans="1:85" s="197" customFormat="1" ht="27.6" x14ac:dyDescent="0.3">
      <c r="A457" s="201" t="s">
        <v>227</v>
      </c>
      <c r="B457" s="191">
        <v>1</v>
      </c>
      <c r="C457" s="356" t="s">
        <v>444</v>
      </c>
      <c r="D457" s="352">
        <v>2.7</v>
      </c>
      <c r="E457" s="352">
        <v>5.23</v>
      </c>
      <c r="F457" s="351">
        <v>0.125</v>
      </c>
      <c r="G457" s="352">
        <f t="shared" si="318"/>
        <v>1.7651250000000003</v>
      </c>
      <c r="H457" s="353">
        <f t="shared" si="319"/>
        <v>14.121000000000002</v>
      </c>
      <c r="I457" s="191" t="e">
        <f>GETPIVOTDATA(#REF!,A457)</f>
        <v>#REF!</v>
      </c>
      <c r="J457" s="353" t="e">
        <f>GETPIVOTDATA(#REF!,A457)*2</f>
        <v>#REF!</v>
      </c>
      <c r="K457" s="191" t="e">
        <f>(ROUND(E457/J457,0)+1)*GETPIVOTDATA(#REF!,A457)</f>
        <v>#REF!</v>
      </c>
      <c r="L457" s="354" t="e">
        <f>GETPIVOTDATA(#REF!,A457)</f>
        <v>#REF!</v>
      </c>
      <c r="M457" s="355">
        <f>0.23+0.3</f>
        <v>0.53</v>
      </c>
      <c r="N457" s="354">
        <f t="shared" si="299"/>
        <v>-0.04</v>
      </c>
      <c r="O457" s="354">
        <f>5.4*0.3</f>
        <v>1.62</v>
      </c>
      <c r="P457" s="353" t="e">
        <f t="shared" si="300"/>
        <v>#REF!</v>
      </c>
      <c r="Q457" s="191" t="e">
        <f>GETPIVOTDATA(#REF!,A457)</f>
        <v>#REF!</v>
      </c>
      <c r="R457" s="353" t="e">
        <f>GETPIVOTDATA(#REF!,A457)*2</f>
        <v>#REF!</v>
      </c>
      <c r="S457" s="191" t="e">
        <f>(ROUND(E457/R457,0))*GETPIVOTDATA(#REF!,A457)</f>
        <v>#REF!</v>
      </c>
      <c r="T457" s="354" t="e">
        <f>GETPIVOTDATA(#REF!,A457)</f>
        <v>#REF!</v>
      </c>
      <c r="U457" s="355">
        <f>0.23+0.3</f>
        <v>0.53</v>
      </c>
      <c r="V457" s="354">
        <f t="shared" si="301"/>
        <v>-0.04</v>
      </c>
      <c r="W457" s="354">
        <f>4.49*0.3</f>
        <v>1.347</v>
      </c>
      <c r="X457" s="353" t="e">
        <f t="shared" si="302"/>
        <v>#REF!</v>
      </c>
      <c r="Y457" s="191" t="e">
        <f>GETPIVOTDATA(#REF!,A457)</f>
        <v>#REF!</v>
      </c>
      <c r="Z457" s="353" t="e">
        <f>GETPIVOTDATA(#REF!,A457)*2</f>
        <v>#REF!</v>
      </c>
      <c r="AA457" s="191" t="e">
        <f>(ROUND(D457/Z457,0)+1)*GETPIVOTDATA(#REF!,A457)</f>
        <v>#REF!</v>
      </c>
      <c r="AB457" s="354" t="e">
        <f>GETPIVOTDATA(#REF!,A457)</f>
        <v>#REF!</v>
      </c>
      <c r="AC457" s="355">
        <f>0.3+0.38</f>
        <v>0.67999999999999994</v>
      </c>
      <c r="AD457" s="354">
        <f t="shared" si="303"/>
        <v>-0.04</v>
      </c>
      <c r="AE457" s="354">
        <f>5.85*0.3</f>
        <v>1.7549999999999999</v>
      </c>
      <c r="AF457" s="353" t="e">
        <f t="shared" si="304"/>
        <v>#REF!</v>
      </c>
      <c r="AG457" s="191" t="e">
        <f>GETPIVOTDATA(#REF!,A457)</f>
        <v>#REF!</v>
      </c>
      <c r="AH457" s="201" t="e">
        <f>GETPIVOTDATA(#REF!,A457)*2</f>
        <v>#REF!</v>
      </c>
      <c r="AI457" s="191" t="e">
        <f>(ROUND(D457/AH457,0))*GETPIVOTDATA(#REF!,A457)</f>
        <v>#REF!</v>
      </c>
      <c r="AJ457" s="354" t="e">
        <f>GETPIVOTDATA(#REF!,A457)</f>
        <v>#REF!</v>
      </c>
      <c r="AK457" s="355">
        <f>0.3+0.38</f>
        <v>0.67999999999999994</v>
      </c>
      <c r="AL457" s="354">
        <f t="shared" si="305"/>
        <v>-0.04</v>
      </c>
      <c r="AM457" s="354">
        <f>2.6*0.3</f>
        <v>0.78</v>
      </c>
      <c r="AN457" s="353" t="e">
        <f t="shared" si="306"/>
        <v>#REF!</v>
      </c>
      <c r="AO457" s="191">
        <v>8</v>
      </c>
      <c r="AP457" s="201">
        <f t="shared" si="307"/>
        <v>10</v>
      </c>
      <c r="AQ457" s="201">
        <v>1.5</v>
      </c>
      <c r="AR457" s="352" t="e">
        <f t="shared" si="310"/>
        <v>#REF!</v>
      </c>
      <c r="AS457" s="352" t="e">
        <f t="shared" si="311"/>
        <v>#REF!</v>
      </c>
      <c r="AT457" s="352" t="e">
        <f t="shared" si="312"/>
        <v>#REF!</v>
      </c>
      <c r="AU457" s="352" t="e">
        <f t="shared" si="313"/>
        <v>#REF!</v>
      </c>
      <c r="AV457" s="352" t="e">
        <f t="shared" si="314"/>
        <v>#REF!</v>
      </c>
      <c r="AW457" s="352" t="e">
        <f t="shared" si="308"/>
        <v>#REF!</v>
      </c>
      <c r="AX457" s="352">
        <f t="shared" si="309"/>
        <v>15</v>
      </c>
      <c r="AY457" s="190"/>
      <c r="AZ457" s="240"/>
      <c r="BA457" s="232"/>
      <c r="BF457" s="206"/>
      <c r="BG457" s="206"/>
      <c r="BK457" s="126"/>
      <c r="BL457" s="126"/>
      <c r="BN457" s="126"/>
      <c r="BO457" s="126"/>
      <c r="BQ457" s="126"/>
      <c r="BR457" s="126"/>
      <c r="BT457" s="126"/>
      <c r="BU457" s="126"/>
      <c r="BW457" s="126"/>
      <c r="BX457" s="126"/>
      <c r="BZ457" s="126"/>
      <c r="CA457" s="126"/>
      <c r="CC457" s="126"/>
      <c r="CD457" s="126"/>
      <c r="CF457" s="126"/>
      <c r="CG457" s="126"/>
    </row>
    <row r="458" spans="1:85" s="197" customFormat="1" x14ac:dyDescent="0.3">
      <c r="A458" s="201"/>
      <c r="B458" s="191"/>
      <c r="C458" s="349"/>
      <c r="D458" s="352"/>
      <c r="E458" s="352"/>
      <c r="F458" s="351"/>
      <c r="G458" s="352"/>
      <c r="H458" s="353"/>
      <c r="I458" s="191"/>
      <c r="J458" s="353"/>
      <c r="K458" s="191"/>
      <c r="L458" s="354"/>
      <c r="M458" s="355"/>
      <c r="N458" s="354"/>
      <c r="O458" s="354"/>
      <c r="P458" s="353"/>
      <c r="Q458" s="191"/>
      <c r="R458" s="353"/>
      <c r="S458" s="191"/>
      <c r="T458" s="354"/>
      <c r="U458" s="355"/>
      <c r="V458" s="354"/>
      <c r="W458" s="354"/>
      <c r="X458" s="353"/>
      <c r="Y458" s="191"/>
      <c r="Z458" s="353"/>
      <c r="AA458" s="191"/>
      <c r="AB458" s="354"/>
      <c r="AC458" s="355"/>
      <c r="AD458" s="354"/>
      <c r="AE458" s="354"/>
      <c r="AF458" s="353"/>
      <c r="AG458" s="191"/>
      <c r="AH458" s="201"/>
      <c r="AI458" s="191"/>
      <c r="AJ458" s="354"/>
      <c r="AK458" s="355"/>
      <c r="AL458" s="354"/>
      <c r="AM458" s="354"/>
      <c r="AN458" s="353"/>
      <c r="AO458" s="191"/>
      <c r="AP458" s="201"/>
      <c r="AQ458" s="201"/>
      <c r="AR458" s="352"/>
      <c r="AS458" s="352"/>
      <c r="AT458" s="352"/>
      <c r="AU458" s="352"/>
      <c r="AV458" s="352"/>
      <c r="AW458" s="352"/>
      <c r="AX458" s="352"/>
      <c r="AY458" s="190"/>
      <c r="AZ458" s="240"/>
      <c r="BA458" s="232"/>
      <c r="BF458" s="206"/>
      <c r="BG458" s="206"/>
      <c r="BK458" s="126"/>
      <c r="BL458" s="126"/>
      <c r="BN458" s="126"/>
      <c r="BO458" s="126"/>
      <c r="BQ458" s="126"/>
      <c r="BR458" s="126"/>
      <c r="BT458" s="126"/>
      <c r="BU458" s="126"/>
      <c r="BW458" s="126"/>
      <c r="BX458" s="126"/>
      <c r="BZ458" s="126"/>
      <c r="CA458" s="126"/>
      <c r="CC458" s="126"/>
      <c r="CD458" s="126"/>
      <c r="CF458" s="126"/>
      <c r="CG458" s="126"/>
    </row>
    <row r="459" spans="1:85" s="197" customFormat="1" x14ac:dyDescent="0.3">
      <c r="A459" s="201" t="s">
        <v>223</v>
      </c>
      <c r="B459" s="191">
        <v>1</v>
      </c>
      <c r="C459" s="356" t="s">
        <v>445</v>
      </c>
      <c r="D459" s="352">
        <v>2.98</v>
      </c>
      <c r="E459" s="352">
        <v>5.31</v>
      </c>
      <c r="F459" s="351">
        <v>0.13</v>
      </c>
      <c r="G459" s="352">
        <f t="shared" si="318"/>
        <v>2.0570939999999998</v>
      </c>
      <c r="H459" s="353">
        <f t="shared" si="319"/>
        <v>15.823799999999999</v>
      </c>
      <c r="I459" s="191" t="e">
        <f>GETPIVOTDATA(#REF!,A459)</f>
        <v>#REF!</v>
      </c>
      <c r="J459" s="353" t="e">
        <f>GETPIVOTDATA(#REF!,A459)*2</f>
        <v>#REF!</v>
      </c>
      <c r="K459" s="191" t="e">
        <f>(ROUND(E459/J459,0)+1)*GETPIVOTDATA(#REF!,A459)</f>
        <v>#REF!</v>
      </c>
      <c r="L459" s="354" t="e">
        <f>GETPIVOTDATA(#REF!,A459)</f>
        <v>#REF!</v>
      </c>
      <c r="M459" s="355">
        <f>0.3*2</f>
        <v>0.6</v>
      </c>
      <c r="N459" s="354">
        <f t="shared" ref="N459:N473" si="320">-(0.02*2)</f>
        <v>-0.04</v>
      </c>
      <c r="O459" s="354">
        <f>4.42*0.3</f>
        <v>1.3259999999999998</v>
      </c>
      <c r="P459" s="353" t="e">
        <f t="shared" ref="P459:P473" si="321">+D459+SUM(L459:O459)</f>
        <v>#REF!</v>
      </c>
      <c r="Q459" s="191" t="e">
        <f>GETPIVOTDATA(#REF!,A459)</f>
        <v>#REF!</v>
      </c>
      <c r="R459" s="353" t="e">
        <f>GETPIVOTDATA(#REF!,A459)*2</f>
        <v>#REF!</v>
      </c>
      <c r="S459" s="191" t="e">
        <f>(ROUND(E459/R459,0))*GETPIVOTDATA(#REF!,A459)</f>
        <v>#REF!</v>
      </c>
      <c r="T459" s="354" t="e">
        <f>GETPIVOTDATA(#REF!,A459)</f>
        <v>#REF!</v>
      </c>
      <c r="U459" s="355">
        <f>0.3*2</f>
        <v>0.6</v>
      </c>
      <c r="V459" s="354">
        <f t="shared" ref="V459:V473" si="322">-(0.02*2)</f>
        <v>-0.04</v>
      </c>
      <c r="W459" s="354">
        <f>2.9*0.3</f>
        <v>0.87</v>
      </c>
      <c r="X459" s="353" t="e">
        <f t="shared" ref="X459:X473" si="323">+D459+SUM(T459:W459)</f>
        <v>#REF!</v>
      </c>
      <c r="Y459" s="191" t="e">
        <f>GETPIVOTDATA(#REF!,A459)</f>
        <v>#REF!</v>
      </c>
      <c r="Z459" s="353" t="e">
        <f>GETPIVOTDATA(#REF!,A459)*2</f>
        <v>#REF!</v>
      </c>
      <c r="AA459" s="191" t="e">
        <f>(ROUND(D459/Z459,0)+1)*GETPIVOTDATA(#REF!,A459)</f>
        <v>#REF!</v>
      </c>
      <c r="AB459" s="354" t="e">
        <f>GETPIVOTDATA(#REF!,A459)</f>
        <v>#REF!</v>
      </c>
      <c r="AC459" s="355">
        <f>0.3*2</f>
        <v>0.6</v>
      </c>
      <c r="AD459" s="354">
        <f t="shared" ref="AD459:AD473" si="324">-(0.02*2)</f>
        <v>-0.04</v>
      </c>
      <c r="AE459" s="354">
        <f>5.85*0.3</f>
        <v>1.7549999999999999</v>
      </c>
      <c r="AF459" s="353" t="e">
        <f t="shared" ref="AF459:AF473" si="325">+E459+SUM(AB459:AE459)</f>
        <v>#REF!</v>
      </c>
      <c r="AG459" s="191" t="e">
        <f>GETPIVOTDATA(#REF!,A459)</f>
        <v>#REF!</v>
      </c>
      <c r="AH459" s="201" t="e">
        <f>GETPIVOTDATA(#REF!,A459)*2</f>
        <v>#REF!</v>
      </c>
      <c r="AI459" s="191" t="e">
        <f>(ROUND(D459/AH459,0))*GETPIVOTDATA(#REF!,A459)</f>
        <v>#REF!</v>
      </c>
      <c r="AJ459" s="354" t="e">
        <f>GETPIVOTDATA(#REF!,A459)</f>
        <v>#REF!</v>
      </c>
      <c r="AK459" s="355">
        <f>0.3*2</f>
        <v>0.6</v>
      </c>
      <c r="AL459" s="354">
        <f t="shared" ref="AL459:AL473" si="326">-(0.02*2)</f>
        <v>-0.04</v>
      </c>
      <c r="AM459" s="354">
        <f>2.44*0.3</f>
        <v>0.73199999999999998</v>
      </c>
      <c r="AN459" s="353" t="e">
        <f t="shared" ref="AN459:AN473" si="327">+E459+SUM(AJ459:AM459)</f>
        <v>#REF!</v>
      </c>
      <c r="AO459" s="191">
        <v>8</v>
      </c>
      <c r="AP459" s="201">
        <f t="shared" ref="AP459:AP473" si="328">(ROUND(D459/1.5,0)+ROUND(E459/1.5,0))*2</f>
        <v>12</v>
      </c>
      <c r="AQ459" s="201">
        <v>1.5</v>
      </c>
      <c r="AR459" s="352" t="e">
        <f t="shared" si="310"/>
        <v>#REF!</v>
      </c>
      <c r="AS459" s="352" t="e">
        <f t="shared" si="311"/>
        <v>#REF!</v>
      </c>
      <c r="AT459" s="352" t="e">
        <f t="shared" si="312"/>
        <v>#REF!</v>
      </c>
      <c r="AU459" s="352" t="e">
        <f t="shared" si="313"/>
        <v>#REF!</v>
      </c>
      <c r="AV459" s="352" t="e">
        <f t="shared" si="314"/>
        <v>#REF!</v>
      </c>
      <c r="AW459" s="352" t="e">
        <f t="shared" ref="AW459:AW473" si="329">IF(AG459=12,AI459*AN459*B459,0)+IF(Y459=12,B459*AA459*AF459,0)</f>
        <v>#REF!</v>
      </c>
      <c r="AX459" s="352">
        <f t="shared" ref="AX459:AX473" si="330">AP459*AQ459*B459</f>
        <v>18</v>
      </c>
      <c r="AY459" s="190"/>
      <c r="AZ459" s="240"/>
      <c r="BA459" s="232"/>
      <c r="BF459" s="206"/>
      <c r="BG459" s="206"/>
      <c r="BK459" s="126"/>
      <c r="BL459" s="126"/>
      <c r="BN459" s="126"/>
      <c r="BO459" s="126"/>
      <c r="BQ459" s="126"/>
      <c r="BR459" s="126"/>
      <c r="BT459" s="126"/>
      <c r="BU459" s="126"/>
      <c r="BW459" s="126"/>
      <c r="BX459" s="126"/>
      <c r="BZ459" s="126"/>
      <c r="CA459" s="126"/>
      <c r="CC459" s="126"/>
      <c r="CD459" s="126"/>
      <c r="CF459" s="126"/>
      <c r="CG459" s="126"/>
    </row>
    <row r="460" spans="1:85" s="197" customFormat="1" ht="41.4" x14ac:dyDescent="0.3">
      <c r="A460" s="201" t="s">
        <v>223</v>
      </c>
      <c r="B460" s="191">
        <v>2</v>
      </c>
      <c r="C460" s="356" t="s">
        <v>446</v>
      </c>
      <c r="D460" s="352">
        <v>2.9</v>
      </c>
      <c r="E460" s="352">
        <v>5.4</v>
      </c>
      <c r="F460" s="351">
        <v>0.13</v>
      </c>
      <c r="G460" s="352">
        <f t="shared" si="318"/>
        <v>4.0716000000000001</v>
      </c>
      <c r="H460" s="353">
        <f t="shared" si="319"/>
        <v>31.32</v>
      </c>
      <c r="I460" s="191" t="e">
        <f>GETPIVOTDATA(#REF!,A460)</f>
        <v>#REF!</v>
      </c>
      <c r="J460" s="353" t="e">
        <f>GETPIVOTDATA(#REF!,A460)*2</f>
        <v>#REF!</v>
      </c>
      <c r="K460" s="191" t="e">
        <f>(ROUND(E460/J460,0)+1)*GETPIVOTDATA(#REF!,A460)</f>
        <v>#REF!</v>
      </c>
      <c r="L460" s="354" t="e">
        <f>GETPIVOTDATA(#REF!,A460)</f>
        <v>#REF!</v>
      </c>
      <c r="M460" s="355">
        <f>0.3*2</f>
        <v>0.6</v>
      </c>
      <c r="N460" s="354">
        <f t="shared" si="320"/>
        <v>-0.04</v>
      </c>
      <c r="O460" s="354">
        <f>2.98*0.3</f>
        <v>0.89400000000000002</v>
      </c>
      <c r="P460" s="353" t="e">
        <f t="shared" si="321"/>
        <v>#REF!</v>
      </c>
      <c r="Q460" s="191" t="e">
        <f>GETPIVOTDATA(#REF!,A460)</f>
        <v>#REF!</v>
      </c>
      <c r="R460" s="353" t="e">
        <f>GETPIVOTDATA(#REF!,A460)*2</f>
        <v>#REF!</v>
      </c>
      <c r="S460" s="191" t="e">
        <f>(ROUND(E460/R460,0))*GETPIVOTDATA(#REF!,A460)</f>
        <v>#REF!</v>
      </c>
      <c r="T460" s="354" t="e">
        <f>GETPIVOTDATA(#REF!,A460)</f>
        <v>#REF!</v>
      </c>
      <c r="U460" s="355">
        <f>0.3*2</f>
        <v>0.6</v>
      </c>
      <c r="V460" s="354">
        <f t="shared" si="322"/>
        <v>-0.04</v>
      </c>
      <c r="W460" s="354">
        <f>2.9*0.3</f>
        <v>0.87</v>
      </c>
      <c r="X460" s="353" t="e">
        <f t="shared" si="323"/>
        <v>#REF!</v>
      </c>
      <c r="Y460" s="191" t="e">
        <f>GETPIVOTDATA(#REF!,A460)</f>
        <v>#REF!</v>
      </c>
      <c r="Z460" s="353" t="e">
        <f>GETPIVOTDATA(#REF!,A460)*2</f>
        <v>#REF!</v>
      </c>
      <c r="AA460" s="191" t="e">
        <f>(ROUND(D460/Z460,0)+1)*GETPIVOTDATA(#REF!,A460)</f>
        <v>#REF!</v>
      </c>
      <c r="AB460" s="354" t="e">
        <f>GETPIVOTDATA(#REF!,A460)</f>
        <v>#REF!</v>
      </c>
      <c r="AC460" s="355">
        <f>0.3*2</f>
        <v>0.6</v>
      </c>
      <c r="AD460" s="354">
        <f t="shared" si="324"/>
        <v>-0.04</v>
      </c>
      <c r="AE460" s="354">
        <f>5.85*0.3</f>
        <v>1.7549999999999999</v>
      </c>
      <c r="AF460" s="353" t="e">
        <f t="shared" si="325"/>
        <v>#REF!</v>
      </c>
      <c r="AG460" s="191" t="e">
        <f>GETPIVOTDATA(#REF!,A460)</f>
        <v>#REF!</v>
      </c>
      <c r="AH460" s="201" t="e">
        <f>GETPIVOTDATA(#REF!,A460)*2</f>
        <v>#REF!</v>
      </c>
      <c r="AI460" s="191" t="e">
        <f>(ROUND(D460/AH460,0))*GETPIVOTDATA(#REF!,A460)</f>
        <v>#REF!</v>
      </c>
      <c r="AJ460" s="354" t="e">
        <f>GETPIVOTDATA(#REF!,A460)</f>
        <v>#REF!</v>
      </c>
      <c r="AK460" s="355">
        <f>0.3*2</f>
        <v>0.6</v>
      </c>
      <c r="AL460" s="354">
        <f t="shared" si="326"/>
        <v>-0.04</v>
      </c>
      <c r="AM460" s="354">
        <f>2.35*0.3</f>
        <v>0.70499999999999996</v>
      </c>
      <c r="AN460" s="353" t="e">
        <f t="shared" si="327"/>
        <v>#REF!</v>
      </c>
      <c r="AO460" s="191">
        <v>8</v>
      </c>
      <c r="AP460" s="201">
        <f t="shared" si="328"/>
        <v>12</v>
      </c>
      <c r="AQ460" s="201">
        <v>1.5</v>
      </c>
      <c r="AR460" s="352" t="e">
        <f t="shared" si="310"/>
        <v>#REF!</v>
      </c>
      <c r="AS460" s="352" t="e">
        <f t="shared" si="311"/>
        <v>#REF!</v>
      </c>
      <c r="AT460" s="352" t="e">
        <f t="shared" si="312"/>
        <v>#REF!</v>
      </c>
      <c r="AU460" s="352" t="e">
        <f t="shared" si="313"/>
        <v>#REF!</v>
      </c>
      <c r="AV460" s="352" t="e">
        <f t="shared" si="314"/>
        <v>#REF!</v>
      </c>
      <c r="AW460" s="352" t="e">
        <f t="shared" si="329"/>
        <v>#REF!</v>
      </c>
      <c r="AX460" s="352">
        <f t="shared" si="330"/>
        <v>36</v>
      </c>
      <c r="AY460" s="190"/>
      <c r="AZ460" s="240"/>
      <c r="BA460" s="232"/>
      <c r="BF460" s="206"/>
      <c r="BG460" s="206"/>
      <c r="BK460" s="126"/>
      <c r="BL460" s="126"/>
      <c r="BN460" s="126"/>
      <c r="BO460" s="126"/>
      <c r="BQ460" s="126"/>
      <c r="BR460" s="126"/>
      <c r="BT460" s="126"/>
      <c r="BU460" s="126"/>
      <c r="BW460" s="126"/>
      <c r="BX460" s="126"/>
      <c r="BZ460" s="126"/>
      <c r="CA460" s="126"/>
      <c r="CC460" s="126"/>
      <c r="CD460" s="126"/>
      <c r="CF460" s="126"/>
      <c r="CG460" s="126"/>
    </row>
    <row r="461" spans="1:85" s="197" customFormat="1" x14ac:dyDescent="0.3">
      <c r="A461" s="201" t="s">
        <v>223</v>
      </c>
      <c r="B461" s="191">
        <v>1</v>
      </c>
      <c r="C461" s="356" t="s">
        <v>447</v>
      </c>
      <c r="D461" s="352">
        <v>2.4900000000000002</v>
      </c>
      <c r="E461" s="352">
        <v>5.4</v>
      </c>
      <c r="F461" s="351">
        <v>0.13</v>
      </c>
      <c r="G461" s="352">
        <f t="shared" si="318"/>
        <v>1.7479800000000003</v>
      </c>
      <c r="H461" s="353">
        <f t="shared" si="319"/>
        <v>13.446000000000002</v>
      </c>
      <c r="I461" s="191" t="e">
        <f>GETPIVOTDATA(#REF!,A461)</f>
        <v>#REF!</v>
      </c>
      <c r="J461" s="353" t="e">
        <f>GETPIVOTDATA(#REF!,A461)*2</f>
        <v>#REF!</v>
      </c>
      <c r="K461" s="191" t="e">
        <f>(ROUND(E461/J461,0)+1)*GETPIVOTDATA(#REF!,A461)</f>
        <v>#REF!</v>
      </c>
      <c r="L461" s="354" t="e">
        <f>GETPIVOTDATA(#REF!,A461)</f>
        <v>#REF!</v>
      </c>
      <c r="M461" s="355">
        <f>0.3*2</f>
        <v>0.6</v>
      </c>
      <c r="N461" s="354">
        <f t="shared" si="320"/>
        <v>-0.04</v>
      </c>
      <c r="O461" s="354">
        <f>2.9*0.3</f>
        <v>0.87</v>
      </c>
      <c r="P461" s="353" t="e">
        <f t="shared" si="321"/>
        <v>#REF!</v>
      </c>
      <c r="Q461" s="191" t="e">
        <f>GETPIVOTDATA(#REF!,A461)</f>
        <v>#REF!</v>
      </c>
      <c r="R461" s="353" t="e">
        <f>GETPIVOTDATA(#REF!,A461)*2</f>
        <v>#REF!</v>
      </c>
      <c r="S461" s="191" t="e">
        <f>(ROUND(E461/R461,0))*GETPIVOTDATA(#REF!,A461)</f>
        <v>#REF!</v>
      </c>
      <c r="T461" s="354" t="e">
        <f>GETPIVOTDATA(#REF!,A461)</f>
        <v>#REF!</v>
      </c>
      <c r="U461" s="355">
        <f>0.3*2</f>
        <v>0.6</v>
      </c>
      <c r="V461" s="354">
        <f t="shared" si="322"/>
        <v>-0.04</v>
      </c>
      <c r="W461" s="354">
        <f>F461-2*0.02</f>
        <v>0.09</v>
      </c>
      <c r="X461" s="353" t="e">
        <f t="shared" si="323"/>
        <v>#REF!</v>
      </c>
      <c r="Y461" s="191" t="e">
        <f>GETPIVOTDATA(#REF!,A461)</f>
        <v>#REF!</v>
      </c>
      <c r="Z461" s="353" t="e">
        <f>GETPIVOTDATA(#REF!,A461)*2</f>
        <v>#REF!</v>
      </c>
      <c r="AA461" s="191" t="e">
        <f>(ROUND(D461/Z461,0)+1)*GETPIVOTDATA(#REF!,A461)</f>
        <v>#REF!</v>
      </c>
      <c r="AB461" s="354" t="e">
        <f>GETPIVOTDATA(#REF!,A461)</f>
        <v>#REF!</v>
      </c>
      <c r="AC461" s="355">
        <f>0.3*2</f>
        <v>0.6</v>
      </c>
      <c r="AD461" s="354">
        <f t="shared" si="324"/>
        <v>-0.04</v>
      </c>
      <c r="AE461" s="354">
        <f>5.85*0.3</f>
        <v>1.7549999999999999</v>
      </c>
      <c r="AF461" s="353" t="e">
        <f t="shared" si="325"/>
        <v>#REF!</v>
      </c>
      <c r="AG461" s="191" t="e">
        <f>GETPIVOTDATA(#REF!,A461)</f>
        <v>#REF!</v>
      </c>
      <c r="AH461" s="201" t="e">
        <f>GETPIVOTDATA(#REF!,A461)*2</f>
        <v>#REF!</v>
      </c>
      <c r="AI461" s="191" t="e">
        <f>(ROUND(D461/AH461,0))*GETPIVOTDATA(#REF!,A461)</f>
        <v>#REF!</v>
      </c>
      <c r="AJ461" s="354" t="e">
        <f>GETPIVOTDATA(#REF!,A461)</f>
        <v>#REF!</v>
      </c>
      <c r="AK461" s="355">
        <f>0.3*2</f>
        <v>0.6</v>
      </c>
      <c r="AL461" s="354">
        <f t="shared" si="326"/>
        <v>-0.04</v>
      </c>
      <c r="AM461" s="354">
        <f>7.48*0.3</f>
        <v>2.2440000000000002</v>
      </c>
      <c r="AN461" s="353" t="e">
        <f t="shared" si="327"/>
        <v>#REF!</v>
      </c>
      <c r="AO461" s="191">
        <v>8</v>
      </c>
      <c r="AP461" s="201">
        <f t="shared" si="328"/>
        <v>12</v>
      </c>
      <c r="AQ461" s="201">
        <v>1.5</v>
      </c>
      <c r="AR461" s="352" t="e">
        <f t="shared" si="310"/>
        <v>#REF!</v>
      </c>
      <c r="AS461" s="352" t="e">
        <f t="shared" si="311"/>
        <v>#REF!</v>
      </c>
      <c r="AT461" s="352" t="e">
        <f t="shared" si="312"/>
        <v>#REF!</v>
      </c>
      <c r="AU461" s="352" t="e">
        <f t="shared" si="313"/>
        <v>#REF!</v>
      </c>
      <c r="AV461" s="352" t="e">
        <f t="shared" si="314"/>
        <v>#REF!</v>
      </c>
      <c r="AW461" s="352" t="e">
        <f t="shared" si="329"/>
        <v>#REF!</v>
      </c>
      <c r="AX461" s="352">
        <f t="shared" si="330"/>
        <v>18</v>
      </c>
      <c r="AY461" s="190"/>
      <c r="AZ461" s="240"/>
      <c r="BA461" s="232"/>
      <c r="BF461" s="206"/>
      <c r="BG461" s="206"/>
      <c r="BK461" s="126"/>
      <c r="BL461" s="126"/>
      <c r="BN461" s="126"/>
      <c r="BO461" s="126"/>
      <c r="BQ461" s="126"/>
      <c r="BR461" s="126"/>
      <c r="BT461" s="126"/>
      <c r="BU461" s="126"/>
      <c r="BW461" s="126"/>
      <c r="BX461" s="126"/>
      <c r="BZ461" s="126"/>
      <c r="CA461" s="126"/>
      <c r="CC461" s="126"/>
      <c r="CD461" s="126"/>
      <c r="CF461" s="126"/>
      <c r="CG461" s="126"/>
    </row>
    <row r="462" spans="1:85" s="197" customFormat="1" x14ac:dyDescent="0.3">
      <c r="A462" s="201"/>
      <c r="B462" s="191"/>
      <c r="C462" s="349"/>
      <c r="D462" s="352"/>
      <c r="E462" s="352"/>
      <c r="F462" s="351"/>
      <c r="G462" s="352"/>
      <c r="H462" s="353"/>
      <c r="I462" s="191"/>
      <c r="J462" s="353"/>
      <c r="K462" s="191"/>
      <c r="L462" s="354"/>
      <c r="M462" s="355"/>
      <c r="N462" s="354"/>
      <c r="O462" s="354"/>
      <c r="P462" s="353"/>
      <c r="Q462" s="191"/>
      <c r="R462" s="353"/>
      <c r="S462" s="191"/>
      <c r="T462" s="354"/>
      <c r="U462" s="355"/>
      <c r="V462" s="354"/>
      <c r="W462" s="354"/>
      <c r="X462" s="353"/>
      <c r="Y462" s="191"/>
      <c r="Z462" s="353"/>
      <c r="AA462" s="191"/>
      <c r="AB462" s="354"/>
      <c r="AC462" s="355"/>
      <c r="AD462" s="354"/>
      <c r="AE462" s="354"/>
      <c r="AF462" s="353"/>
      <c r="AG462" s="191"/>
      <c r="AH462" s="201"/>
      <c r="AI462" s="191"/>
      <c r="AJ462" s="354"/>
      <c r="AK462" s="355"/>
      <c r="AL462" s="354"/>
      <c r="AM462" s="354"/>
      <c r="AN462" s="353"/>
      <c r="AO462" s="191"/>
      <c r="AP462" s="201"/>
      <c r="AQ462" s="201"/>
      <c r="AR462" s="352"/>
      <c r="AS462" s="352"/>
      <c r="AT462" s="352"/>
      <c r="AU462" s="352"/>
      <c r="AV462" s="352"/>
      <c r="AW462" s="352"/>
      <c r="AX462" s="352"/>
      <c r="AY462" s="190"/>
      <c r="AZ462" s="240"/>
      <c r="BA462" s="232"/>
      <c r="BF462" s="206"/>
      <c r="BG462" s="206"/>
      <c r="BK462" s="126"/>
      <c r="BL462" s="126"/>
      <c r="BN462" s="126"/>
      <c r="BO462" s="126"/>
      <c r="BQ462" s="126"/>
      <c r="BR462" s="126"/>
      <c r="BT462" s="126"/>
      <c r="BU462" s="126"/>
      <c r="BW462" s="126"/>
      <c r="BX462" s="126"/>
      <c r="BZ462" s="126"/>
      <c r="CA462" s="126"/>
      <c r="CC462" s="126"/>
      <c r="CD462" s="126"/>
      <c r="CF462" s="126"/>
      <c r="CG462" s="126"/>
    </row>
    <row r="463" spans="1:85" s="197" customFormat="1" x14ac:dyDescent="0.3">
      <c r="A463" s="201" t="s">
        <v>233</v>
      </c>
      <c r="B463" s="191">
        <v>1</v>
      </c>
      <c r="C463" s="356" t="s">
        <v>448</v>
      </c>
      <c r="D463" s="352">
        <f>((7.87+5.12+1.97)/3)</f>
        <v>4.9866666666666672</v>
      </c>
      <c r="E463" s="352">
        <f>((1.53+4.43+0.69)/3)</f>
        <v>2.2166666666666668</v>
      </c>
      <c r="F463" s="351">
        <v>0.15</v>
      </c>
      <c r="G463" s="352">
        <f t="shared" si="318"/>
        <v>1.658066666666667</v>
      </c>
      <c r="H463" s="353">
        <f t="shared" si="319"/>
        <v>11.05377777777778</v>
      </c>
      <c r="I463" s="191" t="e">
        <f>GETPIVOTDATA(#REF!,A463)</f>
        <v>#REF!</v>
      </c>
      <c r="J463" s="353" t="e">
        <f>GETPIVOTDATA(#REF!,A463)*2</f>
        <v>#REF!</v>
      </c>
      <c r="K463" s="191" t="e">
        <f>(ROUND(E463/J463,0)+1)*GETPIVOTDATA(#REF!,A463)</f>
        <v>#REF!</v>
      </c>
      <c r="L463" s="354" t="e">
        <f>GETPIVOTDATA(#REF!,A463)</f>
        <v>#REF!</v>
      </c>
      <c r="M463" s="355">
        <f>0.3*2</f>
        <v>0.6</v>
      </c>
      <c r="N463" s="354">
        <f t="shared" si="320"/>
        <v>-0.04</v>
      </c>
      <c r="O463" s="354">
        <f>1.26*0.3</f>
        <v>0.378</v>
      </c>
      <c r="P463" s="353" t="e">
        <f t="shared" si="321"/>
        <v>#REF!</v>
      </c>
      <c r="Q463" s="191" t="e">
        <f>GETPIVOTDATA(#REF!,A463)</f>
        <v>#REF!</v>
      </c>
      <c r="R463" s="353" t="e">
        <f>GETPIVOTDATA(#REF!,A463)*2</f>
        <v>#REF!</v>
      </c>
      <c r="S463" s="191" t="e">
        <f>(ROUND(E463/R463,0))*GETPIVOTDATA(#REF!,A463)</f>
        <v>#REF!</v>
      </c>
      <c r="T463" s="354" t="e">
        <f>GETPIVOTDATA(#REF!,A463)</f>
        <v>#REF!</v>
      </c>
      <c r="U463" s="355">
        <f>0.3*2</f>
        <v>0.6</v>
      </c>
      <c r="V463" s="354">
        <f t="shared" si="322"/>
        <v>-0.04</v>
      </c>
      <c r="W463" s="354">
        <f>3.6*0.3</f>
        <v>1.08</v>
      </c>
      <c r="X463" s="353" t="e">
        <f t="shared" si="323"/>
        <v>#REF!</v>
      </c>
      <c r="Y463" s="191" t="e">
        <f>GETPIVOTDATA(#REF!,A463)</f>
        <v>#REF!</v>
      </c>
      <c r="Z463" s="353" t="e">
        <f>GETPIVOTDATA(#REF!,A463)*2</f>
        <v>#REF!</v>
      </c>
      <c r="AA463" s="191" t="e">
        <f>(ROUND(D463/Z463,0)+1)*GETPIVOTDATA(#REF!,A463)</f>
        <v>#REF!</v>
      </c>
      <c r="AB463" s="354" t="e">
        <f>GETPIVOTDATA(#REF!,A463)</f>
        <v>#REF!</v>
      </c>
      <c r="AC463" s="355">
        <f>0.38+0.3</f>
        <v>0.67999999999999994</v>
      </c>
      <c r="AD463" s="354">
        <f t="shared" si="324"/>
        <v>-0.04</v>
      </c>
      <c r="AE463" s="354">
        <f>1.22*0.3</f>
        <v>0.36599999999999999</v>
      </c>
      <c r="AF463" s="353" t="e">
        <f t="shared" si="325"/>
        <v>#REF!</v>
      </c>
      <c r="AG463" s="191" t="e">
        <f>GETPIVOTDATA(#REF!,A463)</f>
        <v>#REF!</v>
      </c>
      <c r="AH463" s="201" t="e">
        <f>GETPIVOTDATA(#REF!,A463)*2</f>
        <v>#REF!</v>
      </c>
      <c r="AI463" s="191" t="e">
        <f>(ROUND(D463/AH463,0))*GETPIVOTDATA(#REF!,A463)</f>
        <v>#REF!</v>
      </c>
      <c r="AJ463" s="354" t="e">
        <f>GETPIVOTDATA(#REF!,A463)</f>
        <v>#REF!</v>
      </c>
      <c r="AK463" s="355">
        <f>0.38+0.3</f>
        <v>0.67999999999999994</v>
      </c>
      <c r="AL463" s="354">
        <f t="shared" si="326"/>
        <v>-0.04</v>
      </c>
      <c r="AM463" s="354">
        <f>5.24*0.3</f>
        <v>1.5720000000000001</v>
      </c>
      <c r="AN463" s="353" t="e">
        <f t="shared" si="327"/>
        <v>#REF!</v>
      </c>
      <c r="AO463" s="191">
        <v>8</v>
      </c>
      <c r="AP463" s="201">
        <f t="shared" si="328"/>
        <v>8</v>
      </c>
      <c r="AQ463" s="201">
        <v>1.5</v>
      </c>
      <c r="AR463" s="352" t="e">
        <f t="shared" si="310"/>
        <v>#REF!</v>
      </c>
      <c r="AS463" s="352" t="e">
        <f t="shared" si="311"/>
        <v>#REF!</v>
      </c>
      <c r="AT463" s="352" t="e">
        <f t="shared" si="312"/>
        <v>#REF!</v>
      </c>
      <c r="AU463" s="352" t="e">
        <f t="shared" si="313"/>
        <v>#REF!</v>
      </c>
      <c r="AV463" s="352" t="e">
        <f t="shared" si="314"/>
        <v>#REF!</v>
      </c>
      <c r="AW463" s="352" t="e">
        <f t="shared" si="329"/>
        <v>#REF!</v>
      </c>
      <c r="AX463" s="352">
        <f t="shared" si="330"/>
        <v>12</v>
      </c>
      <c r="AY463" s="190"/>
      <c r="AZ463" s="240"/>
      <c r="BA463" s="232"/>
      <c r="BF463" s="206"/>
      <c r="BG463" s="206"/>
      <c r="BK463" s="126"/>
      <c r="BL463" s="126"/>
      <c r="BN463" s="126"/>
      <c r="BO463" s="126"/>
      <c r="BQ463" s="126"/>
      <c r="BR463" s="126"/>
      <c r="BT463" s="126"/>
      <c r="BU463" s="126"/>
      <c r="BW463" s="126"/>
      <c r="BX463" s="126"/>
      <c r="BZ463" s="126"/>
      <c r="CA463" s="126"/>
      <c r="CC463" s="126"/>
      <c r="CD463" s="126"/>
      <c r="CF463" s="126"/>
      <c r="CG463" s="126"/>
    </row>
    <row r="464" spans="1:85" s="197" customFormat="1" x14ac:dyDescent="0.3">
      <c r="A464" s="201"/>
      <c r="B464" s="191"/>
      <c r="C464" s="349"/>
      <c r="D464" s="352"/>
      <c r="E464" s="352"/>
      <c r="F464" s="351"/>
      <c r="G464" s="352"/>
      <c r="H464" s="353"/>
      <c r="I464" s="191"/>
      <c r="J464" s="353"/>
      <c r="K464" s="191"/>
      <c r="L464" s="354"/>
      <c r="M464" s="355"/>
      <c r="N464" s="354"/>
      <c r="O464" s="354"/>
      <c r="P464" s="353"/>
      <c r="Q464" s="191"/>
      <c r="R464" s="353"/>
      <c r="S464" s="191"/>
      <c r="T464" s="354"/>
      <c r="U464" s="355"/>
      <c r="V464" s="354"/>
      <c r="W464" s="354"/>
      <c r="X464" s="353"/>
      <c r="Y464" s="191"/>
      <c r="Z464" s="353"/>
      <c r="AA464" s="191"/>
      <c r="AB464" s="354"/>
      <c r="AC464" s="355"/>
      <c r="AD464" s="354"/>
      <c r="AE464" s="354"/>
      <c r="AF464" s="353"/>
      <c r="AG464" s="191"/>
      <c r="AH464" s="201"/>
      <c r="AI464" s="191"/>
      <c r="AJ464" s="354"/>
      <c r="AK464" s="355"/>
      <c r="AL464" s="354"/>
      <c r="AM464" s="354"/>
      <c r="AN464" s="353"/>
      <c r="AO464" s="191"/>
      <c r="AP464" s="201"/>
      <c r="AQ464" s="201"/>
      <c r="AR464" s="352"/>
      <c r="AS464" s="352"/>
      <c r="AT464" s="352"/>
      <c r="AU464" s="352"/>
      <c r="AV464" s="352"/>
      <c r="AW464" s="352"/>
      <c r="AX464" s="352"/>
      <c r="AY464" s="190"/>
      <c r="AZ464" s="240"/>
      <c r="BA464" s="232"/>
      <c r="BF464" s="206"/>
      <c r="BG464" s="206"/>
      <c r="BK464" s="126"/>
      <c r="BL464" s="126"/>
      <c r="BN464" s="126"/>
      <c r="BO464" s="126"/>
      <c r="BQ464" s="126"/>
      <c r="BR464" s="126"/>
      <c r="BT464" s="126"/>
      <c r="BU464" s="126"/>
      <c r="BW464" s="126"/>
      <c r="BX464" s="126"/>
      <c r="BZ464" s="126"/>
      <c r="CA464" s="126"/>
      <c r="CC464" s="126"/>
      <c r="CD464" s="126"/>
      <c r="CF464" s="126"/>
      <c r="CG464" s="126"/>
    </row>
    <row r="465" spans="1:105" s="197" customFormat="1" ht="27.6" x14ac:dyDescent="0.3">
      <c r="A465" s="201" t="s">
        <v>233</v>
      </c>
      <c r="B465" s="191">
        <v>1</v>
      </c>
      <c r="C465" s="356" t="s">
        <v>449</v>
      </c>
      <c r="D465" s="352">
        <f>(3.6+5.24+0)/3</f>
        <v>2.9466666666666668</v>
      </c>
      <c r="E465" s="352">
        <f>(5.82+3.86+0)/3</f>
        <v>3.2266666666666666</v>
      </c>
      <c r="F465" s="351">
        <v>0.15</v>
      </c>
      <c r="G465" s="352">
        <f t="shared" si="318"/>
        <v>1.4261866666666667</v>
      </c>
      <c r="H465" s="353">
        <f t="shared" si="319"/>
        <v>9.5079111111111114</v>
      </c>
      <c r="I465" s="191" t="e">
        <f>GETPIVOTDATA(#REF!,A465)</f>
        <v>#REF!</v>
      </c>
      <c r="J465" s="353" t="e">
        <f>GETPIVOTDATA(#REF!,A465)*2</f>
        <v>#REF!</v>
      </c>
      <c r="K465" s="191" t="e">
        <f>(ROUND(E465/J465,0)+1)*GETPIVOTDATA(#REF!,A465)</f>
        <v>#REF!</v>
      </c>
      <c r="L465" s="354" t="e">
        <f>GETPIVOTDATA(#REF!,A465)</f>
        <v>#REF!</v>
      </c>
      <c r="M465" s="355">
        <f>0.3*2</f>
        <v>0.6</v>
      </c>
      <c r="N465" s="354">
        <f t="shared" si="320"/>
        <v>-0.04</v>
      </c>
      <c r="O465" s="354">
        <f>5.12*0.3</f>
        <v>1.536</v>
      </c>
      <c r="P465" s="353" t="e">
        <f t="shared" si="321"/>
        <v>#REF!</v>
      </c>
      <c r="Q465" s="191" t="e">
        <f>GETPIVOTDATA(#REF!,A465)</f>
        <v>#REF!</v>
      </c>
      <c r="R465" s="353" t="e">
        <f>GETPIVOTDATA(#REF!,A465)*2</f>
        <v>#REF!</v>
      </c>
      <c r="S465" s="191" t="e">
        <f>(ROUND(E465/R465,0))*GETPIVOTDATA(#REF!,A465)</f>
        <v>#REF!</v>
      </c>
      <c r="T465" s="354" t="e">
        <f>GETPIVOTDATA(#REF!,A465)</f>
        <v>#REF!</v>
      </c>
      <c r="U465" s="355">
        <f>0.3*2</f>
        <v>0.6</v>
      </c>
      <c r="V465" s="354">
        <f t="shared" si="322"/>
        <v>-0.04</v>
      </c>
      <c r="W465" s="354">
        <f>5.13*0.3</f>
        <v>1.5389999999999999</v>
      </c>
      <c r="X465" s="353" t="e">
        <f t="shared" si="323"/>
        <v>#REF!</v>
      </c>
      <c r="Y465" s="191" t="e">
        <f>GETPIVOTDATA(#REF!,A465)</f>
        <v>#REF!</v>
      </c>
      <c r="Z465" s="353" t="e">
        <f>GETPIVOTDATA(#REF!,A465)*2</f>
        <v>#REF!</v>
      </c>
      <c r="AA465" s="191" t="e">
        <f>(ROUND(D465/Z465,0)+1)*GETPIVOTDATA(#REF!,A465)</f>
        <v>#REF!</v>
      </c>
      <c r="AB465" s="354" t="e">
        <f>GETPIVOTDATA(#REF!,A465)</f>
        <v>#REF!</v>
      </c>
      <c r="AC465" s="355">
        <f>0.3*2</f>
        <v>0.6</v>
      </c>
      <c r="AD465" s="354">
        <f t="shared" si="324"/>
        <v>-0.04</v>
      </c>
      <c r="AE465" s="354">
        <f>F465-2*0.02</f>
        <v>0.10999999999999999</v>
      </c>
      <c r="AF465" s="353" t="e">
        <f t="shared" si="325"/>
        <v>#REF!</v>
      </c>
      <c r="AG465" s="191" t="e">
        <f>GETPIVOTDATA(#REF!,A465)</f>
        <v>#REF!</v>
      </c>
      <c r="AH465" s="201" t="e">
        <f>GETPIVOTDATA(#REF!,A465)*2</f>
        <v>#REF!</v>
      </c>
      <c r="AI465" s="191" t="e">
        <f>(ROUND(D465/AH465,0))*GETPIVOTDATA(#REF!,A465)</f>
        <v>#REF!</v>
      </c>
      <c r="AJ465" s="354" t="e">
        <f>GETPIVOTDATA(#REF!,A465)</f>
        <v>#REF!</v>
      </c>
      <c r="AK465" s="355">
        <f>0.3*2</f>
        <v>0.6</v>
      </c>
      <c r="AL465" s="354">
        <f t="shared" si="326"/>
        <v>-0.04</v>
      </c>
      <c r="AM465" s="354">
        <f>5.24*0.3</f>
        <v>1.5720000000000001</v>
      </c>
      <c r="AN465" s="353" t="e">
        <f t="shared" si="327"/>
        <v>#REF!</v>
      </c>
      <c r="AO465" s="191">
        <v>8</v>
      </c>
      <c r="AP465" s="201">
        <f t="shared" si="328"/>
        <v>8</v>
      </c>
      <c r="AQ465" s="201">
        <v>1.5</v>
      </c>
      <c r="AR465" s="352" t="e">
        <f t="shared" si="310"/>
        <v>#REF!</v>
      </c>
      <c r="AS465" s="352" t="e">
        <f t="shared" si="311"/>
        <v>#REF!</v>
      </c>
      <c r="AT465" s="352" t="e">
        <f t="shared" si="312"/>
        <v>#REF!</v>
      </c>
      <c r="AU465" s="352" t="e">
        <f t="shared" si="313"/>
        <v>#REF!</v>
      </c>
      <c r="AV465" s="352" t="e">
        <f t="shared" si="314"/>
        <v>#REF!</v>
      </c>
      <c r="AW465" s="352" t="e">
        <f t="shared" si="329"/>
        <v>#REF!</v>
      </c>
      <c r="AX465" s="352">
        <f t="shared" si="330"/>
        <v>12</v>
      </c>
      <c r="AY465" s="190"/>
      <c r="AZ465" s="240"/>
      <c r="BA465" s="232"/>
      <c r="BF465" s="206"/>
      <c r="BG465" s="206"/>
      <c r="BK465" s="126"/>
      <c r="BL465" s="126"/>
      <c r="BN465" s="126"/>
      <c r="BO465" s="126"/>
      <c r="BQ465" s="126"/>
      <c r="BR465" s="126"/>
      <c r="BT465" s="126"/>
      <c r="BU465" s="126"/>
      <c r="BW465" s="126"/>
      <c r="BX465" s="126"/>
      <c r="BZ465" s="126"/>
      <c r="CA465" s="126"/>
      <c r="CC465" s="126"/>
      <c r="CD465" s="126"/>
      <c r="CF465" s="126"/>
      <c r="CG465" s="126"/>
    </row>
    <row r="466" spans="1:105" s="197" customFormat="1" x14ac:dyDescent="0.3">
      <c r="A466" s="201" t="s">
        <v>259</v>
      </c>
      <c r="B466" s="191">
        <v>1</v>
      </c>
      <c r="C466" s="356" t="s">
        <v>450</v>
      </c>
      <c r="D466" s="352">
        <v>5.13</v>
      </c>
      <c r="E466" s="352">
        <v>5.85</v>
      </c>
      <c r="F466" s="351">
        <v>0.17499999999999999</v>
      </c>
      <c r="G466" s="352">
        <f t="shared" si="318"/>
        <v>5.2518374999999988</v>
      </c>
      <c r="H466" s="353">
        <f t="shared" si="319"/>
        <v>30.010499999999997</v>
      </c>
      <c r="I466" s="191" t="e">
        <f>GETPIVOTDATA(#REF!,A466)</f>
        <v>#REF!</v>
      </c>
      <c r="J466" s="353" t="e">
        <f>GETPIVOTDATA(#REF!,A466)*2</f>
        <v>#REF!</v>
      </c>
      <c r="K466" s="191" t="e">
        <f>(ROUND(E466/J466,0)+1)*GETPIVOTDATA(#REF!,A466)</f>
        <v>#REF!</v>
      </c>
      <c r="L466" s="354" t="e">
        <f>GETPIVOTDATA(#REF!,A466)</f>
        <v>#REF!</v>
      </c>
      <c r="M466" s="355">
        <f>0.38+0.3</f>
        <v>0.67999999999999994</v>
      </c>
      <c r="N466" s="354">
        <f t="shared" si="320"/>
        <v>-0.04</v>
      </c>
      <c r="O466" s="354">
        <f>3.596*0.3</f>
        <v>1.0788</v>
      </c>
      <c r="P466" s="353" t="e">
        <f t="shared" si="321"/>
        <v>#REF!</v>
      </c>
      <c r="Q466" s="191" t="e">
        <f>GETPIVOTDATA(#REF!,A466)</f>
        <v>#REF!</v>
      </c>
      <c r="R466" s="353" t="e">
        <f>GETPIVOTDATA(#REF!,A466)*2</f>
        <v>#REF!</v>
      </c>
      <c r="S466" s="191" t="e">
        <f>(ROUND(E466/R466,0))*GETPIVOTDATA(#REF!,A466)</f>
        <v>#REF!</v>
      </c>
      <c r="T466" s="354" t="e">
        <f>GETPIVOTDATA(#REF!,A466)</f>
        <v>#REF!</v>
      </c>
      <c r="U466" s="355">
        <f>0.38+0.3</f>
        <v>0.67999999999999994</v>
      </c>
      <c r="V466" s="354">
        <f t="shared" si="322"/>
        <v>-0.04</v>
      </c>
      <c r="W466" s="354">
        <f>2.75*0.3</f>
        <v>0.82499999999999996</v>
      </c>
      <c r="X466" s="353" t="e">
        <f t="shared" si="323"/>
        <v>#REF!</v>
      </c>
      <c r="Y466" s="191" t="e">
        <f>GETPIVOTDATA(#REF!,A466)</f>
        <v>#REF!</v>
      </c>
      <c r="Z466" s="353" t="e">
        <f>GETPIVOTDATA(#REF!,A466)*2</f>
        <v>#REF!</v>
      </c>
      <c r="AA466" s="191" t="e">
        <f>(ROUND(D466/Z466,0)+1)*GETPIVOTDATA(#REF!,A466)</f>
        <v>#REF!</v>
      </c>
      <c r="AB466" s="354" t="e">
        <f>GETPIVOTDATA(#REF!,A466)</f>
        <v>#REF!</v>
      </c>
      <c r="AC466" s="355">
        <f>0.38+0.3</f>
        <v>0.67999999999999994</v>
      </c>
      <c r="AD466" s="354">
        <f t="shared" si="324"/>
        <v>-0.04</v>
      </c>
      <c r="AE466" s="354">
        <f t="shared" ref="AE466:AE473" si="331">1.12*0.3</f>
        <v>0.33600000000000002</v>
      </c>
      <c r="AF466" s="353" t="e">
        <f t="shared" si="325"/>
        <v>#REF!</v>
      </c>
      <c r="AG466" s="191" t="e">
        <f>GETPIVOTDATA(#REF!,A466)</f>
        <v>#REF!</v>
      </c>
      <c r="AH466" s="201" t="e">
        <f>GETPIVOTDATA(#REF!,A466)*2</f>
        <v>#REF!</v>
      </c>
      <c r="AI466" s="191" t="e">
        <f>(ROUND(D466/AH466,0))*GETPIVOTDATA(#REF!,A466)</f>
        <v>#REF!</v>
      </c>
      <c r="AJ466" s="354" t="e">
        <f>GETPIVOTDATA(#REF!,A466)</f>
        <v>#REF!</v>
      </c>
      <c r="AK466" s="355">
        <f>0.38+0.3</f>
        <v>0.67999999999999994</v>
      </c>
      <c r="AL466" s="354">
        <f t="shared" si="326"/>
        <v>-0.04</v>
      </c>
      <c r="AM466" s="354">
        <f>5.24*0.3</f>
        <v>1.5720000000000001</v>
      </c>
      <c r="AN466" s="353" t="e">
        <f t="shared" si="327"/>
        <v>#REF!</v>
      </c>
      <c r="AO466" s="191">
        <v>8</v>
      </c>
      <c r="AP466" s="201">
        <f t="shared" si="328"/>
        <v>14</v>
      </c>
      <c r="AQ466" s="201">
        <v>1.5</v>
      </c>
      <c r="AR466" s="352" t="e">
        <f t="shared" si="310"/>
        <v>#REF!</v>
      </c>
      <c r="AS466" s="352" t="e">
        <f t="shared" si="311"/>
        <v>#REF!</v>
      </c>
      <c r="AT466" s="352" t="e">
        <f t="shared" si="312"/>
        <v>#REF!</v>
      </c>
      <c r="AU466" s="352" t="e">
        <f t="shared" si="313"/>
        <v>#REF!</v>
      </c>
      <c r="AV466" s="352" t="e">
        <f t="shared" si="314"/>
        <v>#REF!</v>
      </c>
      <c r="AW466" s="352" t="e">
        <f t="shared" si="329"/>
        <v>#REF!</v>
      </c>
      <c r="AX466" s="352">
        <f t="shared" si="330"/>
        <v>21</v>
      </c>
      <c r="AY466" s="190"/>
      <c r="AZ466" s="240"/>
      <c r="BA466" s="232"/>
      <c r="BF466" s="206"/>
      <c r="BG466" s="206"/>
      <c r="BK466" s="126"/>
      <c r="BL466" s="126"/>
      <c r="BN466" s="126"/>
      <c r="BO466" s="126"/>
      <c r="BQ466" s="126"/>
      <c r="BR466" s="126"/>
      <c r="BT466" s="126"/>
      <c r="BU466" s="126"/>
      <c r="BW466" s="126"/>
      <c r="BX466" s="126"/>
      <c r="BZ466" s="126"/>
      <c r="CA466" s="126"/>
      <c r="CC466" s="126"/>
      <c r="CD466" s="126"/>
      <c r="CF466" s="126"/>
      <c r="CG466" s="126"/>
    </row>
    <row r="467" spans="1:105" s="197" customFormat="1" x14ac:dyDescent="0.3">
      <c r="A467" s="201" t="s">
        <v>227</v>
      </c>
      <c r="B467" s="191">
        <v>1</v>
      </c>
      <c r="C467" s="356" t="s">
        <v>451</v>
      </c>
      <c r="D467" s="352">
        <v>2.75</v>
      </c>
      <c r="E467" s="352">
        <v>5.85</v>
      </c>
      <c r="F467" s="351">
        <v>0.125</v>
      </c>
      <c r="G467" s="352">
        <f t="shared" si="318"/>
        <v>2.0109374999999998</v>
      </c>
      <c r="H467" s="353">
        <f t="shared" si="319"/>
        <v>16.087499999999999</v>
      </c>
      <c r="I467" s="191" t="e">
        <f>GETPIVOTDATA(#REF!,A467)</f>
        <v>#REF!</v>
      </c>
      <c r="J467" s="353" t="e">
        <f>GETPIVOTDATA(#REF!,A467)*2</f>
        <v>#REF!</v>
      </c>
      <c r="K467" s="191" t="e">
        <f>(ROUND(E467/J467,0)+1)*GETPIVOTDATA(#REF!,A467)</f>
        <v>#REF!</v>
      </c>
      <c r="L467" s="354" t="e">
        <f>GETPIVOTDATA(#REF!,A467)</f>
        <v>#REF!</v>
      </c>
      <c r="M467" s="355">
        <f t="shared" ref="M467:M473" si="332">0.3*2</f>
        <v>0.6</v>
      </c>
      <c r="N467" s="354">
        <f t="shared" si="320"/>
        <v>-0.04</v>
      </c>
      <c r="O467" s="354">
        <f>5.13*0.3</f>
        <v>1.5389999999999999</v>
      </c>
      <c r="P467" s="353" t="e">
        <f t="shared" si="321"/>
        <v>#REF!</v>
      </c>
      <c r="Q467" s="191" t="e">
        <f>GETPIVOTDATA(#REF!,A467)</f>
        <v>#REF!</v>
      </c>
      <c r="R467" s="353" t="e">
        <f>GETPIVOTDATA(#REF!,A467)*2</f>
        <v>#REF!</v>
      </c>
      <c r="S467" s="191" t="e">
        <f>(ROUND(E467/R467,0))*GETPIVOTDATA(#REF!,A467)</f>
        <v>#REF!</v>
      </c>
      <c r="T467" s="354" t="e">
        <f>GETPIVOTDATA(#REF!,A467)</f>
        <v>#REF!</v>
      </c>
      <c r="U467" s="355">
        <f t="shared" ref="U467:U473" si="333">0.3*2</f>
        <v>0.6</v>
      </c>
      <c r="V467" s="354">
        <f t="shared" si="322"/>
        <v>-0.04</v>
      </c>
      <c r="W467" s="354">
        <f>4.41*0.3</f>
        <v>1.323</v>
      </c>
      <c r="X467" s="353" t="e">
        <f t="shared" si="323"/>
        <v>#REF!</v>
      </c>
      <c r="Y467" s="191" t="e">
        <f>GETPIVOTDATA(#REF!,A467)</f>
        <v>#REF!</v>
      </c>
      <c r="Z467" s="353" t="e">
        <f>GETPIVOTDATA(#REF!,A467)*2</f>
        <v>#REF!</v>
      </c>
      <c r="AA467" s="191" t="e">
        <f>(ROUND(D467/Z467,0)+1)*GETPIVOTDATA(#REF!,A467)</f>
        <v>#REF!</v>
      </c>
      <c r="AB467" s="354" t="e">
        <f>GETPIVOTDATA(#REF!,A467)</f>
        <v>#REF!</v>
      </c>
      <c r="AC467" s="355">
        <f>0.3+0.38</f>
        <v>0.67999999999999994</v>
      </c>
      <c r="AD467" s="354">
        <f t="shared" si="324"/>
        <v>-0.04</v>
      </c>
      <c r="AE467" s="354">
        <f t="shared" si="331"/>
        <v>0.33600000000000002</v>
      </c>
      <c r="AF467" s="353" t="e">
        <f t="shared" si="325"/>
        <v>#REF!</v>
      </c>
      <c r="AG467" s="191" t="e">
        <f>GETPIVOTDATA(#REF!,A467)</f>
        <v>#REF!</v>
      </c>
      <c r="AH467" s="201" t="e">
        <f>GETPIVOTDATA(#REF!,A467)*2</f>
        <v>#REF!</v>
      </c>
      <c r="AI467" s="191" t="e">
        <f>(ROUND(D467/AH467,0))*GETPIVOTDATA(#REF!,A467)</f>
        <v>#REF!</v>
      </c>
      <c r="AJ467" s="354" t="e">
        <f>GETPIVOTDATA(#REF!,A467)</f>
        <v>#REF!</v>
      </c>
      <c r="AK467" s="355">
        <f>0.3+0.38</f>
        <v>0.67999999999999994</v>
      </c>
      <c r="AL467" s="354">
        <f t="shared" si="326"/>
        <v>-0.04</v>
      </c>
      <c r="AM467" s="354">
        <f>5.23*0.3</f>
        <v>1.5690000000000002</v>
      </c>
      <c r="AN467" s="353" t="e">
        <f t="shared" si="327"/>
        <v>#REF!</v>
      </c>
      <c r="AO467" s="191">
        <v>8</v>
      </c>
      <c r="AP467" s="201">
        <f t="shared" si="328"/>
        <v>12</v>
      </c>
      <c r="AQ467" s="201">
        <v>1.5</v>
      </c>
      <c r="AR467" s="352" t="e">
        <f t="shared" si="310"/>
        <v>#REF!</v>
      </c>
      <c r="AS467" s="352" t="e">
        <f t="shared" si="311"/>
        <v>#REF!</v>
      </c>
      <c r="AT467" s="352" t="e">
        <f t="shared" si="312"/>
        <v>#REF!</v>
      </c>
      <c r="AU467" s="352" t="e">
        <f t="shared" si="313"/>
        <v>#REF!</v>
      </c>
      <c r="AV467" s="352" t="e">
        <f t="shared" si="314"/>
        <v>#REF!</v>
      </c>
      <c r="AW467" s="352" t="e">
        <f t="shared" si="329"/>
        <v>#REF!</v>
      </c>
      <c r="AX467" s="352">
        <f t="shared" si="330"/>
        <v>18</v>
      </c>
      <c r="AY467" s="190"/>
      <c r="AZ467" s="240"/>
      <c r="BA467" s="232"/>
      <c r="BF467" s="206"/>
      <c r="BG467" s="206"/>
      <c r="BK467" s="126"/>
      <c r="BL467" s="126"/>
      <c r="BN467" s="126"/>
      <c r="BO467" s="126"/>
      <c r="BQ467" s="126"/>
      <c r="BR467" s="126"/>
      <c r="BT467" s="126"/>
      <c r="BU467" s="126"/>
      <c r="BW467" s="126"/>
      <c r="BX467" s="126"/>
      <c r="BZ467" s="126"/>
      <c r="CA467" s="126"/>
      <c r="CC467" s="126"/>
      <c r="CD467" s="126"/>
      <c r="CF467" s="126"/>
      <c r="CG467" s="126"/>
    </row>
    <row r="468" spans="1:105" s="197" customFormat="1" x14ac:dyDescent="0.3">
      <c r="A468" s="201" t="s">
        <v>225</v>
      </c>
      <c r="B468" s="191">
        <v>1</v>
      </c>
      <c r="C468" s="356" t="s">
        <v>452</v>
      </c>
      <c r="D468" s="352">
        <v>4.41</v>
      </c>
      <c r="E468" s="352">
        <v>5.85</v>
      </c>
      <c r="F468" s="351">
        <v>0.17499999999999999</v>
      </c>
      <c r="G468" s="352">
        <f t="shared" si="318"/>
        <v>4.5147374999999998</v>
      </c>
      <c r="H468" s="353">
        <f t="shared" si="319"/>
        <v>25.798500000000001</v>
      </c>
      <c r="I468" s="191" t="e">
        <f>GETPIVOTDATA(#REF!,A468)</f>
        <v>#REF!</v>
      </c>
      <c r="J468" s="353" t="e">
        <f>GETPIVOTDATA(#REF!,A468)*2</f>
        <v>#REF!</v>
      </c>
      <c r="K468" s="191" t="e">
        <f>(ROUND(E468/J468,0)+1)*GETPIVOTDATA(#REF!,A468)</f>
        <v>#REF!</v>
      </c>
      <c r="L468" s="354" t="e">
        <f>GETPIVOTDATA(#REF!,A468)</f>
        <v>#REF!</v>
      </c>
      <c r="M468" s="355">
        <f t="shared" si="332"/>
        <v>0.6</v>
      </c>
      <c r="N468" s="354">
        <f t="shared" si="320"/>
        <v>-0.04</v>
      </c>
      <c r="O468" s="354">
        <f>2.75*0.3</f>
        <v>0.82499999999999996</v>
      </c>
      <c r="P468" s="353" t="e">
        <f t="shared" si="321"/>
        <v>#REF!</v>
      </c>
      <c r="Q468" s="191" t="e">
        <f>GETPIVOTDATA(#REF!,A468)</f>
        <v>#REF!</v>
      </c>
      <c r="R468" s="353" t="e">
        <f>GETPIVOTDATA(#REF!,A468)*2</f>
        <v>#REF!</v>
      </c>
      <c r="S468" s="191" t="e">
        <f>(ROUND(E468/R468,0))*GETPIVOTDATA(#REF!,A468)</f>
        <v>#REF!</v>
      </c>
      <c r="T468" s="354" t="e">
        <f>GETPIVOTDATA(#REF!,A468)</f>
        <v>#REF!</v>
      </c>
      <c r="U468" s="355">
        <f t="shared" si="333"/>
        <v>0.6</v>
      </c>
      <c r="V468" s="354">
        <f t="shared" si="322"/>
        <v>-0.04</v>
      </c>
      <c r="W468" s="354">
        <f>3.81*0.3</f>
        <v>1.143</v>
      </c>
      <c r="X468" s="353" t="e">
        <f t="shared" si="323"/>
        <v>#REF!</v>
      </c>
      <c r="Y468" s="191" t="e">
        <f>GETPIVOTDATA(#REF!,A468)</f>
        <v>#REF!</v>
      </c>
      <c r="Z468" s="353" t="e">
        <f>GETPIVOTDATA(#REF!,A468)*2</f>
        <v>#REF!</v>
      </c>
      <c r="AA468" s="191" t="e">
        <f>(ROUND(D468/Z468,0)+1)*GETPIVOTDATA(#REF!,A468)</f>
        <v>#REF!</v>
      </c>
      <c r="AB468" s="354" t="e">
        <f>GETPIVOTDATA(#REF!,A468)</f>
        <v>#REF!</v>
      </c>
      <c r="AC468" s="355">
        <f t="shared" ref="AC468:AC473" si="334">0.3*2</f>
        <v>0.6</v>
      </c>
      <c r="AD468" s="354">
        <f t="shared" si="324"/>
        <v>-0.04</v>
      </c>
      <c r="AE468" s="354">
        <f t="shared" si="331"/>
        <v>0.33600000000000002</v>
      </c>
      <c r="AF468" s="353" t="e">
        <f t="shared" si="325"/>
        <v>#REF!</v>
      </c>
      <c r="AG468" s="191" t="e">
        <f>GETPIVOTDATA(#REF!,A468)</f>
        <v>#REF!</v>
      </c>
      <c r="AH468" s="201" t="e">
        <f>GETPIVOTDATA(#REF!,A468)*2</f>
        <v>#REF!</v>
      </c>
      <c r="AI468" s="191" t="e">
        <f>(ROUND(D468/AH468,0))*GETPIVOTDATA(#REF!,A468)</f>
        <v>#REF!</v>
      </c>
      <c r="AJ468" s="354" t="e">
        <f>GETPIVOTDATA(#REF!,A468)</f>
        <v>#REF!</v>
      </c>
      <c r="AK468" s="355">
        <f t="shared" ref="AK468:AK473" si="335">0.3*2</f>
        <v>0.6</v>
      </c>
      <c r="AL468" s="354">
        <f t="shared" si="326"/>
        <v>-0.04</v>
      </c>
      <c r="AM468" s="354">
        <f>5.38*0.3</f>
        <v>1.6139999999999999</v>
      </c>
      <c r="AN468" s="353" t="e">
        <f t="shared" si="327"/>
        <v>#REF!</v>
      </c>
      <c r="AO468" s="191">
        <v>8</v>
      </c>
      <c r="AP468" s="201">
        <f t="shared" si="328"/>
        <v>14</v>
      </c>
      <c r="AQ468" s="201">
        <v>1.5</v>
      </c>
      <c r="AR468" s="352" t="e">
        <f t="shared" si="310"/>
        <v>#REF!</v>
      </c>
      <c r="AS468" s="352" t="e">
        <f t="shared" si="311"/>
        <v>#REF!</v>
      </c>
      <c r="AT468" s="352" t="e">
        <f t="shared" si="312"/>
        <v>#REF!</v>
      </c>
      <c r="AU468" s="352" t="e">
        <f t="shared" si="313"/>
        <v>#REF!</v>
      </c>
      <c r="AV468" s="352" t="e">
        <f t="shared" si="314"/>
        <v>#REF!</v>
      </c>
      <c r="AW468" s="352" t="e">
        <f t="shared" si="329"/>
        <v>#REF!</v>
      </c>
      <c r="AX468" s="352">
        <f t="shared" si="330"/>
        <v>21</v>
      </c>
      <c r="AY468" s="190"/>
      <c r="AZ468" s="240"/>
      <c r="BA468" s="232"/>
      <c r="BF468" s="206"/>
      <c r="BG468" s="206"/>
      <c r="BK468" s="126"/>
      <c r="BL468" s="126"/>
      <c r="BN468" s="126"/>
      <c r="BO468" s="126"/>
      <c r="BQ468" s="126"/>
      <c r="BR468" s="126"/>
      <c r="BT468" s="126"/>
      <c r="BU468" s="126"/>
      <c r="BW468" s="126"/>
      <c r="BX468" s="126"/>
      <c r="BZ468" s="126"/>
      <c r="CA468" s="126"/>
      <c r="CC468" s="126"/>
      <c r="CD468" s="126"/>
      <c r="CF468" s="126"/>
      <c r="CG468" s="126"/>
    </row>
    <row r="469" spans="1:105" s="197" customFormat="1" x14ac:dyDescent="0.3">
      <c r="A469" s="201" t="s">
        <v>236</v>
      </c>
      <c r="B469" s="191">
        <v>1</v>
      </c>
      <c r="C469" s="356" t="s">
        <v>453</v>
      </c>
      <c r="D469" s="352">
        <v>3.81</v>
      </c>
      <c r="E469" s="352">
        <v>5.85</v>
      </c>
      <c r="F469" s="351">
        <v>0.16500000000000001</v>
      </c>
      <c r="G469" s="352">
        <f t="shared" si="318"/>
        <v>3.6776024999999999</v>
      </c>
      <c r="H469" s="353">
        <f t="shared" si="319"/>
        <v>22.288499999999999</v>
      </c>
      <c r="I469" s="191" t="e">
        <f>GETPIVOTDATA(#REF!,A469)</f>
        <v>#REF!</v>
      </c>
      <c r="J469" s="353" t="e">
        <f>GETPIVOTDATA(#REF!,A469)*2</f>
        <v>#REF!</v>
      </c>
      <c r="K469" s="191" t="e">
        <f>(ROUND(E469/J469,0)+1)*GETPIVOTDATA(#REF!,A469)</f>
        <v>#REF!</v>
      </c>
      <c r="L469" s="354" t="e">
        <f>GETPIVOTDATA(#REF!,A469)</f>
        <v>#REF!</v>
      </c>
      <c r="M469" s="355">
        <f t="shared" si="332"/>
        <v>0.6</v>
      </c>
      <c r="N469" s="354">
        <f t="shared" si="320"/>
        <v>-0.04</v>
      </c>
      <c r="O469" s="354">
        <f>4.41*0.3</f>
        <v>1.323</v>
      </c>
      <c r="P469" s="353" t="e">
        <f t="shared" si="321"/>
        <v>#REF!</v>
      </c>
      <c r="Q469" s="191" t="e">
        <f>GETPIVOTDATA(#REF!,A469)</f>
        <v>#REF!</v>
      </c>
      <c r="R469" s="353" t="e">
        <f>GETPIVOTDATA(#REF!,A469)*2</f>
        <v>#REF!</v>
      </c>
      <c r="S469" s="191" t="e">
        <f>(ROUND(E469/R469,0))*GETPIVOTDATA(#REF!,A469)</f>
        <v>#REF!</v>
      </c>
      <c r="T469" s="354" t="e">
        <f>GETPIVOTDATA(#REF!,A469)</f>
        <v>#REF!</v>
      </c>
      <c r="U469" s="355">
        <f t="shared" si="333"/>
        <v>0.6</v>
      </c>
      <c r="V469" s="354">
        <f t="shared" si="322"/>
        <v>-0.04</v>
      </c>
      <c r="W469" s="354">
        <f>4.41*0.3</f>
        <v>1.323</v>
      </c>
      <c r="X469" s="353" t="e">
        <f t="shared" si="323"/>
        <v>#REF!</v>
      </c>
      <c r="Y469" s="191" t="e">
        <f>GETPIVOTDATA(#REF!,A469)</f>
        <v>#REF!</v>
      </c>
      <c r="Z469" s="353" t="e">
        <f>GETPIVOTDATA(#REF!,A469)*2</f>
        <v>#REF!</v>
      </c>
      <c r="AA469" s="191" t="e">
        <f>(ROUND(D469/Z469,0)+1)*GETPIVOTDATA(#REF!,A469)</f>
        <v>#REF!</v>
      </c>
      <c r="AB469" s="354" t="e">
        <f>GETPIVOTDATA(#REF!,A469)</f>
        <v>#REF!</v>
      </c>
      <c r="AC469" s="355">
        <f t="shared" si="334"/>
        <v>0.6</v>
      </c>
      <c r="AD469" s="354">
        <f t="shared" si="324"/>
        <v>-0.04</v>
      </c>
      <c r="AE469" s="354">
        <f t="shared" si="331"/>
        <v>0.33600000000000002</v>
      </c>
      <c r="AF469" s="353" t="e">
        <f t="shared" si="325"/>
        <v>#REF!</v>
      </c>
      <c r="AG469" s="191" t="e">
        <f>GETPIVOTDATA(#REF!,A469)</f>
        <v>#REF!</v>
      </c>
      <c r="AH469" s="201" t="e">
        <f>GETPIVOTDATA(#REF!,A469)*2</f>
        <v>#REF!</v>
      </c>
      <c r="AI469" s="191" t="e">
        <f>(ROUND(D469/AH469,0))*GETPIVOTDATA(#REF!,A469)</f>
        <v>#REF!</v>
      </c>
      <c r="AJ469" s="354" t="e">
        <f>GETPIVOTDATA(#REF!,A469)</f>
        <v>#REF!</v>
      </c>
      <c r="AK469" s="355">
        <f t="shared" si="335"/>
        <v>0.6</v>
      </c>
      <c r="AL469" s="354">
        <f t="shared" si="326"/>
        <v>-0.04</v>
      </c>
      <c r="AM469" s="354">
        <f>3.34*0.3</f>
        <v>1.002</v>
      </c>
      <c r="AN469" s="353" t="e">
        <f t="shared" si="327"/>
        <v>#REF!</v>
      </c>
      <c r="AO469" s="191">
        <v>8</v>
      </c>
      <c r="AP469" s="201">
        <f t="shared" si="328"/>
        <v>14</v>
      </c>
      <c r="AQ469" s="201">
        <v>1.5</v>
      </c>
      <c r="AR469" s="352" t="e">
        <f t="shared" si="310"/>
        <v>#REF!</v>
      </c>
      <c r="AS469" s="352" t="e">
        <f t="shared" si="311"/>
        <v>#REF!</v>
      </c>
      <c r="AT469" s="352" t="e">
        <f t="shared" si="312"/>
        <v>#REF!</v>
      </c>
      <c r="AU469" s="352" t="e">
        <f t="shared" si="313"/>
        <v>#REF!</v>
      </c>
      <c r="AV469" s="352" t="e">
        <f t="shared" si="314"/>
        <v>#REF!</v>
      </c>
      <c r="AW469" s="352" t="e">
        <f t="shared" si="329"/>
        <v>#REF!</v>
      </c>
      <c r="AX469" s="352">
        <f t="shared" si="330"/>
        <v>21</v>
      </c>
      <c r="AY469" s="190"/>
      <c r="AZ469" s="240"/>
      <c r="BA469" s="232"/>
      <c r="BF469" s="206"/>
      <c r="BG469" s="206"/>
      <c r="BK469" s="126"/>
      <c r="BL469" s="126"/>
      <c r="BN469" s="126"/>
      <c r="BO469" s="126"/>
      <c r="BQ469" s="126"/>
      <c r="BR469" s="126"/>
      <c r="BT469" s="126"/>
      <c r="BU469" s="126"/>
      <c r="BW469" s="126"/>
      <c r="BX469" s="126"/>
      <c r="BZ469" s="126"/>
      <c r="CA469" s="126"/>
      <c r="CC469" s="126"/>
      <c r="CD469" s="126"/>
      <c r="CF469" s="126"/>
      <c r="CG469" s="126"/>
    </row>
    <row r="470" spans="1:105" s="197" customFormat="1" ht="27.6" outlineLevel="1" x14ac:dyDescent="0.3">
      <c r="A470" s="201" t="s">
        <v>225</v>
      </c>
      <c r="B470" s="191">
        <v>1</v>
      </c>
      <c r="C470" s="356" t="s">
        <v>454</v>
      </c>
      <c r="D470" s="352">
        <v>4.41</v>
      </c>
      <c r="E470" s="352">
        <v>5.85</v>
      </c>
      <c r="F470" s="351">
        <v>0.17499999999999999</v>
      </c>
      <c r="G470" s="352">
        <f t="shared" si="318"/>
        <v>4.5147374999999998</v>
      </c>
      <c r="H470" s="353">
        <f t="shared" si="319"/>
        <v>25.798500000000001</v>
      </c>
      <c r="I470" s="191" t="e">
        <f>GETPIVOTDATA(#REF!,A470)</f>
        <v>#REF!</v>
      </c>
      <c r="J470" s="353" t="e">
        <f>GETPIVOTDATA(#REF!,A470)*2</f>
        <v>#REF!</v>
      </c>
      <c r="K470" s="191" t="e">
        <f>(ROUND(E470/J470,0)+1)*GETPIVOTDATA(#REF!,A470)</f>
        <v>#REF!</v>
      </c>
      <c r="L470" s="354" t="e">
        <f>GETPIVOTDATA(#REF!,A470)</f>
        <v>#REF!</v>
      </c>
      <c r="M470" s="355">
        <f t="shared" si="332"/>
        <v>0.6</v>
      </c>
      <c r="N470" s="354">
        <f t="shared" si="320"/>
        <v>-0.04</v>
      </c>
      <c r="O470" s="354">
        <f>3.81*0.3</f>
        <v>1.143</v>
      </c>
      <c r="P470" s="353" t="e">
        <f t="shared" si="321"/>
        <v>#REF!</v>
      </c>
      <c r="Q470" s="191" t="e">
        <f>GETPIVOTDATA(#REF!,A470)</f>
        <v>#REF!</v>
      </c>
      <c r="R470" s="353" t="e">
        <f>GETPIVOTDATA(#REF!,A470)*2</f>
        <v>#REF!</v>
      </c>
      <c r="S470" s="191" t="e">
        <f>(ROUND(E470/R470,0))*GETPIVOTDATA(#REF!,A470)</f>
        <v>#REF!</v>
      </c>
      <c r="T470" s="354" t="e">
        <f>GETPIVOTDATA(#REF!,A470)</f>
        <v>#REF!</v>
      </c>
      <c r="U470" s="355">
        <f t="shared" si="333"/>
        <v>0.6</v>
      </c>
      <c r="V470" s="354">
        <f t="shared" si="322"/>
        <v>-0.04</v>
      </c>
      <c r="W470" s="354">
        <f>2.985*0.3</f>
        <v>0.89549999999999996</v>
      </c>
      <c r="X470" s="353" t="e">
        <f t="shared" si="323"/>
        <v>#REF!</v>
      </c>
      <c r="Y470" s="191" t="e">
        <f>GETPIVOTDATA(#REF!,A470)</f>
        <v>#REF!</v>
      </c>
      <c r="Z470" s="353" t="e">
        <f>GETPIVOTDATA(#REF!,A470)*2</f>
        <v>#REF!</v>
      </c>
      <c r="AA470" s="191" t="e">
        <f>(ROUND(D470/Z470,0)+1)*GETPIVOTDATA(#REF!,A470)</f>
        <v>#REF!</v>
      </c>
      <c r="AB470" s="354" t="e">
        <f>GETPIVOTDATA(#REF!,A470)</f>
        <v>#REF!</v>
      </c>
      <c r="AC470" s="355">
        <f t="shared" si="334"/>
        <v>0.6</v>
      </c>
      <c r="AD470" s="354">
        <f t="shared" si="324"/>
        <v>-0.04</v>
      </c>
      <c r="AE470" s="354">
        <f t="shared" si="331"/>
        <v>0.33600000000000002</v>
      </c>
      <c r="AF470" s="353" t="e">
        <f t="shared" si="325"/>
        <v>#REF!</v>
      </c>
      <c r="AG470" s="191" t="e">
        <f>GETPIVOTDATA(#REF!,A470)</f>
        <v>#REF!</v>
      </c>
      <c r="AH470" s="201" t="e">
        <f>GETPIVOTDATA(#REF!,A470)*2</f>
        <v>#REF!</v>
      </c>
      <c r="AI470" s="191" t="e">
        <f>(ROUND(D470/AH470,0))*GETPIVOTDATA(#REF!,A470)</f>
        <v>#REF!</v>
      </c>
      <c r="AJ470" s="354" t="e">
        <f>GETPIVOTDATA(#REF!,A470)</f>
        <v>#REF!</v>
      </c>
      <c r="AK470" s="355">
        <f t="shared" si="335"/>
        <v>0.6</v>
      </c>
      <c r="AL470" s="354">
        <f t="shared" si="326"/>
        <v>-0.04</v>
      </c>
      <c r="AM470" s="354">
        <f>5.38*0.3</f>
        <v>1.6139999999999999</v>
      </c>
      <c r="AN470" s="353" t="e">
        <f t="shared" si="327"/>
        <v>#REF!</v>
      </c>
      <c r="AO470" s="191">
        <v>8</v>
      </c>
      <c r="AP470" s="201">
        <f t="shared" si="328"/>
        <v>14</v>
      </c>
      <c r="AQ470" s="201">
        <v>1.5</v>
      </c>
      <c r="AR470" s="352" t="e">
        <f t="shared" si="310"/>
        <v>#REF!</v>
      </c>
      <c r="AS470" s="352" t="e">
        <f t="shared" si="311"/>
        <v>#REF!</v>
      </c>
      <c r="AT470" s="352" t="e">
        <f t="shared" si="312"/>
        <v>#REF!</v>
      </c>
      <c r="AU470" s="352" t="e">
        <f t="shared" si="313"/>
        <v>#REF!</v>
      </c>
      <c r="AV470" s="352" t="e">
        <f t="shared" si="314"/>
        <v>#REF!</v>
      </c>
      <c r="AW470" s="352" t="e">
        <f t="shared" si="329"/>
        <v>#REF!</v>
      </c>
      <c r="AX470" s="352">
        <f t="shared" si="330"/>
        <v>21</v>
      </c>
      <c r="AY470" s="190"/>
      <c r="AZ470" s="240"/>
      <c r="BA470" s="232"/>
      <c r="BF470" s="206"/>
      <c r="BG470" s="206"/>
      <c r="BK470" s="126"/>
      <c r="BL470" s="126"/>
      <c r="BN470" s="126"/>
      <c r="BO470" s="126"/>
      <c r="BQ470" s="126"/>
      <c r="BR470" s="126"/>
      <c r="BT470" s="126"/>
      <c r="BU470" s="126"/>
      <c r="BW470" s="126"/>
      <c r="BX470" s="126"/>
      <c r="BZ470" s="126"/>
      <c r="CA470" s="126"/>
      <c r="CC470" s="126"/>
      <c r="CD470" s="126"/>
      <c r="CF470" s="126"/>
      <c r="CG470" s="126"/>
    </row>
    <row r="471" spans="1:105" s="197" customFormat="1" ht="27.6" outlineLevel="1" x14ac:dyDescent="0.3">
      <c r="A471" s="201" t="s">
        <v>223</v>
      </c>
      <c r="B471" s="191">
        <v>1</v>
      </c>
      <c r="C471" s="356" t="s">
        <v>455</v>
      </c>
      <c r="D471" s="352">
        <v>2.9849999999999999</v>
      </c>
      <c r="E471" s="352">
        <v>5.85</v>
      </c>
      <c r="F471" s="351">
        <v>0.13</v>
      </c>
      <c r="G471" s="352">
        <f t="shared" si="318"/>
        <v>2.2700924999999996</v>
      </c>
      <c r="H471" s="353">
        <f t="shared" si="319"/>
        <v>17.462249999999997</v>
      </c>
      <c r="I471" s="191" t="e">
        <f>GETPIVOTDATA(#REF!,A471)</f>
        <v>#REF!</v>
      </c>
      <c r="J471" s="353" t="e">
        <f>GETPIVOTDATA(#REF!,A471)*2</f>
        <v>#REF!</v>
      </c>
      <c r="K471" s="191" t="e">
        <f>(ROUND(E471/J471,0)+1)*GETPIVOTDATA(#REF!,A471)</f>
        <v>#REF!</v>
      </c>
      <c r="L471" s="354" t="e">
        <f>GETPIVOTDATA(#REF!,A471)</f>
        <v>#REF!</v>
      </c>
      <c r="M471" s="355">
        <f t="shared" si="332"/>
        <v>0.6</v>
      </c>
      <c r="N471" s="354">
        <f t="shared" si="320"/>
        <v>-0.04</v>
      </c>
      <c r="O471" s="354">
        <f>4.41*0.3</f>
        <v>1.323</v>
      </c>
      <c r="P471" s="353" t="e">
        <f t="shared" si="321"/>
        <v>#REF!</v>
      </c>
      <c r="Q471" s="191" t="e">
        <f>GETPIVOTDATA(#REF!,A471)</f>
        <v>#REF!</v>
      </c>
      <c r="R471" s="353" t="e">
        <f>GETPIVOTDATA(#REF!,A471)*2</f>
        <v>#REF!</v>
      </c>
      <c r="S471" s="191" t="e">
        <f>(ROUND(E471/R471,0))*GETPIVOTDATA(#REF!,A471)</f>
        <v>#REF!</v>
      </c>
      <c r="T471" s="354" t="e">
        <f>GETPIVOTDATA(#REF!,A471)</f>
        <v>#REF!</v>
      </c>
      <c r="U471" s="355">
        <f t="shared" si="333"/>
        <v>0.6</v>
      </c>
      <c r="V471" s="354">
        <f t="shared" si="322"/>
        <v>-0.04</v>
      </c>
      <c r="W471" s="354">
        <f>2.9*0.3</f>
        <v>0.87</v>
      </c>
      <c r="X471" s="353" t="e">
        <f t="shared" si="323"/>
        <v>#REF!</v>
      </c>
      <c r="Y471" s="191" t="e">
        <f>GETPIVOTDATA(#REF!,A471)</f>
        <v>#REF!</v>
      </c>
      <c r="Z471" s="353" t="e">
        <f>GETPIVOTDATA(#REF!,A471)*2</f>
        <v>#REF!</v>
      </c>
      <c r="AA471" s="191" t="e">
        <f>(ROUND(D471/Z471,0)+1)*GETPIVOTDATA(#REF!,A471)</f>
        <v>#REF!</v>
      </c>
      <c r="AB471" s="354" t="e">
        <f>GETPIVOTDATA(#REF!,A471)</f>
        <v>#REF!</v>
      </c>
      <c r="AC471" s="355">
        <f t="shared" si="334"/>
        <v>0.6</v>
      </c>
      <c r="AD471" s="354">
        <f t="shared" si="324"/>
        <v>-0.04</v>
      </c>
      <c r="AE471" s="354">
        <f t="shared" si="331"/>
        <v>0.33600000000000002</v>
      </c>
      <c r="AF471" s="353" t="e">
        <f t="shared" si="325"/>
        <v>#REF!</v>
      </c>
      <c r="AG471" s="191" t="e">
        <f>GETPIVOTDATA(#REF!,A471)</f>
        <v>#REF!</v>
      </c>
      <c r="AH471" s="201" t="e">
        <f>GETPIVOTDATA(#REF!,A471)*2</f>
        <v>#REF!</v>
      </c>
      <c r="AI471" s="191" t="e">
        <f>(ROUND(D471/AH471,0))*GETPIVOTDATA(#REF!,A471)</f>
        <v>#REF!</v>
      </c>
      <c r="AJ471" s="354" t="e">
        <f>GETPIVOTDATA(#REF!,A471)</f>
        <v>#REF!</v>
      </c>
      <c r="AK471" s="355">
        <f t="shared" si="335"/>
        <v>0.6</v>
      </c>
      <c r="AL471" s="354">
        <f t="shared" si="326"/>
        <v>-0.04</v>
      </c>
      <c r="AM471" s="354">
        <f>5.31*0.3</f>
        <v>1.5929999999999997</v>
      </c>
      <c r="AN471" s="353" t="e">
        <f t="shared" si="327"/>
        <v>#REF!</v>
      </c>
      <c r="AO471" s="191">
        <v>8</v>
      </c>
      <c r="AP471" s="201">
        <f t="shared" si="328"/>
        <v>12</v>
      </c>
      <c r="AQ471" s="201">
        <v>1.5</v>
      </c>
      <c r="AR471" s="352" t="e">
        <f t="shared" si="310"/>
        <v>#REF!</v>
      </c>
      <c r="AS471" s="352" t="e">
        <f t="shared" si="311"/>
        <v>#REF!</v>
      </c>
      <c r="AT471" s="352" t="e">
        <f t="shared" si="312"/>
        <v>#REF!</v>
      </c>
      <c r="AU471" s="352" t="e">
        <f t="shared" si="313"/>
        <v>#REF!</v>
      </c>
      <c r="AV471" s="352" t="e">
        <f t="shared" si="314"/>
        <v>#REF!</v>
      </c>
      <c r="AW471" s="352" t="e">
        <f t="shared" si="329"/>
        <v>#REF!</v>
      </c>
      <c r="AX471" s="352">
        <f t="shared" si="330"/>
        <v>18</v>
      </c>
      <c r="AY471" s="190"/>
      <c r="AZ471" s="240"/>
      <c r="BA471" s="232"/>
      <c r="BF471" s="206"/>
      <c r="BG471" s="206"/>
      <c r="BK471" s="126"/>
      <c r="BL471" s="126"/>
      <c r="BN471" s="126"/>
      <c r="BO471" s="126"/>
      <c r="BQ471" s="126"/>
      <c r="BR471" s="126"/>
      <c r="BT471" s="126"/>
      <c r="BU471" s="126"/>
      <c r="BW471" s="126"/>
      <c r="BX471" s="126"/>
      <c r="BZ471" s="126"/>
      <c r="CA471" s="126"/>
      <c r="CC471" s="126"/>
      <c r="CD471" s="126"/>
      <c r="CF471" s="126"/>
      <c r="CG471" s="126"/>
    </row>
    <row r="472" spans="1:105" s="197" customFormat="1" ht="41.4" outlineLevel="1" x14ac:dyDescent="0.3">
      <c r="A472" s="201" t="s">
        <v>223</v>
      </c>
      <c r="B472" s="191">
        <v>2</v>
      </c>
      <c r="C472" s="356" t="s">
        <v>456</v>
      </c>
      <c r="D472" s="352">
        <v>2.9</v>
      </c>
      <c r="E472" s="352">
        <v>5.85</v>
      </c>
      <c r="F472" s="351">
        <v>0.13</v>
      </c>
      <c r="G472" s="352">
        <f t="shared" si="318"/>
        <v>4.4108999999999998</v>
      </c>
      <c r="H472" s="353">
        <f t="shared" si="319"/>
        <v>33.93</v>
      </c>
      <c r="I472" s="191" t="e">
        <f>GETPIVOTDATA(#REF!,A472)</f>
        <v>#REF!</v>
      </c>
      <c r="J472" s="353" t="e">
        <f>GETPIVOTDATA(#REF!,A472)*2</f>
        <v>#REF!</v>
      </c>
      <c r="K472" s="191" t="e">
        <f>(ROUND(E472/J472,0)+1)*GETPIVOTDATA(#REF!,A472)</f>
        <v>#REF!</v>
      </c>
      <c r="L472" s="354" t="e">
        <f>GETPIVOTDATA(#REF!,A472)</f>
        <v>#REF!</v>
      </c>
      <c r="M472" s="355">
        <f t="shared" si="332"/>
        <v>0.6</v>
      </c>
      <c r="N472" s="354">
        <f t="shared" si="320"/>
        <v>-0.04</v>
      </c>
      <c r="O472" s="354">
        <f>2.985*0.3</f>
        <v>0.89549999999999996</v>
      </c>
      <c r="P472" s="353" t="e">
        <f t="shared" si="321"/>
        <v>#REF!</v>
      </c>
      <c r="Q472" s="191" t="e">
        <f>GETPIVOTDATA(#REF!,A472)</f>
        <v>#REF!</v>
      </c>
      <c r="R472" s="353" t="e">
        <f>GETPIVOTDATA(#REF!,A472)*2</f>
        <v>#REF!</v>
      </c>
      <c r="S472" s="191" t="e">
        <f>(ROUND(E472/R472,0))*GETPIVOTDATA(#REF!,A472)</f>
        <v>#REF!</v>
      </c>
      <c r="T472" s="354" t="e">
        <f>GETPIVOTDATA(#REF!,A472)</f>
        <v>#REF!</v>
      </c>
      <c r="U472" s="355">
        <f t="shared" si="333"/>
        <v>0.6</v>
      </c>
      <c r="V472" s="354">
        <f t="shared" si="322"/>
        <v>-0.04</v>
      </c>
      <c r="W472" s="354">
        <f>2.9*0.3</f>
        <v>0.87</v>
      </c>
      <c r="X472" s="353" t="e">
        <f t="shared" si="323"/>
        <v>#REF!</v>
      </c>
      <c r="Y472" s="191" t="e">
        <f>GETPIVOTDATA(#REF!,A472)</f>
        <v>#REF!</v>
      </c>
      <c r="Z472" s="353" t="e">
        <f>GETPIVOTDATA(#REF!,A472)*2</f>
        <v>#REF!</v>
      </c>
      <c r="AA472" s="191" t="e">
        <f>(ROUND(D472/Z472,0)+1)*GETPIVOTDATA(#REF!,A472)</f>
        <v>#REF!</v>
      </c>
      <c r="AB472" s="354" t="e">
        <f>GETPIVOTDATA(#REF!,A472)</f>
        <v>#REF!</v>
      </c>
      <c r="AC472" s="355">
        <f t="shared" si="334"/>
        <v>0.6</v>
      </c>
      <c r="AD472" s="354">
        <f t="shared" si="324"/>
        <v>-0.04</v>
      </c>
      <c r="AE472" s="354">
        <f t="shared" si="331"/>
        <v>0.33600000000000002</v>
      </c>
      <c r="AF472" s="353" t="e">
        <f t="shared" si="325"/>
        <v>#REF!</v>
      </c>
      <c r="AG472" s="191" t="e">
        <f>GETPIVOTDATA(#REF!,A472)</f>
        <v>#REF!</v>
      </c>
      <c r="AH472" s="201" t="e">
        <f>GETPIVOTDATA(#REF!,A472)*2</f>
        <v>#REF!</v>
      </c>
      <c r="AI472" s="191" t="e">
        <f>(ROUND(D472/AH472,0))*GETPIVOTDATA(#REF!,A472)</f>
        <v>#REF!</v>
      </c>
      <c r="AJ472" s="354" t="e">
        <f>GETPIVOTDATA(#REF!,A472)</f>
        <v>#REF!</v>
      </c>
      <c r="AK472" s="355">
        <f t="shared" si="335"/>
        <v>0.6</v>
      </c>
      <c r="AL472" s="354">
        <f t="shared" si="326"/>
        <v>-0.04</v>
      </c>
      <c r="AM472" s="354">
        <f>5.4*0.3</f>
        <v>1.62</v>
      </c>
      <c r="AN472" s="353" t="e">
        <f t="shared" si="327"/>
        <v>#REF!</v>
      </c>
      <c r="AO472" s="191">
        <v>8</v>
      </c>
      <c r="AP472" s="201">
        <f t="shared" si="328"/>
        <v>12</v>
      </c>
      <c r="AQ472" s="201">
        <v>1.5</v>
      </c>
      <c r="AR472" s="352" t="e">
        <f t="shared" si="310"/>
        <v>#REF!</v>
      </c>
      <c r="AS472" s="352" t="e">
        <f t="shared" si="311"/>
        <v>#REF!</v>
      </c>
      <c r="AT472" s="352" t="e">
        <f t="shared" si="312"/>
        <v>#REF!</v>
      </c>
      <c r="AU472" s="352" t="e">
        <f t="shared" si="313"/>
        <v>#REF!</v>
      </c>
      <c r="AV472" s="352" t="e">
        <f t="shared" si="314"/>
        <v>#REF!</v>
      </c>
      <c r="AW472" s="352" t="e">
        <f t="shared" si="329"/>
        <v>#REF!</v>
      </c>
      <c r="AX472" s="352">
        <f t="shared" si="330"/>
        <v>36</v>
      </c>
      <c r="AY472" s="190"/>
      <c r="AZ472" s="240"/>
      <c r="BA472" s="232"/>
      <c r="BF472" s="206"/>
      <c r="BG472" s="206"/>
      <c r="BK472" s="126"/>
      <c r="BL472" s="126"/>
      <c r="BN472" s="126"/>
      <c r="BO472" s="126"/>
      <c r="BQ472" s="126"/>
      <c r="BR472" s="126"/>
      <c r="BT472" s="126"/>
      <c r="BU472" s="126"/>
      <c r="BW472" s="126"/>
      <c r="BX472" s="126"/>
      <c r="BZ472" s="126"/>
      <c r="CA472" s="126"/>
      <c r="CC472" s="126"/>
      <c r="CD472" s="126"/>
      <c r="CF472" s="126"/>
      <c r="CG472" s="126"/>
    </row>
    <row r="473" spans="1:105" s="197" customFormat="1" ht="27.6" outlineLevel="1" x14ac:dyDescent="0.3">
      <c r="A473" s="201" t="s">
        <v>223</v>
      </c>
      <c r="B473" s="191">
        <v>1</v>
      </c>
      <c r="C473" s="356" t="s">
        <v>457</v>
      </c>
      <c r="D473" s="352">
        <v>2.5</v>
      </c>
      <c r="E473" s="352">
        <v>5.85</v>
      </c>
      <c r="F473" s="351">
        <v>0.13</v>
      </c>
      <c r="G473" s="352">
        <f t="shared" si="318"/>
        <v>1.9012500000000001</v>
      </c>
      <c r="H473" s="353">
        <f t="shared" si="319"/>
        <v>14.625</v>
      </c>
      <c r="I473" s="191" t="e">
        <f>GETPIVOTDATA(#REF!,A473)</f>
        <v>#REF!</v>
      </c>
      <c r="J473" s="353" t="e">
        <f>GETPIVOTDATA(#REF!,A473)*2</f>
        <v>#REF!</v>
      </c>
      <c r="K473" s="191" t="e">
        <f>(ROUND(E473/J473,0)+1)*GETPIVOTDATA(#REF!,A473)</f>
        <v>#REF!</v>
      </c>
      <c r="L473" s="354" t="e">
        <f>GETPIVOTDATA(#REF!,A473)</f>
        <v>#REF!</v>
      </c>
      <c r="M473" s="355">
        <f t="shared" si="332"/>
        <v>0.6</v>
      </c>
      <c r="N473" s="354">
        <f t="shared" si="320"/>
        <v>-0.04</v>
      </c>
      <c r="O473" s="354">
        <f>2.9*0.3</f>
        <v>0.87</v>
      </c>
      <c r="P473" s="353" t="e">
        <f t="shared" si="321"/>
        <v>#REF!</v>
      </c>
      <c r="Q473" s="191" t="e">
        <f>GETPIVOTDATA(#REF!,A473)</f>
        <v>#REF!</v>
      </c>
      <c r="R473" s="353" t="e">
        <f>GETPIVOTDATA(#REF!,A473)*2</f>
        <v>#REF!</v>
      </c>
      <c r="S473" s="191" t="e">
        <f>(ROUND(E473/R473,0))*GETPIVOTDATA(#REF!,A473)</f>
        <v>#REF!</v>
      </c>
      <c r="T473" s="354" t="e">
        <f>GETPIVOTDATA(#REF!,A473)</f>
        <v>#REF!</v>
      </c>
      <c r="U473" s="355">
        <f t="shared" si="333"/>
        <v>0.6</v>
      </c>
      <c r="V473" s="354">
        <f t="shared" si="322"/>
        <v>-0.04</v>
      </c>
      <c r="W473" s="354">
        <f>F473-2*0.02</f>
        <v>0.09</v>
      </c>
      <c r="X473" s="353" t="e">
        <f t="shared" si="323"/>
        <v>#REF!</v>
      </c>
      <c r="Y473" s="191" t="e">
        <f>GETPIVOTDATA(#REF!,A473)</f>
        <v>#REF!</v>
      </c>
      <c r="Z473" s="353" t="e">
        <f>GETPIVOTDATA(#REF!,A473)*2</f>
        <v>#REF!</v>
      </c>
      <c r="AA473" s="191" t="e">
        <f>(ROUND(D473/Z473,0)+1)*GETPIVOTDATA(#REF!,A473)</f>
        <v>#REF!</v>
      </c>
      <c r="AB473" s="354" t="e">
        <f>GETPIVOTDATA(#REF!,A473)</f>
        <v>#REF!</v>
      </c>
      <c r="AC473" s="355">
        <f t="shared" si="334"/>
        <v>0.6</v>
      </c>
      <c r="AD473" s="354">
        <f t="shared" si="324"/>
        <v>-0.04</v>
      </c>
      <c r="AE473" s="354">
        <f t="shared" si="331"/>
        <v>0.33600000000000002</v>
      </c>
      <c r="AF473" s="353" t="e">
        <f t="shared" si="325"/>
        <v>#REF!</v>
      </c>
      <c r="AG473" s="191" t="e">
        <f>GETPIVOTDATA(#REF!,A473)</f>
        <v>#REF!</v>
      </c>
      <c r="AH473" s="201" t="e">
        <f>GETPIVOTDATA(#REF!,A473)*2</f>
        <v>#REF!</v>
      </c>
      <c r="AI473" s="191" t="e">
        <f>(ROUND(D473/AH473,0))*GETPIVOTDATA(#REF!,A473)</f>
        <v>#REF!</v>
      </c>
      <c r="AJ473" s="354" t="e">
        <f>GETPIVOTDATA(#REF!,A473)</f>
        <v>#REF!</v>
      </c>
      <c r="AK473" s="355">
        <f t="shared" si="335"/>
        <v>0.6</v>
      </c>
      <c r="AL473" s="354">
        <f t="shared" si="326"/>
        <v>-0.04</v>
      </c>
      <c r="AM473" s="354">
        <f>5.4*0.3</f>
        <v>1.62</v>
      </c>
      <c r="AN473" s="353" t="e">
        <f t="shared" si="327"/>
        <v>#REF!</v>
      </c>
      <c r="AO473" s="191">
        <v>8</v>
      </c>
      <c r="AP473" s="201">
        <f t="shared" si="328"/>
        <v>12</v>
      </c>
      <c r="AQ473" s="201">
        <v>1.5</v>
      </c>
      <c r="AR473" s="352" t="e">
        <f t="shared" si="310"/>
        <v>#REF!</v>
      </c>
      <c r="AS473" s="352" t="e">
        <f t="shared" si="311"/>
        <v>#REF!</v>
      </c>
      <c r="AT473" s="352" t="e">
        <f t="shared" si="312"/>
        <v>#REF!</v>
      </c>
      <c r="AU473" s="352" t="e">
        <f t="shared" si="313"/>
        <v>#REF!</v>
      </c>
      <c r="AV473" s="352" t="e">
        <f t="shared" si="314"/>
        <v>#REF!</v>
      </c>
      <c r="AW473" s="352" t="e">
        <f t="shared" si="329"/>
        <v>#REF!</v>
      </c>
      <c r="AX473" s="352">
        <f t="shared" si="330"/>
        <v>18</v>
      </c>
      <c r="AY473" s="190"/>
      <c r="AZ473" s="240"/>
      <c r="BA473" s="232"/>
      <c r="BF473" s="206"/>
      <c r="BG473" s="206"/>
      <c r="BK473" s="126"/>
      <c r="BL473" s="126"/>
      <c r="BN473" s="126"/>
      <c r="BO473" s="126"/>
      <c r="BQ473" s="126"/>
      <c r="BR473" s="126"/>
      <c r="BT473" s="126"/>
      <c r="BU473" s="126"/>
      <c r="BW473" s="126"/>
      <c r="BX473" s="126"/>
      <c r="BZ473" s="126"/>
      <c r="CA473" s="126"/>
      <c r="CC473" s="126"/>
      <c r="CD473" s="126"/>
      <c r="CF473" s="126"/>
      <c r="CG473" s="126"/>
    </row>
    <row r="474" spans="1:105" s="197" customFormat="1" outlineLevel="1" x14ac:dyDescent="0.3">
      <c r="A474" s="201"/>
      <c r="B474" s="191"/>
      <c r="C474" s="349"/>
      <c r="D474" s="352"/>
      <c r="E474" s="352"/>
      <c r="F474" s="351"/>
      <c r="G474" s="352"/>
      <c r="H474" s="353"/>
      <c r="I474" s="191"/>
      <c r="J474" s="353"/>
      <c r="K474" s="191"/>
      <c r="L474" s="354"/>
      <c r="M474" s="355"/>
      <c r="N474" s="354"/>
      <c r="O474" s="354"/>
      <c r="P474" s="353"/>
      <c r="Q474" s="191"/>
      <c r="R474" s="353"/>
      <c r="S474" s="191"/>
      <c r="T474" s="354"/>
      <c r="U474" s="355"/>
      <c r="V474" s="354"/>
      <c r="W474" s="354"/>
      <c r="X474" s="353"/>
      <c r="Y474" s="191"/>
      <c r="Z474" s="353"/>
      <c r="AA474" s="191"/>
      <c r="AB474" s="354"/>
      <c r="AC474" s="355"/>
      <c r="AD474" s="354"/>
      <c r="AE474" s="354"/>
      <c r="AF474" s="353"/>
      <c r="AG474" s="191"/>
      <c r="AH474" s="201"/>
      <c r="AI474" s="191"/>
      <c r="AJ474" s="354"/>
      <c r="AK474" s="355"/>
      <c r="AL474" s="354"/>
      <c r="AM474" s="354"/>
      <c r="AN474" s="353"/>
      <c r="AO474" s="191"/>
      <c r="AP474" s="201"/>
      <c r="AQ474" s="201"/>
      <c r="AR474" s="352"/>
      <c r="AS474" s="352"/>
      <c r="AT474" s="352"/>
      <c r="AU474" s="352"/>
      <c r="AV474" s="352"/>
      <c r="AW474" s="352"/>
      <c r="AX474" s="352"/>
      <c r="AY474" s="190"/>
      <c r="AZ474" s="240"/>
      <c r="BA474" s="232"/>
      <c r="BF474" s="206"/>
      <c r="BG474" s="206"/>
      <c r="BK474" s="126"/>
      <c r="BL474" s="126"/>
      <c r="BN474" s="126"/>
      <c r="BO474" s="126"/>
      <c r="BQ474" s="126"/>
      <c r="BR474" s="126"/>
      <c r="BT474" s="126"/>
      <c r="BU474" s="126"/>
      <c r="BW474" s="126"/>
      <c r="BX474" s="126"/>
      <c r="BZ474" s="126"/>
      <c r="CA474" s="126"/>
      <c r="CC474" s="126"/>
      <c r="CD474" s="126"/>
      <c r="CF474" s="126"/>
      <c r="CG474" s="126"/>
    </row>
    <row r="475" spans="1:105" s="197" customFormat="1" outlineLevel="1" x14ac:dyDescent="0.3">
      <c r="A475" s="201"/>
      <c r="B475" s="191"/>
      <c r="C475" s="349"/>
      <c r="D475" s="352"/>
      <c r="E475" s="352"/>
      <c r="F475" s="351"/>
      <c r="G475" s="352"/>
      <c r="H475" s="353"/>
      <c r="I475" s="191"/>
      <c r="J475" s="353"/>
      <c r="K475" s="191"/>
      <c r="L475" s="354"/>
      <c r="M475" s="355"/>
      <c r="N475" s="354"/>
      <c r="O475" s="354"/>
      <c r="P475" s="353"/>
      <c r="Q475" s="191"/>
      <c r="R475" s="353"/>
      <c r="S475" s="191"/>
      <c r="T475" s="354"/>
      <c r="U475" s="355"/>
      <c r="V475" s="354"/>
      <c r="W475" s="354"/>
      <c r="X475" s="353"/>
      <c r="Y475" s="191"/>
      <c r="Z475" s="353"/>
      <c r="AA475" s="191"/>
      <c r="AB475" s="354"/>
      <c r="AC475" s="355"/>
      <c r="AD475" s="354"/>
      <c r="AE475" s="354"/>
      <c r="AF475" s="353"/>
      <c r="AG475" s="191"/>
      <c r="AH475" s="201"/>
      <c r="AI475" s="191"/>
      <c r="AJ475" s="354"/>
      <c r="AK475" s="355"/>
      <c r="AL475" s="354"/>
      <c r="AM475" s="354"/>
      <c r="AN475" s="353"/>
      <c r="AO475" s="191"/>
      <c r="AP475" s="201"/>
      <c r="AQ475" s="201"/>
      <c r="AR475" s="352"/>
      <c r="AS475" s="352"/>
      <c r="AT475" s="352"/>
      <c r="AU475" s="352"/>
      <c r="AV475" s="352"/>
      <c r="AW475" s="352"/>
      <c r="AX475" s="352"/>
      <c r="AY475" s="190"/>
      <c r="AZ475" s="240"/>
      <c r="BA475" s="232"/>
      <c r="BF475" s="206"/>
      <c r="BG475" s="206"/>
      <c r="BK475" s="126"/>
      <c r="BL475" s="126"/>
      <c r="BN475" s="126"/>
      <c r="BO475" s="126"/>
      <c r="BQ475" s="126"/>
      <c r="BR475" s="126"/>
      <c r="BT475" s="126"/>
      <c r="BU475" s="126"/>
      <c r="BW475" s="126"/>
      <c r="BX475" s="126"/>
      <c r="BZ475" s="126"/>
      <c r="CA475" s="126"/>
      <c r="CC475" s="126"/>
      <c r="CD475" s="126"/>
      <c r="CF475" s="126"/>
      <c r="CG475" s="126"/>
    </row>
    <row r="476" spans="1:105" s="196" customFormat="1" x14ac:dyDescent="0.3">
      <c r="A476" s="197"/>
      <c r="B476" s="240"/>
      <c r="C476" s="370"/>
      <c r="D476" s="371"/>
      <c r="E476" s="1033" t="s">
        <v>403</v>
      </c>
      <c r="F476" s="1033"/>
      <c r="G476" s="372">
        <f>SUM(G389:G475)</f>
        <v>133.10440643333337</v>
      </c>
      <c r="H476" s="372">
        <f>SUM(H390:H433)</f>
        <v>292.66853999999995</v>
      </c>
      <c r="I476" s="373"/>
      <c r="J476" s="292"/>
      <c r="K476" s="374"/>
      <c r="L476" s="375"/>
      <c r="M476" s="376"/>
      <c r="N476" s="375"/>
      <c r="O476" s="375"/>
      <c r="P476" s="374"/>
      <c r="Q476" s="218"/>
      <c r="R476" s="303"/>
      <c r="S476" s="240"/>
      <c r="T476" s="377"/>
      <c r="U476" s="306"/>
      <c r="V476" s="377"/>
      <c r="W476" s="377"/>
      <c r="X476" s="197"/>
      <c r="Y476" s="240"/>
      <c r="Z476" s="303"/>
      <c r="AA476" s="240"/>
      <c r="AB476" s="240"/>
      <c r="AC476" s="378"/>
      <c r="AD476" s="240"/>
      <c r="AE476" s="240"/>
      <c r="AF476" s="197"/>
      <c r="AG476" s="240"/>
      <c r="AH476" s="303"/>
      <c r="AI476" s="240"/>
      <c r="AJ476" s="240"/>
      <c r="AK476" s="378"/>
      <c r="AL476" s="240"/>
      <c r="AM476" s="240"/>
      <c r="AN476" s="197"/>
      <c r="AO476" s="1044" t="s">
        <v>404</v>
      </c>
      <c r="AP476" s="1044"/>
      <c r="AQ476" s="1044"/>
      <c r="AR476" s="372" t="e">
        <f t="shared" ref="AR476:AX476" si="336">SUM(AR404:AR475)</f>
        <v>#REF!</v>
      </c>
      <c r="AS476" s="372" t="e">
        <f t="shared" si="336"/>
        <v>#REF!</v>
      </c>
      <c r="AT476" s="372" t="e">
        <f t="shared" si="336"/>
        <v>#REF!</v>
      </c>
      <c r="AU476" s="372" t="e">
        <f t="shared" si="336"/>
        <v>#REF!</v>
      </c>
      <c r="AV476" s="372" t="e">
        <f t="shared" si="336"/>
        <v>#REF!</v>
      </c>
      <c r="AW476" s="372" t="e">
        <f t="shared" si="336"/>
        <v>#REF!</v>
      </c>
      <c r="AX476" s="372">
        <f t="shared" si="336"/>
        <v>657</v>
      </c>
      <c r="AY476" s="258"/>
      <c r="AZ476" s="259"/>
      <c r="BA476" s="260"/>
      <c r="BC476" s="198"/>
      <c r="BK476" s="131"/>
      <c r="BL476" s="131"/>
      <c r="BM476" s="197"/>
      <c r="BN476" s="131"/>
      <c r="BO476" s="131"/>
      <c r="BP476" s="197"/>
      <c r="BQ476" s="131"/>
      <c r="BR476" s="131"/>
      <c r="BS476" s="197"/>
      <c r="BT476" s="131"/>
      <c r="BU476" s="131"/>
      <c r="BV476" s="197"/>
      <c r="BW476" s="131"/>
      <c r="BX476" s="131"/>
      <c r="BY476" s="197"/>
      <c r="BZ476" s="131"/>
      <c r="CA476" s="131"/>
      <c r="CB476" s="197"/>
      <c r="CC476" s="131"/>
      <c r="CD476" s="131"/>
      <c r="CE476" s="197"/>
      <c r="CF476" s="131"/>
      <c r="CG476" s="131"/>
      <c r="CH476" s="197"/>
      <c r="CI476" s="197"/>
      <c r="CJ476" s="197"/>
      <c r="CK476" s="197"/>
      <c r="CL476" s="197"/>
      <c r="CM476" s="197"/>
      <c r="CN476" s="197"/>
      <c r="CO476" s="197"/>
      <c r="CP476" s="197"/>
      <c r="CQ476" s="197"/>
      <c r="CR476" s="197"/>
      <c r="CS476" s="197"/>
      <c r="CT476" s="197"/>
      <c r="CU476" s="197"/>
      <c r="CV476" s="197"/>
      <c r="CW476" s="197"/>
      <c r="CX476" s="197"/>
      <c r="CY476" s="197"/>
      <c r="CZ476" s="197"/>
      <c r="DA476" s="197"/>
    </row>
    <row r="477" spans="1:105" s="196" customFormat="1" ht="13.8" x14ac:dyDescent="0.3">
      <c r="A477" s="197"/>
      <c r="B477" s="240"/>
      <c r="C477" s="370"/>
      <c r="D477" s="371"/>
      <c r="E477" s="1033" t="s">
        <v>405</v>
      </c>
      <c r="F477" s="1033"/>
      <c r="G477" s="379">
        <f>+G476*35.28</f>
        <v>4695.9234589680009</v>
      </c>
      <c r="H477" s="380"/>
      <c r="I477" s="201"/>
      <c r="J477" s="292"/>
      <c r="K477" s="259"/>
      <c r="L477" s="293"/>
      <c r="M477" s="294"/>
      <c r="N477" s="293"/>
      <c r="O477" s="293"/>
      <c r="U477" s="381"/>
      <c r="AC477" s="381"/>
      <c r="AK477" s="381"/>
      <c r="AO477" s="1034" t="s">
        <v>406</v>
      </c>
      <c r="AP477" s="1034"/>
      <c r="AQ477" s="1034"/>
      <c r="AR477" s="352">
        <f>+(8^2)/162</f>
        <v>0.39506172839506171</v>
      </c>
      <c r="AS477" s="352">
        <f>+(10^2)/162</f>
        <v>0.61728395061728392</v>
      </c>
      <c r="AT477" s="352">
        <f>+(12^2)/162</f>
        <v>0.88888888888888884</v>
      </c>
      <c r="AU477" s="352">
        <f>+(8^2)/162</f>
        <v>0.39506172839506171</v>
      </c>
      <c r="AV477" s="352">
        <f>+(10^2)/162</f>
        <v>0.61728395061728392</v>
      </c>
      <c r="AW477" s="352">
        <f>+(12^2)/162</f>
        <v>0.88888888888888884</v>
      </c>
      <c r="AX477" s="352">
        <f>+(8^2)/162</f>
        <v>0.39506172839506171</v>
      </c>
      <c r="AY477" s="190"/>
      <c r="AZ477" s="259"/>
      <c r="BA477" s="260"/>
      <c r="BF477" s="198"/>
      <c r="BK477" s="197"/>
      <c r="BL477" s="197"/>
      <c r="BM477" s="197"/>
      <c r="BN477" s="197"/>
      <c r="BO477" s="197"/>
      <c r="BP477" s="197"/>
      <c r="BQ477" s="197"/>
      <c r="BR477" s="197"/>
      <c r="BS477" s="197"/>
      <c r="BT477" s="197"/>
      <c r="BU477" s="197"/>
      <c r="BV477" s="197"/>
      <c r="BW477" s="197"/>
      <c r="BX477" s="197"/>
      <c r="BY477" s="197"/>
      <c r="BZ477" s="197"/>
      <c r="CA477" s="197"/>
      <c r="CB477" s="197"/>
      <c r="CC477" s="197"/>
      <c r="CD477" s="197"/>
      <c r="CE477" s="197"/>
      <c r="CF477" s="197"/>
      <c r="CG477" s="197"/>
      <c r="CH477" s="197"/>
      <c r="CI477" s="197"/>
      <c r="CJ477" s="197"/>
      <c r="CK477" s="197"/>
      <c r="CL477" s="197"/>
      <c r="CM477" s="197"/>
      <c r="CN477" s="197"/>
      <c r="CO477" s="197"/>
      <c r="CP477" s="197"/>
      <c r="CQ477" s="197"/>
      <c r="CR477" s="197"/>
      <c r="CS477" s="197"/>
      <c r="CT477" s="197"/>
      <c r="CU477" s="197"/>
      <c r="CV477" s="197"/>
      <c r="CW477" s="197"/>
      <c r="CX477" s="197"/>
      <c r="CY477" s="197"/>
      <c r="CZ477" s="197"/>
      <c r="DA477" s="197"/>
    </row>
    <row r="478" spans="1:105" s="196" customFormat="1" ht="13.8" x14ac:dyDescent="0.3">
      <c r="A478" s="197"/>
      <c r="B478" s="240"/>
      <c r="C478" s="370"/>
      <c r="D478" s="371"/>
      <c r="E478" s="289"/>
      <c r="F478" s="290"/>
      <c r="G478" s="296"/>
      <c r="M478" s="381"/>
      <c r="U478" s="381"/>
      <c r="AC478" s="381"/>
      <c r="AK478" s="381"/>
      <c r="AO478" s="1035" t="s">
        <v>407</v>
      </c>
      <c r="AP478" s="1035"/>
      <c r="AQ478" s="1035"/>
      <c r="AR478" s="382" t="e">
        <f>+AR476*AR477</f>
        <v>#REF!</v>
      </c>
      <c r="AS478" s="382" t="e">
        <f t="shared" ref="AS478:AW478" si="337">+AS476*AS477</f>
        <v>#REF!</v>
      </c>
      <c r="AT478" s="382" t="e">
        <f t="shared" si="337"/>
        <v>#REF!</v>
      </c>
      <c r="AU478" s="382" t="e">
        <f t="shared" si="337"/>
        <v>#REF!</v>
      </c>
      <c r="AV478" s="382" t="e">
        <f t="shared" si="337"/>
        <v>#REF!</v>
      </c>
      <c r="AW478" s="382" t="e">
        <f t="shared" si="337"/>
        <v>#REF!</v>
      </c>
      <c r="AX478" s="382"/>
      <c r="AY478" s="258"/>
      <c r="AZ478" s="259"/>
      <c r="BA478" s="260"/>
      <c r="BF478" s="198"/>
    </row>
    <row r="479" spans="1:105" s="143" customFormat="1" ht="13.8" x14ac:dyDescent="0.25">
      <c r="A479" s="383"/>
      <c r="B479" s="383" t="s">
        <v>408</v>
      </c>
      <c r="C479" s="288"/>
      <c r="D479" s="289"/>
      <c r="E479" s="289"/>
      <c r="F479" s="290"/>
      <c r="G479" s="296"/>
      <c r="H479" s="196"/>
      <c r="I479" s="196"/>
      <c r="J479" s="196"/>
      <c r="K479" s="196"/>
      <c r="L479" s="196"/>
      <c r="M479" s="381"/>
      <c r="N479" s="196"/>
      <c r="O479" s="196"/>
      <c r="P479" s="196"/>
      <c r="Q479" s="196"/>
      <c r="R479" s="196"/>
      <c r="S479" s="196"/>
      <c r="T479" s="196"/>
      <c r="U479" s="381"/>
      <c r="V479" s="196"/>
      <c r="W479" s="196"/>
      <c r="X479" s="196"/>
      <c r="Y479" s="196"/>
      <c r="Z479" s="196"/>
      <c r="AA479" s="196"/>
      <c r="AB479" s="196"/>
      <c r="AC479" s="381"/>
      <c r="AD479" s="196"/>
      <c r="AE479" s="196"/>
      <c r="AF479" s="196"/>
      <c r="AG479" s="196"/>
      <c r="AH479" s="196"/>
      <c r="AI479" s="196"/>
      <c r="AJ479" s="196"/>
      <c r="AK479" s="381"/>
      <c r="AL479" s="196"/>
      <c r="AM479" s="196"/>
      <c r="AN479" s="196"/>
      <c r="AO479" s="1035" t="s">
        <v>409</v>
      </c>
      <c r="AP479" s="1035"/>
      <c r="AQ479" s="1035"/>
      <c r="AR479" s="1036" t="e">
        <f>SUM(AR478:AW478)</f>
        <v>#REF!</v>
      </c>
      <c r="AS479" s="1037"/>
      <c r="AT479" s="1037"/>
      <c r="AU479" s="1037"/>
      <c r="AV479" s="1037"/>
      <c r="AW479" s="1038"/>
      <c r="AX479" s="384"/>
      <c r="AZ479" s="144"/>
      <c r="BA479" s="145"/>
    </row>
    <row r="480" spans="1:105" s="143" customFormat="1" ht="13.8" x14ac:dyDescent="0.25">
      <c r="A480" s="383" t="s">
        <v>410</v>
      </c>
      <c r="B480" s="385" t="e">
        <f>+AR479/G476</f>
        <v>#REF!</v>
      </c>
      <c r="C480" s="386"/>
      <c r="D480" s="289"/>
      <c r="E480" s="145"/>
      <c r="F480" s="301"/>
      <c r="M480" s="304"/>
      <c r="U480" s="304"/>
      <c r="AC480" s="304"/>
      <c r="AK480" s="304"/>
      <c r="AO480" s="259"/>
      <c r="AP480" s="196"/>
      <c r="AQ480" s="196"/>
      <c r="AR480" s="292" t="e">
        <f>(AR478+AU478)/1000</f>
        <v>#REF!</v>
      </c>
      <c r="AS480" s="292" t="e">
        <f>(AS478+AV478)/1000</f>
        <v>#REF!</v>
      </c>
      <c r="AT480" s="292" t="e">
        <f t="shared" ref="AT480" si="338">(AT478+AW478)/1000</f>
        <v>#REF!</v>
      </c>
      <c r="AU480" s="292"/>
      <c r="AV480" s="292"/>
      <c r="AW480" s="292"/>
      <c r="AX480" s="276" t="e">
        <f>SUM(AR480:AW480)</f>
        <v>#REF!</v>
      </c>
      <c r="AY480" s="276"/>
      <c r="AZ480" s="144"/>
      <c r="BA480" s="145"/>
    </row>
    <row r="481" spans="2:82" s="196" customFormat="1" ht="13.8" x14ac:dyDescent="0.25">
      <c r="B481" s="259"/>
      <c r="C481" s="288"/>
      <c r="D481" s="289"/>
      <c r="E481" s="145"/>
      <c r="F481" s="301"/>
      <c r="G481" s="143"/>
      <c r="H481" s="143"/>
      <c r="I481" s="143"/>
      <c r="J481" s="143"/>
      <c r="K481" s="143"/>
      <c r="L481" s="143"/>
      <c r="M481" s="304"/>
      <c r="N481" s="143"/>
      <c r="O481" s="143"/>
      <c r="P481" s="143"/>
      <c r="Q481" s="143"/>
      <c r="R481" s="143"/>
      <c r="S481" s="143"/>
      <c r="T481" s="143"/>
      <c r="U481" s="304"/>
      <c r="V481" s="143"/>
      <c r="W481" s="143"/>
      <c r="X481" s="143"/>
      <c r="Y481" s="143"/>
      <c r="Z481" s="143"/>
      <c r="AA481" s="143"/>
      <c r="AB481" s="143"/>
      <c r="AC481" s="304"/>
      <c r="AD481" s="143"/>
      <c r="AE481" s="143"/>
      <c r="AF481" s="143"/>
      <c r="AG481" s="143"/>
      <c r="AH481" s="143"/>
      <c r="AI481" s="143"/>
      <c r="AJ481" s="143"/>
      <c r="AK481" s="304"/>
      <c r="AL481" s="143"/>
      <c r="AM481" s="143"/>
      <c r="AN481" s="143"/>
      <c r="AO481" s="259"/>
      <c r="AY481" s="197"/>
      <c r="AZ481" s="198"/>
      <c r="BE481" s="259"/>
      <c r="BH481" s="277"/>
      <c r="BI481" s="277"/>
      <c r="BK481" s="277"/>
      <c r="BL481" s="277"/>
      <c r="BN481" s="277"/>
      <c r="BO481" s="277"/>
      <c r="BQ481" s="277"/>
      <c r="BR481" s="277"/>
      <c r="BT481" s="277"/>
      <c r="BU481" s="277"/>
      <c r="BW481" s="277"/>
      <c r="BX481" s="277"/>
      <c r="BZ481" s="277"/>
      <c r="CA481" s="277"/>
      <c r="CC481" s="277"/>
      <c r="CD481" s="277"/>
    </row>
    <row r="482" spans="2:82" s="126" customFormat="1" x14ac:dyDescent="0.3">
      <c r="C482" s="127"/>
      <c r="D482" s="128"/>
      <c r="E482" s="128"/>
      <c r="F482" s="128"/>
      <c r="G482" s="128"/>
      <c r="M482" s="129"/>
      <c r="U482" s="129"/>
      <c r="AC482" s="129"/>
      <c r="AK482" s="129"/>
      <c r="AO482" s="130"/>
      <c r="AY482" s="131"/>
    </row>
    <row r="483" spans="2:82" s="126" customFormat="1" ht="18" x14ac:dyDescent="0.3">
      <c r="B483" s="1030" t="s">
        <v>555</v>
      </c>
      <c r="C483" s="1030"/>
      <c r="D483" s="1030"/>
      <c r="E483" s="1030"/>
      <c r="F483" s="1030"/>
      <c r="G483" s="1030"/>
      <c r="H483" s="1030"/>
      <c r="I483" s="1030"/>
      <c r="J483" s="1030"/>
      <c r="K483" s="1030"/>
      <c r="L483" s="1030"/>
      <c r="U483" s="129"/>
      <c r="AC483" s="129"/>
      <c r="AK483" s="129"/>
      <c r="AO483" s="130"/>
      <c r="AY483" s="131"/>
    </row>
    <row r="484" spans="2:82" s="126" customFormat="1" x14ac:dyDescent="0.3">
      <c r="B484" s="1031" t="s">
        <v>41</v>
      </c>
      <c r="C484" s="1031" t="s">
        <v>556</v>
      </c>
      <c r="D484" s="1031" t="s">
        <v>557</v>
      </c>
      <c r="E484" s="1032" t="s">
        <v>558</v>
      </c>
      <c r="F484" s="1032"/>
      <c r="G484" s="1032"/>
      <c r="H484" s="1032"/>
      <c r="I484" s="1032"/>
      <c r="J484" s="1032"/>
      <c r="K484" s="1032"/>
      <c r="L484" s="1032"/>
      <c r="U484" s="129"/>
      <c r="AC484" s="129"/>
      <c r="AK484" s="129"/>
      <c r="AO484" s="130"/>
      <c r="AY484" s="131"/>
    </row>
    <row r="485" spans="2:82" s="126" customFormat="1" ht="28.8" x14ac:dyDescent="0.3">
      <c r="B485" s="1031"/>
      <c r="C485" s="1031"/>
      <c r="D485" s="1031"/>
      <c r="E485" s="444" t="s">
        <v>55</v>
      </c>
      <c r="F485" s="444" t="s">
        <v>56</v>
      </c>
      <c r="G485" s="444" t="s">
        <v>57</v>
      </c>
      <c r="H485" s="444" t="s">
        <v>58</v>
      </c>
      <c r="I485" s="444" t="s">
        <v>59</v>
      </c>
      <c r="J485" s="444" t="s">
        <v>60</v>
      </c>
      <c r="K485" s="444" t="s">
        <v>61</v>
      </c>
      <c r="L485" s="444" t="s">
        <v>559</v>
      </c>
      <c r="U485" s="129"/>
      <c r="AC485" s="129"/>
      <c r="AK485" s="129"/>
      <c r="AO485" s="130"/>
      <c r="AY485" s="131"/>
    </row>
    <row r="486" spans="2:82" s="126" customFormat="1" x14ac:dyDescent="0.3">
      <c r="B486" s="445"/>
      <c r="C486" s="446"/>
      <c r="D486" s="447"/>
      <c r="E486" s="447"/>
      <c r="F486" s="447"/>
      <c r="G486" s="447"/>
      <c r="H486" s="447"/>
      <c r="I486" s="447"/>
      <c r="J486" s="447"/>
      <c r="K486" s="447"/>
      <c r="L486" s="447"/>
      <c r="U486" s="129"/>
      <c r="AC486" s="129"/>
      <c r="AK486" s="129"/>
      <c r="AO486" s="130"/>
      <c r="AY486" s="131"/>
    </row>
    <row r="487" spans="2:82" s="126" customFormat="1" x14ac:dyDescent="0.3">
      <c r="B487" s="448">
        <v>1</v>
      </c>
      <c r="C487" s="449" t="s">
        <v>101</v>
      </c>
      <c r="D487" s="450"/>
      <c r="E487" s="450" t="e">
        <f>AR480</f>
        <v>#REF!</v>
      </c>
      <c r="F487" s="450" t="e">
        <f t="shared" ref="F487:G487" si="339">AS480</f>
        <v>#REF!</v>
      </c>
      <c r="G487" s="450" t="e">
        <f t="shared" si="339"/>
        <v>#REF!</v>
      </c>
      <c r="H487" s="450"/>
      <c r="I487" s="450">
        <v>0</v>
      </c>
      <c r="J487" s="450">
        <v>0</v>
      </c>
      <c r="K487" s="450">
        <v>0</v>
      </c>
      <c r="L487" s="450" t="e">
        <f>SUM(E487:K487)</f>
        <v>#REF!</v>
      </c>
      <c r="U487" s="129"/>
      <c r="AC487" s="129"/>
      <c r="AK487" s="129"/>
      <c r="AO487" s="130"/>
      <c r="AY487" s="131"/>
    </row>
    <row r="488" spans="2:82" s="126" customFormat="1" x14ac:dyDescent="0.3">
      <c r="B488" s="448">
        <v>2</v>
      </c>
      <c r="C488" s="449" t="s">
        <v>102</v>
      </c>
      <c r="D488" s="450"/>
      <c r="E488" s="450">
        <f>'[3]Podium Beam'!AC606</f>
        <v>0</v>
      </c>
      <c r="F488" s="450">
        <f>'[3]Podium Beam'!AD606</f>
        <v>0</v>
      </c>
      <c r="G488" s="450">
        <f>'[3]Podium Beam'!AE606</f>
        <v>0</v>
      </c>
      <c r="H488" s="450">
        <f>'[3]Podium Beam'!AF606</f>
        <v>0</v>
      </c>
      <c r="I488" s="450">
        <f>'[3]Podium Beam'!AG606</f>
        <v>0</v>
      </c>
      <c r="J488" s="450">
        <f>'[3]Podium Beam'!AH606</f>
        <v>0</v>
      </c>
      <c r="K488" s="450">
        <f>'[3]Podium Beam'!AI606</f>
        <v>0</v>
      </c>
      <c r="L488" s="450">
        <f>SUM(E488:K488)</f>
        <v>0</v>
      </c>
      <c r="U488" s="129"/>
      <c r="AC488" s="129"/>
      <c r="AK488" s="129"/>
      <c r="AO488" s="130"/>
      <c r="AY488" s="131"/>
    </row>
    <row r="489" spans="2:82" s="126" customFormat="1" x14ac:dyDescent="0.3">
      <c r="B489" s="451"/>
      <c r="C489" s="452"/>
      <c r="D489" s="453"/>
      <c r="E489" s="453" t="e">
        <f>SUM(E487:E488)</f>
        <v>#REF!</v>
      </c>
      <c r="F489" s="453" t="e">
        <f t="shared" ref="F489:K489" si="340">SUM(F487:F488)</f>
        <v>#REF!</v>
      </c>
      <c r="G489" s="453" t="e">
        <f t="shared" si="340"/>
        <v>#REF!</v>
      </c>
      <c r="H489" s="453">
        <f t="shared" si="340"/>
        <v>0</v>
      </c>
      <c r="I489" s="453">
        <f t="shared" si="340"/>
        <v>0</v>
      </c>
      <c r="J489" s="453">
        <f t="shared" si="340"/>
        <v>0</v>
      </c>
      <c r="K489" s="453">
        <f t="shared" si="340"/>
        <v>0</v>
      </c>
      <c r="L489" s="453" t="e">
        <f>SUM(L487:L488)</f>
        <v>#REF!</v>
      </c>
      <c r="U489" s="129"/>
      <c r="AC489" s="129"/>
      <c r="AK489" s="129"/>
      <c r="AO489" s="130"/>
      <c r="AY489" s="131"/>
    </row>
    <row r="490" spans="2:82" s="126" customFormat="1" x14ac:dyDescent="0.3">
      <c r="C490" s="127"/>
      <c r="D490" s="128"/>
      <c r="E490" s="128"/>
      <c r="F490" s="128"/>
      <c r="G490" s="128"/>
      <c r="U490" s="129"/>
      <c r="AC490" s="129"/>
      <c r="AK490" s="129"/>
      <c r="AO490" s="130"/>
      <c r="AY490" s="131"/>
    </row>
    <row r="491" spans="2:82" s="126" customFormat="1" x14ac:dyDescent="0.3">
      <c r="C491" s="127"/>
      <c r="D491" s="128"/>
      <c r="E491" s="128"/>
      <c r="F491" s="128"/>
      <c r="G491" s="128"/>
      <c r="M491" s="129"/>
      <c r="U491" s="129"/>
      <c r="AC491" s="129"/>
      <c r="AK491" s="129"/>
      <c r="AO491" s="130"/>
      <c r="AY491" s="131"/>
    </row>
    <row r="492" spans="2:82" s="126" customFormat="1" x14ac:dyDescent="0.3">
      <c r="C492" s="127"/>
      <c r="D492" s="128"/>
      <c r="E492" s="128"/>
      <c r="F492" s="128"/>
      <c r="G492" s="128"/>
      <c r="M492" s="129"/>
      <c r="U492" s="129"/>
      <c r="AC492" s="129"/>
      <c r="AK492" s="129"/>
      <c r="AO492" s="130"/>
      <c r="AY492" s="131"/>
    </row>
    <row r="493" spans="2:82" s="126" customFormat="1" x14ac:dyDescent="0.3">
      <c r="C493" s="127"/>
      <c r="D493" s="128"/>
      <c r="E493" s="128"/>
      <c r="F493" s="128"/>
      <c r="G493" s="128"/>
      <c r="M493" s="129"/>
      <c r="U493" s="129"/>
      <c r="AC493" s="129"/>
      <c r="AK493" s="129"/>
      <c r="AO493" s="130"/>
      <c r="AY493" s="131"/>
    </row>
    <row r="494" spans="2:82" s="126" customFormat="1" x14ac:dyDescent="0.3">
      <c r="C494" s="127"/>
      <c r="D494" s="128"/>
      <c r="E494" s="128"/>
      <c r="F494" s="128"/>
      <c r="G494" s="128"/>
      <c r="M494" s="129"/>
      <c r="U494" s="129"/>
      <c r="AC494" s="129"/>
      <c r="AK494" s="129"/>
      <c r="AO494" s="130"/>
      <c r="AY494" s="131"/>
    </row>
    <row r="495" spans="2:82" s="126" customFormat="1" x14ac:dyDescent="0.3">
      <c r="C495" s="127"/>
      <c r="D495" s="128"/>
      <c r="E495" s="128"/>
      <c r="F495" s="128"/>
      <c r="G495" s="128"/>
      <c r="M495" s="129"/>
      <c r="U495" s="129"/>
      <c r="AC495" s="129"/>
      <c r="AK495" s="129"/>
      <c r="AO495" s="130"/>
      <c r="AY495" s="131"/>
    </row>
    <row r="496" spans="2:82" s="126" customFormat="1" x14ac:dyDescent="0.3">
      <c r="C496" s="127"/>
      <c r="D496" s="128"/>
      <c r="E496" s="128"/>
      <c r="F496" s="128"/>
      <c r="G496" s="128"/>
      <c r="M496" s="129"/>
      <c r="U496" s="129"/>
      <c r="AC496" s="129"/>
      <c r="AK496" s="129"/>
      <c r="AO496" s="130"/>
      <c r="AY496" s="131"/>
    </row>
    <row r="497" spans="3:51" s="126" customFormat="1" x14ac:dyDescent="0.3">
      <c r="C497" s="127"/>
      <c r="D497" s="128"/>
      <c r="E497" s="128"/>
      <c r="F497" s="128"/>
      <c r="G497" s="128"/>
      <c r="M497" s="129"/>
      <c r="U497" s="129"/>
      <c r="AC497" s="129"/>
      <c r="AK497" s="129"/>
      <c r="AO497" s="130"/>
      <c r="AY497" s="131"/>
    </row>
    <row r="498" spans="3:51" s="126" customFormat="1" x14ac:dyDescent="0.3">
      <c r="C498" s="127"/>
      <c r="D498" s="128"/>
      <c r="E498" s="128"/>
      <c r="F498" s="128"/>
      <c r="G498" s="128"/>
      <c r="M498" s="129"/>
      <c r="U498" s="129"/>
      <c r="AC498" s="129"/>
      <c r="AK498" s="129"/>
      <c r="AO498" s="130"/>
      <c r="AY498" s="131"/>
    </row>
    <row r="499" spans="3:51" s="126" customFormat="1" x14ac:dyDescent="0.3">
      <c r="C499" s="127"/>
      <c r="D499" s="128"/>
      <c r="E499" s="128"/>
      <c r="F499" s="128"/>
      <c r="G499" s="128"/>
      <c r="M499" s="129"/>
      <c r="U499" s="129"/>
      <c r="AC499" s="129"/>
      <c r="AK499" s="129"/>
      <c r="AO499" s="130"/>
      <c r="AY499" s="131"/>
    </row>
    <row r="500" spans="3:51" s="126" customFormat="1" x14ac:dyDescent="0.3">
      <c r="C500" s="127"/>
      <c r="D500" s="128"/>
      <c r="E500" s="128"/>
      <c r="F500" s="128"/>
      <c r="G500" s="128"/>
      <c r="M500" s="129"/>
      <c r="U500" s="129"/>
      <c r="AC500" s="129"/>
      <c r="AK500" s="129"/>
      <c r="AO500" s="130"/>
      <c r="AY500" s="131"/>
    </row>
    <row r="501" spans="3:51" s="126" customFormat="1" x14ac:dyDescent="0.3">
      <c r="C501" s="127"/>
      <c r="D501" s="128"/>
      <c r="E501" s="128"/>
      <c r="F501" s="128"/>
      <c r="G501" s="128"/>
      <c r="M501" s="129"/>
      <c r="U501" s="129"/>
      <c r="AC501" s="129"/>
      <c r="AK501" s="129"/>
      <c r="AO501" s="130"/>
      <c r="AY501" s="131"/>
    </row>
    <row r="502" spans="3:51" s="126" customFormat="1" x14ac:dyDescent="0.3">
      <c r="C502" s="127"/>
      <c r="D502" s="128"/>
      <c r="E502" s="128"/>
      <c r="F502" s="128"/>
      <c r="G502" s="128"/>
      <c r="M502" s="129"/>
      <c r="U502" s="129"/>
      <c r="AC502" s="129"/>
      <c r="AK502" s="129"/>
      <c r="AO502" s="130"/>
      <c r="AY502" s="131"/>
    </row>
    <row r="503" spans="3:51" s="126" customFormat="1" x14ac:dyDescent="0.3">
      <c r="C503" s="127"/>
      <c r="D503" s="128"/>
      <c r="E503" s="128"/>
      <c r="F503" s="128"/>
      <c r="G503" s="128"/>
      <c r="M503" s="129"/>
      <c r="U503" s="129"/>
      <c r="AC503" s="129"/>
      <c r="AK503" s="129"/>
      <c r="AO503" s="130"/>
      <c r="AY503" s="131"/>
    </row>
    <row r="504" spans="3:51" s="126" customFormat="1" x14ac:dyDescent="0.3">
      <c r="C504" s="127"/>
      <c r="D504" s="128"/>
      <c r="E504" s="128"/>
      <c r="F504" s="128"/>
      <c r="G504" s="128"/>
      <c r="M504" s="129"/>
      <c r="U504" s="129"/>
      <c r="AC504" s="129"/>
      <c r="AK504" s="129"/>
      <c r="AO504" s="130"/>
      <c r="AY504" s="131"/>
    </row>
    <row r="505" spans="3:51" s="126" customFormat="1" x14ac:dyDescent="0.3">
      <c r="C505" s="127"/>
      <c r="D505" s="128"/>
      <c r="E505" s="128"/>
      <c r="F505" s="128"/>
      <c r="G505" s="128"/>
      <c r="M505" s="129"/>
      <c r="U505" s="129"/>
      <c r="AC505" s="129"/>
      <c r="AK505" s="129"/>
      <c r="AO505" s="130"/>
      <c r="AY505" s="131"/>
    </row>
    <row r="506" spans="3:51" s="126" customFormat="1" x14ac:dyDescent="0.3">
      <c r="C506" s="127"/>
      <c r="D506" s="128"/>
      <c r="E506" s="128"/>
      <c r="F506" s="128"/>
      <c r="G506" s="128"/>
      <c r="M506" s="129"/>
      <c r="U506" s="129"/>
      <c r="AC506" s="129"/>
      <c r="AK506" s="129"/>
      <c r="AO506" s="130"/>
      <c r="AY506" s="131"/>
    </row>
    <row r="507" spans="3:51" s="126" customFormat="1" x14ac:dyDescent="0.3">
      <c r="C507" s="127"/>
      <c r="D507" s="128"/>
      <c r="E507" s="128"/>
      <c r="F507" s="128"/>
      <c r="G507" s="128"/>
      <c r="M507" s="129"/>
      <c r="U507" s="129"/>
      <c r="AC507" s="129"/>
      <c r="AK507" s="129"/>
      <c r="AO507" s="130"/>
      <c r="AY507" s="131"/>
    </row>
    <row r="508" spans="3:51" s="126" customFormat="1" x14ac:dyDescent="0.3">
      <c r="C508" s="127"/>
      <c r="D508" s="128"/>
      <c r="E508" s="128"/>
      <c r="F508" s="128"/>
      <c r="G508" s="128"/>
      <c r="M508" s="129"/>
      <c r="U508" s="129"/>
      <c r="AC508" s="129"/>
      <c r="AK508" s="129"/>
      <c r="AO508" s="130"/>
      <c r="AY508" s="131"/>
    </row>
    <row r="509" spans="3:51" s="126" customFormat="1" x14ac:dyDescent="0.3">
      <c r="C509" s="127"/>
      <c r="D509" s="128"/>
      <c r="E509" s="128"/>
      <c r="F509" s="128"/>
      <c r="G509" s="128"/>
      <c r="M509" s="129"/>
      <c r="U509" s="129"/>
      <c r="AC509" s="129"/>
      <c r="AK509" s="129"/>
      <c r="AO509" s="130"/>
      <c r="AY509" s="131"/>
    </row>
    <row r="510" spans="3:51" s="126" customFormat="1" x14ac:dyDescent="0.3">
      <c r="C510" s="127"/>
      <c r="D510" s="128"/>
      <c r="E510" s="128"/>
      <c r="F510" s="128"/>
      <c r="G510" s="128"/>
      <c r="M510" s="129"/>
      <c r="U510" s="129"/>
      <c r="AC510" s="129"/>
      <c r="AK510" s="129"/>
      <c r="AO510" s="130"/>
      <c r="AY510" s="131"/>
    </row>
    <row r="511" spans="3:51" s="126" customFormat="1" x14ac:dyDescent="0.3">
      <c r="C511" s="127"/>
      <c r="D511" s="128"/>
      <c r="E511" s="128"/>
      <c r="F511" s="128"/>
      <c r="G511" s="128"/>
      <c r="M511" s="129"/>
      <c r="U511" s="129"/>
      <c r="AC511" s="129"/>
      <c r="AK511" s="129"/>
      <c r="AO511" s="130"/>
      <c r="AY511" s="131"/>
    </row>
    <row r="512" spans="3:51" s="126" customFormat="1" x14ac:dyDescent="0.3">
      <c r="C512" s="127"/>
      <c r="D512" s="128"/>
      <c r="E512" s="128"/>
      <c r="F512" s="128"/>
      <c r="G512" s="128"/>
      <c r="M512" s="129"/>
      <c r="U512" s="129"/>
      <c r="AC512" s="129"/>
      <c r="AK512" s="129"/>
      <c r="AO512" s="130"/>
      <c r="AY512" s="131"/>
    </row>
    <row r="513" spans="3:51" s="126" customFormat="1" x14ac:dyDescent="0.3">
      <c r="C513" s="127"/>
      <c r="D513" s="128"/>
      <c r="E513" s="128"/>
      <c r="F513" s="128"/>
      <c r="G513" s="128"/>
      <c r="M513" s="129"/>
      <c r="U513" s="129"/>
      <c r="AC513" s="129"/>
      <c r="AK513" s="129"/>
      <c r="AO513" s="130"/>
      <c r="AY513" s="131"/>
    </row>
    <row r="514" spans="3:51" s="126" customFormat="1" x14ac:dyDescent="0.3">
      <c r="C514" s="127"/>
      <c r="D514" s="128"/>
      <c r="E514" s="128"/>
      <c r="F514" s="128"/>
      <c r="G514" s="128"/>
      <c r="M514" s="129"/>
      <c r="U514" s="129"/>
      <c r="AC514" s="129"/>
      <c r="AK514" s="129"/>
      <c r="AO514" s="130"/>
      <c r="AY514" s="131"/>
    </row>
    <row r="515" spans="3:51" s="126" customFormat="1" x14ac:dyDescent="0.3">
      <c r="C515" s="127"/>
      <c r="D515" s="128"/>
      <c r="E515" s="128"/>
      <c r="F515" s="128"/>
      <c r="G515" s="128"/>
      <c r="M515" s="129"/>
      <c r="U515" s="129"/>
      <c r="AC515" s="129"/>
      <c r="AK515" s="129"/>
      <c r="AO515" s="130"/>
      <c r="AY515" s="131"/>
    </row>
    <row r="516" spans="3:51" s="126" customFormat="1" x14ac:dyDescent="0.3">
      <c r="C516" s="127"/>
      <c r="D516" s="128"/>
      <c r="E516" s="128"/>
      <c r="F516" s="128"/>
      <c r="G516" s="128"/>
      <c r="M516" s="129"/>
      <c r="U516" s="129"/>
      <c r="AC516" s="129"/>
      <c r="AK516" s="129"/>
      <c r="AO516" s="130"/>
      <c r="AY516" s="131"/>
    </row>
    <row r="517" spans="3:51" s="126" customFormat="1" x14ac:dyDescent="0.3">
      <c r="C517" s="127"/>
      <c r="D517" s="128"/>
      <c r="E517" s="128"/>
      <c r="F517" s="128"/>
      <c r="G517" s="128"/>
      <c r="M517" s="129"/>
      <c r="U517" s="129"/>
      <c r="AC517" s="129"/>
      <c r="AK517" s="129"/>
      <c r="AO517" s="130"/>
      <c r="AY517" s="131"/>
    </row>
    <row r="518" spans="3:51" s="126" customFormat="1" x14ac:dyDescent="0.3">
      <c r="C518" s="127"/>
      <c r="D518" s="128"/>
      <c r="E518" s="128"/>
      <c r="F518" s="128"/>
      <c r="G518" s="128"/>
      <c r="M518" s="129"/>
      <c r="U518" s="129"/>
      <c r="AC518" s="129"/>
      <c r="AK518" s="129"/>
      <c r="AO518" s="130"/>
      <c r="AY518" s="131"/>
    </row>
    <row r="519" spans="3:51" s="126" customFormat="1" x14ac:dyDescent="0.3">
      <c r="C519" s="127"/>
      <c r="D519" s="128"/>
      <c r="E519" s="128"/>
      <c r="F519" s="128"/>
      <c r="G519" s="128"/>
      <c r="M519" s="129"/>
      <c r="U519" s="129"/>
      <c r="AC519" s="129"/>
      <c r="AK519" s="129"/>
      <c r="AO519" s="130"/>
      <c r="AY519" s="131"/>
    </row>
    <row r="520" spans="3:51" s="126" customFormat="1" x14ac:dyDescent="0.3">
      <c r="C520" s="127"/>
      <c r="D520" s="128"/>
      <c r="E520" s="128"/>
      <c r="F520" s="128"/>
      <c r="G520" s="128"/>
      <c r="M520" s="129"/>
      <c r="U520" s="129"/>
      <c r="AC520" s="129"/>
      <c r="AK520" s="129"/>
      <c r="AO520" s="130"/>
      <c r="AY520" s="131"/>
    </row>
    <row r="521" spans="3:51" s="126" customFormat="1" x14ac:dyDescent="0.3">
      <c r="C521" s="127"/>
      <c r="D521" s="128"/>
      <c r="E521" s="128"/>
      <c r="F521" s="128"/>
      <c r="G521" s="128"/>
      <c r="M521" s="129"/>
      <c r="U521" s="129"/>
      <c r="AC521" s="129"/>
      <c r="AK521" s="129"/>
      <c r="AO521" s="130"/>
      <c r="AY521" s="131"/>
    </row>
    <row r="522" spans="3:51" s="126" customFormat="1" x14ac:dyDescent="0.3">
      <c r="C522" s="127"/>
      <c r="D522" s="128"/>
      <c r="E522" s="128"/>
      <c r="F522" s="128"/>
      <c r="G522" s="128"/>
      <c r="M522" s="129"/>
      <c r="U522" s="129"/>
      <c r="AC522" s="129"/>
      <c r="AK522" s="129"/>
      <c r="AO522" s="130"/>
      <c r="AY522" s="131"/>
    </row>
    <row r="523" spans="3:51" s="126" customFormat="1" x14ac:dyDescent="0.3">
      <c r="C523" s="127"/>
      <c r="D523" s="128"/>
      <c r="E523" s="128"/>
      <c r="F523" s="128"/>
      <c r="G523" s="128"/>
      <c r="M523" s="129"/>
      <c r="U523" s="129"/>
      <c r="AC523" s="129"/>
      <c r="AK523" s="129"/>
      <c r="AO523" s="130"/>
      <c r="AY523" s="131"/>
    </row>
    <row r="524" spans="3:51" s="126" customFormat="1" x14ac:dyDescent="0.3">
      <c r="C524" s="127"/>
      <c r="D524" s="128"/>
      <c r="E524" s="128"/>
      <c r="F524" s="128"/>
      <c r="G524" s="128"/>
      <c r="M524" s="129"/>
      <c r="U524" s="129"/>
      <c r="AC524" s="129"/>
      <c r="AK524" s="129"/>
      <c r="AO524" s="130"/>
      <c r="AY524" s="131"/>
    </row>
    <row r="525" spans="3:51" s="126" customFormat="1" x14ac:dyDescent="0.3">
      <c r="C525" s="127"/>
      <c r="D525" s="128"/>
      <c r="E525" s="128"/>
      <c r="F525" s="128"/>
      <c r="G525" s="128"/>
      <c r="M525" s="129"/>
      <c r="U525" s="129"/>
      <c r="AC525" s="129"/>
      <c r="AK525" s="129"/>
      <c r="AO525" s="130"/>
      <c r="AY525" s="131"/>
    </row>
    <row r="526" spans="3:51" s="126" customFormat="1" x14ac:dyDescent="0.3">
      <c r="C526" s="127"/>
      <c r="D526" s="128"/>
      <c r="E526" s="128"/>
      <c r="F526" s="128"/>
      <c r="G526" s="128"/>
      <c r="M526" s="129"/>
      <c r="U526" s="129"/>
      <c r="AC526" s="129"/>
      <c r="AK526" s="129"/>
      <c r="AO526" s="130"/>
      <c r="AY526" s="131"/>
    </row>
    <row r="527" spans="3:51" s="126" customFormat="1" x14ac:dyDescent="0.3">
      <c r="C527" s="127"/>
      <c r="D527" s="128"/>
      <c r="E527" s="128"/>
      <c r="F527" s="128"/>
      <c r="G527" s="128"/>
      <c r="M527" s="129"/>
      <c r="U527" s="129"/>
      <c r="AC527" s="129"/>
      <c r="AK527" s="129"/>
      <c r="AO527" s="130"/>
      <c r="AY527" s="131"/>
    </row>
    <row r="528" spans="3:51" s="126" customFormat="1" x14ac:dyDescent="0.3">
      <c r="C528" s="127"/>
      <c r="D528" s="128"/>
      <c r="E528" s="128"/>
      <c r="F528" s="128"/>
      <c r="G528" s="128"/>
      <c r="M528" s="129"/>
      <c r="U528" s="129"/>
      <c r="AC528" s="129"/>
      <c r="AK528" s="129"/>
      <c r="AO528" s="130"/>
      <c r="AY528" s="131"/>
    </row>
    <row r="529" spans="3:51" s="126" customFormat="1" x14ac:dyDescent="0.3">
      <c r="C529" s="127"/>
      <c r="D529" s="128"/>
      <c r="E529" s="128"/>
      <c r="F529" s="128"/>
      <c r="G529" s="128"/>
      <c r="M529" s="129"/>
      <c r="U529" s="129"/>
      <c r="AC529" s="129"/>
      <c r="AK529" s="129"/>
      <c r="AO529" s="130"/>
      <c r="AY529" s="131"/>
    </row>
    <row r="530" spans="3:51" s="126" customFormat="1" x14ac:dyDescent="0.3">
      <c r="C530" s="127"/>
      <c r="D530" s="128"/>
      <c r="E530" s="128"/>
      <c r="F530" s="128"/>
      <c r="G530" s="128"/>
      <c r="M530" s="129"/>
      <c r="U530" s="129"/>
      <c r="AC530" s="129"/>
      <c r="AK530" s="129"/>
      <c r="AO530" s="130"/>
      <c r="AY530" s="131"/>
    </row>
    <row r="531" spans="3:51" s="126" customFormat="1" x14ac:dyDescent="0.3">
      <c r="C531" s="127"/>
      <c r="D531" s="128"/>
      <c r="E531" s="128"/>
      <c r="F531" s="128"/>
      <c r="G531" s="128"/>
      <c r="M531" s="129"/>
      <c r="U531" s="129"/>
      <c r="AC531" s="129"/>
      <c r="AK531" s="129"/>
      <c r="AO531" s="130"/>
      <c r="AY531" s="131"/>
    </row>
    <row r="532" spans="3:51" s="126" customFormat="1" x14ac:dyDescent="0.3">
      <c r="C532" s="127"/>
      <c r="D532" s="128"/>
      <c r="E532" s="128"/>
      <c r="F532" s="128"/>
      <c r="G532" s="128"/>
      <c r="M532" s="129"/>
      <c r="U532" s="129"/>
      <c r="AC532" s="129"/>
      <c r="AK532" s="129"/>
      <c r="AO532" s="130"/>
      <c r="AY532" s="131"/>
    </row>
    <row r="533" spans="3:51" s="126" customFormat="1" x14ac:dyDescent="0.3">
      <c r="C533" s="127"/>
      <c r="D533" s="128"/>
      <c r="E533" s="128"/>
      <c r="F533" s="128"/>
      <c r="G533" s="128"/>
      <c r="M533" s="129"/>
      <c r="U533" s="129"/>
      <c r="AC533" s="129"/>
      <c r="AK533" s="129"/>
      <c r="AO533" s="130"/>
      <c r="AY533" s="131"/>
    </row>
    <row r="534" spans="3:51" s="126" customFormat="1" x14ac:dyDescent="0.3">
      <c r="C534" s="127"/>
      <c r="D534" s="128"/>
      <c r="E534" s="128"/>
      <c r="F534" s="128"/>
      <c r="G534" s="128"/>
      <c r="M534" s="129"/>
      <c r="U534" s="129"/>
      <c r="AC534" s="129"/>
      <c r="AK534" s="129"/>
      <c r="AO534" s="130"/>
      <c r="AY534" s="131"/>
    </row>
    <row r="535" spans="3:51" s="126" customFormat="1" x14ac:dyDescent="0.3">
      <c r="C535" s="127"/>
      <c r="D535" s="128"/>
      <c r="E535" s="128"/>
      <c r="F535" s="128"/>
      <c r="G535" s="128"/>
      <c r="M535" s="129"/>
      <c r="U535" s="129"/>
      <c r="AC535" s="129"/>
      <c r="AK535" s="129"/>
      <c r="AO535" s="130"/>
      <c r="AY535" s="131"/>
    </row>
    <row r="536" spans="3:51" s="126" customFormat="1" x14ac:dyDescent="0.3">
      <c r="C536" s="127"/>
      <c r="D536" s="128"/>
      <c r="E536" s="128"/>
      <c r="F536" s="128"/>
      <c r="G536" s="128"/>
      <c r="M536" s="129"/>
      <c r="U536" s="129"/>
      <c r="AC536" s="129"/>
      <c r="AK536" s="129"/>
      <c r="AO536" s="130"/>
      <c r="AY536" s="131"/>
    </row>
    <row r="537" spans="3:51" s="126" customFormat="1" x14ac:dyDescent="0.3">
      <c r="C537" s="127"/>
      <c r="D537" s="128"/>
      <c r="E537" s="128"/>
      <c r="F537" s="128"/>
      <c r="G537" s="128"/>
      <c r="M537" s="129"/>
      <c r="U537" s="129"/>
      <c r="AC537" s="129"/>
      <c r="AK537" s="129"/>
      <c r="AO537" s="130"/>
      <c r="AY537" s="131"/>
    </row>
    <row r="538" spans="3:51" s="126" customFormat="1" x14ac:dyDescent="0.3">
      <c r="C538" s="127"/>
      <c r="D538" s="128"/>
      <c r="E538" s="128"/>
      <c r="F538" s="128"/>
      <c r="G538" s="128"/>
      <c r="M538" s="129"/>
      <c r="U538" s="129"/>
      <c r="AC538" s="129"/>
      <c r="AK538" s="129"/>
      <c r="AO538" s="130"/>
      <c r="AY538" s="131"/>
    </row>
    <row r="539" spans="3:51" s="126" customFormat="1" x14ac:dyDescent="0.3">
      <c r="C539" s="127"/>
      <c r="D539" s="128"/>
      <c r="E539" s="128"/>
      <c r="F539" s="128"/>
      <c r="G539" s="128"/>
      <c r="M539" s="129"/>
      <c r="U539" s="129"/>
      <c r="AC539" s="129"/>
      <c r="AK539" s="129"/>
      <c r="AO539" s="130"/>
      <c r="AY539" s="131"/>
    </row>
    <row r="540" spans="3:51" s="126" customFormat="1" x14ac:dyDescent="0.3">
      <c r="C540" s="127"/>
      <c r="D540" s="128"/>
      <c r="E540" s="128"/>
      <c r="F540" s="128"/>
      <c r="G540" s="128"/>
      <c r="M540" s="129"/>
      <c r="U540" s="129"/>
      <c r="AC540" s="129"/>
      <c r="AK540" s="129"/>
      <c r="AO540" s="130"/>
      <c r="AY540" s="131"/>
    </row>
    <row r="541" spans="3:51" s="126" customFormat="1" x14ac:dyDescent="0.3">
      <c r="C541" s="127"/>
      <c r="D541" s="128"/>
      <c r="E541" s="128"/>
      <c r="F541" s="128"/>
      <c r="G541" s="128"/>
      <c r="M541" s="129"/>
      <c r="U541" s="129"/>
      <c r="AC541" s="129"/>
      <c r="AK541" s="129"/>
      <c r="AO541" s="130"/>
      <c r="AY541" s="131"/>
    </row>
    <row r="542" spans="3:51" s="126" customFormat="1" x14ac:dyDescent="0.3">
      <c r="C542" s="127"/>
      <c r="D542" s="128"/>
      <c r="E542" s="128"/>
      <c r="F542" s="128"/>
      <c r="G542" s="128"/>
      <c r="M542" s="129"/>
      <c r="U542" s="129"/>
      <c r="AC542" s="129"/>
      <c r="AK542" s="129"/>
      <c r="AO542" s="130"/>
      <c r="AY542" s="131"/>
    </row>
    <row r="543" spans="3:51" s="126" customFormat="1" x14ac:dyDescent="0.3">
      <c r="C543" s="127"/>
      <c r="D543" s="128"/>
      <c r="E543" s="128"/>
      <c r="F543" s="128"/>
      <c r="G543" s="128"/>
      <c r="M543" s="129"/>
      <c r="U543" s="129"/>
      <c r="AC543" s="129"/>
      <c r="AK543" s="129"/>
      <c r="AO543" s="130"/>
      <c r="AY543" s="131"/>
    </row>
    <row r="544" spans="3:51" s="126" customFormat="1" x14ac:dyDescent="0.3">
      <c r="C544" s="127"/>
      <c r="D544" s="128"/>
      <c r="E544" s="128"/>
      <c r="F544" s="128"/>
      <c r="G544" s="128"/>
      <c r="M544" s="129"/>
      <c r="U544" s="129"/>
      <c r="AC544" s="129"/>
      <c r="AK544" s="129"/>
      <c r="AO544" s="130"/>
      <c r="AY544" s="131"/>
    </row>
    <row r="545" spans="3:51" s="126" customFormat="1" x14ac:dyDescent="0.3">
      <c r="C545" s="127"/>
      <c r="D545" s="128"/>
      <c r="E545" s="128"/>
      <c r="F545" s="128"/>
      <c r="G545" s="128"/>
      <c r="M545" s="129"/>
      <c r="U545" s="129"/>
      <c r="AC545" s="129"/>
      <c r="AK545" s="129"/>
      <c r="AO545" s="130"/>
      <c r="AY545" s="131"/>
    </row>
    <row r="546" spans="3:51" s="126" customFormat="1" x14ac:dyDescent="0.3">
      <c r="C546" s="127"/>
      <c r="D546" s="128"/>
      <c r="E546" s="128"/>
      <c r="F546" s="128"/>
      <c r="G546" s="128"/>
      <c r="M546" s="129"/>
      <c r="U546" s="129"/>
      <c r="AC546" s="129"/>
      <c r="AK546" s="129"/>
      <c r="AO546" s="130"/>
      <c r="AY546" s="131"/>
    </row>
    <row r="547" spans="3:51" s="126" customFormat="1" x14ac:dyDescent="0.3">
      <c r="C547" s="127"/>
      <c r="D547" s="128"/>
      <c r="E547" s="128"/>
      <c r="F547" s="128"/>
      <c r="G547" s="128"/>
      <c r="M547" s="129"/>
      <c r="U547" s="129"/>
      <c r="AC547" s="129"/>
      <c r="AK547" s="129"/>
      <c r="AO547" s="130"/>
      <c r="AY547" s="131"/>
    </row>
    <row r="548" spans="3:51" s="126" customFormat="1" x14ac:dyDescent="0.3">
      <c r="C548" s="127"/>
      <c r="D548" s="128"/>
      <c r="E548" s="128"/>
      <c r="F548" s="128"/>
      <c r="G548" s="128"/>
      <c r="M548" s="129"/>
      <c r="U548" s="129"/>
      <c r="AC548" s="129"/>
      <c r="AK548" s="129"/>
      <c r="AO548" s="130"/>
      <c r="AY548" s="131"/>
    </row>
    <row r="549" spans="3:51" s="126" customFormat="1" x14ac:dyDescent="0.3">
      <c r="C549" s="127"/>
      <c r="D549" s="128"/>
      <c r="E549" s="128"/>
      <c r="F549" s="128"/>
      <c r="G549" s="128"/>
      <c r="M549" s="129"/>
      <c r="U549" s="129"/>
      <c r="AC549" s="129"/>
      <c r="AK549" s="129"/>
      <c r="AO549" s="130"/>
      <c r="AY549" s="131"/>
    </row>
    <row r="550" spans="3:51" s="126" customFormat="1" x14ac:dyDescent="0.3">
      <c r="C550" s="127"/>
      <c r="D550" s="128"/>
      <c r="E550" s="128"/>
      <c r="F550" s="128"/>
      <c r="G550" s="128"/>
      <c r="M550" s="129"/>
      <c r="U550" s="129"/>
      <c r="AC550" s="129"/>
      <c r="AK550" s="129"/>
      <c r="AO550" s="130"/>
      <c r="AY550" s="131"/>
    </row>
    <row r="551" spans="3:51" s="126" customFormat="1" x14ac:dyDescent="0.3">
      <c r="C551" s="127"/>
      <c r="D551" s="128"/>
      <c r="E551" s="128"/>
      <c r="F551" s="128"/>
      <c r="G551" s="128"/>
      <c r="M551" s="129"/>
      <c r="U551" s="129"/>
      <c r="AC551" s="129"/>
      <c r="AK551" s="129"/>
      <c r="AO551" s="130"/>
      <c r="AY551" s="131"/>
    </row>
    <row r="552" spans="3:51" s="126" customFormat="1" x14ac:dyDescent="0.3">
      <c r="C552" s="127"/>
      <c r="D552" s="128"/>
      <c r="E552" s="128"/>
      <c r="F552" s="128"/>
      <c r="G552" s="128"/>
      <c r="M552" s="129"/>
      <c r="U552" s="129"/>
      <c r="AC552" s="129"/>
      <c r="AK552" s="129"/>
      <c r="AO552" s="130"/>
      <c r="AY552" s="131"/>
    </row>
    <row r="553" spans="3:51" s="126" customFormat="1" x14ac:dyDescent="0.3">
      <c r="C553" s="127"/>
      <c r="D553" s="128"/>
      <c r="E553" s="128"/>
      <c r="F553" s="128"/>
      <c r="G553" s="128"/>
      <c r="M553" s="129"/>
      <c r="U553" s="129"/>
      <c r="AC553" s="129"/>
      <c r="AK553" s="129"/>
      <c r="AO553" s="130"/>
      <c r="AY553" s="131"/>
    </row>
    <row r="554" spans="3:51" s="126" customFormat="1" x14ac:dyDescent="0.3">
      <c r="C554" s="127"/>
      <c r="D554" s="128"/>
      <c r="E554" s="128"/>
      <c r="F554" s="128"/>
      <c r="G554" s="128"/>
      <c r="M554" s="129"/>
      <c r="U554" s="129"/>
      <c r="AC554" s="129"/>
      <c r="AK554" s="129"/>
      <c r="AO554" s="130"/>
      <c r="AY554" s="131"/>
    </row>
    <row r="555" spans="3:51" s="126" customFormat="1" x14ac:dyDescent="0.3">
      <c r="C555" s="127"/>
      <c r="D555" s="128"/>
      <c r="E555" s="128"/>
      <c r="F555" s="128"/>
      <c r="G555" s="128"/>
      <c r="M555" s="129"/>
      <c r="U555" s="129"/>
      <c r="AC555" s="129"/>
      <c r="AK555" s="129"/>
      <c r="AO555" s="130"/>
      <c r="AY555" s="131"/>
    </row>
    <row r="556" spans="3:51" s="126" customFormat="1" x14ac:dyDescent="0.3">
      <c r="C556" s="127"/>
      <c r="D556" s="128"/>
      <c r="E556" s="128"/>
      <c r="F556" s="128"/>
      <c r="G556" s="128"/>
      <c r="M556" s="129"/>
      <c r="U556" s="129"/>
      <c r="AC556" s="129"/>
      <c r="AK556" s="129"/>
      <c r="AO556" s="130"/>
      <c r="AY556" s="131"/>
    </row>
    <row r="557" spans="3:51" s="126" customFormat="1" x14ac:dyDescent="0.3">
      <c r="C557" s="127"/>
      <c r="D557" s="128"/>
      <c r="E557" s="128"/>
      <c r="F557" s="128"/>
      <c r="G557" s="128"/>
      <c r="M557" s="129"/>
      <c r="U557" s="129"/>
      <c r="AC557" s="129"/>
      <c r="AK557" s="129"/>
      <c r="AO557" s="130"/>
      <c r="AY557" s="131"/>
    </row>
    <row r="558" spans="3:51" s="126" customFormat="1" x14ac:dyDescent="0.3">
      <c r="C558" s="127"/>
      <c r="D558" s="128"/>
      <c r="E558" s="128"/>
      <c r="F558" s="128"/>
      <c r="G558" s="128"/>
      <c r="M558" s="129"/>
      <c r="U558" s="129"/>
      <c r="AC558" s="129"/>
      <c r="AK558" s="129"/>
      <c r="AO558" s="130"/>
      <c r="AY558" s="131"/>
    </row>
    <row r="559" spans="3:51" s="126" customFormat="1" x14ac:dyDescent="0.3">
      <c r="C559" s="127"/>
      <c r="D559" s="128"/>
      <c r="E559" s="128"/>
      <c r="F559" s="128"/>
      <c r="G559" s="128"/>
      <c r="M559" s="129"/>
      <c r="U559" s="129"/>
      <c r="AC559" s="129"/>
      <c r="AK559" s="129"/>
      <c r="AO559" s="130"/>
      <c r="AY559" s="131"/>
    </row>
    <row r="560" spans="3:51" s="126" customFormat="1" x14ac:dyDescent="0.3">
      <c r="C560" s="127"/>
      <c r="D560" s="128"/>
      <c r="E560" s="128"/>
      <c r="F560" s="128"/>
      <c r="G560" s="128"/>
      <c r="M560" s="129"/>
      <c r="U560" s="129"/>
      <c r="AC560" s="129"/>
      <c r="AK560" s="129"/>
      <c r="AO560" s="130"/>
      <c r="AY560" s="131"/>
    </row>
    <row r="561" spans="3:51" s="126" customFormat="1" x14ac:dyDescent="0.3">
      <c r="C561" s="127"/>
      <c r="D561" s="128"/>
      <c r="E561" s="128"/>
      <c r="F561" s="128"/>
      <c r="G561" s="128"/>
      <c r="M561" s="129"/>
      <c r="U561" s="129"/>
      <c r="AC561" s="129"/>
      <c r="AK561" s="129"/>
      <c r="AO561" s="130"/>
      <c r="AY561" s="131"/>
    </row>
    <row r="562" spans="3:51" s="126" customFormat="1" x14ac:dyDescent="0.3">
      <c r="C562" s="127"/>
      <c r="D562" s="128"/>
      <c r="E562" s="128"/>
      <c r="F562" s="128"/>
      <c r="G562" s="128"/>
      <c r="M562" s="129"/>
      <c r="U562" s="129"/>
      <c r="AC562" s="129"/>
      <c r="AK562" s="129"/>
      <c r="AO562" s="130"/>
      <c r="AY562" s="131"/>
    </row>
    <row r="563" spans="3:51" s="126" customFormat="1" x14ac:dyDescent="0.3">
      <c r="C563" s="127"/>
      <c r="D563" s="128"/>
      <c r="E563" s="128"/>
      <c r="F563" s="128"/>
      <c r="G563" s="128"/>
      <c r="M563" s="129"/>
      <c r="U563" s="129"/>
      <c r="AC563" s="129"/>
      <c r="AK563" s="129"/>
      <c r="AO563" s="130"/>
      <c r="AY563" s="131"/>
    </row>
    <row r="564" spans="3:51" s="126" customFormat="1" x14ac:dyDescent="0.3">
      <c r="C564" s="127"/>
      <c r="D564" s="128"/>
      <c r="E564" s="128"/>
      <c r="F564" s="128"/>
      <c r="G564" s="128"/>
      <c r="M564" s="129"/>
      <c r="U564" s="129"/>
      <c r="AC564" s="129"/>
      <c r="AK564" s="129"/>
      <c r="AO564" s="130"/>
      <c r="AY564" s="131"/>
    </row>
    <row r="565" spans="3:51" s="126" customFormat="1" x14ac:dyDescent="0.3">
      <c r="C565" s="127"/>
      <c r="D565" s="128"/>
      <c r="E565" s="128"/>
      <c r="F565" s="128"/>
      <c r="G565" s="128"/>
      <c r="M565" s="129"/>
      <c r="U565" s="129"/>
      <c r="AC565" s="129"/>
      <c r="AK565" s="129"/>
      <c r="AO565" s="130"/>
      <c r="AY565" s="131"/>
    </row>
    <row r="566" spans="3:51" s="126" customFormat="1" x14ac:dyDescent="0.3">
      <c r="C566" s="127"/>
      <c r="D566" s="128"/>
      <c r="E566" s="128"/>
      <c r="F566" s="128"/>
      <c r="G566" s="128"/>
      <c r="M566" s="129"/>
      <c r="U566" s="129"/>
      <c r="AC566" s="129"/>
      <c r="AK566" s="129"/>
      <c r="AO566" s="130"/>
      <c r="AY566" s="131"/>
    </row>
    <row r="567" spans="3:51" s="126" customFormat="1" x14ac:dyDescent="0.3">
      <c r="C567" s="127"/>
      <c r="D567" s="128"/>
      <c r="E567" s="128"/>
      <c r="F567" s="128"/>
      <c r="G567" s="128"/>
      <c r="M567" s="129"/>
      <c r="U567" s="129"/>
      <c r="AC567" s="129"/>
      <c r="AK567" s="129"/>
      <c r="AO567" s="130"/>
      <c r="AY567" s="131"/>
    </row>
    <row r="568" spans="3:51" s="126" customFormat="1" x14ac:dyDescent="0.3">
      <c r="C568" s="127"/>
      <c r="D568" s="128"/>
      <c r="E568" s="128"/>
      <c r="F568" s="128"/>
      <c r="G568" s="128"/>
      <c r="M568" s="129"/>
      <c r="U568" s="129"/>
      <c r="AC568" s="129"/>
      <c r="AK568" s="129"/>
      <c r="AO568" s="130"/>
      <c r="AY568" s="131"/>
    </row>
    <row r="569" spans="3:51" s="126" customFormat="1" x14ac:dyDescent="0.3">
      <c r="C569" s="127"/>
      <c r="D569" s="128"/>
      <c r="E569" s="128"/>
      <c r="F569" s="128"/>
      <c r="G569" s="128"/>
      <c r="M569" s="129"/>
      <c r="U569" s="129"/>
      <c r="AC569" s="129"/>
      <c r="AK569" s="129"/>
      <c r="AO569" s="130"/>
      <c r="AY569" s="131"/>
    </row>
    <row r="570" spans="3:51" s="126" customFormat="1" x14ac:dyDescent="0.3">
      <c r="C570" s="127"/>
      <c r="D570" s="128"/>
      <c r="E570" s="128"/>
      <c r="F570" s="128"/>
      <c r="G570" s="128"/>
      <c r="M570" s="129"/>
      <c r="U570" s="129"/>
      <c r="AC570" s="129"/>
      <c r="AK570" s="129"/>
      <c r="AO570" s="130"/>
      <c r="AY570" s="131"/>
    </row>
    <row r="571" spans="3:51" s="126" customFormat="1" x14ac:dyDescent="0.3">
      <c r="C571" s="127"/>
      <c r="D571" s="128"/>
      <c r="E571" s="128"/>
      <c r="F571" s="128"/>
      <c r="G571" s="128"/>
      <c r="M571" s="129"/>
      <c r="U571" s="129"/>
      <c r="AC571" s="129"/>
      <c r="AK571" s="129"/>
      <c r="AO571" s="130"/>
      <c r="AY571" s="131"/>
    </row>
    <row r="572" spans="3:51" s="126" customFormat="1" x14ac:dyDescent="0.3">
      <c r="C572" s="127"/>
      <c r="D572" s="128"/>
      <c r="E572" s="128"/>
      <c r="F572" s="128"/>
      <c r="G572" s="128"/>
      <c r="M572" s="129"/>
      <c r="U572" s="129"/>
      <c r="AC572" s="129"/>
      <c r="AK572" s="129"/>
      <c r="AO572" s="130"/>
      <c r="AY572" s="131"/>
    </row>
    <row r="573" spans="3:51" s="126" customFormat="1" x14ac:dyDescent="0.3">
      <c r="C573" s="127"/>
      <c r="D573" s="128"/>
      <c r="E573" s="128"/>
      <c r="F573" s="128"/>
      <c r="G573" s="128"/>
      <c r="M573" s="129"/>
      <c r="U573" s="129"/>
      <c r="AC573" s="129"/>
      <c r="AK573" s="129"/>
      <c r="AO573" s="130"/>
      <c r="AY573" s="131"/>
    </row>
    <row r="574" spans="3:51" s="126" customFormat="1" x14ac:dyDescent="0.3">
      <c r="C574" s="127"/>
      <c r="D574" s="128"/>
      <c r="E574" s="128"/>
      <c r="F574" s="128"/>
      <c r="G574" s="128"/>
      <c r="M574" s="129"/>
      <c r="U574" s="129"/>
      <c r="AC574" s="129"/>
      <c r="AK574" s="129"/>
      <c r="AO574" s="130"/>
      <c r="AY574" s="131"/>
    </row>
    <row r="575" spans="3:51" s="126" customFormat="1" x14ac:dyDescent="0.3">
      <c r="C575" s="127"/>
      <c r="D575" s="128"/>
      <c r="E575" s="128"/>
      <c r="F575" s="128"/>
      <c r="G575" s="128"/>
      <c r="M575" s="129"/>
      <c r="U575" s="129"/>
      <c r="AC575" s="129"/>
      <c r="AK575" s="129"/>
      <c r="AO575" s="130"/>
      <c r="AY575" s="131"/>
    </row>
    <row r="576" spans="3:51" s="126" customFormat="1" x14ac:dyDescent="0.3">
      <c r="C576" s="127"/>
      <c r="D576" s="128"/>
      <c r="E576" s="128"/>
      <c r="F576" s="128"/>
      <c r="G576" s="128"/>
      <c r="M576" s="129"/>
      <c r="U576" s="129"/>
      <c r="AC576" s="129"/>
      <c r="AK576" s="129"/>
      <c r="AO576" s="130"/>
      <c r="AY576" s="131"/>
    </row>
    <row r="577" spans="3:51" s="126" customFormat="1" x14ac:dyDescent="0.3">
      <c r="C577" s="127"/>
      <c r="D577" s="128"/>
      <c r="E577" s="128"/>
      <c r="F577" s="128"/>
      <c r="G577" s="128"/>
      <c r="M577" s="129"/>
      <c r="U577" s="129"/>
      <c r="AC577" s="129"/>
      <c r="AK577" s="129"/>
      <c r="AO577" s="130"/>
      <c r="AY577" s="131"/>
    </row>
    <row r="578" spans="3:51" s="126" customFormat="1" x14ac:dyDescent="0.3">
      <c r="C578" s="127"/>
      <c r="D578" s="128"/>
      <c r="E578" s="128"/>
      <c r="F578" s="128"/>
      <c r="G578" s="128"/>
      <c r="M578" s="129"/>
      <c r="U578" s="129"/>
      <c r="AC578" s="129"/>
      <c r="AK578" s="129"/>
      <c r="AO578" s="130"/>
      <c r="AY578" s="131"/>
    </row>
    <row r="579" spans="3:51" s="126" customFormat="1" x14ac:dyDescent="0.3">
      <c r="C579" s="127"/>
      <c r="D579" s="128"/>
      <c r="E579" s="128"/>
      <c r="F579" s="128"/>
      <c r="G579" s="128"/>
      <c r="M579" s="129"/>
      <c r="U579" s="129"/>
      <c r="AC579" s="129"/>
      <c r="AK579" s="129"/>
      <c r="AO579" s="130"/>
      <c r="AY579" s="131"/>
    </row>
    <row r="580" spans="3:51" s="126" customFormat="1" x14ac:dyDescent="0.3">
      <c r="C580" s="127"/>
      <c r="D580" s="128"/>
      <c r="E580" s="128"/>
      <c r="F580" s="128"/>
      <c r="G580" s="128"/>
      <c r="M580" s="129"/>
      <c r="U580" s="129"/>
      <c r="AC580" s="129"/>
      <c r="AK580" s="129"/>
      <c r="AO580" s="130"/>
      <c r="AY580" s="131"/>
    </row>
    <row r="581" spans="3:51" s="126" customFormat="1" x14ac:dyDescent="0.3">
      <c r="C581" s="127"/>
      <c r="D581" s="128"/>
      <c r="E581" s="128"/>
      <c r="F581" s="128"/>
      <c r="G581" s="128"/>
      <c r="M581" s="129"/>
      <c r="U581" s="129"/>
      <c r="AC581" s="129"/>
      <c r="AK581" s="129"/>
      <c r="AO581" s="130"/>
      <c r="AY581" s="131"/>
    </row>
    <row r="582" spans="3:51" s="126" customFormat="1" x14ac:dyDescent="0.3">
      <c r="C582" s="127"/>
      <c r="D582" s="128"/>
      <c r="E582" s="128"/>
      <c r="F582" s="128"/>
      <c r="G582" s="128"/>
      <c r="M582" s="129"/>
      <c r="U582" s="129"/>
      <c r="AC582" s="129"/>
      <c r="AK582" s="129"/>
      <c r="AO582" s="130"/>
      <c r="AY582" s="131"/>
    </row>
    <row r="583" spans="3:51" s="126" customFormat="1" x14ac:dyDescent="0.3">
      <c r="C583" s="127"/>
      <c r="D583" s="128"/>
      <c r="E583" s="128"/>
      <c r="F583" s="128"/>
      <c r="G583" s="128"/>
      <c r="M583" s="129"/>
      <c r="U583" s="129"/>
      <c r="AC583" s="129"/>
      <c r="AK583" s="129"/>
      <c r="AO583" s="130"/>
      <c r="AY583" s="131"/>
    </row>
    <row r="584" spans="3:51" s="126" customFormat="1" x14ac:dyDescent="0.3">
      <c r="C584" s="127"/>
      <c r="D584" s="128"/>
      <c r="E584" s="128"/>
      <c r="F584" s="128"/>
      <c r="G584" s="128"/>
      <c r="M584" s="129"/>
      <c r="U584" s="129"/>
      <c r="AC584" s="129"/>
      <c r="AK584" s="129"/>
      <c r="AO584" s="130"/>
      <c r="AY584" s="131"/>
    </row>
    <row r="585" spans="3:51" s="126" customFormat="1" x14ac:dyDescent="0.3">
      <c r="C585" s="127"/>
      <c r="D585" s="128"/>
      <c r="E585" s="128"/>
      <c r="F585" s="128"/>
      <c r="G585" s="128"/>
      <c r="M585" s="129"/>
      <c r="U585" s="129"/>
      <c r="AC585" s="129"/>
      <c r="AK585" s="129"/>
      <c r="AO585" s="130"/>
      <c r="AY585" s="131"/>
    </row>
    <row r="586" spans="3:51" s="126" customFormat="1" x14ac:dyDescent="0.3">
      <c r="C586" s="127"/>
      <c r="D586" s="128"/>
      <c r="E586" s="128"/>
      <c r="F586" s="128"/>
      <c r="G586" s="128"/>
      <c r="M586" s="129"/>
      <c r="U586" s="129"/>
      <c r="AC586" s="129"/>
      <c r="AK586" s="129"/>
      <c r="AO586" s="130"/>
      <c r="AY586" s="131"/>
    </row>
  </sheetData>
  <mergeCells count="51">
    <mergeCell ref="B8:C8"/>
    <mergeCell ref="I5:I6"/>
    <mergeCell ref="M5:M6"/>
    <mergeCell ref="O5:O6"/>
    <mergeCell ref="Q5:AA5"/>
    <mergeCell ref="U6:Z6"/>
    <mergeCell ref="BB206:BC206"/>
    <mergeCell ref="BD206:BE206"/>
    <mergeCell ref="A203:A204"/>
    <mergeCell ref="B203:B204"/>
    <mergeCell ref="C203:C204"/>
    <mergeCell ref="I203:P203"/>
    <mergeCell ref="Q203:X203"/>
    <mergeCell ref="Y203:AF203"/>
    <mergeCell ref="AG203:AN203"/>
    <mergeCell ref="AO203:AQ203"/>
    <mergeCell ref="AR203:AT203"/>
    <mergeCell ref="AU203:AW203"/>
    <mergeCell ref="AZ204:BE204"/>
    <mergeCell ref="E377:F377"/>
    <mergeCell ref="AO377:AQ377"/>
    <mergeCell ref="E378:F378"/>
    <mergeCell ref="AO378:AQ378"/>
    <mergeCell ref="AO379:AQ379"/>
    <mergeCell ref="AR380:AW380"/>
    <mergeCell ref="A387:A388"/>
    <mergeCell ref="B387:B388"/>
    <mergeCell ref="C387:C388"/>
    <mergeCell ref="I387:P387"/>
    <mergeCell ref="Q387:X387"/>
    <mergeCell ref="Y387:AF387"/>
    <mergeCell ref="AG387:AN387"/>
    <mergeCell ref="AO387:AQ387"/>
    <mergeCell ref="AR387:AT387"/>
    <mergeCell ref="AO380:AQ380"/>
    <mergeCell ref="AU387:AW387"/>
    <mergeCell ref="AZ388:BE388"/>
    <mergeCell ref="BB390:BC390"/>
    <mergeCell ref="BD390:BE390"/>
    <mergeCell ref="E476:F476"/>
    <mergeCell ref="AO476:AQ476"/>
    <mergeCell ref="E477:F477"/>
    <mergeCell ref="AO477:AQ477"/>
    <mergeCell ref="AO478:AQ478"/>
    <mergeCell ref="AO479:AQ479"/>
    <mergeCell ref="AR479:AW479"/>
    <mergeCell ref="B483:L483"/>
    <mergeCell ref="B484:B485"/>
    <mergeCell ref="C484:C485"/>
    <mergeCell ref="D484:D485"/>
    <mergeCell ref="E484:L484"/>
  </mergeCells>
  <pageMargins left="0.7" right="0.7" top="0.75" bottom="0.75" header="0.3" footer="0.3"/>
  <pageSetup paperSize="9" orientation="portrait" verticalDpi="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SUMMARY</vt:lpstr>
      <vt:lpstr>patli</vt:lpstr>
      <vt:lpstr>Mix design</vt:lpstr>
      <vt:lpstr>cOL</vt:lpstr>
      <vt:lpstr>Frames (2)</vt:lpstr>
      <vt:lpstr>Flooring</vt:lpstr>
      <vt:lpstr>Waterproofing (2)</vt:lpstr>
      <vt:lpstr>External plaster</vt:lpstr>
      <vt:lpstr>Podium Beam</vt:lpstr>
      <vt:lpstr>Podium Slab</vt:lpstr>
      <vt:lpstr>BW</vt:lpstr>
      <vt:lpstr>IP</vt:lpstr>
      <vt:lpstr>Site Req.</vt:lpstr>
      <vt:lpstr>Precast</vt:lpstr>
      <vt:lpstr>Staircase pardi</vt:lpstr>
      <vt:lpstr>SUMMARY sirs comp</vt:lpstr>
      <vt:lpstr>Sheet1</vt:lpstr>
      <vt:lpstr>cOL!Print_Area</vt:lpstr>
      <vt:lpstr>SUMMARY!Print_Area</vt:lpstr>
      <vt:lpstr>'SUMMARY sirs comp'!Print_Area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</dc:creator>
  <cp:lastModifiedBy>Ryan Augustine</cp:lastModifiedBy>
  <cp:lastPrinted>2015-03-02T12:46:17Z</cp:lastPrinted>
  <dcterms:created xsi:type="dcterms:W3CDTF">2015-01-19T11:02:19Z</dcterms:created>
  <dcterms:modified xsi:type="dcterms:W3CDTF">2015-03-08T11:51:37Z</dcterms:modified>
</cp:coreProperties>
</file>