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9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Melee" sheetId="17" r:id="rId13"/>
    <sheet name="Misc" sheetId="19" r:id="rId14"/>
    <sheet name="Volumes" sheetId="15" r:id="rId15"/>
    <sheet name="Formulas" sheetId="20" r:id="rId16"/>
    <sheet name="Comments" sheetId="21" r:id="rId17"/>
  </sheets>
  <calcPr calcId="124519"/>
</workbook>
</file>

<file path=xl/calcChain.xml><?xml version="1.0" encoding="utf-8"?>
<calcChain xmlns="http://schemas.openxmlformats.org/spreadsheetml/2006/main"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48"/>
  <c r="B47"/>
  <c r="B46"/>
  <c r="B45"/>
  <c r="B44"/>
  <c r="B43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G27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O25"/>
  <c r="E25" s="1"/>
  <c r="D25" s="1"/>
  <c r="C25" s="1"/>
  <c r="O26"/>
  <c r="E26" s="1"/>
  <c r="O27"/>
  <c r="E27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W10" i="11"/>
  <c r="W9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W6" i="12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0" i="10" l="1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2" i="24"/>
  <c r="C22" s="1"/>
  <c r="D23"/>
  <c r="C23" s="1"/>
  <c r="D24"/>
  <c r="C24" s="1"/>
  <c r="D19"/>
  <c r="C19" s="1"/>
  <c r="D20"/>
  <c r="C20" s="1"/>
  <c r="D21"/>
  <c r="C21" s="1"/>
  <c r="D26"/>
  <c r="C26" s="1"/>
  <c r="D27"/>
  <c r="C27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8" i="12" l="1"/>
  <c r="C8" s="1"/>
  <c r="W8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4" i="12"/>
  <c r="C4" s="1"/>
  <c r="D13"/>
  <c r="C13" s="1"/>
  <c r="D8" i="7"/>
  <c r="C8" s="1"/>
  <c r="D7" i="12"/>
  <c r="C7" s="1"/>
  <c r="W7" s="1"/>
  <c r="D5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<sst xmlns="http://schemas.openxmlformats.org/spreadsheetml/2006/main" count="995" uniqueCount="355">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</sst>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</cellXfs>
  <cellStyles count="2">
    <cellStyle name="Normal" xfId="0" builtinId="0"/>
    <cellStyle name="Note" xfId="1" builtinId="10"/>
  </cellStyles>
  <dxfs count="393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strike/>
        <color theme="0"/>
      </font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ont>
        <strike/>
        <color theme="0"/>
      </font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39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391">
      <calculatedColumnFormula>SUM(Table1689[[#This Row],[DPS]]*Table1689[[#This Row],[Avg Accuracy]])</calculatedColumnFormula>
    </tableColumn>
    <tableColumn id="15" name="DPS" dataDxfId="39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8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3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35">
      <calculatedColumnFormula>SUM(Table1681011124[[#This Row],[DPS]]*Table1681011124[[#This Row],[Avg Accuracy]])</calculatedColumnFormula>
    </tableColumn>
    <tableColumn id="15" name="DPS" dataDxfId="3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7" totalsRowShown="0">
  <autoFilter ref="A3:AF27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331"/>
    <tableColumn id="22" name="Balance" dataDxfId="330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29">
      <calculatedColumnFormula>SUM(Table16810111245[[#This Row],[DPS]]*Table16810111245[[#This Row],[Avg Accuracy]])</calculatedColumnFormula>
    </tableColumn>
    <tableColumn id="15" name="DPS" dataDxfId="328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27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325"/>
    <tableColumn id="28" name="Ammo"/>
    <tableColumn id="31" name="Bursts"/>
    <tableColumn id="32" name="A.P.C."/>
    <tableColumn id="23" name="COG"/>
    <tableColumn id="25" name="Materials"/>
    <tableColumn id="27" name="Minify?" dataDxfId="324"/>
    <tableColumn id="30" name="Power" dataDxfId="323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21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320">
      <calculatedColumnFormula>SUM(Table16810111213[[#This Row],[DPS]]*Table16810111213[[#This Row],[Avg Accuracy]])</calculatedColumnFormula>
    </tableColumn>
    <tableColumn id="15" name="DPS" dataDxfId="31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318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315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314">
      <calculatedColumnFormula>SUM(Table168101112133[[#This Row],[Avg DAM]]*Table168101112133[[#This Row],[HPS]])</calculatedColumnFormula>
    </tableColumn>
    <tableColumn id="3" name="Avg DAM" dataDxfId="313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312"/>
    <tableColumn id="33" name="ExtraDamFactor" dataDxfId="311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10">
      <calculatedColumnFormula>Formulas!AP5</calculatedColumnFormula>
    </tableColumn>
    <tableColumn id="6" name="HPM" dataDxfId="309">
      <calculatedColumnFormula>SUM(60/Table168101112133[[#This Row],[Avg Cooldown]])</calculatedColumnFormula>
    </tableColumn>
    <tableColumn id="7" name="HPS" dataDxfId="308">
      <calculatedColumnFormula>SUM(Table168101112133[[#This Row],[HPM]]/60)</calculatedColumnFormula>
    </tableColumn>
    <tableColumn id="14" name="Weight" dataDxfId="307"/>
    <tableColumn id="21" name="Craftable"/>
    <tableColumn id="5" name="Value" dataDxfId="30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305"/>
    <tableColumn id="4" name="Damage" dataDxfId="304"/>
    <tableColumn id="5" name="AP" dataDxfId="303"/>
    <tableColumn id="6" name="Stopping Power" dataDxfId="302"/>
    <tableColumn id="15" name="ForcedMiss" dataDxfId="301"/>
    <tableColumn id="11" name="DetDelay" dataDxfId="300"/>
    <tableColumn id="10" name="Blast Range" dataDxfId="299"/>
    <tableColumn id="8" name="Warm-Up" dataDxfId="298"/>
    <tableColumn id="9" name="Cooldown" dataDxfId="297"/>
    <tableColumn id="20" name="Burst" dataDxfId="296"/>
    <tableColumn id="13" name="Bullet Speed" dataDxfId="295"/>
    <tableColumn id="14" name="Weight" dataDxfId="294"/>
    <tableColumn id="7" name="Single Use" dataDxfId="293"/>
    <tableColumn id="21" name="Craftable" dataDxfId="292"/>
    <tableColumn id="2" name="Accuracy" dataDxfId="29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385"/>
    <tableColumn id="22" name="Balance" dataDxfId="384">
      <calculatedColumnFormula>SUM(((Table168[[#This Row],[Avg DPS]]*(Table168[[#This Row],[Range]]))+(Table168[[#This Row],[Avg DPS]]*Table168[[#This Row],[Arm Pen (%)]]))/100)</calculatedColumnFormula>
    </tableColumn>
    <tableColumn id="20" name="Avg DPS" dataDxfId="383">
      <calculatedColumnFormula>SUM(Table168[[#This Row],[DPS]]*Table168[[#This Row],[Avg Accuracy]])</calculatedColumnFormula>
    </tableColumn>
    <tableColumn id="15" name="DPS" dataDxfId="382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81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7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276"/>
    <tableColumn id="22" name="Balance" dataDxfId="275">
      <calculatedColumnFormula>SUM(((Table1614[[#This Row],[AC/DPS]]*(Table1614[[#This Row],[Range]]))+(Table1614[[#This Row],[AC/DPS]]*Table1614[[#This Row],[Arm Pen (%)]]))/100)</calculatedColumnFormula>
    </tableColumn>
    <tableColumn id="20" name="AC/DPS" dataDxfId="274">
      <calculatedColumnFormula>SUM(Table1614[[#This Row],[DPS]]*Table1614[[#This Row],[Avg Accuracy]])</calculatedColumnFormula>
    </tableColumn>
    <tableColumn id="15" name="DPS" dataDxfId="273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272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70"/>
    <tableColumn id="23" name="Value" dataDxfId="26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376"/>
    <tableColumn id="22" name="Balance" dataDxfId="375">
      <calculatedColumnFormula>SUM(((Table16[[#This Row],[AC/DPS]]*(Table16[[#This Row],[Range]]))+(Table16[[#This Row],[AC/DPS]]*Table16[[#This Row],[Arm Pen (%)]]))/100)</calculatedColumnFormula>
    </tableColumn>
    <tableColumn id="20" name="AC/DPS" dataDxfId="374">
      <calculatedColumnFormula>SUM(Table16[[#This Row],[DPS]]*Table16[[#This Row],[Avg Accuracy]])</calculatedColumnFormula>
    </tableColumn>
    <tableColumn id="15" name="DPS" dataDxfId="373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72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7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70"/>
    <tableColumn id="23" name="Value" dataDxfId="36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368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367">
      <calculatedColumnFormula>SUM(Table16810[[#This Row],[DPS]]*Table16810[[#This Row],[Avg Accuracy]])</calculatedColumnFormula>
    </tableColumn>
    <tableColumn id="15" name="DPS" dataDxfId="366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365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364"/>
    <tableColumn id="5" name="Warm-up" dataDxfId="363"/>
    <tableColumn id="6" name="RPM"/>
    <tableColumn id="7" name="Burst Time" dataDxfId="3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361"/>
    <tableColumn id="21" name="Craftable" dataDxfId="360"/>
    <tableColumn id="23" name="Value"/>
    <tableColumn id="24" name="Special" dataDxfId="359"/>
    <tableColumn id="28" name="S. Damage" dataDxfId="358"/>
    <tableColumn id="25" name="S. Ammo" dataDxfId="357"/>
    <tableColumn id="26" name="S. Range" dataDxfId="356"/>
    <tableColumn id="29" name="S. Cost" dataDxfId="35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290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289">
      <calculatedColumnFormula>SUM(Table168107[[#This Row],[DPS]]*Table168107[[#This Row],[Avg Accuracy]])</calculatedColumnFormula>
    </tableColumn>
    <tableColumn id="15" name="DPS" dataDxfId="288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87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86"/>
    <tableColumn id="5" name="Warm-up" dataDxfId="285"/>
    <tableColumn id="6" name="RPM"/>
    <tableColumn id="7" name="Burst Time" dataDxfId="28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83"/>
    <tableColumn id="21" name="Craftable" dataDxfId="282"/>
    <tableColumn id="23" name="Value"/>
    <tableColumn id="24" name="Special" dataDxfId="281"/>
    <tableColumn id="28" name="S. Damage" dataDxfId="280"/>
    <tableColumn id="25" name="S. Ammo" dataDxfId="279"/>
    <tableColumn id="26" name="S. Range" dataDxfId="278"/>
    <tableColumn id="29" name="S. Cost" dataDxfId="27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354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53">
      <calculatedColumnFormula>SUM(Table1681011[[#This Row],[DPS]]*Table1681011[[#This Row],[Avg Accuracy]])</calculatedColumnFormula>
    </tableColumn>
    <tableColumn id="15" name="DPS" dataDxfId="35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4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4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346">
      <calculatedColumnFormula>SUM(Table1681015[[#This Row],[DPS]]*Table1681015[[#This Row],[Avg Accuracy]])</calculatedColumnFormula>
    </tableColumn>
    <tableColumn id="15" name="DPS" dataDxfId="34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4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3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41">
      <calculatedColumnFormula>SUM(Table168101112[[#This Row],[DPS]]*Table168101112[[#This Row],[Avg Accuracy]])</calculatedColumnFormula>
    </tableColumn>
    <tableColumn id="15" name="DPS" dataDxfId="3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J32" sqref="J3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53">
        <f>Table1689[[#This Row],[Balance]]*$W$2</f>
        <v>116.57320794</v>
      </c>
    </row>
    <row r="5" spans="1:23">
      <c r="A5" t="s">
        <v>114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53">
        <f>Table1689[[#This Row],[Balance]]*$W$2</f>
        <v>88.253385499999993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53">
        <f>Table1689[[#This Row],[Balance]]*$W$2</f>
        <v>135.97986599999996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53">
        <f>Table1689[[#This Row],[Balance]]*$W$2</f>
        <v>142.65025484810124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53">
        <f>Table1689[[#This Row],[Balance]]*$W$2</f>
        <v>137.30290569767439</v>
      </c>
    </row>
    <row r="9" spans="1:23">
      <c r="A9" s="72" t="s">
        <v>209</v>
      </c>
      <c r="B9" s="73">
        <v>3</v>
      </c>
      <c r="C9" s="74">
        <f>SUM(((Table1689[[#This Row],[Avg DPS]]*(Table1689[[#This Row],[Range]]))+(Table1689[[#This Row],[Avg DPS]]*Table1689[[#This Row],[Arm Pen (%)]]))/100)</f>
        <v>1.4132045454545457</v>
      </c>
      <c r="D9" s="75">
        <f>SUM(Table1689[[#This Row],[DPS]]*Table1689[[#This Row],[Avg Accuracy]])</f>
        <v>4.2954545454545459</v>
      </c>
      <c r="E9" s="74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61">
        <v>22.9</v>
      </c>
      <c r="G9" s="74">
        <f>SUM((Table1689[[#This Row],[Accuracy (Close)]]+Table1689[[#This Row],[Accuracy (Short)]]+Table1689[[#This Row],[Accuracy (Medium)]]+Table1689[[#This Row],[Accuracy (Long)]])/4)</f>
        <v>0.52500000000000002</v>
      </c>
      <c r="H9" s="61">
        <v>9</v>
      </c>
      <c r="I9" s="61">
        <v>0.5</v>
      </c>
      <c r="J9" s="61">
        <v>10</v>
      </c>
      <c r="K9" s="61">
        <v>1</v>
      </c>
      <c r="L9" s="61">
        <v>0.8</v>
      </c>
      <c r="M9" s="61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53">
        <f>Table1689[[#This Row],[Balance]]*W1</f>
        <v>0</v>
      </c>
    </row>
    <row r="10" spans="1:23">
      <c r="A10" s="61" t="s">
        <v>218</v>
      </c>
      <c r="B10" s="73">
        <v>3</v>
      </c>
      <c r="C10" s="74">
        <f>SUM(((Table1689[[#This Row],[Avg DPS]]*(Table1689[[#This Row],[Range]]))+(Table1689[[#This Row],[Avg DPS]]*Table1689[[#This Row],[Arm Pen (%)]]))/100)</f>
        <v>1.4431153846153846</v>
      </c>
      <c r="D10" s="75">
        <f>SUM(Table1689[[#This Row],[DPS]]*Table1689[[#This Row],[Avg Accuracy]])</f>
        <v>3.8076923076923075</v>
      </c>
      <c r="E10" s="74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61">
        <v>25.9</v>
      </c>
      <c r="G10" s="74">
        <f>SUM((Table1689[[#This Row],[Accuracy (Close)]]+Table1689[[#This Row],[Accuracy (Short)]]+Table1689[[#This Row],[Accuracy (Medium)]]+Table1689[[#This Row],[Accuracy (Long)]])/4)</f>
        <v>0.55000000000000004</v>
      </c>
      <c r="H10" s="61">
        <v>9</v>
      </c>
      <c r="I10" s="61">
        <v>0.5</v>
      </c>
      <c r="J10" s="61">
        <v>12</v>
      </c>
      <c r="K10" s="61">
        <v>1</v>
      </c>
      <c r="L10" s="61">
        <v>1</v>
      </c>
      <c r="M10" s="61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53">
        <f>Table1689[[#This Row],[Balance]]*W1</f>
        <v>0</v>
      </c>
    </row>
    <row r="11" spans="1:23">
      <c r="A11" s="76" t="s">
        <v>217</v>
      </c>
      <c r="B11" s="73">
        <v>3</v>
      </c>
      <c r="C11" s="74">
        <f>SUM(((Table1689[[#This Row],[Avg DPS]]*(Table1689[[#This Row],[Range]]))+(Table1689[[#This Row],[Avg DPS]]*Table1689[[#This Row],[Arm Pen (%)]]))/100)</f>
        <v>1.4213028169014086</v>
      </c>
      <c r="D11" s="75">
        <f>SUM(Table1689[[#This Row],[DPS]]*Table1689[[#This Row],[Avg Accuracy]])</f>
        <v>4.7535211267605639</v>
      </c>
      <c r="E11" s="74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61">
        <v>20.9</v>
      </c>
      <c r="G11" s="74">
        <f>SUM((Table1689[[#This Row],[Accuracy (Close)]]+Table1689[[#This Row],[Accuracy (Short)]]+Table1689[[#This Row],[Accuracy (Medium)]]+Table1689[[#This Row],[Accuracy (Long)]])/4)</f>
        <v>0.45</v>
      </c>
      <c r="H11" s="61">
        <v>5</v>
      </c>
      <c r="I11" s="61">
        <v>0.5</v>
      </c>
      <c r="J11" s="61">
        <v>9</v>
      </c>
      <c r="K11" s="61">
        <v>3</v>
      </c>
      <c r="L11" s="61">
        <v>0.72</v>
      </c>
      <c r="M11" s="61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53">
        <f>Table1689[[#This Row],[Balance]]*W1</f>
        <v>0</v>
      </c>
    </row>
    <row r="12" spans="1:23">
      <c r="A12" s="61" t="s">
        <v>219</v>
      </c>
      <c r="B12" s="73">
        <v>3</v>
      </c>
      <c r="C12" s="74">
        <f>SUM(((Table1689[[#This Row],[Avg DPS]]*(Table1689[[#This Row],[Range]]))+(Table1689[[#This Row],[Avg DPS]]*Table1689[[#This Row],[Arm Pen (%)]]))/100)</f>
        <v>1.5157500000000002</v>
      </c>
      <c r="D12" s="75">
        <f>SUM(Table1689[[#This Row],[DPS]]*Table1689[[#This Row],[Avg Accuracy]])</f>
        <v>4.6071428571428577</v>
      </c>
      <c r="E12" s="74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61">
        <v>22.9</v>
      </c>
      <c r="G12" s="74">
        <f>SUM((Table1689[[#This Row],[Accuracy (Close)]]+Table1689[[#This Row],[Accuracy (Short)]]+Table1689[[#This Row],[Accuracy (Medium)]]+Table1689[[#This Row],[Accuracy (Long)]])/4)</f>
        <v>0.53750000000000009</v>
      </c>
      <c r="H12" s="61">
        <v>9</v>
      </c>
      <c r="I12" s="61">
        <v>0.5</v>
      </c>
      <c r="J12" s="61">
        <v>10</v>
      </c>
      <c r="K12" s="61">
        <v>1</v>
      </c>
      <c r="L12" s="61">
        <v>0.78</v>
      </c>
      <c r="M12" s="61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53">
        <f>Table1689[[#This Row],[Balance]]*W1</f>
        <v>0</v>
      </c>
    </row>
    <row r="13" spans="1:23">
      <c r="A13" s="61" t="s">
        <v>220</v>
      </c>
      <c r="B13" s="73">
        <v>3</v>
      </c>
      <c r="C13" s="74">
        <f>SUM(((Table1689[[#This Row],[Avg DPS]]*(Table1689[[#This Row],[Range]]))+(Table1689[[#This Row],[Avg DPS]]*Table1689[[#This Row],[Arm Pen (%)]]))/100)</f>
        <v>1.532434090909091</v>
      </c>
      <c r="D13" s="75">
        <f>SUM(Table1689[[#This Row],[DPS]]*Table1689[[#This Row],[Avg Accuracy]])</f>
        <v>4.5204545454545455</v>
      </c>
      <c r="E13" s="74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61">
        <v>23.9</v>
      </c>
      <c r="G13" s="74">
        <f>SUM((Table1689[[#This Row],[Accuracy (Close)]]+Table1689[[#This Row],[Accuracy (Short)]]+Table1689[[#This Row],[Accuracy (Medium)]]+Table1689[[#This Row],[Accuracy (Long)]])/4)</f>
        <v>0.55249999999999999</v>
      </c>
      <c r="H13" s="61">
        <v>9</v>
      </c>
      <c r="I13" s="61">
        <v>0.5</v>
      </c>
      <c r="J13" s="61">
        <v>10</v>
      </c>
      <c r="K13" s="61">
        <v>1</v>
      </c>
      <c r="L13" s="61">
        <v>0.8</v>
      </c>
      <c r="M13" s="61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53">
        <f>Table1689[[#This Row],[Balance]]*W1</f>
        <v>0</v>
      </c>
    </row>
    <row r="14" spans="1:23" s="4" customFormat="1">
      <c r="A14" s="61" t="s">
        <v>221</v>
      </c>
      <c r="B14" s="73">
        <v>3</v>
      </c>
      <c r="C14" s="74">
        <f>SUM(((Table1689[[#This Row],[Avg DPS]]*(Table1689[[#This Row],[Range]]))+(Table1689[[#This Row],[Avg DPS]]*Table1689[[#This Row],[Arm Pen (%)]]))/100)</f>
        <v>1.7280576923076922</v>
      </c>
      <c r="D14" s="75">
        <f>SUM(Table1689[[#This Row],[DPS]]*Table1689[[#This Row],[Avg Accuracy]])</f>
        <v>4.4423076923076925</v>
      </c>
      <c r="E14" s="74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61">
        <v>23.9</v>
      </c>
      <c r="G14" s="74">
        <f>SUM((Table1689[[#This Row],[Accuracy (Close)]]+Table1689[[#This Row],[Accuracy (Short)]]+Table1689[[#This Row],[Accuracy (Medium)]]+Table1689[[#This Row],[Accuracy (Long)]])/4)</f>
        <v>0.52500000000000002</v>
      </c>
      <c r="H14" s="61">
        <v>11</v>
      </c>
      <c r="I14" s="61">
        <v>0.5</v>
      </c>
      <c r="J14" s="61">
        <v>15</v>
      </c>
      <c r="K14" s="61">
        <v>1</v>
      </c>
      <c r="L14" s="61">
        <v>1</v>
      </c>
      <c r="M14" s="61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53">
        <f>Table1689[[#This Row],[Balance]]*W1</f>
        <v>0</v>
      </c>
    </row>
    <row r="15" spans="1:23">
      <c r="A15" s="35" t="s">
        <v>222</v>
      </c>
      <c r="B15" s="73">
        <v>3</v>
      </c>
      <c r="C15" s="74">
        <f>SUM(((Table1689[[#This Row],[Avg DPS]]*(Table1689[[#This Row],[Range]]))+(Table1689[[#This Row],[Avg DPS]]*Table1689[[#This Row],[Arm Pen (%)]]))/100)</f>
        <v>1.4781000000000004</v>
      </c>
      <c r="D15" s="75">
        <f>SUM(Table1689[[#This Row],[DPS]]*Table1689[[#This Row],[Avg Accuracy]])</f>
        <v>3.9000000000000008</v>
      </c>
      <c r="E15" s="74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5">
        <v>25.9</v>
      </c>
      <c r="G15" s="74">
        <f>SUM((Table1689[[#This Row],[Accuracy (Close)]]+Table1689[[#This Row],[Accuracy (Short)]]+Table1689[[#This Row],[Accuracy (Medium)]]+Table1689[[#This Row],[Accuracy (Long)]])/4)</f>
        <v>0.58500000000000008</v>
      </c>
      <c r="H15" s="35">
        <v>10</v>
      </c>
      <c r="I15" s="61">
        <v>0.5</v>
      </c>
      <c r="J15" s="35">
        <v>12</v>
      </c>
      <c r="K15" s="35">
        <v>1</v>
      </c>
      <c r="L15" s="61">
        <v>1.1000000000000001</v>
      </c>
      <c r="M15" s="61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53">
        <f>Table1689[[#This Row],[Balance]]*W1</f>
        <v>0</v>
      </c>
    </row>
    <row r="16" spans="1:23">
      <c r="A16" s="61" t="s">
        <v>223</v>
      </c>
      <c r="B16" s="73">
        <v>3</v>
      </c>
      <c r="C16" s="74">
        <f>SUM(((Table1689[[#This Row],[Avg DPS]]*(Table1689[[#This Row],[Range]]))+(Table1689[[#This Row],[Avg DPS]]*Table1689[[#This Row],[Arm Pen (%)]]))/100)</f>
        <v>1.0459615384615384</v>
      </c>
      <c r="D16" s="75">
        <f>SUM(Table1689[[#This Row],[DPS]]*Table1689[[#This Row],[Avg Accuracy]])</f>
        <v>4.0384615384615383</v>
      </c>
      <c r="E16" s="74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61">
        <v>18.899999999999999</v>
      </c>
      <c r="G16" s="74">
        <f>SUM((Table1689[[#This Row],[Accuracy (Close)]]+Table1689[[#This Row],[Accuracy (Short)]]+Table1689[[#This Row],[Accuracy (Medium)]]+Table1689[[#This Row],[Accuracy (Long)]])/4)</f>
        <v>0.375</v>
      </c>
      <c r="H16" s="61">
        <v>7</v>
      </c>
      <c r="I16" s="61">
        <v>0.5</v>
      </c>
      <c r="J16" s="61">
        <v>7</v>
      </c>
      <c r="K16" s="61">
        <v>1</v>
      </c>
      <c r="L16" s="61">
        <v>0.5</v>
      </c>
      <c r="M16" s="61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53">
        <f>Table1689[[#This Row],[Balance]]*W1</f>
        <v>0</v>
      </c>
    </row>
    <row r="17" spans="1:23">
      <c r="A17" s="61" t="s">
        <v>224</v>
      </c>
      <c r="B17" s="73">
        <v>3</v>
      </c>
      <c r="C17" s="74">
        <f>SUM(((Table1689[[#This Row],[Avg DPS]]*(Table1689[[#This Row],[Range]]))+(Table1689[[#This Row],[Avg DPS]]*Table1689[[#This Row],[Arm Pen (%)]]))/100)</f>
        <v>1.0446780821917807</v>
      </c>
      <c r="D17" s="75">
        <f>SUM(Table1689[[#This Row],[DPS]]*Table1689[[#This Row],[Avg Accuracy]])</f>
        <v>3.8835616438356162</v>
      </c>
      <c r="E17" s="74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61">
        <v>19.899999999999999</v>
      </c>
      <c r="G17" s="74">
        <f>SUM((Table1689[[#This Row],[Accuracy (Close)]]+Table1689[[#This Row],[Accuracy (Short)]]+Table1689[[#This Row],[Accuracy (Medium)]]+Table1689[[#This Row],[Accuracy (Long)]])/4)</f>
        <v>0.40500000000000003</v>
      </c>
      <c r="H17" s="61">
        <v>7</v>
      </c>
      <c r="I17" s="61">
        <v>0.5</v>
      </c>
      <c r="J17" s="61">
        <v>7</v>
      </c>
      <c r="K17" s="61">
        <v>1</v>
      </c>
      <c r="L17" s="61">
        <v>0.56000000000000005</v>
      </c>
      <c r="M17" s="61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53">
        <f>Table1689[[#This Row],[Balance]]*W1</f>
        <v>0</v>
      </c>
    </row>
    <row r="18" spans="1:23">
      <c r="A18" s="61" t="s">
        <v>225</v>
      </c>
      <c r="B18" s="73">
        <v>3</v>
      </c>
      <c r="C18" s="74">
        <f>SUM(((Table1689[[#This Row],[Avg DPS]]*(Table1689[[#This Row],[Range]]))+(Table1689[[#This Row],[Avg DPS]]*Table1689[[#This Row],[Arm Pen (%)]]))/100)</f>
        <v>1.1406818181818181</v>
      </c>
      <c r="D18" s="75">
        <f>SUM(Table1689[[#This Row],[DPS]]*Table1689[[#This Row],[Avg Accuracy]])</f>
        <v>4.7727272727272734</v>
      </c>
      <c r="E18" s="74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61">
        <v>18.899999999999999</v>
      </c>
      <c r="G18" s="74">
        <f>SUM((Table1689[[#This Row],[Accuracy (Close)]]+Table1689[[#This Row],[Accuracy (Short)]]+Table1689[[#This Row],[Accuracy (Medium)]]+Table1689[[#This Row],[Accuracy (Long)]])/4)</f>
        <v>0.43750000000000006</v>
      </c>
      <c r="H18" s="61">
        <v>6</v>
      </c>
      <c r="I18" s="61">
        <v>0.5</v>
      </c>
      <c r="J18" s="61">
        <v>5</v>
      </c>
      <c r="K18" s="61">
        <v>1</v>
      </c>
      <c r="L18" s="61">
        <v>0.4</v>
      </c>
      <c r="M18" s="61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53">
        <f>Table1689[[#This Row],[Balance]]*W1</f>
        <v>0</v>
      </c>
    </row>
    <row r="19" spans="1:23">
      <c r="A19" s="61" t="s">
        <v>227</v>
      </c>
      <c r="B19" s="73">
        <v>3</v>
      </c>
      <c r="C19" s="74">
        <f>SUM(((Table1689[[#This Row],[Avg DPS]]*(Table1689[[#This Row],[Range]]))+(Table1689[[#This Row],[Avg DPS]]*Table1689[[#This Row],[Arm Pen (%)]]))/100)</f>
        <v>1.4411946902654862</v>
      </c>
      <c r="D19" s="75">
        <f>SUM(Table1689[[#This Row],[DPS]]*Table1689[[#This Row],[Avg Accuracy]])</f>
        <v>4.380530973451326</v>
      </c>
      <c r="E19" s="74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61">
        <v>22.9</v>
      </c>
      <c r="G19" s="74">
        <f>SUM((Table1689[[#This Row],[Accuracy (Close)]]+Table1689[[#This Row],[Accuracy (Short)]]+Table1689[[#This Row],[Accuracy (Medium)]]+Table1689[[#This Row],[Accuracy (Long)]])/4)</f>
        <v>0.54999999999999993</v>
      </c>
      <c r="H19" s="61">
        <v>9</v>
      </c>
      <c r="I19" s="61">
        <v>0.5</v>
      </c>
      <c r="J19" s="61">
        <v>10</v>
      </c>
      <c r="K19" s="61">
        <v>1</v>
      </c>
      <c r="L19" s="61">
        <v>0.9</v>
      </c>
      <c r="M19" s="61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53">
        <f>Table1689[[#This Row],[Balance]]*W1</f>
        <v>0</v>
      </c>
    </row>
    <row r="20" spans="1:23">
      <c r="A20" s="61" t="s">
        <v>226</v>
      </c>
      <c r="B20" s="73">
        <v>3</v>
      </c>
      <c r="C20" s="74">
        <f>SUM(((Table1689[[#This Row],[Avg DPS]]*(Table1689[[#This Row],[Range]]))+(Table1689[[#This Row],[Avg DPS]]*Table1689[[#This Row],[Arm Pen (%)]]))/100)</f>
        <v>1.4547521739130433</v>
      </c>
      <c r="D20" s="75">
        <f>SUM(Table1689[[#This Row],[DPS]]*Table1689[[#This Row],[Avg Accuracy]])</f>
        <v>4.4217391304347826</v>
      </c>
      <c r="E20" s="74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61">
        <v>22.9</v>
      </c>
      <c r="G20" s="74">
        <f>SUM((Table1689[[#This Row],[Accuracy (Close)]]+Table1689[[#This Row],[Accuracy (Short)]]+Table1689[[#This Row],[Accuracy (Medium)]]+Table1689[[#This Row],[Accuracy (Long)]])/4)</f>
        <v>0.56499999999999995</v>
      </c>
      <c r="H20" s="61">
        <v>9</v>
      </c>
      <c r="I20" s="61">
        <v>0.5</v>
      </c>
      <c r="J20" s="61">
        <v>10</v>
      </c>
      <c r="K20" s="61">
        <v>1</v>
      </c>
      <c r="L20" s="61">
        <v>0.85</v>
      </c>
      <c r="M20" s="61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53">
        <f>Table1689[[#This Row],[Balance]]*W1</f>
        <v>0</v>
      </c>
    </row>
    <row r="21" spans="1:23">
      <c r="A21" s="61" t="s">
        <v>238</v>
      </c>
      <c r="B21" s="61">
        <v>3</v>
      </c>
      <c r="C21" s="74">
        <f>SUM(((Table1689[[#This Row],[Avg DPS]]*(Table1689[[#This Row],[Range]]))+(Table1689[[#This Row],[Avg DPS]]*Table1689[[#This Row],[Arm Pen (%)]]))/100)</f>
        <v>2.0639552238805972</v>
      </c>
      <c r="D21" s="75">
        <f>SUM(Table1689[[#This Row],[DPS]]*Table1689[[#This Row],[Avg Accuracy]])</f>
        <v>4.7014925373134329</v>
      </c>
      <c r="E21" s="74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61">
        <v>25.9</v>
      </c>
      <c r="G21" s="74">
        <f>SUM((Table1689[[#This Row],[Accuracy (Close)]]+Table1689[[#This Row],[Accuracy (Short)]]+Table1689[[#This Row],[Accuracy (Medium)]]+Table1689[[#This Row],[Accuracy (Long)]])/4)</f>
        <v>0.52500000000000002</v>
      </c>
      <c r="H21" s="61">
        <v>12</v>
      </c>
      <c r="I21" s="61">
        <v>0.5</v>
      </c>
      <c r="J21" s="61">
        <v>18</v>
      </c>
      <c r="K21" s="61">
        <v>1</v>
      </c>
      <c r="L21" s="61">
        <v>1.04</v>
      </c>
      <c r="M21" s="61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53">
        <f>Table1689[[#This Row],[Balance]]*$W$2</f>
        <v>165.83054641791045</v>
      </c>
    </row>
    <row r="22" spans="1:23">
      <c r="A22" t="s">
        <v>285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53">
        <f>Table1689[[#This Row],[Balance]]*$W$2</f>
        <v>100.02458953846156</v>
      </c>
    </row>
    <row r="23" spans="1:23">
      <c r="A23" t="s">
        <v>281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53">
        <f>Table1689[[#This Row],[Balance]]*$W$2</f>
        <v>114.82215957692304</v>
      </c>
    </row>
    <row r="24" spans="1:23">
      <c r="A24" s="1" t="s">
        <v>287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53">
        <f>Table1689[[#This Row],[Balance]]*$W$2</f>
        <v>121.43633622047241</v>
      </c>
    </row>
    <row r="25" spans="1:23">
      <c r="A25" s="7" t="s">
        <v>286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53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>60/N28</f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>60/N29</f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>60/N30</f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>60/N31</f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>60/N32</f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>60/N33</f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>60/N34</f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>60/N35</f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>60/N36</f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>60/N37</f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>60/N38</f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>60/N39</f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>60/N40</f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>60/N41</f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>60/N42</f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>60/N43</f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>60/N44</f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>60/N45</f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>60/N46</f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>60/N47</f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>60/N48</f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>60/N49</f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>60/N50</f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>60/N51</f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247" priority="17" operator="greaterThan">
      <formula>1.731</formula>
    </cfRule>
  </conditionalFormatting>
  <conditionalFormatting sqref="O1:O1048576">
    <cfRule type="cellIs" dxfId="246" priority="16" operator="equal">
      <formula>0</formula>
    </cfRule>
  </conditionalFormatting>
  <conditionalFormatting sqref="G4:G500">
    <cfRule type="cellIs" dxfId="245" priority="12" operator="greaterThanOrEqual">
      <formula>0.57</formula>
    </cfRule>
    <cfRule type="cellIs" dxfId="244" priority="11" stopIfTrue="1" operator="greaterThanOrEqual">
      <formula>0.6</formula>
    </cfRule>
    <cfRule type="cellIs" dxfId="243" priority="10" stopIfTrue="1" operator="greaterThanOrEqual">
      <formula>0.63</formula>
    </cfRule>
    <cfRule type="cellIs" dxfId="242" priority="4" stopIfTrue="1" operator="between">
      <formula>0.47</formula>
      <formula>0.01</formula>
    </cfRule>
    <cfRule type="cellIs" dxfId="241" priority="5" stopIfTrue="1" operator="between">
      <formula>0.5</formula>
      <formula>0.01</formula>
    </cfRule>
    <cfRule type="cellIs" dxfId="240" priority="6" operator="between">
      <formula>0.52</formula>
      <formula>0.01</formula>
    </cfRule>
  </conditionalFormatting>
  <conditionalFormatting sqref="F4:F500">
    <cfRule type="cellIs" dxfId="239" priority="9" operator="between">
      <formula>24.5</formula>
      <formula>0.01</formula>
    </cfRule>
  </conditionalFormatting>
  <conditionalFormatting sqref="F3:F500">
    <cfRule type="cellIs" dxfId="238" priority="8" stopIfTrue="1" operator="between">
      <formula>23.5</formula>
      <formula>0.01</formula>
    </cfRule>
    <cfRule type="cellIs" dxfId="237" priority="7" stopIfTrue="1" operator="between">
      <formula>22.5</formula>
      <formula>0.01</formula>
    </cfRule>
  </conditionalFormatting>
  <conditionalFormatting sqref="E4:E500">
    <cfRule type="cellIs" dxfId="231" priority="1" stopIfTrue="1" operator="between">
      <formula>6.69</formula>
      <formula>0.01</formula>
    </cfRule>
    <cfRule type="cellIs" dxfId="232" priority="2" stopIfTrue="1" operator="between">
      <formula>6.99</formula>
      <formula>0.01</formula>
    </cfRule>
    <cfRule type="cellIs" dxfId="233" priority="3" operator="between">
      <formula>7.32</formula>
      <formula>0.01</formula>
    </cfRule>
    <cfRule type="cellIs" dxfId="234" priority="13" stopIfTrue="1" operator="greaterThanOrEqual">
      <formula>8.84</formula>
    </cfRule>
    <cfRule type="cellIs" dxfId="235" priority="14" stopIfTrue="1" operator="greaterThanOrEqual">
      <formula>8.46</formula>
    </cfRule>
    <cfRule type="cellIs" dxfId="236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>
      <selection activeCell="G18" sqref="G18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O1" t="s">
        <v>265</v>
      </c>
      <c r="S1" t="s">
        <v>255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293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267</v>
      </c>
      <c r="Y4" s="56" t="s">
        <v>266</v>
      </c>
      <c r="Z4" t="s">
        <v>252</v>
      </c>
    </row>
    <row r="5" spans="1:26">
      <c r="A5" s="4" t="s">
        <v>294</v>
      </c>
      <c r="B5" s="12" t="s">
        <v>254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252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3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7"/>
  <sheetViews>
    <sheetView topLeftCell="M1" workbookViewId="0">
      <selection activeCell="Z18" sqref="Z18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40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S1" t="s">
        <v>255</v>
      </c>
      <c r="W1" s="40"/>
      <c r="Y1" s="40"/>
      <c r="Z1" s="40"/>
      <c r="AA1" s="40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Y2" s="40"/>
      <c r="Z2" s="40"/>
      <c r="AA2" s="40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313</v>
      </c>
      <c r="U3" t="s">
        <v>72</v>
      </c>
      <c r="V3" t="s">
        <v>73</v>
      </c>
      <c r="W3" t="s">
        <v>317</v>
      </c>
      <c r="X3" s="40" t="s">
        <v>323</v>
      </c>
      <c r="Y3" t="s">
        <v>326</v>
      </c>
      <c r="Z3" t="s">
        <v>318</v>
      </c>
      <c r="AA3" t="s">
        <v>327</v>
      </c>
      <c r="AB3" t="s">
        <v>307</v>
      </c>
      <c r="AC3" t="s">
        <v>243</v>
      </c>
      <c r="AD3" t="s">
        <v>311</v>
      </c>
      <c r="AE3" t="s">
        <v>314</v>
      </c>
      <c r="AF3" t="s">
        <v>250</v>
      </c>
    </row>
    <row r="4" spans="1:32">
      <c r="A4" t="s">
        <v>334</v>
      </c>
      <c r="B4" s="40" t="s">
        <v>305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40" t="s">
        <v>324</v>
      </c>
      <c r="Y4">
        <v>60</v>
      </c>
      <c r="Z4">
        <v>20</v>
      </c>
      <c r="AA4" s="2">
        <f>Table16810111245[[#This Row],[Ammo]]/Table16810111245[[#This Row],[Rearm Cost]]</f>
        <v>0.6</v>
      </c>
      <c r="AC4" s="56" t="s">
        <v>349</v>
      </c>
      <c r="AD4" s="56" t="s">
        <v>87</v>
      </c>
      <c r="AE4" s="56">
        <v>0</v>
      </c>
      <c r="AF4" t="s">
        <v>308</v>
      </c>
    </row>
    <row r="5" spans="1:32">
      <c r="A5" t="s">
        <v>335</v>
      </c>
      <c r="B5" s="40" t="s">
        <v>305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40" t="s">
        <v>325</v>
      </c>
      <c r="Y5">
        <v>10</v>
      </c>
      <c r="Z5">
        <v>10</v>
      </c>
      <c r="AA5" s="2">
        <f>Table16810111245[[#This Row],[Ammo]]/Table16810111245[[#This Row],[Rearm Cost]]</f>
        <v>0.25</v>
      </c>
      <c r="AC5" s="56" t="s">
        <v>350</v>
      </c>
      <c r="AD5" s="56" t="s">
        <v>87</v>
      </c>
      <c r="AE5" s="56">
        <v>0</v>
      </c>
      <c r="AF5" t="s">
        <v>308</v>
      </c>
    </row>
    <row r="6" spans="1:32">
      <c r="A6" s="14" t="s">
        <v>332</v>
      </c>
      <c r="B6" s="12" t="s">
        <v>305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40" t="s">
        <v>324</v>
      </c>
      <c r="Y6">
        <v>200</v>
      </c>
      <c r="Z6">
        <v>20</v>
      </c>
      <c r="AA6" s="2">
        <f>Table16810111245[[#This Row],[Ammo]]/Table16810111245[[#This Row],[Rearm Cost]]</f>
        <v>4</v>
      </c>
      <c r="AC6" s="56" t="s">
        <v>344</v>
      </c>
      <c r="AD6" s="56" t="s">
        <v>86</v>
      </c>
      <c r="AE6" s="56">
        <v>0</v>
      </c>
      <c r="AF6" t="s">
        <v>308</v>
      </c>
    </row>
    <row r="7" spans="1:32">
      <c r="A7" s="14" t="s">
        <v>333</v>
      </c>
      <c r="B7" s="12" t="s">
        <v>305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40" t="s">
        <v>324</v>
      </c>
      <c r="Y7">
        <v>400</v>
      </c>
      <c r="Z7">
        <v>20</v>
      </c>
      <c r="AA7" s="2">
        <f>Table16810111245[[#This Row],[Ammo]]/Table16810111245[[#This Row],[Rearm Cost]]</f>
        <v>8</v>
      </c>
      <c r="AC7" s="56" t="s">
        <v>342</v>
      </c>
      <c r="AD7" s="56" t="s">
        <v>86</v>
      </c>
      <c r="AE7" s="56">
        <v>0</v>
      </c>
      <c r="AF7" t="s">
        <v>308</v>
      </c>
    </row>
    <row r="8" spans="1:32">
      <c r="A8" s="4" t="s">
        <v>319</v>
      </c>
      <c r="B8" s="12" t="s">
        <v>305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40" t="s">
        <v>324</v>
      </c>
      <c r="Y8">
        <v>700</v>
      </c>
      <c r="Z8">
        <v>20</v>
      </c>
      <c r="AA8" s="2">
        <f>Table16810111245[[#This Row],[Ammo]]/Table16810111245[[#This Row],[Rearm Cost]]</f>
        <v>14</v>
      </c>
      <c r="AB8" s="53"/>
      <c r="AC8" s="56" t="s">
        <v>343</v>
      </c>
      <c r="AD8" s="56" t="s">
        <v>86</v>
      </c>
      <c r="AE8" s="56">
        <v>0</v>
      </c>
      <c r="AF8" t="s">
        <v>308</v>
      </c>
    </row>
    <row r="9" spans="1:32">
      <c r="A9" t="s">
        <v>321</v>
      </c>
      <c r="B9" s="40" t="s">
        <v>305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40" t="s">
        <v>324</v>
      </c>
      <c r="Y9">
        <v>60</v>
      </c>
      <c r="Z9">
        <v>20</v>
      </c>
      <c r="AA9" s="2">
        <f>Table16810111245[[#This Row],[Ammo]]/Table16810111245[[#This Row],[Rearm Cost]]</f>
        <v>0.6</v>
      </c>
      <c r="AC9" s="56" t="s">
        <v>348</v>
      </c>
      <c r="AD9" s="56" t="s">
        <v>87</v>
      </c>
      <c r="AE9" s="56">
        <v>-150</v>
      </c>
      <c r="AF9" t="s">
        <v>309</v>
      </c>
    </row>
    <row r="10" spans="1:32" s="67" customFormat="1">
      <c r="A10" s="7" t="s">
        <v>320</v>
      </c>
      <c r="B10" s="40" t="s">
        <v>305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7" t="s">
        <v>324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6" t="s">
        <v>322</v>
      </c>
      <c r="AD10" s="71" t="s">
        <v>87</v>
      </c>
      <c r="AE10" s="71">
        <v>-200</v>
      </c>
      <c r="AF10" t="s">
        <v>309</v>
      </c>
    </row>
    <row r="11" spans="1:32">
      <c r="A11" s="1" t="s">
        <v>336</v>
      </c>
      <c r="B11" s="40" t="s">
        <v>305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40" t="s">
        <v>324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6" t="s">
        <v>346</v>
      </c>
      <c r="AD11" s="56" t="s">
        <v>87</v>
      </c>
      <c r="AE11" s="56">
        <v>-100</v>
      </c>
      <c r="AF11" t="s">
        <v>309</v>
      </c>
    </row>
    <row r="12" spans="1:32">
      <c r="A12" s="14" t="s">
        <v>337</v>
      </c>
      <c r="B12" s="12" t="s">
        <v>305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40" t="s">
        <v>324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6" t="s">
        <v>345</v>
      </c>
      <c r="AD12" s="56" t="s">
        <v>87</v>
      </c>
      <c r="AE12" s="56">
        <v>-100</v>
      </c>
      <c r="AF12" t="s">
        <v>309</v>
      </c>
    </row>
    <row r="13" spans="1:32">
      <c r="A13" s="67" t="s">
        <v>310</v>
      </c>
      <c r="B13" s="68" t="s">
        <v>35</v>
      </c>
      <c r="C13" s="69">
        <f>SUM(((Table16810111245[[#This Row],[Avg DPS]]*(Table16810111245[[#This Row],[Range]]))+(Table16810111245[[#This Row],[Avg DPS]]*Table16810111245[[#This Row],[Arm Pen (%)]]))/100)</f>
        <v>7.8369750262085036</v>
      </c>
      <c r="D13" s="69">
        <f>SUM(Table16810111245[[#This Row],[DPS]]*Table16810111245[[#This Row],[Avg Accuracy]])</f>
        <v>10.750308677926618</v>
      </c>
      <c r="E13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7">
        <v>32.9</v>
      </c>
      <c r="G13" s="69">
        <f>SUM((Table16810111245[[#This Row],[Accuracy (Close)]]+Table16810111245[[#This Row],[Accuracy (Short)]]+Table16810111245[[#This Row],[Accuracy (Medium)]]+Table16810111245[[#This Row],[Accuracy (Long)]])/4)</f>
        <v>0.54</v>
      </c>
      <c r="H13" s="67">
        <v>27</v>
      </c>
      <c r="I13" s="67">
        <v>0.5</v>
      </c>
      <c r="J13" s="67">
        <v>40</v>
      </c>
      <c r="K13" s="67">
        <v>3</v>
      </c>
      <c r="L13" s="67">
        <v>3.5</v>
      </c>
      <c r="M13" s="67">
        <v>0</v>
      </c>
      <c r="N13" s="67">
        <v>211</v>
      </c>
      <c r="O13" s="69">
        <f>60/N13</f>
        <v>0.28436018957345971</v>
      </c>
      <c r="P13" s="67">
        <v>0.28000000000000003</v>
      </c>
      <c r="Q13" s="67">
        <v>0.72</v>
      </c>
      <c r="R13" s="67">
        <v>0.66</v>
      </c>
      <c r="S13" s="67">
        <v>0.5</v>
      </c>
      <c r="T13" s="67">
        <v>8.9</v>
      </c>
      <c r="U13" s="67">
        <v>88</v>
      </c>
      <c r="V13" s="67">
        <v>100</v>
      </c>
      <c r="W13" s="67">
        <v>180</v>
      </c>
      <c r="X13" s="68" t="s">
        <v>324</v>
      </c>
      <c r="Y13" s="67">
        <v>90</v>
      </c>
      <c r="Z13" s="67">
        <v>30</v>
      </c>
      <c r="AA13" s="69">
        <f>Table16810111245[[#This Row],[Ammo]]/Table16810111245[[#This Row],[Rearm Cost]]</f>
        <v>0.5</v>
      </c>
      <c r="AB13" s="67">
        <v>1217</v>
      </c>
      <c r="AC13" s="70" t="s">
        <v>312</v>
      </c>
      <c r="AD13" s="70" t="s">
        <v>87</v>
      </c>
      <c r="AE13" s="70">
        <v>-150</v>
      </c>
      <c r="AF13" s="67" t="s">
        <v>309</v>
      </c>
    </row>
    <row r="14" spans="1:32">
      <c r="A14" s="67" t="s">
        <v>306</v>
      </c>
      <c r="B14" s="68" t="s">
        <v>35</v>
      </c>
      <c r="C14" s="69">
        <f>SUM(((Table16810111245[[#This Row],[Avg DPS]]*(Table16810111245[[#This Row],[Range]]))+(Table16810111245[[#This Row],[Avg DPS]]*Table16810111245[[#This Row],[Arm Pen (%)]]))/100)</f>
        <v>1.2320756756756757</v>
      </c>
      <c r="D14" s="69">
        <f>SUM(Table16810111245[[#This Row],[DPS]]*Table16810111245[[#This Row],[Avg Accuracy]])</f>
        <v>2.6270270270270273</v>
      </c>
      <c r="E14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7">
        <v>28.9</v>
      </c>
      <c r="G14" s="69">
        <f>SUM((Table16810111245[[#This Row],[Accuracy (Close)]]+Table16810111245[[#This Row],[Accuracy (Short)]]+Table16810111245[[#This Row],[Accuracy (Medium)]]+Table16810111245[[#This Row],[Accuracy (Long)]])/4)</f>
        <v>0.54</v>
      </c>
      <c r="H14" s="67">
        <v>12</v>
      </c>
      <c r="I14" s="67">
        <v>0.5</v>
      </c>
      <c r="J14" s="67">
        <v>18</v>
      </c>
      <c r="K14" s="67">
        <v>2</v>
      </c>
      <c r="L14" s="67">
        <v>4.8</v>
      </c>
      <c r="M14" s="67">
        <v>0</v>
      </c>
      <c r="N14" s="67">
        <v>450</v>
      </c>
      <c r="O14" s="69">
        <f>60/N14</f>
        <v>0.13333333333333333</v>
      </c>
      <c r="P14" s="67">
        <v>0.77</v>
      </c>
      <c r="Q14" s="67">
        <v>0.7</v>
      </c>
      <c r="R14" s="67">
        <v>0.45</v>
      </c>
      <c r="S14" s="67">
        <v>0.24</v>
      </c>
      <c r="T14" s="67">
        <v>0</v>
      </c>
      <c r="U14" s="67">
        <v>70</v>
      </c>
      <c r="V14" s="67">
        <v>13</v>
      </c>
      <c r="W14" s="67">
        <v>80</v>
      </c>
      <c r="X14" s="68" t="s">
        <v>324</v>
      </c>
      <c r="Y14" s="67">
        <v>60</v>
      </c>
      <c r="Z14" s="67">
        <v>30</v>
      </c>
      <c r="AA14" s="69">
        <f>Table16810111245[[#This Row],[Ammo]]/Table16810111245[[#This Row],[Rearm Cost]]</f>
        <v>0.75</v>
      </c>
      <c r="AB14" s="67">
        <v>197</v>
      </c>
      <c r="AC14" s="70" t="s">
        <v>328</v>
      </c>
      <c r="AD14" s="70" t="s">
        <v>86</v>
      </c>
      <c r="AE14" s="70">
        <v>-80</v>
      </c>
      <c r="AF14" s="67" t="s">
        <v>309</v>
      </c>
    </row>
    <row r="15" spans="1:32">
      <c r="A15" s="67" t="s">
        <v>315</v>
      </c>
      <c r="B15" s="68" t="s">
        <v>35</v>
      </c>
      <c r="C15" s="69">
        <f>SUM(((Table16810111245[[#This Row],[Avg DPS]]*(Table16810111245[[#This Row],[Range]]))+(Table16810111245[[#This Row],[Avg DPS]]*Table16810111245[[#This Row],[Arm Pen (%)]]))/100)</f>
        <v>10.6616640625</v>
      </c>
      <c r="D15" s="69">
        <f>SUM(Table16810111245[[#This Row],[DPS]]*Table16810111245[[#This Row],[Avg Accuracy]])</f>
        <v>8.3359375</v>
      </c>
      <c r="E15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7">
        <v>45.9</v>
      </c>
      <c r="G15" s="69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7">
        <v>55</v>
      </c>
      <c r="I15" s="67">
        <v>0.5</v>
      </c>
      <c r="J15" s="67">
        <v>82</v>
      </c>
      <c r="K15" s="67">
        <v>1</v>
      </c>
      <c r="L15" s="67">
        <v>3.2</v>
      </c>
      <c r="M15" s="67">
        <v>0</v>
      </c>
      <c r="N15" s="67">
        <v>0</v>
      </c>
      <c r="O15" s="69">
        <v>3.2</v>
      </c>
      <c r="P15" s="67">
        <v>0.22</v>
      </c>
      <c r="Q15" s="67">
        <v>0.33</v>
      </c>
      <c r="R15" s="67">
        <v>0.44</v>
      </c>
      <c r="S15" s="67">
        <v>0.95</v>
      </c>
      <c r="T15" s="67">
        <v>11.9</v>
      </c>
      <c r="U15" s="67">
        <v>120</v>
      </c>
      <c r="V15" s="67">
        <v>40</v>
      </c>
      <c r="W15" s="67">
        <v>60</v>
      </c>
      <c r="X15" s="68" t="s">
        <v>351</v>
      </c>
      <c r="Y15" s="67">
        <v>30</v>
      </c>
      <c r="Z15" s="67">
        <v>30</v>
      </c>
      <c r="AA15" s="69">
        <f>Table16810111245[[#This Row],[Ammo]]/Table16810111245[[#This Row],[Rearm Cost]]</f>
        <v>0.5</v>
      </c>
      <c r="AB15" s="67">
        <v>1602</v>
      </c>
      <c r="AC15" s="70" t="s">
        <v>316</v>
      </c>
      <c r="AD15" s="70" t="s">
        <v>87</v>
      </c>
      <c r="AE15" s="70">
        <v>-150</v>
      </c>
      <c r="AF15" s="67" t="s">
        <v>309</v>
      </c>
    </row>
    <row r="16" spans="1:32" s="4" customFormat="1">
      <c r="A16" t="s">
        <v>329</v>
      </c>
      <c r="B16" s="40" t="s">
        <v>305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40" t="s">
        <v>324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6" t="s">
        <v>331</v>
      </c>
      <c r="AD16" s="56" t="s">
        <v>86</v>
      </c>
      <c r="AE16" s="56">
        <v>0</v>
      </c>
      <c r="AF16" t="s">
        <v>308</v>
      </c>
    </row>
    <row r="17" spans="1:32">
      <c r="A17" s="7" t="s">
        <v>341</v>
      </c>
      <c r="B17" s="40" t="s">
        <v>305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7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40" t="s">
        <v>324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6" t="s">
        <v>330</v>
      </c>
      <c r="AD17" s="56" t="s">
        <v>86</v>
      </c>
      <c r="AE17" s="56">
        <v>0</v>
      </c>
      <c r="AF17" t="s">
        <v>308</v>
      </c>
    </row>
    <row r="18" spans="1:32">
      <c r="A18" t="s">
        <v>338</v>
      </c>
      <c r="B18" s="40" t="s">
        <v>305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40" t="s">
        <v>324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6" t="s">
        <v>347</v>
      </c>
      <c r="AD18" s="56" t="s">
        <v>87</v>
      </c>
      <c r="AE18" s="56">
        <v>-200</v>
      </c>
      <c r="AF18" t="s">
        <v>309</v>
      </c>
    </row>
    <row r="19" spans="1:32">
      <c r="A19" t="s">
        <v>339</v>
      </c>
      <c r="B19" s="40" t="s">
        <v>305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40" t="s">
        <v>103</v>
      </c>
      <c r="X19" s="40" t="s">
        <v>103</v>
      </c>
      <c r="Y19" s="40" t="s">
        <v>103</v>
      </c>
      <c r="Z19" s="40" t="s">
        <v>103</v>
      </c>
      <c r="AA19" s="40" t="s">
        <v>103</v>
      </c>
      <c r="AC19" s="56" t="s">
        <v>340</v>
      </c>
      <c r="AD19" s="56" t="s">
        <v>86</v>
      </c>
      <c r="AE19" s="56">
        <v>-200</v>
      </c>
      <c r="AF19" t="s">
        <v>309</v>
      </c>
    </row>
    <row r="20" spans="1:32">
      <c r="B20" s="40"/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AD20" s="56"/>
      <c r="AE20" s="56"/>
    </row>
    <row r="21" spans="1:32">
      <c r="B21" s="40"/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AD21" s="56"/>
      <c r="AE21" s="56"/>
    </row>
    <row r="22" spans="1:32">
      <c r="B22" s="40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D22" s="56"/>
      <c r="AE22" s="56"/>
    </row>
    <row r="23" spans="1:32">
      <c r="B23" s="40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6"/>
      <c r="AE23" s="56"/>
    </row>
    <row r="24" spans="1:32">
      <c r="B24" s="40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6"/>
      <c r="AE24" s="56"/>
    </row>
    <row r="25" spans="1:32">
      <c r="B25" s="40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6"/>
      <c r="AE25" s="56"/>
    </row>
    <row r="26" spans="1:32">
      <c r="B26" s="40"/>
      <c r="C26" s="2" t="e">
        <f>SUM(((Table16810111245[[#This Row],[Avg DPS]]*(Table16810111245[[#This Row],[Range]]))+(Table16810111245[[#This Row],[Avg DPS]]*Table16810111245[[#This Row],[Arm Pen (%)]]))/100)</f>
        <v>#DIV/0!</v>
      </c>
      <c r="D26" s="3" t="e">
        <f>SUM(Table16810111245[[#This Row],[DPS]]*Table16810111245[[#This Row],[Avg Accuracy]])</f>
        <v>#DIV/0!</v>
      </c>
      <c r="E2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6" s="2">
        <f>SUM((Table16810111245[[#This Row],[Accuracy (Close)]]+Table16810111245[[#This Row],[Accuracy (Short)]]+Table16810111245[[#This Row],[Accuracy (Medium)]]+Table16810111245[[#This Row],[Accuracy (Long)]])/4)</f>
        <v>0</v>
      </c>
      <c r="O26" s="2" t="e">
        <f t="shared" si="0"/>
        <v>#DIV/0!</v>
      </c>
      <c r="AD26" s="56"/>
      <c r="AE26" s="56"/>
    </row>
    <row r="27" spans="1:32">
      <c r="A27" s="7"/>
      <c r="B27" s="47"/>
      <c r="C27" s="8" t="e">
        <f>SUM(((Table16810111245[[#This Row],[Avg DPS]]*(Table16810111245[[#This Row],[Range]]))+(Table16810111245[[#This Row],[Avg DPS]]*Table16810111245[[#This Row],[Arm Pen (%)]]))/100)</f>
        <v>#DIV/0!</v>
      </c>
      <c r="D27" s="9" t="e">
        <f>SUM(Table16810111245[[#This Row],[DPS]]*Table16810111245[[#This Row],[Avg Accuracy]])</f>
        <v>#DIV/0!</v>
      </c>
      <c r="E27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 s="7"/>
      <c r="G27" s="8">
        <f>SUM((Table16810111245[[#This Row],[Accuracy (Close)]]+Table16810111245[[#This Row],[Accuracy (Short)]]+Table16810111245[[#This Row],[Accuracy (Medium)]]+Table16810111245[[#This Row],[Accuracy (Long)]])/4)</f>
        <v>0</v>
      </c>
      <c r="H27" s="7"/>
      <c r="I27" s="7"/>
      <c r="J27" s="7"/>
      <c r="K27" s="7"/>
      <c r="L27" s="7"/>
      <c r="M27" s="7"/>
      <c r="N27" s="7"/>
      <c r="O27" s="8" t="e">
        <f t="shared" si="0"/>
        <v>#DIV/0!</v>
      </c>
      <c r="P27" s="7"/>
      <c r="Q27" s="7"/>
      <c r="R27" s="7"/>
      <c r="S27" s="7"/>
      <c r="T27" s="7"/>
      <c r="U27" s="7"/>
      <c r="V27" s="7"/>
      <c r="W27" s="7"/>
      <c r="X27" s="47"/>
      <c r="Y27" s="7"/>
      <c r="Z27" s="7"/>
      <c r="AA27" s="7"/>
      <c r="AB27" s="7"/>
      <c r="AC27" s="7"/>
      <c r="AD27" s="71"/>
      <c r="AE27" s="71"/>
      <c r="AF27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279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280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291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292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22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275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0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0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0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0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0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0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316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F29" sqref="F29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workbookViewId="0">
      <selection activeCell="F39" sqref="F39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258</v>
      </c>
      <c r="C1" t="s">
        <v>263</v>
      </c>
      <c r="D1" t="s">
        <v>259</v>
      </c>
      <c r="E1" t="s">
        <v>260</v>
      </c>
      <c r="F1" t="s">
        <v>261</v>
      </c>
    </row>
    <row r="2" spans="1:12">
      <c r="A2" s="1" t="s">
        <v>50</v>
      </c>
      <c r="B2" s="1" t="s">
        <v>51</v>
      </c>
      <c r="C2" s="1" t="s">
        <v>264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352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0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1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1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0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3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1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2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160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2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9" t="s">
        <v>256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9"/>
    </row>
    <row r="17" spans="1:18">
      <c r="A17" s="38" t="s">
        <v>262</v>
      </c>
      <c r="B17" s="62" t="s">
        <v>86</v>
      </c>
      <c r="C17" s="40" t="s">
        <v>87</v>
      </c>
      <c r="D17" s="62" t="s">
        <v>86</v>
      </c>
      <c r="E17" s="40" t="s">
        <v>87</v>
      </c>
      <c r="F17" s="40" t="s">
        <v>87</v>
      </c>
      <c r="G17" s="40"/>
      <c r="H17" s="40"/>
      <c r="I17" s="40"/>
      <c r="J17" s="40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19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239</v>
      </c>
      <c r="R19">
        <f>SUM(B19:P19)</f>
        <v>117</v>
      </c>
    </row>
    <row r="20" spans="1:18">
      <c r="A20" t="s">
        <v>88</v>
      </c>
      <c r="B20" s="55">
        <v>10</v>
      </c>
      <c r="C20" s="55">
        <v>2</v>
      </c>
      <c r="D20" s="55">
        <v>7</v>
      </c>
      <c r="E20" s="55">
        <v>7</v>
      </c>
      <c r="F20" s="55">
        <v>6</v>
      </c>
      <c r="G20" s="55"/>
      <c r="H20" s="55"/>
      <c r="I20" s="55"/>
      <c r="J20" s="55"/>
    </row>
    <row r="22" spans="1:18">
      <c r="A22" t="s">
        <v>257</v>
      </c>
    </row>
    <row r="24" spans="1:18">
      <c r="A24" s="1"/>
      <c r="B24" s="1"/>
    </row>
    <row r="25" spans="1:18">
      <c r="A25" s="1" t="s">
        <v>354</v>
      </c>
      <c r="B25" s="1"/>
    </row>
    <row r="26" spans="1:18">
      <c r="A26" s="77" t="s">
        <v>4</v>
      </c>
      <c r="B26" s="77">
        <v>15.78</v>
      </c>
    </row>
    <row r="27" spans="1:18">
      <c r="A27">
        <v>-3</v>
      </c>
      <c r="B27" s="2">
        <f>B26/1.15</f>
        <v>13.721739130434782</v>
      </c>
    </row>
    <row r="28" spans="1:18">
      <c r="A28">
        <v>-2</v>
      </c>
      <c r="B28" s="2">
        <f>B26/1.1</f>
        <v>14.345454545454544</v>
      </c>
    </row>
    <row r="29" spans="1:18">
      <c r="A29">
        <v>-1</v>
      </c>
      <c r="B29" s="2">
        <f>B26/1.05</f>
        <v>15.028571428571427</v>
      </c>
    </row>
    <row r="30" spans="1:18">
      <c r="A30">
        <v>1</v>
      </c>
      <c r="B30" s="2">
        <f>B26*1.05</f>
        <v>16.568999999999999</v>
      </c>
    </row>
    <row r="31" spans="1:18">
      <c r="A31">
        <v>2</v>
      </c>
      <c r="B31" s="2">
        <f>B26*1.1</f>
        <v>17.358000000000001</v>
      </c>
    </row>
    <row r="32" spans="1:18">
      <c r="A32">
        <v>3</v>
      </c>
      <c r="B32" s="2">
        <f>B26*1.15</f>
        <v>18.146999999999998</v>
      </c>
    </row>
    <row r="34" spans="1:2">
      <c r="A34" s="77" t="s">
        <v>11</v>
      </c>
      <c r="B34" s="77">
        <v>25.9</v>
      </c>
    </row>
    <row r="35" spans="1:2">
      <c r="A35">
        <v>-3</v>
      </c>
      <c r="B35" s="2">
        <f>B34-6</f>
        <v>19.899999999999999</v>
      </c>
    </row>
    <row r="36" spans="1:2">
      <c r="A36">
        <v>-2</v>
      </c>
      <c r="B36" s="2">
        <f>B34-4</f>
        <v>21.9</v>
      </c>
    </row>
    <row r="37" spans="1:2">
      <c r="A37">
        <v>-1</v>
      </c>
      <c r="B37" s="2">
        <f>B34-2</f>
        <v>23.9</v>
      </c>
    </row>
    <row r="38" spans="1:2">
      <c r="A38">
        <v>1</v>
      </c>
      <c r="B38" s="2">
        <f>B34+2</f>
        <v>27.9</v>
      </c>
    </row>
    <row r="39" spans="1:2">
      <c r="A39">
        <v>2</v>
      </c>
      <c r="B39" s="2">
        <f>B34+4</f>
        <v>29.9</v>
      </c>
    </row>
    <row r="40" spans="1:2">
      <c r="A40">
        <v>3</v>
      </c>
      <c r="B40" s="2">
        <f>B34+6</f>
        <v>31.9</v>
      </c>
    </row>
    <row r="42" spans="1:2">
      <c r="A42" s="77" t="s">
        <v>353</v>
      </c>
      <c r="B42" s="77">
        <v>0.37</v>
      </c>
    </row>
    <row r="43" spans="1:2">
      <c r="A43">
        <v>-3</v>
      </c>
      <c r="B43" s="2">
        <f>B42/1.15</f>
        <v>0.32173913043478264</v>
      </c>
    </row>
    <row r="44" spans="1:2">
      <c r="A44">
        <v>-2</v>
      </c>
      <c r="B44" s="2">
        <f>B42/1.1</f>
        <v>0.33636363636363631</v>
      </c>
    </row>
    <row r="45" spans="1:2">
      <c r="A45">
        <v>-1</v>
      </c>
      <c r="B45" s="2">
        <f>B42/1.05</f>
        <v>0.35238095238095235</v>
      </c>
    </row>
    <row r="46" spans="1:2">
      <c r="A46">
        <v>1</v>
      </c>
      <c r="B46" s="2">
        <f>B42*1.05</f>
        <v>0.38850000000000001</v>
      </c>
    </row>
    <row r="47" spans="1:2">
      <c r="A47">
        <v>2</v>
      </c>
      <c r="B47" s="2">
        <f>B42*1.1</f>
        <v>0.40700000000000003</v>
      </c>
    </row>
    <row r="48" spans="1:2">
      <c r="A48">
        <v>3</v>
      </c>
      <c r="B48" s="2">
        <f>B42*1.15</f>
        <v>0.42549999999999999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V12" sqref="V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14" t="s">
        <v>282</v>
      </c>
      <c r="B4" s="12">
        <v>4</v>
      </c>
      <c r="C4" s="2">
        <f>SUM(((Table168[[#This Row],[Avg DPS]]*(Table168[[#This Row],[Range]]))+(Table168[[#This Row],[Avg DPS]]*Table168[[#This Row],[Arm Pen (%)]]))/100)</f>
        <v>1.5590117647058821</v>
      </c>
      <c r="D4" s="3">
        <f>SUM(Table168[[#This Row],[DPS]]*Table168[[#This Row],[Avg Accuracy]])</f>
        <v>3.8117647058823523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0.53999999999999992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0.39</v>
      </c>
      <c r="S4">
        <v>0.3</v>
      </c>
      <c r="T4">
        <v>55</v>
      </c>
      <c r="U4">
        <v>1.3</v>
      </c>
      <c r="V4" s="35" t="s">
        <v>86</v>
      </c>
      <c r="W4" s="64">
        <f>Table168[[#This Row],[Balance]]*$W$2</f>
        <v>129.12047237647056</v>
      </c>
    </row>
    <row r="5" spans="1:23">
      <c r="A5" s="4" t="s">
        <v>283</v>
      </c>
      <c r="B5" s="12">
        <v>4</v>
      </c>
      <c r="C5" s="2">
        <f>SUM(((Table168[[#This Row],[Avg DPS]]*(Table168[[#This Row],[Range]]))+(Table168[[#This Row],[Avg DPS]]*Table168[[#This Row],[Arm Pen (%)]]))/100)</f>
        <v>1.7000772727272726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</v>
      </c>
      <c r="J5">
        <v>19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5" t="s">
        <v>87</v>
      </c>
      <c r="W5" s="64">
        <f>Table168[[#This Row],[Balance]]*$W$2</f>
        <v>140.80379988181818</v>
      </c>
    </row>
    <row r="6" spans="1:23">
      <c r="A6" s="4" t="s">
        <v>284</v>
      </c>
      <c r="B6" s="12">
        <v>4</v>
      </c>
      <c r="C6" s="2">
        <f>SUM(((Table168[[#This Row],[Avg DPS]]*(Table168[[#This Row],[Range]]))+(Table168[[#This Row],[Avg DPS]]*Table168[[#This Row],[Arm Pen (%)]]))/100)</f>
        <v>1.8205846153846152</v>
      </c>
      <c r="D6" s="3">
        <f>SUM(Table168[[#This Row],[DPS]]*Table168[[#This Row],[Avg Accuracy]])</f>
        <v>3.7230769230769232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0.60500000000000009</v>
      </c>
      <c r="H6">
        <v>16</v>
      </c>
      <c r="I6">
        <v>1.5</v>
      </c>
      <c r="J6">
        <v>23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0.35</v>
      </c>
      <c r="T6">
        <v>65</v>
      </c>
      <c r="U6">
        <v>2.25</v>
      </c>
      <c r="V6" s="35" t="s">
        <v>87</v>
      </c>
      <c r="W6" s="64">
        <f>Table168[[#This Row],[Balance]]*$W$2</f>
        <v>150.78445901538461</v>
      </c>
    </row>
    <row r="7" spans="1:23">
      <c r="A7" s="4" t="s">
        <v>296</v>
      </c>
      <c r="B7" s="12">
        <v>4</v>
      </c>
      <c r="C7" s="2">
        <f>SUM(((Table168[[#This Row],[Avg DPS]]*(Table168[[#This Row],[Range]]))+(Table168[[#This Row],[Avg DPS]]*Table168[[#This Row],[Arm Pen (%)]]))/100)</f>
        <v>1.5641779141104291</v>
      </c>
      <c r="D7" s="3">
        <f>SUM(Table168[[#This Row],[DPS]]*Table168[[#This Row],[Avg Accuracy]])</f>
        <v>3.9202453987730057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0.53249999999999997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0.38</v>
      </c>
      <c r="S7">
        <v>0.3</v>
      </c>
      <c r="T7">
        <v>55</v>
      </c>
      <c r="U7">
        <v>1.61</v>
      </c>
      <c r="V7" s="35" t="s">
        <v>87</v>
      </c>
      <c r="W7" s="64">
        <f>Table168[[#This Row],[Balance]]*$W$2</f>
        <v>129.54834320245396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1.6289210526315787</v>
      </c>
      <c r="D8" s="3">
        <f>SUM(Table168[[#This Row],[DPS]]*Table168[[#This Row],[Avg Accuracy]])</f>
        <v>3.7105263157894735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0.58750000000000002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0.45</v>
      </c>
      <c r="S8">
        <v>0.35</v>
      </c>
      <c r="T8">
        <v>55</v>
      </c>
      <c r="U8">
        <v>1.4</v>
      </c>
      <c r="V8" s="22"/>
      <c r="W8" s="63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>60/N9</f>
        <v>#DIV/0!</v>
      </c>
      <c r="V9" s="38"/>
      <c r="W9" s="64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>60/N10</f>
        <v>#DIV/0!</v>
      </c>
      <c r="V10" s="38"/>
      <c r="W10" s="64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>60/N11</f>
        <v>#DIV/0!</v>
      </c>
      <c r="V11" s="38"/>
      <c r="W11" s="64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>60/N12</f>
        <v>#DIV/0!</v>
      </c>
      <c r="V12" s="38"/>
      <c r="W12" s="64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>60/N13</f>
        <v>#DIV/0!</v>
      </c>
      <c r="V13" s="38"/>
      <c r="W13" s="64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>60/N14</f>
        <v>#DIV/0!</v>
      </c>
      <c r="V14" s="38"/>
      <c r="W14" s="64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>60/N15</f>
        <v>#DIV/0!</v>
      </c>
      <c r="V15" s="38"/>
      <c r="W15" s="64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>60/N16</f>
        <v>#DIV/0!</v>
      </c>
      <c r="V16" s="38"/>
      <c r="W16" s="64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>60/N17</f>
        <v>#DIV/0!</v>
      </c>
      <c r="V17" s="38"/>
      <c r="W17" s="64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>60/N18</f>
        <v>#DIV/0!</v>
      </c>
      <c r="P18"/>
      <c r="Q18"/>
      <c r="R18"/>
      <c r="S18"/>
      <c r="T18"/>
      <c r="U18"/>
      <c r="V18" s="38"/>
      <c r="W18" s="64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>60/N19</f>
        <v>#DIV/0!</v>
      </c>
      <c r="V19" s="61"/>
      <c r="W19" s="65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>60/N20</f>
        <v>#DIV/0!</v>
      </c>
      <c r="P20" s="7"/>
      <c r="Q20" s="7"/>
      <c r="R20" s="7"/>
      <c r="S20" s="7"/>
      <c r="V20" s="61"/>
      <c r="W20" s="65"/>
    </row>
  </sheetData>
  <conditionalFormatting sqref="C4:C20">
    <cfRule type="cellIs" dxfId="387" priority="2" operator="greaterThan">
      <formula>1.63</formula>
    </cfRule>
  </conditionalFormatting>
  <conditionalFormatting sqref="O1:O1048576">
    <cfRule type="cellIs" dxfId="38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D21" sqref="D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8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295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4" t="s">
        <v>105</v>
      </c>
      <c r="B4" s="12">
        <v>1</v>
      </c>
      <c r="C4" s="2">
        <f>SUM(((Table1614[[#This Row],[AC/DPS]]*(Table1614[[#This Row],[Range]]))+(Table1614[[#This Row],[AC/DPS]]*Table1614[[#This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23" t="s">
        <v>87</v>
      </c>
      <c r="W4" s="57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Row],[AC/DPS]]*(Table1614[[#This Row],[Range]]))+(Table1614[[#This Row],[AC/DPS]]*Table1614[[#This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4" t="s">
        <v>87</v>
      </c>
      <c r="W5" s="57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Row],[AC/DPS]]*(Table1614[[#This Row],[Range]]))+(Table1614[[#This Row],[AC/DPS]]*Table1614[[#This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23" t="s">
        <v>86</v>
      </c>
      <c r="W6" s="57">
        <f>Table1614[[#This Row],[Balance]]*$W$2</f>
        <v>242.63052993442614</v>
      </c>
    </row>
    <row r="7" spans="1:23">
      <c r="A7" s="4" t="s">
        <v>118</v>
      </c>
      <c r="B7" s="12">
        <v>1</v>
      </c>
      <c r="C7" s="2">
        <f>SUM(((Table1614[[#This Row],[AC/DPS]]*(Table1614[[#This Row],[Range]]))+(Table1614[[#This Row],[AC/DPS]]*Table1614[[#This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4" t="s">
        <v>87</v>
      </c>
      <c r="W7" s="57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Row],[AC/DPS]]*(Table1614[[#This Row],[Range]]))+(Table1614[[#This Row],[AC/DPS]]*Table1614[[#This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>60/N8</f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4" t="s">
        <v>86</v>
      </c>
      <c r="W8" s="24">
        <v>220</v>
      </c>
    </row>
    <row r="9" spans="1:23">
      <c r="A9" s="6"/>
      <c r="B9" s="11"/>
      <c r="C9" s="2" t="e">
        <f>SUM(((Table1614[[#This Row],[AC/DPS]]*(Table1614[[#This Row],[Range]]))+(Table1614[[#This Row],[AC/DPS]]*Table1614[[#This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>60/N9</f>
        <v>#DIV/0!</v>
      </c>
      <c r="V9" s="23"/>
      <c r="W9" s="23"/>
    </row>
    <row r="10" spans="1:23" s="4" customFormat="1">
      <c r="A10" s="14"/>
      <c r="B10" s="12"/>
      <c r="C10" s="2" t="e">
        <f>SUM(((Table1614[[#This Row],[AC/DPS]]*(Table1614[[#This Row],[Range]]))+(Table1614[[#This Row],[AC/DPS]]*Table1614[[#This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>60/N10</f>
        <v>#DIV/0!</v>
      </c>
      <c r="P10"/>
      <c r="Q10"/>
      <c r="R10"/>
      <c r="S10"/>
      <c r="T10"/>
      <c r="U10"/>
      <c r="V10"/>
      <c r="W10"/>
    </row>
    <row r="11" spans="1:23">
      <c r="B11" s="12"/>
      <c r="C11" s="2" t="e">
        <f>SUM(((Table1614[[#This Row],[AC/DPS]]*(Table1614[[#This Row],[Range]]))+(Table1614[[#This Row],[AC/DPS]]*Table1614[[#This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>60/N11</f>
        <v>#DIV/0!</v>
      </c>
    </row>
    <row r="12" spans="1:23">
      <c r="A12" s="4"/>
      <c r="B12" s="12"/>
      <c r="C12" s="2" t="e">
        <f>SUM(((Table1614[[#This Row],[AC/DPS]]*(Table1614[[#This Row],[Range]]))+(Table1614[[#This Row],[AC/DPS]]*Table1614[[#This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>60/N12</f>
        <v>#DIV/0!</v>
      </c>
    </row>
    <row r="13" spans="1:23">
      <c r="B13" s="12"/>
      <c r="C13" s="2" t="e">
        <f>SUM(((Table1614[[#This Row],[AC/DPS]]*(Table1614[[#This Row],[Range]]))+(Table1614[[#This Row],[AC/DPS]]*Table1614[[#This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>60/N13</f>
        <v>#DIV/0!</v>
      </c>
    </row>
    <row r="14" spans="1:23">
      <c r="B14" s="12"/>
      <c r="C14" s="2" t="e">
        <f>SUM(((Table1614[[#This Row],[AC/DPS]]*(Table1614[[#This Row],[Range]]))+(Table1614[[#This Row],[AC/DPS]]*Table1614[[#This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>60/N14</f>
        <v>#DIV/0!</v>
      </c>
    </row>
    <row r="15" spans="1:23">
      <c r="B15" s="12"/>
      <c r="C15" s="2" t="e">
        <f>SUM(((Table1614[[#This Row],[AC/DPS]]*(Table1614[[#This Row],[Range]]))+(Table1614[[#This Row],[AC/DPS]]*Table1614[[#This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>60/N15</f>
        <v>#DIV/0!</v>
      </c>
    </row>
    <row r="16" spans="1:23">
      <c r="B16" s="12"/>
      <c r="C16" s="2" t="e">
        <f>SUM(((Table1614[[#This Row],[AC/DPS]]*(Table1614[[#This Row],[Range]]))+(Table1614[[#This Row],[AC/DPS]]*Table1614[[#This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>60/N16</f>
        <v>#DIV/0!</v>
      </c>
    </row>
    <row r="17" spans="1:19">
      <c r="B17" s="12"/>
      <c r="C17" s="2" t="e">
        <f>SUM(((Table1614[[#This Row],[AC/DPS]]*(Table1614[[#This Row],[Range]]))+(Table1614[[#This Row],[AC/DPS]]*Table1614[[#This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>60/N17</f>
        <v>#DIV/0!</v>
      </c>
    </row>
    <row r="18" spans="1:19">
      <c r="A18" s="48"/>
      <c r="B18" s="13"/>
      <c r="C18" s="2" t="e">
        <f>SUM(((Table1614[[#This Row],[AC/DPS]]*(Table1614[[#This Row],[Range]]))+(Table1614[[#This Row],[AC/DPS]]*Table1614[[#This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>60/N18</f>
        <v>#DIV/0!</v>
      </c>
    </row>
    <row r="19" spans="1:19">
      <c r="A19" s="1"/>
      <c r="C19" s="2" t="e">
        <f>SUM(((Table1614[[#This Row],[AC/DPS]]*(Table1614[[#This Row],[Range]]))+(Table1614[[#This Row],[AC/DPS]]*Table1614[[#This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>60/N19</f>
        <v>#DIV/0!</v>
      </c>
    </row>
    <row r="20" spans="1:19">
      <c r="C20" s="2" t="e">
        <f>SUM(((Table1614[[#This Row],[AC/DPS]]*(Table1614[[#This Row],[Range]]))+(Table1614[[#This Row],[AC/DPS]]*Table1614[[#This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>60/N20</f>
        <v>#DIV/0!</v>
      </c>
    </row>
    <row r="21" spans="1:19">
      <c r="C21" s="2" t="e">
        <f>SUM(((Table1614[[#This Row],[AC/DPS]]*(Table1614[[#This Row],[Range]]))+(Table1614[[#This Row],[AC/DPS]]*Table1614[[#This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>60/N21</f>
        <v>#DIV/0!</v>
      </c>
    </row>
    <row r="22" spans="1:19">
      <c r="C22" s="2" t="e">
        <f>SUM(((Table1614[[#This Row],[AC/DPS]]*(Table1614[[#This Row],[Range]]))+(Table1614[[#This Row],[AC/DPS]]*Table1614[[#This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>60/N22</f>
        <v>#DIV/0!</v>
      </c>
    </row>
    <row r="23" spans="1:19">
      <c r="C23" s="2" t="e">
        <f>SUM(((Table1614[[#This Row],[AC/DPS]]*(Table1614[[#This Row],[Range]]))+(Table1614[[#This Row],[AC/DPS]]*Table1614[[#This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>60/N23</f>
        <v>#DIV/0!</v>
      </c>
    </row>
    <row r="24" spans="1:19">
      <c r="C24" s="2" t="e">
        <f>SUM(((Table1614[[#This Row],[AC/DPS]]*(Table1614[[#This Row],[Range]]))+(Table1614[[#This Row],[AC/DPS]]*Table1614[[#This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>60/N24</f>
        <v>#DIV/0!</v>
      </c>
    </row>
    <row r="25" spans="1:19">
      <c r="C25" s="2" t="e">
        <f>SUM(((Table1614[[#This Row],[AC/DPS]]*(Table1614[[#This Row],[Range]]))+(Table1614[[#This Row],[AC/DPS]]*Table1614[[#This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>60/N25</f>
        <v>#DIV/0!</v>
      </c>
    </row>
    <row r="26" spans="1:19">
      <c r="B26" s="40"/>
      <c r="C26" s="2" t="e">
        <f>SUM(((Table1614[[#This Row],[AC/DPS]]*(Table1614[[#This Row],[Range]]))+(Table1614[[#This Row],[AC/DPS]]*Table1614[[#This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>60/N26</f>
        <v>#DIV/0!</v>
      </c>
    </row>
    <row r="27" spans="1:19">
      <c r="B27" s="40"/>
      <c r="C27" s="2" t="e">
        <f>SUM(((Table1614[[#This Row],[AC/DPS]]*(Table1614[[#This Row],[Range]]))+(Table1614[[#This Row],[AC/DPS]]*Table1614[[#This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>60/N27</f>
        <v>#DIV/0!</v>
      </c>
    </row>
    <row r="28" spans="1:19">
      <c r="B28" s="40"/>
      <c r="C28" s="2" t="e">
        <f>SUM(((Table1614[[#This Row],[AC/DPS]]*(Table1614[[#This Row],[Range]]))+(Table1614[[#This Row],[AC/DPS]]*Table1614[[#This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>60/N28</f>
        <v>#DIV/0!</v>
      </c>
    </row>
    <row r="29" spans="1:19">
      <c r="B29" s="40"/>
      <c r="C29" s="2" t="e">
        <f>SUM(((Table1614[[#This Row],[AC/DPS]]*(Table1614[[#This Row],[Range]]))+(Table1614[[#This Row],[AC/DPS]]*Table1614[[#This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>60/N29</f>
        <v>#DIV/0!</v>
      </c>
    </row>
    <row r="30" spans="1:19">
      <c r="B30" s="40"/>
      <c r="C30" s="2" t="e">
        <f>SUM(((Table1614[[#This Row],[AC/DPS]]*(Table1614[[#This Row],[Range]]))+(Table1614[[#This Row],[AC/DPS]]*Table1614[[#This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>60/N30</f>
        <v>#DIV/0!</v>
      </c>
    </row>
    <row r="31" spans="1:19">
      <c r="B31" s="40"/>
      <c r="C31" s="2" t="e">
        <f>SUM(((Table1614[[#This Row],[AC/DPS]]*(Table1614[[#This Row],[Range]]))+(Table1614[[#This Row],[AC/DPS]]*Table1614[[#This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>60/N31</f>
        <v>#DIV/0!</v>
      </c>
    </row>
    <row r="32" spans="1:19">
      <c r="A32" s="7"/>
      <c r="B32" s="47"/>
      <c r="C32" s="8" t="e">
        <f>SUM(((Table1614[[#This Row],[AC/DPS]]*(Table1614[[#This Row],[Range]]))+(Table1614[[#This Row],[AC/DPS]]*Table1614[[#This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>60/N32</f>
        <v>#DIV/0!</v>
      </c>
      <c r="P32" s="7"/>
      <c r="Q32" s="7"/>
      <c r="R32" s="7"/>
      <c r="S32" s="7"/>
    </row>
  </sheetData>
  <conditionalFormatting sqref="C4:C32">
    <cfRule type="cellIs" dxfId="267" priority="2" operator="greaterThan">
      <formula>1.639</formula>
    </cfRule>
  </conditionalFormatting>
  <conditionalFormatting sqref="O1:O1048576">
    <cfRule type="cellIs" dxfId="268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B24" sqref="B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8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295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23" t="s">
        <v>86</v>
      </c>
      <c r="W4" s="57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4" t="s">
        <v>87</v>
      </c>
      <c r="W5" s="57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4" t="s">
        <v>87</v>
      </c>
      <c r="W6" s="57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1.9278456521739133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19.899999999999999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23" t="s">
        <v>87</v>
      </c>
      <c r="W7" s="57">
        <f>Table16[[#This Row],[Balance]]*$W$1</f>
        <v>264.24016431521744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4" t="s">
        <v>87</v>
      </c>
      <c r="W8" s="57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>60/N9</f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23" t="s">
        <v>87</v>
      </c>
      <c r="W9" s="57">
        <f>Table16[[#This Row],[Balance]]*$W$1</f>
        <v>313.63898624999996</v>
      </c>
    </row>
    <row r="10" spans="1:23" s="4" customFormat="1">
      <c r="A10" t="s">
        <v>184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>60/N10</f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23" t="s">
        <v>87</v>
      </c>
      <c r="W10" s="57">
        <f>Table16[[#This Row],[Balance]]*$W$1</f>
        <v>233.46439995335817</v>
      </c>
    </row>
    <row r="11" spans="1:23">
      <c r="A11" t="s">
        <v>185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>60/N11</f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4" t="s">
        <v>87</v>
      </c>
      <c r="W11" s="57">
        <f>Table16[[#This Row],[Balance]]*$W$1</f>
        <v>272.55044685459438</v>
      </c>
    </row>
    <row r="12" spans="1:23">
      <c r="A12" s="48" t="s">
        <v>186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>60/N12</f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7">
        <f>Table16[[#This Row],[Balance]]*$W$1</f>
        <v>235.52447268292684</v>
      </c>
    </row>
    <row r="13" spans="1:23">
      <c r="A13" s="1" t="s">
        <v>288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>60/N13</f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>60/N14</f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23" t="s">
        <v>86</v>
      </c>
      <c r="W14" s="23">
        <v>355</v>
      </c>
    </row>
    <row r="15" spans="1:23">
      <c r="A15" s="6"/>
      <c r="B15" s="11"/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0">60/N15</f>
        <v>#DIV/0!</v>
      </c>
      <c r="V15" s="24"/>
      <c r="W15" s="24"/>
    </row>
    <row r="16" spans="1:23">
      <c r="A16" s="58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0"/>
        <v>#DIV/0!</v>
      </c>
      <c r="V16" s="23"/>
      <c r="W16" s="57"/>
    </row>
    <row r="17" spans="1:23">
      <c r="A17" s="58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24"/>
      <c r="W17" s="57"/>
    </row>
    <row r="18" spans="1:23">
      <c r="A18" s="59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23"/>
      <c r="W18" s="57"/>
    </row>
    <row r="19" spans="1:23">
      <c r="A19" s="58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24"/>
      <c r="W19" s="57"/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>60/N20</f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>60/N21</f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>60/N22</f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>60/N23</f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>60/N24</f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>60/N25</f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>60/N26</f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>60/N27</f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>60/N28</f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>60/N29</f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>60/N30</f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>60/N31</f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>60/N32</f>
        <v>#DIV/0!</v>
      </c>
      <c r="P32" s="7"/>
      <c r="Q32" s="7"/>
      <c r="R32" s="7"/>
      <c r="S32" s="7"/>
    </row>
  </sheetData>
  <conditionalFormatting sqref="C4:C32">
    <cfRule type="cellIs" dxfId="378" priority="2" operator="greaterThan">
      <formula>2.599</formula>
    </cfRule>
  </conditionalFormatting>
  <conditionalFormatting sqref="O1:O1048576">
    <cfRule type="cellIs" dxfId="37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topLeftCell="A4" workbookViewId="0">
      <selection activeCell="I25" sqref="I25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298</v>
      </c>
      <c r="Y3" t="s">
        <v>302</v>
      </c>
      <c r="Z3" t="s">
        <v>300</v>
      </c>
      <c r="AA3" t="s">
        <v>301</v>
      </c>
      <c r="AB3" t="s">
        <v>303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>C4*$W$1</f>
        <v>460.55388993428568</v>
      </c>
      <c r="X4" s="66"/>
      <c r="Y4" s="66"/>
      <c r="Z4" s="66"/>
      <c r="AA4" s="66"/>
      <c r="AB4" s="66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>60/N5</f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>C5*$W$1</f>
        <v>440.44052204285708</v>
      </c>
      <c r="X5" s="66"/>
      <c r="Y5" s="66"/>
      <c r="Z5" s="66"/>
      <c r="AA5" s="66"/>
      <c r="AB5" s="66"/>
    </row>
    <row r="6" spans="1:28">
      <c r="A6" t="s">
        <v>268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>60/N6</f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>C6*$W$1</f>
        <v>479.95461398488112</v>
      </c>
      <c r="X6" s="66"/>
      <c r="Y6" s="66"/>
      <c r="Z6" s="66"/>
      <c r="AA6" s="66"/>
      <c r="AB6" s="66"/>
    </row>
    <row r="7" spans="1:28">
      <c r="A7" t="s">
        <v>269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>60/N7</f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>C7*$W$1</f>
        <v>441.95538359647037</v>
      </c>
      <c r="X7" s="66"/>
      <c r="Y7" s="66"/>
      <c r="Z7" s="66"/>
      <c r="AA7" s="66"/>
      <c r="AB7" s="66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>60/N8</f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>C8*$W$1</f>
        <v>453.92955714532013</v>
      </c>
      <c r="X8" s="66"/>
      <c r="Y8" s="66"/>
      <c r="Z8" s="66"/>
      <c r="AA8" s="66"/>
      <c r="AB8" s="66"/>
    </row>
    <row r="9" spans="1:28">
      <c r="A9" t="s">
        <v>270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>60/N9</f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>C9*$W$1</f>
        <v>477.66016903846156</v>
      </c>
      <c r="X9" s="66"/>
      <c r="Y9" s="66"/>
      <c r="Z9" s="66"/>
      <c r="AA9" s="66"/>
      <c r="AB9" s="66"/>
    </row>
    <row r="10" spans="1:28">
      <c r="A10" s="4" t="s">
        <v>271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>60/N10</f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>C10*$W$1</f>
        <v>440.62315610958899</v>
      </c>
      <c r="X10" s="66"/>
      <c r="Y10" s="66"/>
      <c r="Z10" s="66"/>
      <c r="AA10" s="66"/>
      <c r="AB10" s="66"/>
    </row>
    <row r="11" spans="1:28">
      <c r="A11" s="4" t="s">
        <v>272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>60/N11</f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>C11*$W$1</f>
        <v>454.11507641534388</v>
      </c>
      <c r="X11" s="66"/>
      <c r="Y11" s="66"/>
      <c r="Z11" s="66"/>
      <c r="AA11" s="66"/>
      <c r="AB11" s="66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>60/N12</f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>C12*$W$1</f>
        <v>457.33144772289143</v>
      </c>
      <c r="X12" s="66"/>
      <c r="Y12" s="66"/>
      <c r="Z12" s="66"/>
      <c r="AA12" s="66"/>
      <c r="AB12" s="66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>60/N13</f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>60/N14</f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>60/N15</f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66"/>
      <c r="Y16" s="66"/>
      <c r="Z16" s="66"/>
      <c r="AA16" s="66"/>
      <c r="AB16" s="66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66"/>
      <c r="Y17" s="66"/>
      <c r="Z17" s="66"/>
      <c r="AA17" s="66"/>
      <c r="AB17" s="66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66"/>
      <c r="Y18" s="66"/>
      <c r="Z18" s="66"/>
      <c r="AA18" s="66"/>
      <c r="AB18" s="66"/>
    </row>
    <row r="19" spans="1:28">
      <c r="A19" s="1" t="s">
        <v>187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40" t="s">
        <v>86</v>
      </c>
      <c r="W19">
        <v>455</v>
      </c>
      <c r="X19" s="40"/>
      <c r="Y19" s="40"/>
      <c r="Z19" s="40"/>
      <c r="AA19" s="40"/>
      <c r="AB19" s="40"/>
    </row>
    <row r="20" spans="1:28">
      <c r="A20" t="s">
        <v>188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40" t="s">
        <v>87</v>
      </c>
      <c r="W20">
        <v>460</v>
      </c>
      <c r="X20" s="40"/>
      <c r="Y20" s="40"/>
      <c r="Z20" s="40"/>
      <c r="AA20" s="40"/>
      <c r="AB20" s="40"/>
    </row>
    <row r="21" spans="1:28">
      <c r="A21" s="1" t="s">
        <v>190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40" t="s">
        <v>86</v>
      </c>
      <c r="W21">
        <v>410</v>
      </c>
      <c r="X21" s="40"/>
      <c r="Y21" s="40"/>
      <c r="Z21" s="40"/>
      <c r="AA21" s="40"/>
      <c r="AB21" s="40"/>
    </row>
    <row r="22" spans="1:28">
      <c r="A22" t="s">
        <v>193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40" t="s">
        <v>87</v>
      </c>
      <c r="W22">
        <v>435</v>
      </c>
      <c r="X22" s="40"/>
      <c r="Y22" s="40"/>
      <c r="Z22" s="40"/>
      <c r="AA22" s="40"/>
      <c r="AB22" s="40"/>
    </row>
    <row r="23" spans="1:28">
      <c r="A23" s="1" t="s">
        <v>276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>60/N23</f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40" t="s">
        <v>86</v>
      </c>
      <c r="W23" s="53">
        <f>C23*$W$1</f>
        <v>407.97351407262573</v>
      </c>
      <c r="X23" s="66"/>
      <c r="Y23" s="66"/>
      <c r="Z23" s="66"/>
      <c r="AA23" s="66"/>
      <c r="AB23" s="66"/>
    </row>
    <row r="24" spans="1:28">
      <c r="A24" t="s">
        <v>277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>60/N24</f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40" t="s">
        <v>87</v>
      </c>
      <c r="W24" s="53">
        <f>C24*$W$1</f>
        <v>452.36266318750006</v>
      </c>
      <c r="X24" s="66"/>
      <c r="Y24" s="66"/>
      <c r="Z24" s="66"/>
      <c r="AA24" s="66"/>
      <c r="AB24" s="66"/>
    </row>
    <row r="25" spans="1:28">
      <c r="A25" t="s">
        <v>278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>60/N25</f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40" t="s">
        <v>87</v>
      </c>
      <c r="W25" s="53">
        <f>C25*$W$1</f>
        <v>466.54390939655161</v>
      </c>
      <c r="X25" s="66"/>
      <c r="Y25" s="66"/>
      <c r="Z25" s="66"/>
      <c r="AA25" s="66"/>
      <c r="AB25" s="66"/>
    </row>
    <row r="26" spans="1:28">
      <c r="A26" t="s">
        <v>297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>60/N26</f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40" t="s">
        <v>87</v>
      </c>
      <c r="W26">
        <v>650</v>
      </c>
      <c r="X26" s="40" t="s">
        <v>299</v>
      </c>
      <c r="Y26" s="40">
        <v>30</v>
      </c>
      <c r="Z26" s="40">
        <v>1</v>
      </c>
      <c r="AA26" s="40">
        <v>12.9</v>
      </c>
      <c r="AB26" s="40" t="s">
        <v>304</v>
      </c>
    </row>
    <row r="27" spans="1:28">
      <c r="A27" t="s">
        <v>211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>60/N27</f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40" t="s">
        <v>87</v>
      </c>
      <c r="W27" s="53">
        <f>C27*$W$1</f>
        <v>362.85197210928641</v>
      </c>
      <c r="X27" s="66"/>
      <c r="Y27" s="66"/>
      <c r="Z27" s="66"/>
      <c r="AA27" s="66"/>
      <c r="AB27" s="66"/>
    </row>
    <row r="28" spans="1:28">
      <c r="A28" s="1" t="s">
        <v>210</v>
      </c>
      <c r="B28" s="40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>60/N28</f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40" t="s">
        <v>86</v>
      </c>
      <c r="W28" s="53">
        <f>C28*$W$1</f>
        <v>453.33423076271185</v>
      </c>
      <c r="X28" s="66"/>
      <c r="Y28" s="66"/>
      <c r="Z28" s="66"/>
      <c r="AA28" s="66"/>
      <c r="AB28" s="66"/>
    </row>
    <row r="29" spans="1:28">
      <c r="A29" t="s">
        <v>212</v>
      </c>
      <c r="B29" s="40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>60/N29</f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40" t="s">
        <v>87</v>
      </c>
      <c r="W29" s="53">
        <f>C29*$W$1</f>
        <v>480.92765951540753</v>
      </c>
      <c r="X29" s="66"/>
      <c r="Y29" s="66"/>
      <c r="Z29" s="66"/>
      <c r="AA29" s="66"/>
      <c r="AB29" s="66"/>
    </row>
    <row r="30" spans="1:28">
      <c r="A30" t="s">
        <v>213</v>
      </c>
      <c r="B30" s="40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>60/N30</f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40" t="s">
        <v>87</v>
      </c>
      <c r="W30" s="53">
        <f>C30*$W$1</f>
        <v>403.06572519230764</v>
      </c>
      <c r="X30" s="66"/>
      <c r="Y30" s="66"/>
      <c r="Z30" s="66"/>
      <c r="AA30" s="66"/>
      <c r="AB30" s="66"/>
    </row>
    <row r="31" spans="1:28">
      <c r="A31" s="1" t="s">
        <v>214</v>
      </c>
      <c r="B31" s="40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>60/N31</f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40" t="s">
        <v>86</v>
      </c>
      <c r="W31" s="53">
        <f>C31*$W$1</f>
        <v>347.02143749999999</v>
      </c>
      <c r="X31" s="66"/>
      <c r="Y31" s="66"/>
      <c r="Z31" s="66"/>
      <c r="AA31" s="66"/>
      <c r="AB31" s="66"/>
    </row>
    <row r="32" spans="1:28">
      <c r="A32" t="s">
        <v>215</v>
      </c>
      <c r="B32" s="40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>60/N32</f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40" t="s">
        <v>87</v>
      </c>
      <c r="W32" s="53">
        <f>C32*$W$1</f>
        <v>468.6190812295082</v>
      </c>
      <c r="X32" s="66"/>
      <c r="Y32" s="66"/>
      <c r="Z32" s="66"/>
      <c r="AA32" s="66"/>
      <c r="AB32" s="66"/>
    </row>
    <row r="33" spans="1:28">
      <c r="A33" t="s">
        <v>216</v>
      </c>
      <c r="B33" s="40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>60/N33</f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40" t="s">
        <v>87</v>
      </c>
      <c r="W33" s="53">
        <f>C33*$W$1</f>
        <v>341.70516972972968</v>
      </c>
      <c r="X33" s="66"/>
      <c r="Y33" s="66"/>
      <c r="Z33" s="66"/>
      <c r="AA33" s="66"/>
      <c r="AB33" s="66"/>
    </row>
    <row r="34" spans="1:28">
      <c r="A34" t="s">
        <v>289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40" t="s">
        <v>87</v>
      </c>
      <c r="W34" s="53"/>
      <c r="X34" s="66"/>
      <c r="Y34" s="66"/>
      <c r="Z34" s="66"/>
      <c r="AA34" s="66"/>
      <c r="AB34" s="66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40"/>
      <c r="Y35" s="40"/>
      <c r="Z35" s="40"/>
      <c r="AA35" s="40"/>
      <c r="AB35" s="40"/>
    </row>
    <row r="36" spans="1:28">
      <c r="A36" s="6"/>
      <c r="B36" s="11"/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0">60/N36</f>
        <v>#DIV/0!</v>
      </c>
      <c r="U36" s="2"/>
      <c r="X36" s="40"/>
      <c r="Y36" s="40"/>
      <c r="Z36" s="40"/>
      <c r="AA36" s="40"/>
      <c r="AB36" s="40"/>
    </row>
    <row r="37" spans="1:28">
      <c r="A37" s="5"/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0"/>
        <v>#DIV/0!</v>
      </c>
      <c r="U37" s="2"/>
      <c r="W37" s="53"/>
      <c r="X37" s="66"/>
      <c r="Y37" s="66"/>
      <c r="Z37" s="66"/>
      <c r="AA37" s="66"/>
      <c r="AB37" s="66"/>
    </row>
    <row r="38" spans="1:28">
      <c r="A38" s="5"/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0"/>
        <v>#DIV/0!</v>
      </c>
      <c r="U38" s="2"/>
      <c r="W38" s="53"/>
      <c r="X38" s="66"/>
      <c r="Y38" s="66"/>
      <c r="Z38" s="66"/>
      <c r="AA38" s="66"/>
      <c r="AB38" s="66"/>
    </row>
    <row r="39" spans="1:28">
      <c r="A39" s="5"/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0"/>
        <v>#DIV/0!</v>
      </c>
      <c r="U39" s="2"/>
      <c r="X39" s="40"/>
      <c r="Y39" s="40"/>
      <c r="Z39" s="40"/>
      <c r="AA39" s="40"/>
      <c r="AB39" s="40"/>
    </row>
    <row r="40" spans="1:28">
      <c r="A40" s="5"/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0"/>
        <v>#DIV/0!</v>
      </c>
      <c r="U40" s="2"/>
      <c r="X40" s="40"/>
      <c r="Y40" s="40"/>
      <c r="Z40" s="40"/>
      <c r="AA40" s="40"/>
      <c r="AB40" s="40"/>
    </row>
    <row r="41" spans="1:28">
      <c r="A41" s="5"/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0"/>
        <v>#DIV/0!</v>
      </c>
      <c r="U41" s="2"/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>60/N43</f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>60/N44</f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>60/N45</f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>60/N46</f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>60/N47</f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>60/N48</f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>60/N49</f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>60/N50</f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>60/N51</f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>60/N52</f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>60/N53</f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>60/N54</f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>60/N55</f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>60/N56</f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>60/N57</f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>60/N58</f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>60/N59</f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>60/N60</f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>60/N61</f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>60/N62</f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>60/N63</f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>60/N64</f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>60/N65</f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>60/N66</f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>60/N67</f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>60/N68</f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>60/N69</f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>60/N70</f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>60/N71</f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>60/N72</f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>60/N73</f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>60/N75</f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>60/N76</f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>60/N77</f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>60/N78</f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>60/N79</f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>60/N80</f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>60/N81</f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>60/N82</f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>60/N83</f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>60/N84</f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>60/N85</f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>60/N86</f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>60/N87</f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>60/N88</f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>60/N89</f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>60/N90</f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>60/N91</f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>60/N92</f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>60/N93</f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>60/N94</f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>60/N95</f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>60/N96</f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>60/N97</f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>60/N98</f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>60/N99</f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>60/N100</f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>60/N101</f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>60/N102</f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>60/N103</f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>60/N104</f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>60/N105</f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>60/N107</f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>60/N108</f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>60/N109</f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>60/N110</f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>60/N111</f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>60/N112</f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>60/N113</f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>60/N114</f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>60/N115</f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>60/N116</f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>60/N117</f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>60/N118</f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>60/N119</f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>60/N120</f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>60/N121</f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>60/N122</f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>60/N123</f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210" priority="20" operator="greaterThan">
      <formula>3.2</formula>
    </cfRule>
  </conditionalFormatting>
  <conditionalFormatting sqref="O4:O123">
    <cfRule type="cellIs" dxfId="209" priority="19" operator="equal">
      <formula>0</formula>
    </cfRule>
  </conditionalFormatting>
  <conditionalFormatting sqref="F4:F500">
    <cfRule type="cellIs" dxfId="208" priority="10" stopIfTrue="1" operator="between">
      <formula>24.5</formula>
      <formula>0.01</formula>
    </cfRule>
    <cfRule type="cellIs" dxfId="207" priority="11" stopIfTrue="1" operator="between">
      <formula>26.5</formula>
      <formula>0.01</formula>
    </cfRule>
    <cfRule type="cellIs" dxfId="206" priority="12" operator="between">
      <formula>28.5</formula>
      <formula>0.01</formula>
    </cfRule>
    <cfRule type="cellIs" dxfId="205" priority="7" operator="greaterThanOrEqual">
      <formula>36.5</formula>
    </cfRule>
    <cfRule type="cellIs" dxfId="204" priority="8" operator="greaterThanOrEqual">
      <formula>34.5</formula>
    </cfRule>
    <cfRule type="cellIs" dxfId="203" priority="9" operator="greaterThanOrEqual">
      <formula>32.5</formula>
    </cfRule>
  </conditionalFormatting>
  <conditionalFormatting sqref="G4:G500">
    <cfRule type="cellIs" dxfId="202" priority="4" stopIfTrue="1" operator="between">
      <formula>0.54</formula>
      <formula>0.01</formula>
    </cfRule>
    <cfRule type="cellIs" dxfId="201" priority="5" stopIfTrue="1" operator="between">
      <formula>0.57</formula>
      <formula>0.01</formula>
    </cfRule>
    <cfRule type="cellIs" dxfId="200" priority="6" operator="between">
      <formula>0.6</formula>
      <formula>0.01</formula>
    </cfRule>
    <cfRule type="cellIs" dxfId="199" priority="1" operator="greaterThanOrEqual">
      <formula>0.72</formula>
    </cfRule>
    <cfRule type="cellIs" dxfId="198" priority="2" operator="greaterThanOrEqual">
      <formula>0.69</formula>
    </cfRule>
    <cfRule type="cellIs" dxfId="197" priority="3" operator="greaterThanOrEqual">
      <formula>0.66</formula>
    </cfRule>
  </conditionalFormatting>
  <conditionalFormatting sqref="E4:E500">
    <cfRule type="cellIs" dxfId="192" priority="14" operator="greaterThanOrEqual">
      <formula>11.97</formula>
    </cfRule>
    <cfRule type="cellIs" dxfId="193" priority="15" operator="greaterThanOrEqual">
      <formula>11.42</formula>
    </cfRule>
    <cfRule type="cellIs" dxfId="196" priority="16" stopIfTrue="1" operator="between">
      <formula>9.46</formula>
      <formula>0.01</formula>
    </cfRule>
    <cfRule type="cellIs" dxfId="195" priority="17" stopIfTrue="1" operator="between">
      <formula>9.89</formula>
      <formula>0.01</formula>
    </cfRule>
    <cfRule type="cellIs" dxfId="194" priority="18" operator="between">
      <formula>10.36</formula>
      <formula>0.01</formula>
    </cfRule>
    <cfRule type="cellIs" dxfId="191" priority="13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298</v>
      </c>
      <c r="Y3" t="s">
        <v>302</v>
      </c>
      <c r="Z3" t="s">
        <v>300</v>
      </c>
      <c r="AA3" t="s">
        <v>301</v>
      </c>
      <c r="AB3" t="s">
        <v>303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40" t="s">
        <v>87</v>
      </c>
      <c r="W4" s="53">
        <f>C4*$W$2</f>
        <v>260.57694069333331</v>
      </c>
      <c r="X4" s="66"/>
      <c r="Y4" s="66"/>
      <c r="Z4" s="66"/>
      <c r="AA4" s="66"/>
      <c r="AB4" s="66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40" t="s">
        <v>87</v>
      </c>
      <c r="W5" s="53">
        <f t="shared" ref="W5:W11" si="0">C5*$W$2</f>
        <v>255.37266289640885</v>
      </c>
      <c r="X5" s="66"/>
      <c r="Y5" s="66"/>
      <c r="Z5" s="66"/>
      <c r="AA5" s="66"/>
      <c r="AB5" s="66"/>
    </row>
    <row r="6" spans="1:28">
      <c r="A6" s="4" t="s">
        <v>195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40" t="s">
        <v>87</v>
      </c>
      <c r="W6" s="53">
        <f t="shared" si="0"/>
        <v>243.02795575682381</v>
      </c>
      <c r="X6" s="40"/>
      <c r="Y6" s="40"/>
      <c r="Z6" s="40"/>
      <c r="AA6" s="40"/>
      <c r="AB6" s="40"/>
    </row>
    <row r="7" spans="1:28">
      <c r="A7" s="4" t="s">
        <v>196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40" t="s">
        <v>87</v>
      </c>
      <c r="W7" s="53">
        <f t="shared" si="0"/>
        <v>247.41377564800001</v>
      </c>
      <c r="X7" s="40"/>
      <c r="Y7" s="40"/>
      <c r="Z7" s="40"/>
      <c r="AA7" s="40"/>
      <c r="AB7" s="40"/>
    </row>
    <row r="8" spans="1:28">
      <c r="A8" s="4" t="s">
        <v>191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40" t="s">
        <v>87</v>
      </c>
      <c r="W8" s="53">
        <f t="shared" si="0"/>
        <v>187.15659814285709</v>
      </c>
      <c r="X8" s="40"/>
      <c r="Y8" s="40"/>
      <c r="Z8" s="40"/>
      <c r="AA8" s="40"/>
      <c r="AB8" s="40"/>
    </row>
    <row r="9" spans="1:28">
      <c r="A9" s="14" t="s">
        <v>228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40" t="s">
        <v>86</v>
      </c>
      <c r="W9" s="53">
        <f t="shared" si="0"/>
        <v>248.68875865312492</v>
      </c>
      <c r="X9" s="40"/>
      <c r="Y9" s="40"/>
      <c r="Z9" s="40"/>
      <c r="AA9" s="40"/>
      <c r="AB9" s="40"/>
    </row>
    <row r="10" spans="1:28">
      <c r="A10" s="4" t="s">
        <v>233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40" t="s">
        <v>87</v>
      </c>
      <c r="W10" s="53">
        <f t="shared" si="0"/>
        <v>253.71057583098596</v>
      </c>
      <c r="X10" s="66"/>
      <c r="Y10" s="66"/>
      <c r="Z10" s="66"/>
      <c r="AA10" s="66"/>
      <c r="AB10" s="66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53">
        <v>255</v>
      </c>
      <c r="X11" s="40"/>
      <c r="Y11" s="40"/>
      <c r="Z11" s="40"/>
      <c r="AA11" s="40"/>
      <c r="AB11" s="40"/>
    </row>
    <row r="12" spans="1:28">
      <c r="A12" s="14"/>
      <c r="B12" s="4"/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>60/N12</f>
        <v>#DIV/0!</v>
      </c>
      <c r="U12" s="2"/>
      <c r="W12" s="53"/>
      <c r="X12" s="66"/>
      <c r="Y12" s="66"/>
      <c r="Z12" s="66"/>
      <c r="AA12" s="66"/>
      <c r="AB12" s="66"/>
    </row>
    <row r="13" spans="1:28">
      <c r="B13" s="4"/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>60/N13</f>
        <v>#DIV/0!</v>
      </c>
      <c r="U13" s="2"/>
      <c r="W13" s="53"/>
      <c r="X13" s="66"/>
      <c r="Y13" s="66"/>
      <c r="Z13" s="66"/>
      <c r="AA13" s="66"/>
      <c r="AB13" s="66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>60/N14</f>
        <v>#DIV/0!</v>
      </c>
      <c r="U14" s="2"/>
      <c r="W14" s="53"/>
      <c r="X14" s="66"/>
      <c r="Y14" s="66"/>
      <c r="Z14" s="66"/>
      <c r="AA14" s="66"/>
      <c r="AB14" s="66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>60/N15</f>
        <v>#DIV/0!</v>
      </c>
      <c r="U15" s="2"/>
      <c r="W15" s="53"/>
      <c r="X15" s="66"/>
      <c r="Y15" s="66"/>
      <c r="Z15" s="66"/>
      <c r="AA15" s="66"/>
      <c r="AB15" s="66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>60/N16</f>
        <v>#DIV/0!</v>
      </c>
      <c r="U16" s="2"/>
      <c r="W16" s="53"/>
      <c r="X16" s="66"/>
      <c r="Y16" s="66"/>
      <c r="Z16" s="66"/>
      <c r="AA16" s="66"/>
      <c r="AB16" s="66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>60/N17</f>
        <v>#DIV/0!</v>
      </c>
      <c r="P17"/>
      <c r="Q17"/>
      <c r="R17"/>
      <c r="S17"/>
      <c r="T17"/>
      <c r="U17" s="2"/>
      <c r="V17" s="40"/>
      <c r="W17" s="53"/>
      <c r="X17" s="66"/>
      <c r="Y17" s="66"/>
      <c r="Z17" s="66"/>
      <c r="AA17" s="66"/>
      <c r="AB17" s="66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>60/N18</f>
        <v>#DIV/0!</v>
      </c>
      <c r="U18" s="2"/>
      <c r="W18" s="53"/>
      <c r="X18" s="66"/>
      <c r="Y18" s="66"/>
      <c r="Z18" s="66"/>
      <c r="AA18" s="66"/>
      <c r="AB18" s="66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>60/N19</f>
        <v>#DIV/0!</v>
      </c>
      <c r="U19" s="2"/>
      <c r="W19" s="53"/>
      <c r="X19" s="66"/>
      <c r="Y19" s="66"/>
      <c r="Z19" s="66"/>
      <c r="AA19" s="66"/>
      <c r="AB19" s="66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>60/N20</f>
        <v>#DIV/0!</v>
      </c>
      <c r="U20" s="2"/>
      <c r="X20" s="40"/>
      <c r="Y20" s="40"/>
      <c r="Z20" s="40"/>
      <c r="AA20" s="40"/>
      <c r="AB20" s="40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>60/N21</f>
        <v>#DIV/0!</v>
      </c>
      <c r="U21" s="2"/>
      <c r="X21" s="40"/>
      <c r="Y21" s="40"/>
      <c r="Z21" s="40"/>
      <c r="AA21" s="40"/>
      <c r="AB21" s="40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>60/N22</f>
        <v>#DIV/0!</v>
      </c>
      <c r="U22" s="2"/>
      <c r="X22" s="40"/>
      <c r="Y22" s="40"/>
      <c r="Z22" s="40"/>
      <c r="AA22" s="40"/>
      <c r="AB22" s="40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>60/N23</f>
        <v>#DIV/0!</v>
      </c>
      <c r="U23" s="2"/>
      <c r="W23" s="53"/>
      <c r="X23" s="66"/>
      <c r="Y23" s="66"/>
      <c r="Z23" s="66"/>
      <c r="AA23" s="66"/>
      <c r="AB23" s="66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>60/N24</f>
        <v>#DIV/0!</v>
      </c>
      <c r="U24" s="2"/>
      <c r="W24" s="53"/>
      <c r="X24" s="66"/>
      <c r="Y24" s="66"/>
      <c r="Z24" s="66"/>
      <c r="AA24" s="66"/>
      <c r="AB24" s="66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>60/N25</f>
        <v>#DIV/0!</v>
      </c>
      <c r="T25" s="7"/>
      <c r="U25" s="8"/>
      <c r="V25" s="47"/>
      <c r="W25" s="53"/>
      <c r="X25" s="66"/>
      <c r="Y25" s="66"/>
      <c r="Z25" s="66"/>
      <c r="AA25" s="66"/>
      <c r="AB25" s="66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>60/N26</f>
        <v>#DIV/0!</v>
      </c>
      <c r="U26" s="2"/>
      <c r="X26" s="40"/>
      <c r="Y26" s="40"/>
      <c r="Z26" s="40"/>
      <c r="AA26" s="40"/>
      <c r="AB26" s="40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>60/N27</f>
        <v>#DIV/0!</v>
      </c>
      <c r="U27" s="2"/>
      <c r="X27" s="40"/>
      <c r="Y27" s="40"/>
      <c r="Z27" s="40"/>
      <c r="AA27" s="40"/>
      <c r="AB27" s="40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>60/N28</f>
        <v>#DIV/0!</v>
      </c>
      <c r="U28" s="2"/>
      <c r="X28" s="40"/>
      <c r="Y28" s="40"/>
      <c r="Z28" s="40"/>
      <c r="AA28" s="40"/>
      <c r="AB28" s="40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>60/N29</f>
        <v>#DIV/0!</v>
      </c>
      <c r="U29" s="2"/>
      <c r="X29" s="40"/>
      <c r="Y29" s="40"/>
      <c r="Z29" s="40"/>
      <c r="AA29" s="40"/>
      <c r="AB29" s="40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>60/N30</f>
        <v>#DIV/0!</v>
      </c>
      <c r="U30" s="2"/>
      <c r="W30" s="53"/>
      <c r="X30" s="66"/>
      <c r="Y30" s="66"/>
      <c r="Z30" s="66"/>
      <c r="AA30" s="66"/>
      <c r="AB30" s="66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>60/N31</f>
        <v>#DIV/0!</v>
      </c>
      <c r="U31" s="2"/>
      <c r="W31" s="53"/>
      <c r="X31" s="66"/>
      <c r="Y31" s="66"/>
      <c r="Z31" s="66"/>
      <c r="AA31" s="66"/>
      <c r="AB31" s="66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>60/N32</f>
        <v>#DIV/0!</v>
      </c>
      <c r="U32" s="2"/>
      <c r="W32" s="53"/>
      <c r="X32" s="66"/>
      <c r="Y32" s="66"/>
      <c r="Z32" s="66"/>
      <c r="AA32" s="66"/>
      <c r="AB32" s="66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>60/N33</f>
        <v>#DIV/0!</v>
      </c>
      <c r="U33" s="2"/>
      <c r="X33" s="40"/>
      <c r="Y33" s="40"/>
      <c r="Z33" s="40"/>
      <c r="AA33" s="40"/>
      <c r="AB33" s="40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>60/N34</f>
        <v>#DIV/0!</v>
      </c>
      <c r="U34" s="2"/>
      <c r="W34" s="53"/>
      <c r="X34" s="66"/>
      <c r="Y34" s="66"/>
      <c r="Z34" s="66"/>
      <c r="AA34" s="66"/>
      <c r="AB34" s="66"/>
    </row>
    <row r="35" spans="1:28">
      <c r="A35" s="1"/>
      <c r="B35" s="40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>60/N35</f>
        <v>#DIV/0!</v>
      </c>
      <c r="U35" s="2"/>
      <c r="W35" s="53"/>
      <c r="X35" s="66"/>
      <c r="Y35" s="66"/>
      <c r="Z35" s="66"/>
      <c r="AA35" s="66"/>
      <c r="AB35" s="66"/>
    </row>
    <row r="36" spans="1:28">
      <c r="B36" s="40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>60/N36</f>
        <v>#DIV/0!</v>
      </c>
      <c r="U36" s="2"/>
      <c r="W36" s="53"/>
      <c r="X36" s="66"/>
      <c r="Y36" s="66"/>
      <c r="Z36" s="66"/>
      <c r="AA36" s="66"/>
      <c r="AB36" s="66"/>
    </row>
    <row r="37" spans="1:28">
      <c r="B37" s="40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>60/N37</f>
        <v>#DIV/0!</v>
      </c>
      <c r="U37" s="2"/>
      <c r="W37" s="53"/>
      <c r="X37" s="66"/>
      <c r="Y37" s="66"/>
      <c r="Z37" s="66"/>
      <c r="AA37" s="66"/>
      <c r="AB37" s="66"/>
    </row>
    <row r="38" spans="1:28">
      <c r="A38" s="1"/>
      <c r="B38" s="40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>60/N38</f>
        <v>#DIV/0!</v>
      </c>
      <c r="U38" s="2"/>
      <c r="W38" s="53"/>
      <c r="X38" s="66"/>
      <c r="Y38" s="66"/>
      <c r="Z38" s="66"/>
      <c r="AA38" s="66"/>
      <c r="AB38" s="66"/>
    </row>
    <row r="39" spans="1:28">
      <c r="B39" s="40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>60/N39</f>
        <v>#DIV/0!</v>
      </c>
      <c r="U39" s="2"/>
      <c r="W39" s="53"/>
      <c r="X39" s="66"/>
      <c r="Y39" s="66"/>
      <c r="Z39" s="66"/>
      <c r="AA39" s="66"/>
      <c r="AB39" s="66"/>
    </row>
    <row r="40" spans="1:28">
      <c r="B40" s="40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>60/N40</f>
        <v>#DIV/0!</v>
      </c>
      <c r="U40" s="2"/>
      <c r="W40" s="53"/>
      <c r="X40" s="66"/>
      <c r="Y40" s="66"/>
      <c r="Z40" s="66"/>
      <c r="AA40" s="66"/>
      <c r="AB40" s="66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>60/N41</f>
        <v>#DIV/0!</v>
      </c>
      <c r="U41" s="2"/>
      <c r="W41" s="53"/>
      <c r="X41" s="66"/>
      <c r="Y41" s="66"/>
      <c r="Z41" s="66"/>
      <c r="AA41" s="66"/>
      <c r="AB41" s="66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>60/N43</f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>60/N44</f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>60/N45</f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>60/N46</f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>60/N47</f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>60/N48</f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>60/N49</f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>60/N50</f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>60/N51</f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>60/N52</f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>60/N53</f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>60/N54</f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>60/N55</f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>60/N56</f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>60/N57</f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>60/N58</f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>60/N59</f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>60/N60</f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>60/N61</f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>60/N62</f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>60/N63</f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>60/N64</f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>60/N65</f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>60/N66</f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>60/N67</f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>60/N68</f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>60/N69</f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>60/N70</f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>60/N71</f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>60/N72</f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>60/N73</f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>60/N75</f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>60/N76</f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>60/N77</f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>60/N78</f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>60/N79</f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>60/N80</f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>60/N81</f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>60/N82</f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>60/N83</f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>60/N84</f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>60/N85</f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>60/N86</f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>60/N87</f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>60/N88</f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>60/N89</f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>60/N90</f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>60/N91</f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>60/N92</f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>60/N93</f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>60/N94</f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>60/N95</f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>60/N96</f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>60/N97</f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>60/N98</f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>60/N99</f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>60/N100</f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>60/N101</f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>60/N102</f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>60/N103</f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>60/N104</f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>60/N105</f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>60/N107</f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>60/N108</f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>60/N109</f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>60/N110</f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>60/N111</f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>60/N112</f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>60/N113</f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>60/N114</f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>60/N115</f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>60/N116</f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>60/N117</f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>60/N118</f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>60/N119</f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>60/N120</f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>60/N121</f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>60/N122</f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>60/N123</f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86" priority="21" operator="greaterThan">
      <formula>2.839</formula>
    </cfRule>
  </conditionalFormatting>
  <conditionalFormatting sqref="O4:O123">
    <cfRule type="cellIs" dxfId="85" priority="20" operator="equal">
      <formula>0</formula>
    </cfRule>
  </conditionalFormatting>
  <conditionalFormatting sqref="E4:E500">
    <cfRule type="cellIs" dxfId="84" priority="14" operator="greaterThanOrEqual">
      <formula>6.47</formula>
    </cfRule>
    <cfRule type="cellIs" dxfId="83" priority="15" operator="greaterThanOrEqual">
      <formula>6.19</formula>
    </cfRule>
    <cfRule type="cellIs" dxfId="82" priority="16" operator="greaterThanOrEqual">
      <formula>5.91</formula>
    </cfRule>
    <cfRule type="cellIs" dxfId="81" priority="17" stopIfTrue="1" operator="between">
      <formula>4.9</formula>
      <formula>0.01</formula>
    </cfRule>
    <cfRule type="cellIs" dxfId="80" priority="18" stopIfTrue="1" operator="between">
      <formula>5.12</formula>
      <formula>0.01</formula>
    </cfRule>
    <cfRule type="cellIs" dxfId="79" priority="19" operator="between">
      <formula>5.36</formula>
      <formula>0.01</formula>
    </cfRule>
  </conditionalFormatting>
  <conditionalFormatting sqref="F4:F500">
    <cfRule type="cellIs" dxfId="78" priority="8" operator="greaterThanOrEqual">
      <formula>42.9</formula>
    </cfRule>
    <cfRule type="cellIs" dxfId="77" priority="9" operator="greaterThanOrEqual">
      <formula>40.9</formula>
    </cfRule>
    <cfRule type="cellIs" dxfId="76" priority="10" operator="greaterThanOrEqual">
      <formula>38.9</formula>
    </cfRule>
    <cfRule type="cellIs" dxfId="75" priority="11" stopIfTrue="1" operator="between">
      <formula>30.9</formula>
      <formula>0.01</formula>
    </cfRule>
    <cfRule type="cellIs" dxfId="74" priority="12" stopIfTrue="1" operator="between">
      <formula>32.9</formula>
      <formula>0.01</formula>
    </cfRule>
    <cfRule type="cellIs" dxfId="73" priority="13" operator="between">
      <formula>34.9</formula>
      <formula>0.01</formula>
    </cfRule>
  </conditionalFormatting>
  <conditionalFormatting sqref="G4:G500">
    <cfRule type="cellIs" dxfId="72" priority="1" operator="greaterThanOrEqual">
      <formula>0.91</formula>
    </cfRule>
    <cfRule type="cellIs" dxfId="71" priority="3" operator="greaterThanOrEqual">
      <formula>0.87</formula>
    </cfRule>
    <cfRule type="cellIs" dxfId="70" priority="4" operator="greaterThanOrEqual">
      <formula>0.83</formula>
    </cfRule>
    <cfRule type="cellIs" dxfId="69" priority="5" stopIfTrue="1" operator="between">
      <formula>0.69</formula>
      <formula>0.01</formula>
    </cfRule>
    <cfRule type="cellIs" dxfId="68" priority="6" stopIfTrue="1" operator="between">
      <formula>0.72</formula>
      <formula>0.01</formula>
    </cfRule>
    <cfRule type="cellIs" dxfId="67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H28" sqref="H28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2.757509615384615</v>
      </c>
      <c r="D4" s="3">
        <f>SUM(Table1681011[[#This Row],[DPS]]*Table1681011[[#This Row],[Avg Accuracy]])</f>
        <v>3.0673076923076925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0.6875</v>
      </c>
      <c r="H4">
        <v>29</v>
      </c>
      <c r="I4">
        <v>1.5</v>
      </c>
      <c r="J4">
        <v>42</v>
      </c>
      <c r="K4">
        <v>1</v>
      </c>
      <c r="L4">
        <v>2.6</v>
      </c>
      <c r="M4">
        <v>3.9</v>
      </c>
      <c r="N4">
        <v>0</v>
      </c>
      <c r="O4" s="2">
        <v>0</v>
      </c>
      <c r="P4">
        <v>0.4</v>
      </c>
      <c r="Q4">
        <v>0.68</v>
      </c>
      <c r="R4">
        <v>0.82</v>
      </c>
      <c r="S4">
        <v>0.85</v>
      </c>
      <c r="T4">
        <v>120</v>
      </c>
      <c r="U4">
        <v>7.54</v>
      </c>
      <c r="V4" t="s">
        <v>87</v>
      </c>
      <c r="W4" s="53">
        <f>Table1681011[[#This Row],[Balance]]*$W$2</f>
        <v>555.69333769230764</v>
      </c>
    </row>
    <row r="5" spans="1:23">
      <c r="A5" t="s">
        <v>119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2.4359125000000006</v>
      </c>
      <c r="D5" s="3">
        <f>SUM(Table1681011[[#This Row],[DPS]]*Table1681011[[#This Row],[Avg Accuracy]])</f>
        <v>3.5875000000000008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0.71750000000000003</v>
      </c>
      <c r="H5">
        <v>21</v>
      </c>
      <c r="I5">
        <v>1.5</v>
      </c>
      <c r="J5">
        <v>31</v>
      </c>
      <c r="K5">
        <v>1</v>
      </c>
      <c r="L5">
        <v>1.9</v>
      </c>
      <c r="M5">
        <v>2.2999999999999998</v>
      </c>
      <c r="N5">
        <v>0</v>
      </c>
      <c r="O5" s="2">
        <v>0</v>
      </c>
      <c r="P5">
        <v>0.5</v>
      </c>
      <c r="Q5">
        <v>0.71</v>
      </c>
      <c r="R5">
        <v>0.86</v>
      </c>
      <c r="S5">
        <v>0.8</v>
      </c>
      <c r="T5">
        <v>90</v>
      </c>
      <c r="U5">
        <v>3.1</v>
      </c>
      <c r="V5" t="s">
        <v>87</v>
      </c>
      <c r="W5" s="53">
        <f>Table1681011[[#This Row],[Balance]]*$W$2</f>
        <v>490.88508700000017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53">
        <f>Table1681011[[#This Row],[Balance]]*$W$2</f>
        <v>513.76607999999999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53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>
        <f>Table1681011[[#This Row],[Balance]]*$W$2</f>
        <v>513.17297000000008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t="s">
        <v>230</v>
      </c>
      <c r="B10">
        <v>3</v>
      </c>
      <c r="C10" s="2">
        <f>SUM(((Table1681011[[#This Row],[Avg DPS]]*(Table1681011[[#This Row],[Range]]))+(Table1681011[[#This Row],[Avg DPS]]*Table1681011[[#This Row],[Arm Pen (%)]]))/100)</f>
        <v>2.2061842105263154</v>
      </c>
      <c r="D10" s="3">
        <f>SUM(Table1681011[[#This Row],[DPS]]*Table1681011[[#This Row],[Avg Accuracy]])</f>
        <v>3.0263157894736841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0.75</v>
      </c>
      <c r="H10">
        <v>23</v>
      </c>
      <c r="I10">
        <v>1.5</v>
      </c>
      <c r="J10">
        <v>32</v>
      </c>
      <c r="K10">
        <v>1</v>
      </c>
      <c r="L10">
        <v>2.2000000000000002</v>
      </c>
      <c r="M10">
        <v>3.5</v>
      </c>
      <c r="N10">
        <v>0</v>
      </c>
      <c r="O10" s="2">
        <v>0</v>
      </c>
      <c r="P10">
        <v>0.5</v>
      </c>
      <c r="Q10">
        <v>0.73</v>
      </c>
      <c r="R10">
        <v>0.89</v>
      </c>
      <c r="S10">
        <v>0.88</v>
      </c>
      <c r="T10">
        <v>120</v>
      </c>
      <c r="U10">
        <v>5</v>
      </c>
      <c r="V10" t="s">
        <v>87</v>
      </c>
      <c r="W10" s="53">
        <f>Table1681011[[#This Row],[Balance]]*$W$2</f>
        <v>444.59024210526309</v>
      </c>
    </row>
    <row r="11" spans="1:23">
      <c r="A11" t="s">
        <v>231</v>
      </c>
      <c r="B11">
        <v>3</v>
      </c>
      <c r="C11" s="2">
        <f>SUM(((Table1681011[[#This Row],[Avg DPS]]*(Table1681011[[#This Row],[Range]]))+(Table1681011[[#This Row],[Avg DPS]]*Table1681011[[#This Row],[Arm Pen (%)]]))/100)</f>
        <v>2.6368861607142855</v>
      </c>
      <c r="D11" s="3">
        <f>SUM(Table1681011[[#This Row],[DPS]]*Table1681011[[#This Row],[Avg Accuracy]])</f>
        <v>3.1808035714285712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0.71249999999999991</v>
      </c>
      <c r="H11">
        <v>25</v>
      </c>
      <c r="I11">
        <v>1.5</v>
      </c>
      <c r="J11">
        <v>38</v>
      </c>
      <c r="K11">
        <v>1</v>
      </c>
      <c r="L11">
        <v>2.2999999999999998</v>
      </c>
      <c r="M11">
        <v>3.3</v>
      </c>
      <c r="N11">
        <v>0</v>
      </c>
      <c r="O11" s="2">
        <v>0</v>
      </c>
      <c r="P11">
        <v>0.5</v>
      </c>
      <c r="Q11">
        <v>0.7</v>
      </c>
      <c r="R11">
        <v>0.85</v>
      </c>
      <c r="S11">
        <v>0.8</v>
      </c>
      <c r="T11">
        <v>100</v>
      </c>
      <c r="U11">
        <v>4.2</v>
      </c>
      <c r="V11" t="s">
        <v>87</v>
      </c>
      <c r="W11" s="53">
        <f>Table1681011[[#This Row],[Balance]]*$W$2</f>
        <v>531.38529910714283</v>
      </c>
    </row>
    <row r="12" spans="1:23">
      <c r="A12" s="1" t="s">
        <v>229</v>
      </c>
      <c r="B12">
        <v>3</v>
      </c>
      <c r="C12" s="2">
        <f>SUM(((Table1681011[[#This Row],[Avg DPS]]*(Table1681011[[#This Row],[Range]]))+(Table1681011[[#This Row],[Avg DPS]]*Table1681011[[#This Row],[Arm Pen (%)]]))/100)</f>
        <v>2.4613797169811322</v>
      </c>
      <c r="D12" s="3">
        <f>SUM(Table1681011[[#This Row],[DPS]]*Table1681011[[#This Row],[Avg Accuracy]])</f>
        <v>3.242924528301887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0.6875</v>
      </c>
      <c r="H12">
        <v>25</v>
      </c>
      <c r="I12">
        <v>1.5</v>
      </c>
      <c r="J12">
        <v>38</v>
      </c>
      <c r="K12">
        <v>1</v>
      </c>
      <c r="L12">
        <v>1.8</v>
      </c>
      <c r="M12">
        <v>3.5</v>
      </c>
      <c r="N12">
        <v>0</v>
      </c>
      <c r="O12" s="2">
        <v>0</v>
      </c>
      <c r="P12">
        <v>0.5</v>
      </c>
      <c r="Q12">
        <v>0.7</v>
      </c>
      <c r="R12">
        <v>0.8</v>
      </c>
      <c r="S12">
        <v>0.75</v>
      </c>
      <c r="T12">
        <v>100</v>
      </c>
      <c r="U12">
        <v>3.6</v>
      </c>
      <c r="V12" t="s">
        <v>86</v>
      </c>
      <c r="W12" s="53">
        <f>Table1681011[[#This Row],[Balance]]*$W$2</f>
        <v>496.0172405660378</v>
      </c>
    </row>
    <row r="13" spans="1:23">
      <c r="A13" t="s">
        <v>232</v>
      </c>
      <c r="B13">
        <v>3</v>
      </c>
      <c r="C13" s="2">
        <f>SUM(((Table1681011[[#This Row],[Avg DPS]]*(Table1681011[[#This Row],[Range]]))+(Table1681011[[#This Row],[Avg DPS]]*Table1681011[[#This Row],[Arm Pen (%)]]))/100)</f>
        <v>2.6975460176991159</v>
      </c>
      <c r="D13" s="3">
        <f>SUM(Table1681011[[#This Row],[DPS]]*Table1681011[[#This Row],[Avg Accuracy]])</f>
        <v>3.4628318584070801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0.75250000000000006</v>
      </c>
      <c r="H13">
        <v>26</v>
      </c>
      <c r="I13">
        <v>1.5</v>
      </c>
      <c r="J13">
        <v>35</v>
      </c>
      <c r="K13">
        <v>1</v>
      </c>
      <c r="L13">
        <v>2.25</v>
      </c>
      <c r="M13">
        <v>3.4</v>
      </c>
      <c r="N13">
        <v>0</v>
      </c>
      <c r="O13" s="2">
        <v>0</v>
      </c>
      <c r="P13">
        <v>0.5</v>
      </c>
      <c r="Q13">
        <v>0.7</v>
      </c>
      <c r="R13">
        <v>0.92</v>
      </c>
      <c r="S13">
        <v>0.89</v>
      </c>
      <c r="T13">
        <v>100</v>
      </c>
      <c r="U13">
        <v>6.3</v>
      </c>
      <c r="V13" t="s">
        <v>87</v>
      </c>
      <c r="W13" s="53">
        <f>Table1681011[[#This Row],[Balance]]*$W$2</f>
        <v>543.60947348672585</v>
      </c>
    </row>
    <row r="14" spans="1:23">
      <c r="A14" t="s">
        <v>241</v>
      </c>
      <c r="B14">
        <v>4</v>
      </c>
      <c r="C14" s="2">
        <f>SUM(((Table1681011[[#This Row],[Avg DPS]]*(Table1681011[[#This Row],[Range]]))+(Table1681011[[#This Row],[Avg DPS]]*Table1681011[[#This Row],[Arm Pen (%)]]))/100)</f>
        <v>3.540375</v>
      </c>
      <c r="D14" s="3">
        <f>SUM(Table1681011[[#This Row],[DPS]]*Table1681011[[#This Row],[Avg Accuracy]])</f>
        <v>3.375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0.67500000000000004</v>
      </c>
      <c r="H14">
        <v>45</v>
      </c>
      <c r="I14">
        <v>4</v>
      </c>
      <c r="J14">
        <v>50</v>
      </c>
      <c r="K14">
        <v>1</v>
      </c>
      <c r="L14">
        <v>4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0.82</v>
      </c>
      <c r="S14">
        <v>0.78</v>
      </c>
      <c r="T14">
        <v>150</v>
      </c>
      <c r="U14">
        <v>27</v>
      </c>
      <c r="V14" t="s">
        <v>87</v>
      </c>
      <c r="W14" s="53">
        <v>1500</v>
      </c>
    </row>
    <row r="15" spans="1:23">
      <c r="A15" s="48" t="s">
        <v>290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53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>
        <v>13.5</v>
      </c>
      <c r="V16" t="s">
        <v>87</v>
      </c>
      <c r="W16" s="53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2.6263577586206894</v>
      </c>
      <c r="D17" s="3">
        <f>SUM(Table1681011[[#This Row],[DPS]]*Table1681011[[#This Row],[Avg Accuracy]])</f>
        <v>3.1681034482758621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0.73499999999999999</v>
      </c>
      <c r="H17">
        <v>25</v>
      </c>
      <c r="I17">
        <v>1.5</v>
      </c>
      <c r="J17">
        <v>38</v>
      </c>
      <c r="K17">
        <v>1</v>
      </c>
      <c r="L17">
        <v>2.2999999999999998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0.86</v>
      </c>
      <c r="S17">
        <v>0.88</v>
      </c>
      <c r="T17">
        <v>100</v>
      </c>
      <c r="U17"/>
      <c r="V17" t="s">
        <v>86</v>
      </c>
      <c r="W17" s="53">
        <v>530</v>
      </c>
    </row>
    <row r="18" spans="1:23">
      <c r="A18" s="4"/>
      <c r="B18" s="4"/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>60/N18</f>
        <v>#DIV/0!</v>
      </c>
      <c r="W18" s="53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>60/N19</f>
        <v>#DIV/0!</v>
      </c>
      <c r="W19" s="53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>60/N20</f>
        <v>#DIV/0!</v>
      </c>
      <c r="W20" s="53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>60/N21</f>
        <v>#DIV/0!</v>
      </c>
      <c r="W21" s="53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>60/N22</f>
        <v>#DIV/0!</v>
      </c>
      <c r="W22" s="53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>60/N23</f>
        <v>#DIV/0!</v>
      </c>
      <c r="W23" s="53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>60/N24</f>
        <v>#DIV/0!</v>
      </c>
      <c r="W24" s="53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>60/N25</f>
        <v>#DIV/0!</v>
      </c>
      <c r="W25" s="53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>60/N26</f>
        <v>#DIV/0!</v>
      </c>
      <c r="W26" s="53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>60/N27</f>
        <v>#DIV/0!</v>
      </c>
      <c r="W27" s="53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>60/N28</f>
        <v>#DIV/0!</v>
      </c>
      <c r="W28" s="53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>60/N29</f>
        <v>#DIV/0!</v>
      </c>
      <c r="W29" s="53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>60/N30</f>
        <v>#DIV/0!</v>
      </c>
      <c r="W30" s="53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>60/N31</f>
        <v>#DIV/0!</v>
      </c>
      <c r="W31" s="53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>60/N32</f>
        <v>#DIV/0!</v>
      </c>
      <c r="W32" s="53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>60/N33</f>
        <v>#DIV/0!</v>
      </c>
      <c r="W33" s="53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>60/N34</f>
        <v>#DIV/0!</v>
      </c>
      <c r="W34" s="53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>60/N35</f>
        <v>#DIV/0!</v>
      </c>
      <c r="W35" s="53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>60/N36</f>
        <v>#DIV/0!</v>
      </c>
      <c r="W36" s="53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>60/N37</f>
        <v>#DIV/0!</v>
      </c>
      <c r="P37" s="7"/>
      <c r="Q37" s="7"/>
      <c r="R37" s="7"/>
      <c r="S37" s="7"/>
      <c r="W37" s="53"/>
    </row>
  </sheetData>
  <conditionalFormatting sqref="C4:C37">
    <cfRule type="cellIs" dxfId="158" priority="20" operator="greaterThan">
      <formula>2.639</formula>
    </cfRule>
  </conditionalFormatting>
  <conditionalFormatting sqref="O1:O1048576">
    <cfRule type="cellIs" dxfId="157" priority="19" operator="equal">
      <formula>0</formula>
    </cfRule>
  </conditionalFormatting>
  <conditionalFormatting sqref="E4:E500">
    <cfRule type="cellIs" dxfId="156" priority="13" operator="greaterThanOrEqual">
      <formula>4.96</formula>
    </cfRule>
    <cfRule type="cellIs" dxfId="155" priority="14" operator="greaterThanOrEqual">
      <formula>4.74</formula>
    </cfRule>
    <cfRule type="cellIs" dxfId="154" priority="15" operator="greaterThanOrEqual">
      <formula>4.53</formula>
    </cfRule>
    <cfRule type="cellIs" dxfId="153" priority="16" stopIfTrue="1" operator="between">
      <formula>3.75</formula>
      <formula>0.01</formula>
    </cfRule>
    <cfRule type="cellIs" dxfId="152" priority="17" stopIfTrue="1" operator="between">
      <formula>3.92</formula>
      <formula>0.01</formula>
    </cfRule>
    <cfRule type="cellIs" dxfId="151" priority="18" operator="between">
      <formula>4.1</formula>
      <formula>0.01</formula>
    </cfRule>
  </conditionalFormatting>
  <conditionalFormatting sqref="F4:F500">
    <cfRule type="cellIs" dxfId="150" priority="7" operator="greaterThanOrEqual">
      <formula>50.9</formula>
    </cfRule>
    <cfRule type="cellIs" dxfId="149" priority="8" operator="greaterThanOrEqual">
      <formula>48.9</formula>
    </cfRule>
    <cfRule type="cellIs" dxfId="148" priority="9" operator="greaterThanOrEqual">
      <formula>46.9</formula>
    </cfRule>
    <cfRule type="cellIs" dxfId="147" priority="10" stopIfTrue="1" operator="between">
      <formula>38.9</formula>
      <formula>0.01</formula>
    </cfRule>
    <cfRule type="cellIs" dxfId="146" priority="11" stopIfTrue="1" operator="between">
      <formula>40.9</formula>
      <formula>0.01</formula>
    </cfRule>
    <cfRule type="cellIs" dxfId="145" priority="12" operator="between">
      <formula>42.9</formula>
      <formula>0.01</formula>
    </cfRule>
  </conditionalFormatting>
  <conditionalFormatting sqref="G4:G500">
    <cfRule type="cellIs" dxfId="144" priority="4" stopIfTrue="1" operator="between">
      <formula>0.64</formula>
      <formula>0.01</formula>
    </cfRule>
    <cfRule type="cellIs" dxfId="143" priority="5" stopIfTrue="1" operator="between">
      <formula>0.67</formula>
      <formula>0.01</formula>
    </cfRule>
    <cfRule type="cellIs" dxfId="142" priority="6" operator="between">
      <formula>0.67</formula>
      <formula>0.01</formula>
    </cfRule>
    <cfRule type="cellIs" dxfId="141" priority="3" operator="greaterThanOrEqual">
      <formula>0.78</formula>
    </cfRule>
    <cfRule type="cellIs" dxfId="140" priority="2" operator="greaterThanOrEqual">
      <formula>0.81</formula>
    </cfRule>
    <cfRule type="cellIs" dxfId="139" priority="1" operator="greaterThanOrEqual">
      <formula>0.85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F26" sqref="F26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34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I27" sqref="I2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273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1" priority="19" operator="greaterThan">
      <formula>3.51</formula>
    </cfRule>
  </conditionalFormatting>
  <conditionalFormatting sqref="E4:E500">
    <cfRule type="cellIs" dxfId="30" priority="13" operator="greaterThanOrEqual">
      <formula>18.15</formula>
    </cfRule>
    <cfRule type="cellIs" dxfId="29" priority="14" operator="greaterThanOrEqual">
      <formula>17.36</formula>
    </cfRule>
    <cfRule type="cellIs" dxfId="28" priority="15" operator="greaterThanOrEqual">
      <formula>16.57</formula>
    </cfRule>
    <cfRule type="cellIs" dxfId="27" priority="16" stopIfTrue="1" operator="between">
      <formula>13.72</formula>
      <formula>0.01</formula>
    </cfRule>
    <cfRule type="cellIs" dxfId="26" priority="17" stopIfTrue="1" operator="between">
      <formula>14.35</formula>
      <formula>0.01</formula>
    </cfRule>
    <cfRule type="cellIs" dxfId="25" priority="18" operator="between">
      <formula>15.03</formula>
      <formula>0.01</formula>
    </cfRule>
  </conditionalFormatting>
  <conditionalFormatting sqref="F4:F500">
    <cfRule type="cellIs" dxfId="24" priority="7" operator="greaterThanOrEqual">
      <formula>31.9</formula>
    </cfRule>
    <cfRule type="cellIs" dxfId="23" priority="8" operator="greaterThanOrEqual">
      <formula>29.9</formula>
    </cfRule>
    <cfRule type="cellIs" dxfId="22" priority="9" operator="greaterThanOrEqual">
      <formula>27.9</formula>
    </cfRule>
    <cfRule type="cellIs" dxfId="21" priority="10" stopIfTrue="1" operator="between">
      <formula>19.9</formula>
      <formula>0.01</formula>
    </cfRule>
    <cfRule type="cellIs" dxfId="20" priority="11" stopIfTrue="1" operator="between">
      <formula>21.9</formula>
      <formula>0.01</formula>
    </cfRule>
    <cfRule type="cellIs" dxfId="19" priority="12" operator="between">
      <formula>23.9</formula>
      <formula>0.01</formula>
    </cfRule>
  </conditionalFormatting>
  <conditionalFormatting sqref="G4:G500">
    <cfRule type="cellIs" dxfId="18" priority="1" operator="greaterThanOrEqual">
      <formula>0.43</formula>
    </cfRule>
    <cfRule type="cellIs" dxfId="17" priority="2" operator="greaterThanOrEqual">
      <formula>0.41</formula>
    </cfRule>
    <cfRule type="cellIs" dxfId="16" priority="3" operator="greaterThanOrEqual">
      <formula>0.39</formula>
    </cfRule>
    <cfRule type="cellIs" dxfId="15" priority="4" stopIfTrue="1" operator="between">
      <formula>0.32</formula>
      <formula>0.01</formula>
    </cfRule>
    <cfRule type="cellIs" dxfId="14" priority="5" stopIfTrue="1" operator="between">
      <formula>0.34</formula>
      <formula>0.01</formula>
    </cfRule>
    <cfRule type="cellIs" dxfId="13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2025-01-03T18:19:54Z</dcterms:modified>
</cp:coreProperties>
</file>