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3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Volumes" sheetId="15" r:id="rId10"/>
  </sheets>
  <calcPr calcId="124519"/>
</workbook>
</file>

<file path=xl/calcChain.xml><?xml version="1.0" encoding="utf-8"?>
<calcChain xmlns="http://schemas.openxmlformats.org/spreadsheetml/2006/main">
  <c r="O11" i="11"/>
  <c r="O14" i="9"/>
  <c r="E14" s="1"/>
  <c r="G14"/>
  <c r="E5" i="11"/>
  <c r="G5"/>
  <c r="O5"/>
  <c r="O11" i="5"/>
  <c r="E11" s="1"/>
  <c r="G11"/>
  <c r="H13" i="15"/>
  <c r="I13"/>
  <c r="J13"/>
  <c r="K13"/>
  <c r="F13"/>
  <c r="G13"/>
  <c r="E9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9"/>
  <c r="B8"/>
  <c r="B7"/>
  <c r="B6"/>
  <c r="B5"/>
  <c r="B4"/>
  <c r="B3"/>
  <c r="B2"/>
  <c r="D23" i="14"/>
  <c r="C23" s="1"/>
  <c r="E12"/>
  <c r="D12" s="1"/>
  <c r="C12" s="1"/>
  <c r="E13"/>
  <c r="D13" s="1"/>
  <c r="C13" s="1"/>
  <c r="E14"/>
  <c r="D14" s="1"/>
  <c r="C14" s="1"/>
  <c r="E15"/>
  <c r="D15" s="1"/>
  <c r="C15" s="1"/>
  <c r="E16"/>
  <c r="D16" s="1"/>
  <c r="C16" s="1"/>
  <c r="E17"/>
  <c r="D17" s="1"/>
  <c r="C17" s="1"/>
  <c r="E18"/>
  <c r="D18" s="1"/>
  <c r="C18" s="1"/>
  <c r="E19"/>
  <c r="D19" s="1"/>
  <c r="C19" s="1"/>
  <c r="E20"/>
  <c r="D20" s="1"/>
  <c r="C20" s="1"/>
  <c r="E21"/>
  <c r="D21" s="1"/>
  <c r="C21" s="1"/>
  <c r="E22"/>
  <c r="D22" s="1"/>
  <c r="C22" s="1"/>
  <c r="E23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O13"/>
  <c r="O14"/>
  <c r="O15"/>
  <c r="O16"/>
  <c r="O17"/>
  <c r="O18"/>
  <c r="O19"/>
  <c r="O20"/>
  <c r="O21"/>
  <c r="O22"/>
  <c r="O23"/>
  <c r="O24"/>
  <c r="E24" s="1"/>
  <c r="D24" s="1"/>
  <c r="C24" s="1"/>
  <c r="O25"/>
  <c r="E25" s="1"/>
  <c r="D25" s="1"/>
  <c r="C25" s="1"/>
  <c r="O26"/>
  <c r="E26" s="1"/>
  <c r="D26" s="1"/>
  <c r="C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11"/>
  <c r="E11" s="1"/>
  <c r="G11"/>
  <c r="O10"/>
  <c r="E10" s="1"/>
  <c r="G10"/>
  <c r="O9"/>
  <c r="E9" s="1"/>
  <c r="G9"/>
  <c r="O8"/>
  <c r="E8" s="1"/>
  <c r="D8" s="1"/>
  <c r="C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G19"/>
  <c r="O18"/>
  <c r="E18" s="1"/>
  <c r="D18" s="1"/>
  <c r="C18" s="1"/>
  <c r="G18"/>
  <c r="O17"/>
  <c r="E17" s="1"/>
  <c r="G17"/>
  <c r="O16"/>
  <c r="E16" s="1"/>
  <c r="D16" s="1"/>
  <c r="C16" s="1"/>
  <c r="G16"/>
  <c r="O15"/>
  <c r="G15"/>
  <c r="E15"/>
  <c r="D15" s="1"/>
  <c r="C15" s="1"/>
  <c r="O14"/>
  <c r="E14" s="1"/>
  <c r="D14" s="1"/>
  <c r="C14" s="1"/>
  <c r="G14"/>
  <c r="O13"/>
  <c r="E13" s="1"/>
  <c r="G13"/>
  <c r="O12"/>
  <c r="E12" s="1"/>
  <c r="D12" s="1"/>
  <c r="C12" s="1"/>
  <c r="G12"/>
  <c r="O11"/>
  <c r="E11" s="1"/>
  <c r="D11" s="1"/>
  <c r="C11" s="1"/>
  <c r="G11"/>
  <c r="O10"/>
  <c r="E10" s="1"/>
  <c r="D10" s="1"/>
  <c r="C10" s="1"/>
  <c r="G10"/>
  <c r="O9"/>
  <c r="E9" s="1"/>
  <c r="D9" s="1"/>
  <c r="C9" s="1"/>
  <c r="G9"/>
  <c r="O8"/>
  <c r="E8" s="1"/>
  <c r="D8" s="1"/>
  <c r="C8" s="1"/>
  <c r="G8"/>
  <c r="O7"/>
  <c r="E7" s="1"/>
  <c r="G7"/>
  <c r="E6"/>
  <c r="G6"/>
  <c r="E5"/>
  <c r="G5"/>
  <c r="E4"/>
  <c r="G4"/>
  <c r="E5" i="8"/>
  <c r="D5" s="1"/>
  <c r="C5" s="1"/>
  <c r="G5"/>
  <c r="E7" i="5"/>
  <c r="G7"/>
  <c r="O7"/>
  <c r="O4" i="11"/>
  <c r="O6"/>
  <c r="E6" s="1"/>
  <c r="O20"/>
  <c r="E20" s="1"/>
  <c r="D20" s="1"/>
  <c r="C20" s="1"/>
  <c r="G20"/>
  <c r="O19"/>
  <c r="E19" s="1"/>
  <c r="G19"/>
  <c r="O18"/>
  <c r="E18" s="1"/>
  <c r="D18" s="1"/>
  <c r="C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E11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O7"/>
  <c r="E8"/>
  <c r="D8" s="1"/>
  <c r="C8" s="1"/>
  <c r="G8"/>
  <c r="O8"/>
  <c r="E9"/>
  <c r="G9"/>
  <c r="O9"/>
  <c r="E10"/>
  <c r="D10" s="1"/>
  <c r="C10" s="1"/>
  <c r="G10"/>
  <c r="O10"/>
  <c r="G11"/>
  <c r="O11"/>
  <c r="E11" s="1"/>
  <c r="E12"/>
  <c r="G12"/>
  <c r="O12"/>
  <c r="E13"/>
  <c r="D13" s="1"/>
  <c r="C13" s="1"/>
  <c r="G13"/>
  <c r="O13"/>
  <c r="E14"/>
  <c r="D14" s="1"/>
  <c r="C14" s="1"/>
  <c r="G14"/>
  <c r="O14"/>
  <c r="E15"/>
  <c r="G15"/>
  <c r="O15"/>
  <c r="G16"/>
  <c r="O16"/>
  <c r="E16" s="1"/>
  <c r="G5" i="9"/>
  <c r="E5"/>
  <c r="O19" i="10"/>
  <c r="E19" s="1"/>
  <c r="D19" s="1"/>
  <c r="C19" s="1"/>
  <c r="G19"/>
  <c r="O18"/>
  <c r="E18" s="1"/>
  <c r="D18" s="1"/>
  <c r="C18" s="1"/>
  <c r="G18"/>
  <c r="O17"/>
  <c r="E17" s="1"/>
  <c r="D17" s="1"/>
  <c r="C17" s="1"/>
  <c r="G17"/>
  <c r="E4"/>
  <c r="D4" s="1"/>
  <c r="C4" s="1"/>
  <c r="G4"/>
  <c r="O4" i="9"/>
  <c r="E4" s="1"/>
  <c r="G17" i="8"/>
  <c r="O17"/>
  <c r="E17" s="1"/>
  <c r="G5" i="5"/>
  <c r="O5"/>
  <c r="E5" s="1"/>
  <c r="O20" i="9"/>
  <c r="E20" s="1"/>
  <c r="G20"/>
  <c r="O19"/>
  <c r="E19" s="1"/>
  <c r="G19"/>
  <c r="O18"/>
  <c r="E18" s="1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D8" s="1"/>
  <c r="C8" s="1"/>
  <c r="G8"/>
  <c r="O7"/>
  <c r="E7" s="1"/>
  <c r="G7"/>
  <c r="O6"/>
  <c r="E6" s="1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O10"/>
  <c r="E10" s="1"/>
  <c r="O9"/>
  <c r="E9" s="1"/>
  <c r="O8"/>
  <c r="E8" s="1"/>
  <c r="O7"/>
  <c r="E7" s="1"/>
  <c r="O6"/>
  <c r="E6" s="1"/>
  <c r="O5" i="7"/>
  <c r="E5" s="1"/>
  <c r="O6"/>
  <c r="E6" s="1"/>
  <c r="O7"/>
  <c r="E7" s="1"/>
  <c r="O8"/>
  <c r="O9"/>
  <c r="E9" s="1"/>
  <c r="O10"/>
  <c r="O11"/>
  <c r="O12"/>
  <c r="O13"/>
  <c r="E13" s="1"/>
  <c r="O14"/>
  <c r="E14" s="1"/>
  <c r="O15"/>
  <c r="O16"/>
  <c r="E16" s="1"/>
  <c r="O17"/>
  <c r="O18"/>
  <c r="O19"/>
  <c r="O20"/>
  <c r="G5"/>
  <c r="G6"/>
  <c r="G7"/>
  <c r="G8"/>
  <c r="G9"/>
  <c r="G10"/>
  <c r="G11"/>
  <c r="G12"/>
  <c r="G13"/>
  <c r="G14"/>
  <c r="G15"/>
  <c r="G16"/>
  <c r="G17"/>
  <c r="G18"/>
  <c r="G19"/>
  <c r="G20"/>
  <c r="E8"/>
  <c r="E10"/>
  <c r="E11"/>
  <c r="E12"/>
  <c r="E15"/>
  <c r="E17"/>
  <c r="E18"/>
  <c r="E19"/>
  <c r="E20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O12"/>
  <c r="E12" s="1"/>
  <c r="G12"/>
  <c r="O10"/>
  <c r="E10" s="1"/>
  <c r="G10"/>
  <c r="O9"/>
  <c r="E9" s="1"/>
  <c r="G9"/>
  <c r="O8"/>
  <c r="E8" s="1"/>
  <c r="G8"/>
  <c r="O6"/>
  <c r="E6" s="1"/>
  <c r="G6"/>
  <c r="D19" i="12" l="1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D14" i="9"/>
  <c r="C14" s="1"/>
  <c r="D11" i="5"/>
  <c r="C11" s="1"/>
  <c r="D9" i="10"/>
  <c r="C9" s="1"/>
  <c r="D6"/>
  <c r="C6" s="1"/>
  <c r="D7" i="11"/>
  <c r="C7" s="1"/>
  <c r="D5"/>
  <c r="C5" s="1"/>
  <c r="E13" i="15"/>
  <c r="D4" i="8"/>
  <c r="C4" s="1"/>
  <c r="D13" i="15"/>
  <c r="B13"/>
  <c r="C13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</calcChain>
</file>

<file path=xl/sharedStrings.xml><?xml version="1.0" encoding="utf-8"?>
<sst xmlns="http://schemas.openxmlformats.org/spreadsheetml/2006/main" count="314" uniqueCount="98">
  <si>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</si>
  <si>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</si>
  <si>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</si>
  <si>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</si>
  <si>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</si>
  <si>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</si>
  <si>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</si>
  <si>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</si>
  <si>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</si>
  <si>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</si>
  <si>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</si>
  <si>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</si>
  <si>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</si>
  <si>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</si>
  <si>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</si>
  <si>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</si>
  <si>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</si>
  <si>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</si>
  <si>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</si>
  <si>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</si>
  <si>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</si>
  <si>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</si>
  <si>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</si>
  <si>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</si>
  <si>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</si>
  <si>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</si>
  <si>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</si>
  <si>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</si>
  <si>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</si>
  <si>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</si>
  <si>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</si>
  <si>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</si>
  <si>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</si>
  <si>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</si>
  <si>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</si>
  <si>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</si>
  <si>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</si>
  <si>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</si>
  <si>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</si>
  <si>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</t>
  </si>
  <si>
    <t>HK416 ACOG*</t>
  </si>
  <si>
    <t>M82A1 CQ 50BMG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</si>
  <si>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</si>
  <si>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</si>
  <si>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</si>
  <si>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</si>
  <si>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</si>
  <si>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</si>
  <si>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</si>
  <si>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</si>
  <si>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</si>
  <si>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</si>
  <si>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</si>
  <si>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</si>
  <si>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</si>
  <si>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</si>
  <si>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</si>
  <si>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</si>
  <si>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</si>
  <si>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Misc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</si>
  <si>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</si>
  <si>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</si>
  <si>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</si>
  <si>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</si>
  <si>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</si>
  <si>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</si>
  <si>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</si>
  <si>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</si>
  <si>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</si>
  <si>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</si>
  <si>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Vol 9</t>
  </si>
  <si>
    <t>Vol 10</t>
  </si>
  <si>
    <t>MP7</t>
  </si>
  <si>
    <t>Melee</t>
  </si>
  <si>
    <t>MP5A3 TAC</t>
  </si>
  <si>
    <t>Minigun</t>
  </si>
  <si>
    <t>MG3</t>
  </si>
  <si>
    <t>WA2000</t>
  </si>
  <si>
    <t>M400 Thread Predator*</t>
  </si>
  <si>
    <t>RIFLE MAX RANGE: 44.9</t>
  </si>
  <si>
    <t>LMG MAX RANGE: 32.9</t>
  </si>
  <si>
    <t>SNIPER MAX RANGE: 64.9</t>
  </si>
  <si>
    <t>SHOTGUN MAX RANGE: 20.9</t>
  </si>
  <si>
    <t>REVOLVER MAX RANGE: 25.9</t>
  </si>
  <si>
    <t>HANDGUN MAX RANGE: 25.9</t>
  </si>
  <si>
    <t>MG5*</t>
  </si>
  <si>
    <t>HK21 E</t>
  </si>
  <si>
    <t>MG4 KE</t>
  </si>
  <si>
    <t>MG4 E*</t>
  </si>
  <si>
    <t>Bullet Speed</t>
  </si>
  <si>
    <t>Weight</t>
  </si>
  <si>
    <t>LMG MIN RANGE: 23.9</t>
  </si>
  <si>
    <t>F3 ST</t>
  </si>
  <si>
    <t>G36</t>
  </si>
  <si>
    <t>RIFLE MIN RANGE: 23.9</t>
  </si>
  <si>
    <t>SMG MAX RANGE: 22.9</t>
  </si>
  <si>
    <t>G36K TAC*</t>
  </si>
  <si>
    <t>CR300*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</si>
</sst>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</cellXfs>
  <cellStyles count="1">
    <cellStyle name="Normal" xfId="0" builtinId="0"/>
  </cellStyles>
  <dxfs count="60">
    <dxf>
      <font>
        <color auto="1"/>
      </font>
      <fill>
        <patternFill patternType="solid">
          <bgColor theme="9" tint="0.59996337778862885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8" name="Table1689" displayName="Table1689" ref="A3:U17" totalsRowShown="0">
  <autoFilter ref="A3:U1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</autoFilter>
  <tableColumns count="21">
    <tableColumn id="1" name="Weapon Name"/>
    <tableColumn id="12" name="Vol."/>
    <tableColumn id="22" name="Balance" dataDxfId="58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57">
      <calculatedColumnFormula>SUM(Table1689[[#This Row],[DPS]]*Table1689[[#This Row],[Avg Accuracy]])</calculatedColumnFormula>
    </tableColumn>
    <tableColumn id="15" name="DPS" dataDxfId="56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55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"/>
    <tableColumn id="14" name="Weight" data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U20" totalsRowShown="0">
  <autoFilter ref="A3:U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</autoFilter>
  <tableColumns count="21">
    <tableColumn id="1" name="Weapon Name"/>
    <tableColumn id="12" name="Vol." dataDxfId="52"/>
    <tableColumn id="22" name="Balance" dataDxfId="51">
      <calculatedColumnFormula>SUM(((Table168[[#This Row],[Avg DPS]]*(Table168[[#This Row],[Range]]))+(Table168[[#This Row],[Avg DPS]]*Table168[[#This Row],[Arm Pen (%)]]))/100)</calculatedColumnFormula>
    </tableColumn>
    <tableColumn id="20" name="Avg DPS" dataDxfId="50">
      <calculatedColumnFormula>SUM(Table168[[#This Row],[DPS]]*Table168[[#This Row],[Avg Accuracy]])</calculatedColumnFormula>
    </tableColumn>
    <tableColumn id="15" name="DPS" dataDxfId="49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48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U18" totalsRowShown="0">
  <autoFilter ref="A3:U18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</autoFilter>
  <tableColumns count="21">
    <tableColumn id="1" name="Weapon Name"/>
    <tableColumn id="12" name="Vol." dataDxfId="45"/>
    <tableColumn id="22" name="Balance" dataDxfId="44">
      <calculatedColumnFormula>SUM(((Table16[[#This Row],[Avg DPS]]*(Table16[[#This Row],[Range]]))+(Table16[[#This Row],[Avg DPS]]*Table16[[#This Row],[Arm Pen (%)]]))/100)</calculatedColumnFormula>
    </tableColumn>
    <tableColumn id="20" name="Avg DPS" dataDxfId="43">
      <calculatedColumnFormula>SUM(Table16[[#This Row],[DPS]]*Table16[[#This Row],[Avg Accuracy]])</calculatedColumnFormula>
    </tableColumn>
    <tableColumn id="15" name="DPS" dataDxfId="42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41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8"/>
    <tableColumn id="14" name="Weight" dataDxfId="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U20" totalsRowShown="0">
  <autoFilter ref="A3:U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</autoFilter>
  <tableColumns count="21">
    <tableColumn id="1" name="Weapon Name"/>
    <tableColumn id="12" name="Vol."/>
    <tableColumn id="22" name="Balance" dataDxfId="15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14">
      <calculatedColumnFormula>SUM(Table16810[[#This Row],[DPS]]*Table16810[[#This Row],[Avg Accuracy]])</calculatedColumnFormula>
    </tableColumn>
    <tableColumn id="15" name="DPS" dataDxfId="13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12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U19" totalsRowShown="0">
  <autoFilter ref="A3:U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</autoFilter>
  <tableColumns count="21">
    <tableColumn id="1" name="Weapon Name"/>
    <tableColumn id="12" name="Vol."/>
    <tableColumn id="22" name="Balance" dataDxfId="38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37">
      <calculatedColumnFormula>SUM(Table1681011[[#This Row],[DPS]]*Table1681011[[#This Row],[Avg Accuracy]])</calculatedColumnFormula>
    </tableColumn>
    <tableColumn id="15" name="DPS" dataDxfId="36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35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10"/>
    <tableColumn id="14" name="Weight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S32" totalsRowShown="0">
  <autoFilter ref="A3:S32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32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31">
      <calculatedColumnFormula>SUM(Table1681015[[#This Row],[DPS]]*Table1681015[[#This Row],[Avg Accuracy]])</calculatedColumnFormula>
    </tableColumn>
    <tableColumn id="15" name="DPS" dataDxfId="30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29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U20" totalsRowShown="0">
  <autoFilter ref="A3:U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</autoFilter>
  <tableColumns count="21">
    <tableColumn id="1" name="Weapon Name"/>
    <tableColumn id="12" name="Vol."/>
    <tableColumn id="22" name="Balance" dataDxfId="26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25">
      <calculatedColumnFormula>SUM(Table168101112[[#This Row],[DPS]]*Table168101112[[#This Row],[Avg Accuracy]])</calculatedColumnFormula>
    </tableColumn>
    <tableColumn id="15" name="DPS" dataDxfId="24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23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U19" totalsRowShown="0">
  <autoFilter ref="A3:U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</autoFilter>
  <tableColumns count="21">
    <tableColumn id="1" name="Weapon Name"/>
    <tableColumn id="12" name="Vol."/>
    <tableColumn id="22" name="Balance" dataDxfId="2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19">
      <calculatedColumnFormula>SUM(Table16810111213[[#This Row],[DPS]]*Table16810111213[[#This Row],[Avg Accuracy]])</calculatedColumnFormula>
    </tableColumn>
    <tableColumn id="15" name="DPS" dataDxfId="1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1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7"/>
  <sheetViews>
    <sheetView workbookViewId="0">
      <selection activeCell="T4" sqref="T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2" customWidth="1"/>
    <col min="9" max="9" width="14.5703125" customWidth="1"/>
    <col min="10" max="10" width="8.5703125" customWidth="1"/>
    <col min="11" max="11" width="9.140625" customWidth="1"/>
    <col min="12" max="12" width="12" customWidth="1"/>
    <col min="13" max="13" width="8.85546875" customWidth="1"/>
    <col min="14" max="14" width="7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1">
      <c r="A1" s="1" t="s">
        <v>0</v>
      </c>
      <c r="C1" t="s">
        <v>24</v>
      </c>
      <c r="F1" s="1" t="s">
        <v>84</v>
      </c>
    </row>
    <row r="2" spans="1:21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1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89</v>
      </c>
      <c r="U3" s="16" t="s">
        <v>90</v>
      </c>
    </row>
    <row r="4" spans="1:21" ht="15.75" thickTop="1">
      <c r="A4" s="6" t="s">
        <v>44</v>
      </c>
      <c r="B4" s="11" t="s">
        <v>43</v>
      </c>
      <c r="C4" s="2">
        <f>SUM(((Table1689[[#This Row],[Avg DPS]]*(Table1689[[#This Row],[Range]]))+(Table1689[[#This Row],[Avg DPS]]*Table1689[[#This Row],[Arm Pen (%)]]))/100)</f>
        <v>1.7346153846153842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26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1</v>
      </c>
      <c r="P4">
        <v>0.8</v>
      </c>
      <c r="Q4">
        <v>0.7</v>
      </c>
      <c r="R4">
        <v>0.4</v>
      </c>
      <c r="S4">
        <v>0.3</v>
      </c>
      <c r="T4" s="17">
        <v>55</v>
      </c>
      <c r="U4" s="18"/>
    </row>
    <row r="5" spans="1:21">
      <c r="A5" s="14" t="s">
        <v>51</v>
      </c>
      <c r="B5" s="4">
        <v>3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0.8</v>
      </c>
      <c r="P5">
        <v>0.85</v>
      </c>
      <c r="Q5">
        <v>0.75</v>
      </c>
      <c r="R5">
        <v>0.3</v>
      </c>
      <c r="S5">
        <v>0.2</v>
      </c>
      <c r="T5" s="19"/>
      <c r="U5" s="20"/>
    </row>
    <row r="6" spans="1:21">
      <c r="A6" s="5"/>
      <c r="B6" s="4"/>
      <c r="C6" s="2" t="e">
        <f>SUM(((Table1689[[#This Row],[Avg DPS]]*(Table1689[[#This Row],[Range]]))+(Table1689[[#This Row],[Avg DPS]]*Table1689[[#This Row],[Arm Pen (%)]]))/100)</f>
        <v>#DIV/0!</v>
      </c>
      <c r="D6" s="3" t="e">
        <f>SUM(Table1689[[#This Row],[DPS]]*Table1689[[#This Row],[Avg Accuracy]])</f>
        <v>#DIV/0!</v>
      </c>
      <c r="E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6" s="2">
        <f>SUM((Table1689[[#This Row],[Accuracy (Close)]]+Table1689[[#This Row],[Accuracy (Short)]]+Table1689[[#This Row],[Accuracy (Medium)]]+Table1689[[#This Row],[Accuracy (Long)]])/4)</f>
        <v>0</v>
      </c>
      <c r="O6" s="2" t="e">
        <f t="shared" ref="O6:O16" si="0">60/N6</f>
        <v>#DIV/0!</v>
      </c>
      <c r="T6" s="17"/>
      <c r="U6" s="18"/>
    </row>
    <row r="7" spans="1:21">
      <c r="B7" s="4"/>
      <c r="C7" s="2" t="e">
        <f>SUM(((Table1689[[#This Row],[Avg DPS]]*(Table1689[[#This Row],[Range]]))+(Table1689[[#This Row],[Avg DPS]]*Table1689[[#This Row],[Arm Pen (%)]]))/100)</f>
        <v>#DIV/0!</v>
      </c>
      <c r="D7" s="3" t="e">
        <f>SUM(Table1689[[#This Row],[DPS]]*Table1689[[#This Row],[Avg Accuracy]])</f>
        <v>#DIV/0!</v>
      </c>
      <c r="E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7" s="2">
        <f>SUM((Table1689[[#This Row],[Accuracy (Close)]]+Table1689[[#This Row],[Accuracy (Short)]]+Table1689[[#This Row],[Accuracy (Medium)]]+Table1689[[#This Row],[Accuracy (Long)]])/4)</f>
        <v>0</v>
      </c>
      <c r="O7" s="2" t="e">
        <f t="shared" si="0"/>
        <v>#DIV/0!</v>
      </c>
      <c r="T7" s="19"/>
      <c r="U7" s="20"/>
    </row>
    <row r="8" spans="1:21">
      <c r="B8" s="4"/>
      <c r="C8" s="2" t="e">
        <f>SUM(((Table1689[[#This Row],[Avg DPS]]*(Table1689[[#This Row],[Range]]))+(Table1689[[#This Row],[Avg DPS]]*Table1689[[#This Row],[Arm Pen (%)]]))/100)</f>
        <v>#DIV/0!</v>
      </c>
      <c r="D8" s="3" t="e">
        <f>SUM(Table1689[[#This Row],[DPS]]*Table1689[[#This Row],[Avg Accuracy]])</f>
        <v>#DIV/0!</v>
      </c>
      <c r="E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8" s="2">
        <f>SUM((Table1689[[#This Row],[Accuracy (Close)]]+Table1689[[#This Row],[Accuracy (Short)]]+Table1689[[#This Row],[Accuracy (Medium)]]+Table1689[[#This Row],[Accuracy (Long)]])/4)</f>
        <v>0</v>
      </c>
      <c r="O8" s="2" t="e">
        <f t="shared" si="0"/>
        <v>#DIV/0!</v>
      </c>
      <c r="T8" s="17"/>
      <c r="U8" s="18"/>
    </row>
    <row r="9" spans="1:21">
      <c r="B9" s="4"/>
      <c r="C9" s="2" t="e">
        <f>SUM(((Table1689[[#This Row],[Avg DPS]]*(Table1689[[#This Row],[Range]]))+(Table1689[[#This Row],[Avg DPS]]*Table1689[[#This Row],[Arm Pen (%)]]))/100)</f>
        <v>#DIV/0!</v>
      </c>
      <c r="D9" s="3" t="e">
        <f>SUM(Table1689[[#This Row],[DPS]]*Table1689[[#This Row],[Avg Accuracy]])</f>
        <v>#DIV/0!</v>
      </c>
      <c r="E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9" s="2">
        <f>SUM((Table1689[[#This Row],[Accuracy (Close)]]+Table1689[[#This Row],[Accuracy (Short)]]+Table1689[[#This Row],[Accuracy (Medium)]]+Table1689[[#This Row],[Accuracy (Long)]])/4)</f>
        <v>0</v>
      </c>
      <c r="O9" s="2" t="e">
        <f t="shared" si="0"/>
        <v>#DIV/0!</v>
      </c>
      <c r="T9" s="19"/>
      <c r="U9" s="20"/>
    </row>
    <row r="10" spans="1:21">
      <c r="B10" s="4"/>
      <c r="C10" s="2" t="e">
        <f>SUM(((Table1689[[#This Row],[Avg DPS]]*(Table1689[[#This Row],[Range]]))+(Table1689[[#This Row],[Avg DPS]]*Table1689[[#This Row],[Arm Pen (%)]]))/100)</f>
        <v>#DIV/0!</v>
      </c>
      <c r="D10" s="3" t="e">
        <f>SUM(Table1689[[#This Row],[DPS]]*Table1689[[#This Row],[Avg Accuracy]])</f>
        <v>#DIV/0!</v>
      </c>
      <c r="E1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0" s="2">
        <f>SUM((Table1689[[#This Row],[Accuracy (Close)]]+Table1689[[#This Row],[Accuracy (Short)]]+Table1689[[#This Row],[Accuracy (Medium)]]+Table1689[[#This Row],[Accuracy (Long)]])/4)</f>
        <v>0</v>
      </c>
      <c r="O10" s="2" t="e">
        <f t="shared" si="0"/>
        <v>#DIV/0!</v>
      </c>
      <c r="T10" s="17"/>
      <c r="U10" s="18"/>
    </row>
    <row r="11" spans="1:21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si="0"/>
        <v>#DIV/0!</v>
      </c>
      <c r="T11" s="19"/>
      <c r="U11" s="20"/>
    </row>
    <row r="12" spans="1:21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  <c r="T12" s="17"/>
      <c r="U12" s="18"/>
    </row>
    <row r="13" spans="1:21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  <c r="T13" s="19"/>
      <c r="U13" s="20"/>
    </row>
    <row r="14" spans="1:21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  <c r="T14" s="17"/>
      <c r="U14" s="18"/>
    </row>
    <row r="15" spans="1:21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  <c r="T15" s="19"/>
      <c r="U15" s="20"/>
    </row>
    <row r="16" spans="1:21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  <c r="T16" s="17"/>
      <c r="U16" s="18"/>
    </row>
    <row r="17" spans="2:21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  <c r="T17" s="19"/>
      <c r="U17" s="20"/>
    </row>
  </sheetData>
  <conditionalFormatting sqref="C5:C17">
    <cfRule type="cellIs" dxfId="59" priority="1" operator="greaterThan">
      <formula>1.73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B10" sqref="B10"/>
    </sheetView>
  </sheetViews>
  <sheetFormatPr defaultRowHeight="15"/>
  <cols>
    <col min="1" max="1" width="18.5703125" customWidth="1"/>
  </cols>
  <sheetData>
    <row r="1" spans="1:11">
      <c r="A1" s="1" t="s">
        <v>60</v>
      </c>
      <c r="B1" s="1" t="s">
        <v>61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</row>
    <row r="2" spans="1:11">
      <c r="A2" t="s">
        <v>54</v>
      </c>
      <c r="B2">
        <f>COUNTIF(Table1689[Vol.], 1)</f>
        <v>0</v>
      </c>
      <c r="C2">
        <f>COUNTIF(Table1689[Vol.], 2)</f>
        <v>0</v>
      </c>
      <c r="D2">
        <f>COUNTIF(Table1689[Vol.], 3)</f>
        <v>1</v>
      </c>
      <c r="E2">
        <f>COUNTIF(Table1689[Vol.], 4)</f>
        <v>0</v>
      </c>
    </row>
    <row r="3" spans="1:11">
      <c r="A3" t="s">
        <v>45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</row>
    <row r="4" spans="1:11">
      <c r="A4" t="s">
        <v>55</v>
      </c>
      <c r="B4">
        <f>COUNTIF(Table16[Vol.], 1)</f>
        <v>6</v>
      </c>
      <c r="C4">
        <f>COUNTIF(Table16[Vol.], 2)</f>
        <v>0</v>
      </c>
      <c r="D4">
        <f>COUNTIF(Table16[Vol.], 3)</f>
        <v>0</v>
      </c>
      <c r="E4">
        <f>COUNTIF(Table16[Vol.], 4)</f>
        <v>0</v>
      </c>
    </row>
    <row r="5" spans="1:11">
      <c r="A5" t="s">
        <v>56</v>
      </c>
      <c r="B5">
        <f>COUNTIF(Table16810[Vol.], 1)</f>
        <v>12</v>
      </c>
      <c r="C5">
        <f>COUNTIF(Table16810[Vol.], 2)</f>
        <v>0</v>
      </c>
      <c r="D5">
        <f>COUNTIF(Table16810[Vol.], 3)</f>
        <v>0</v>
      </c>
      <c r="E5">
        <f>COUNTIF(Table16810[Vol.], 4)</f>
        <v>0</v>
      </c>
    </row>
    <row r="6" spans="1:11">
      <c r="A6" t="s">
        <v>49</v>
      </c>
      <c r="B6">
        <f>COUNTIF(Table1681011[Vol.], 1)</f>
        <v>1</v>
      </c>
      <c r="C6">
        <f>COUNTIF(Table1681011[Vol.], 2)</f>
        <v>1</v>
      </c>
      <c r="D6">
        <f>COUNTIF(Table1681011[Vol.], 3)</f>
        <v>0</v>
      </c>
      <c r="E6">
        <f>COUNTIF(Table1681011[Vol.], 4)</f>
        <v>0</v>
      </c>
    </row>
    <row r="7" spans="1:11">
      <c r="A7" t="s">
        <v>57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</row>
    <row r="8" spans="1:11">
      <c r="A8" t="s">
        <v>50</v>
      </c>
      <c r="B8">
        <f>COUNTIF(Table168101112[Vol.], 1)</f>
        <v>5</v>
      </c>
      <c r="C8">
        <f>COUNTIF(Table168101112[Vol.], 2)</f>
        <v>1</v>
      </c>
      <c r="D8">
        <f>COUNTIF(Table168101112[Vol.], 3)</f>
        <v>0</v>
      </c>
      <c r="E8">
        <f>COUNTIF(Table168101112[Vol.], 4)</f>
        <v>0</v>
      </c>
    </row>
    <row r="9" spans="1:11">
      <c r="A9" t="s">
        <v>58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</row>
    <row r="10" spans="1:11">
      <c r="A10" t="s">
        <v>73</v>
      </c>
    </row>
    <row r="11" spans="1:11">
      <c r="A11" t="s">
        <v>59</v>
      </c>
      <c r="B11">
        <v>0</v>
      </c>
      <c r="C11">
        <v>2</v>
      </c>
      <c r="D11">
        <v>0</v>
      </c>
      <c r="E11">
        <v>0</v>
      </c>
    </row>
    <row r="13" spans="1:11">
      <c r="A13" t="s">
        <v>62</v>
      </c>
      <c r="B13">
        <f>SUM(B2:B11)</f>
        <v>25</v>
      </c>
      <c r="C13">
        <f t="shared" ref="C13:K13" si="0">SUM(C2:C11)</f>
        <v>4</v>
      </c>
      <c r="D13">
        <f t="shared" si="0"/>
        <v>1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0"/>
  <sheetViews>
    <sheetView workbookViewId="0">
      <selection activeCell="M29" sqref="M2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1">
      <c r="A1" s="1" t="s">
        <v>0</v>
      </c>
      <c r="C1" t="s">
        <v>24</v>
      </c>
      <c r="F1" s="1" t="s">
        <v>83</v>
      </c>
    </row>
    <row r="2" spans="1:21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1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89</v>
      </c>
      <c r="U3" s="16" t="s">
        <v>90</v>
      </c>
    </row>
    <row r="4" spans="1:21" ht="15.75" thickTop="1">
      <c r="A4" s="6" t="s">
        <v>45</v>
      </c>
      <c r="B4" s="11" t="s">
        <v>43</v>
      </c>
      <c r="C4" s="2">
        <f>SUM(((Table168[[#This Row],[Avg DPS]]*(Table168[[#This Row],[Range]]))+(Table168[[#This Row],[Avg DPS]]*Table168[[#This Row],[Arm Pen (%)]]))/100)</f>
        <v>1.6326315789473682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26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</row>
    <row r="5" spans="1:21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</row>
    <row r="6" spans="1:21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</row>
    <row r="7" spans="1:21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</row>
    <row r="8" spans="1:21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</row>
    <row r="9" spans="1:21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</row>
    <row r="10" spans="1:21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</row>
    <row r="11" spans="1:21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</row>
    <row r="12" spans="1:21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</row>
    <row r="13" spans="1:21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</row>
    <row r="14" spans="1:21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</row>
    <row r="15" spans="1:21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</row>
    <row r="16" spans="1:21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</row>
    <row r="17" spans="1:21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</row>
    <row r="18" spans="1:21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</row>
    <row r="19" spans="1:21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1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53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U19"/>
  <sheetViews>
    <sheetView topLeftCell="C1" workbookViewId="0">
      <selection activeCell="R35" sqref="R3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1">
      <c r="A1" s="1" t="s">
        <v>0</v>
      </c>
      <c r="C1" t="s">
        <v>24</v>
      </c>
      <c r="F1" s="1" t="s">
        <v>95</v>
      </c>
    </row>
    <row r="2" spans="1:21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1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89</v>
      </c>
      <c r="U3" s="16" t="s">
        <v>90</v>
      </c>
    </row>
    <row r="4" spans="1:21" ht="15.75" thickTop="1">
      <c r="A4" s="6" t="s">
        <v>2</v>
      </c>
      <c r="B4" s="11" t="s">
        <v>43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</row>
    <row r="5" spans="1:21">
      <c r="A5" s="6" t="s">
        <v>29</v>
      </c>
      <c r="B5" s="11" t="s">
        <v>43</v>
      </c>
      <c r="C5" s="2">
        <f>SUM(((Table16[[#This Row],[Avg DPS]]*(Table16[[#This Row],[Range]]))+(Table16[[#This Row],[Avg DPS]]*Table16[[#This Row],[Arm Pen (%)]]))/100)</f>
        <v>1.637910113142049</v>
      </c>
      <c r="D5" s="3">
        <f>SUM(Table16[[#This Row],[DPS]]*Table16[[#This Row],[Avg Accuracy]])</f>
        <v>5.6479659073863759</v>
      </c>
      <c r="E5" s="2">
        <f>SUM((Table16[[#This Row],[Damage]]*Table16[[#This Row],[Burst]])/(Table16[[#This Row],[Ranged Cooldown]]+Table16[[#This Row],[Warm-up]]+(Table16[[#This Row],[Burst Time]]*(Table16[[#This Row],[Burst]]-1))))</f>
        <v>11.020421282705124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514.29</v>
      </c>
      <c r="O5" s="2">
        <f>60/N5</f>
        <v>0.11666569445254624</v>
      </c>
      <c r="P5">
        <v>0.9</v>
      </c>
      <c r="Q5">
        <v>0.65</v>
      </c>
      <c r="R5">
        <v>0.35</v>
      </c>
      <c r="S5">
        <v>0.15</v>
      </c>
      <c r="T5" s="19"/>
      <c r="U5" s="20"/>
    </row>
    <row r="6" spans="1:21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</row>
    <row r="7" spans="1:21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</row>
    <row r="8" spans="1:21">
      <c r="A8" s="14" t="s">
        <v>26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</row>
    <row r="9" spans="1:21">
      <c r="A9" s="4" t="s">
        <v>27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</row>
    <row r="10" spans="1:21" s="4" customFormat="1">
      <c r="A10" s="1" t="s">
        <v>72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</row>
    <row r="11" spans="1:21">
      <c r="A11" s="4" t="s">
        <v>74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</row>
    <row r="12" spans="1:21">
      <c r="B12" s="12"/>
      <c r="C12" s="2" t="e">
        <f>SUM(((Table16[[#This Row],[Avg DPS]]*(Table16[[#This Row],[Range]]))+(Table16[[#This Row],[Avg DPS]]*Table16[[#This Row],[Arm Pen (%)]]))/100)</f>
        <v>#DIV/0!</v>
      </c>
      <c r="D12" s="3" t="e">
        <f>SUM(Table16[[#This Row],[DPS]]*Table16[[#This Row],[Avg Accuracy]])</f>
        <v>#DIV/0!</v>
      </c>
      <c r="E1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2" s="2">
        <f>SUM((Table16[[#This Row],[Accuracy (Close)]]+Table16[[#This Row],[Accuracy (Short)]]+Table16[[#This Row],[Accuracy (Medium)]]+Table16[[#This Row],[Accuracy (Long)]])/4)</f>
        <v>0</v>
      </c>
      <c r="O12" s="2" t="e">
        <f t="shared" si="1"/>
        <v>#DIV/0!</v>
      </c>
      <c r="T12" s="17"/>
      <c r="U12" s="18"/>
    </row>
    <row r="13" spans="1:21">
      <c r="B13" s="12"/>
      <c r="C13" s="2" t="e">
        <f>SUM(((Table16[[#This Row],[Avg DPS]]*(Table16[[#This Row],[Range]]))+(Table16[[#This Row],[Avg DPS]]*Table16[[#This Row],[Arm Pen (%)]]))/100)</f>
        <v>#DIV/0!</v>
      </c>
      <c r="D13" s="3" t="e">
        <f>SUM(Table16[[#This Row],[DPS]]*Table16[[#This Row],[Avg Accuracy]])</f>
        <v>#DIV/0!</v>
      </c>
      <c r="E1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3" s="2">
        <f>SUM((Table16[[#This Row],[Accuracy (Close)]]+Table16[[#This Row],[Accuracy (Short)]]+Table16[[#This Row],[Accuracy (Medium)]]+Table16[[#This Row],[Accuracy (Long)]])/4)</f>
        <v>0</v>
      </c>
      <c r="O13" s="2" t="e">
        <f t="shared" si="1"/>
        <v>#DIV/0!</v>
      </c>
      <c r="T13" s="19"/>
      <c r="U13" s="20"/>
    </row>
    <row r="14" spans="1:21">
      <c r="B14" s="12"/>
      <c r="C14" s="2" t="e">
        <f>SUM(((Table16[[#This Row],[Avg DPS]]*(Table16[[#This Row],[Range]]))+(Table16[[#This Row],[Avg DPS]]*Table16[[#This Row],[Arm Pen (%)]]))/100)</f>
        <v>#DIV/0!</v>
      </c>
      <c r="D14" s="3" t="e">
        <f>SUM(Table16[[#This Row],[DPS]]*Table16[[#This Row],[Avg Accuracy]])</f>
        <v>#DIV/0!</v>
      </c>
      <c r="E1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4" s="2">
        <f>SUM((Table16[[#This Row],[Accuracy (Close)]]+Table16[[#This Row],[Accuracy (Short)]]+Table16[[#This Row],[Accuracy (Medium)]]+Table16[[#This Row],[Accuracy (Long)]])/4)</f>
        <v>0</v>
      </c>
      <c r="O14" s="2" t="e">
        <f t="shared" si="1"/>
        <v>#DIV/0!</v>
      </c>
      <c r="T14" s="17"/>
      <c r="U14" s="18"/>
    </row>
    <row r="15" spans="1:21">
      <c r="B15" s="12"/>
      <c r="C15" s="2" t="e">
        <f>SUM(((Table16[[#This Row],[Avg DPS]]*(Table16[[#This Row],[Range]]))+(Table16[[#This Row],[Avg DPS]]*Table16[[#This Row],[Arm Pen (%)]]))/100)</f>
        <v>#DIV/0!</v>
      </c>
      <c r="D15" s="3" t="e">
        <f>SUM(Table16[[#This Row],[DPS]]*Table16[[#This Row],[Avg Accuracy]])</f>
        <v>#DIV/0!</v>
      </c>
      <c r="E1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5" s="2">
        <f>SUM((Table16[[#This Row],[Accuracy (Close)]]+Table16[[#This Row],[Accuracy (Short)]]+Table16[[#This Row],[Accuracy (Medium)]]+Table16[[#This Row],[Accuracy (Long)]])/4)</f>
        <v>0</v>
      </c>
      <c r="O15" s="2" t="e">
        <f t="shared" si="1"/>
        <v>#DIV/0!</v>
      </c>
      <c r="T15" s="19"/>
      <c r="U15" s="20"/>
    </row>
    <row r="16" spans="1:21">
      <c r="B16" s="12"/>
      <c r="C16" s="2" t="e">
        <f>SUM(((Table16[[#This Row],[Avg DPS]]*(Table16[[#This Row],[Range]]))+(Table16[[#This Row],[Avg 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  <c r="T16" s="17"/>
      <c r="U16" s="18"/>
    </row>
    <row r="17" spans="1:21">
      <c r="B17" s="12"/>
      <c r="C17" s="2" t="e">
        <f>SUM(((Table16[[#This Row],[Avg DPS]]*(Table16[[#This Row],[Range]]))+(Table16[[#This Row],[Avg 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T17" s="19"/>
      <c r="U17" s="20"/>
    </row>
    <row r="18" spans="1:21">
      <c r="A18" s="7"/>
      <c r="B18" s="13"/>
      <c r="C18" s="8" t="e">
        <f>SUM(((Table16[[#This Row],[Avg DPS]]*(Table16[[#This Row],[Range]]))+(Table16[[#This Row],[Avg DPS]]*Table16[[#This Row],[Arm Pen (%)]]))/100)</f>
        <v>#DIV/0!</v>
      </c>
      <c r="D18" s="9" t="e">
        <f>SUM(Table16[[#This Row],[DPS]]*Table16[[#This Row],[Avg Accuracy]])</f>
        <v>#DIV/0!</v>
      </c>
      <c r="E18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18" s="7"/>
      <c r="G18" s="8">
        <f>SUM((Table16[[#This Row],[Accuracy (Close)]]+Table16[[#This Row],[Accuracy (Short)]]+Table16[[#This Row],[Accuracy (Medium)]]+Table16[[#This Row],[Accuracy (Long)]])/4)</f>
        <v>0</v>
      </c>
      <c r="H18" s="7"/>
      <c r="I18" s="7"/>
      <c r="J18" s="7"/>
      <c r="K18" s="7"/>
      <c r="L18" s="7"/>
      <c r="M18" s="7"/>
      <c r="N18" s="7"/>
      <c r="O18" s="8" t="e">
        <f t="shared" si="1"/>
        <v>#DIV/0!</v>
      </c>
      <c r="P18" s="7"/>
      <c r="Q18" s="7"/>
      <c r="R18" s="7"/>
      <c r="S18" s="7"/>
      <c r="T18" s="17"/>
      <c r="U18" s="18"/>
    </row>
    <row r="19" spans="1:21">
      <c r="B19" s="4"/>
    </row>
  </sheetData>
  <conditionalFormatting sqref="C4:C18">
    <cfRule type="cellIs" dxfId="46" priority="1" operator="greaterThan">
      <formula>2.599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U20"/>
  <sheetViews>
    <sheetView tabSelected="1" workbookViewId="0">
      <selection activeCell="A19" sqref="A1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1">
      <c r="A1" s="1" t="s">
        <v>0</v>
      </c>
      <c r="C1" t="s">
        <v>24</v>
      </c>
      <c r="F1" s="1" t="s">
        <v>79</v>
      </c>
      <c r="H1" s="1" t="s">
        <v>94</v>
      </c>
    </row>
    <row r="2" spans="1:21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89</v>
      </c>
      <c r="U3" t="s">
        <v>90</v>
      </c>
    </row>
    <row r="4" spans="1:21">
      <c r="A4" s="6" t="s">
        <v>46</v>
      </c>
      <c r="B4" s="11" t="s">
        <v>43</v>
      </c>
      <c r="C4" s="2">
        <f>SUM(((Table16810[[#This Row],[Avg DPS]]*(Table16810[[#This Row],[Range]]))+(Table16810[[#This Row],[Avg DPS]]*Table16810[[#This Row],[Arm Pen (%)]]))/100)</f>
        <v>3.1957417582417578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31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</row>
    <row r="5" spans="1:21">
      <c r="A5" s="6" t="s">
        <v>48</v>
      </c>
      <c r="B5" s="11" t="s">
        <v>43</v>
      </c>
      <c r="C5" s="2">
        <f>SUM(((Table16810[[#This Row],[Avg DPS]]*(Table16810[[#This Row],[Range]]))+(Table16810[[#This Row],[Avg DPS]]*Table16810[[#This Row],[Arm Pen (%)]]))/100)</f>
        <v>2.8350000000000004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37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1.5</v>
      </c>
      <c r="P5">
        <v>0.65</v>
      </c>
      <c r="Q5">
        <v>0.8</v>
      </c>
      <c r="R5">
        <v>0.9</v>
      </c>
      <c r="S5">
        <v>0.8</v>
      </c>
      <c r="T5">
        <v>70</v>
      </c>
    </row>
    <row r="6" spans="1:21">
      <c r="A6" s="14" t="s">
        <v>39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</row>
    <row r="7" spans="1:21">
      <c r="A7" s="14" t="s">
        <v>32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</row>
    <row r="8" spans="1:21">
      <c r="A8" t="s">
        <v>40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</row>
    <row r="9" spans="1:21">
      <c r="A9" t="s">
        <v>38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</row>
    <row r="10" spans="1:21">
      <c r="A10" t="s">
        <v>30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</row>
    <row r="11" spans="1:21">
      <c r="A11" t="s">
        <v>31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</row>
    <row r="12" spans="1:21">
      <c r="A12" s="4" t="s">
        <v>34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</row>
    <row r="13" spans="1:21">
      <c r="A13" s="4" t="s">
        <v>35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</row>
    <row r="14" spans="1:21">
      <c r="A14" s="4" t="s">
        <v>78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</row>
    <row r="15" spans="1:21">
      <c r="A15" t="s">
        <v>97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</row>
    <row r="16" spans="1:21">
      <c r="A16" s="1" t="s">
        <v>93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</row>
    <row r="17" spans="1:21" s="4" customFormat="1">
      <c r="A17" t="s">
        <v>96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</row>
    <row r="18" spans="1:21">
      <c r="C18" s="2" t="e">
        <f>SUM(((Table16810[[#This Row],[Avg DPS]]*(Table16810[[#This Row],[Range]]))+(Table16810[[#This Row],[Avg DPS]]*Table16810[[#This Row],[Arm Pen (%)]]))/100)</f>
        <v>#DIV/0!</v>
      </c>
      <c r="D18" s="3" t="e">
        <f>SUM(Table16810[[#This Row],[DPS]]*Table16810[[#This Row],[Avg Accuracy]])</f>
        <v>#DIV/0!</v>
      </c>
      <c r="E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8" s="2">
        <f>SUM((Table16810[[#This Row],[Accuracy (Close)]]+Table16810[[#This Row],[Accuracy (Short)]]+Table16810[[#This Row],[Accuracy (Medium)]]+Table16810[[#This Row],[Accuracy (Long)]])/4)</f>
        <v>0</v>
      </c>
      <c r="O18" s="2" t="e">
        <f t="shared" si="0"/>
        <v>#DIV/0!</v>
      </c>
    </row>
    <row r="19" spans="1:21">
      <c r="C19" s="2" t="e">
        <f>SUM(((Table16810[[#This Row],[Avg DPS]]*(Table16810[[#This Row],[Range]]))+(Table16810[[#This Row],[Avg DPS]]*Table16810[[#This Row],[Arm Pen (%)]]))/100)</f>
        <v>#DIV/0!</v>
      </c>
      <c r="D19" s="3" t="e">
        <f>SUM(Table16810[[#This Row],[DPS]]*Table16810[[#This Row],[Avg Accuracy]])</f>
        <v>#DIV/0!</v>
      </c>
      <c r="E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9" s="2">
        <f>SUM((Table16810[[#This Row],[Accuracy (Close)]]+Table16810[[#This Row],[Accuracy (Short)]]+Table16810[[#This Row],[Accuracy (Medium)]]+Table16810[[#This Row],[Accuracy (Long)]])/4)</f>
        <v>0</v>
      </c>
      <c r="O19" s="2" t="e">
        <f t="shared" si="0"/>
        <v>#DIV/0!</v>
      </c>
    </row>
    <row r="20" spans="1:21">
      <c r="A20" s="7"/>
      <c r="B20" s="7"/>
      <c r="C20" s="2" t="e">
        <f>SUM(((Table16810[[#This Row],[Avg DPS]]*(Table16810[[#This Row],[Range]]))+(Table16810[[#This Row],[Avg DPS]]*Table16810[[#This Row],[Arm Pen (%)]]))/100)</f>
        <v>#DIV/0!</v>
      </c>
      <c r="D20" s="3" t="e">
        <f>SUM(Table16810[[#This Row],[DPS]]*Table16810[[#This Row],[Avg Accuracy]])</f>
        <v>#DIV/0!</v>
      </c>
      <c r="E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20" s="7"/>
      <c r="G20" s="2">
        <f>SUM((Table16810[[#This Row],[Accuracy (Close)]]+Table16810[[#This Row],[Accuracy (Short)]]+Table16810[[#This Row],[Accuracy (Medium)]]+Table16810[[#This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</row>
  </sheetData>
  <conditionalFormatting sqref="C4:C999">
    <cfRule type="cellIs" dxfId="0" priority="1" operator="greaterThan">
      <formula>3.2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U19"/>
  <sheetViews>
    <sheetView workbookViewId="0">
      <selection activeCell="R27" sqref="R2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1">
      <c r="A1" s="1" t="s">
        <v>0</v>
      </c>
      <c r="C1" t="s">
        <v>24</v>
      </c>
      <c r="F1" s="1" t="s">
        <v>81</v>
      </c>
    </row>
    <row r="2" spans="1:21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1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89</v>
      </c>
      <c r="U3" s="16" t="s">
        <v>90</v>
      </c>
    </row>
    <row r="4" spans="1:21" ht="15.75" thickTop="1">
      <c r="A4" s="6" t="s">
        <v>49</v>
      </c>
      <c r="B4" s="11" t="s">
        <v>43</v>
      </c>
      <c r="C4" s="2">
        <f>SUM(((Table1681011[[#This Row],[Avg DPS]]*(Table1681011[[#This Row],[Range]]))+(Table1681011[[#This Row],[Avg DPS]]*Table1681011[[#This Row],[Arm Pen (%)]]))/100)</f>
        <v>2.6295258620689657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45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2.2999999999999998</v>
      </c>
      <c r="P4">
        <v>0.5</v>
      </c>
      <c r="Q4">
        <v>0.7</v>
      </c>
      <c r="R4">
        <v>0.86</v>
      </c>
      <c r="S4">
        <v>0.88</v>
      </c>
      <c r="T4" s="17">
        <v>100</v>
      </c>
      <c r="U4" s="18"/>
    </row>
    <row r="5" spans="1:21">
      <c r="A5" s="14" t="s">
        <v>41</v>
      </c>
      <c r="B5" s="4">
        <v>2</v>
      </c>
      <c r="C5" s="2">
        <f>SUM(((Table1681011[[#This Row],[Avg DPS]]*(Table1681011[[#This Row],[Range]]))+(Table1681011[[#This Row],[Avg DPS]]*Table1681011[[#This Row],[Arm Pen (%)]]))/100)</f>
        <v>3.141916666666666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54.9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3.5</v>
      </c>
      <c r="P5">
        <v>0.4</v>
      </c>
      <c r="Q5">
        <v>0.72</v>
      </c>
      <c r="R5">
        <v>0.94</v>
      </c>
      <c r="S5">
        <v>0.9</v>
      </c>
      <c r="T5" s="19"/>
      <c r="U5" s="20"/>
    </row>
    <row r="6" spans="1:21">
      <c r="A6" s="14" t="s">
        <v>77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2</v>
      </c>
      <c r="P6">
        <v>0.4</v>
      </c>
      <c r="Q6">
        <v>0.71</v>
      </c>
      <c r="R6">
        <v>0.9</v>
      </c>
      <c r="S6">
        <v>0.87</v>
      </c>
      <c r="T6" s="17"/>
      <c r="U6" s="18"/>
    </row>
    <row r="7" spans="1:21">
      <c r="B7" s="4"/>
      <c r="C7" s="2" t="e">
        <f>SUM(((Table1681011[[#This Row],[Avg DPS]]*(Table1681011[[#This Row],[Range]]))+(Table1681011[[#This Row],[Avg DPS]]*Table1681011[[#This Row],[Arm Pen (%)]]))/100)</f>
        <v>#DIV/0!</v>
      </c>
      <c r="D7" s="3" t="e">
        <f>SUM(Table1681011[[#This Row],[DPS]]*Table1681011[[#This Row],[Avg Accuracy]])</f>
        <v>#DIV/0!</v>
      </c>
      <c r="E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7" s="2">
        <f>SUM((Table1681011[[#This Row],[Accuracy (Close)]]+Table1681011[[#This Row],[Accuracy (Short)]]+Table1681011[[#This Row],[Accuracy (Medium)]]+Table1681011[[#This Row],[Accuracy (Long)]])/4)</f>
        <v>0</v>
      </c>
      <c r="O7" s="2" t="e">
        <f t="shared" ref="O7:O16" si="0">60/N7</f>
        <v>#DIV/0!</v>
      </c>
      <c r="T7" s="19"/>
      <c r="U7" s="20"/>
    </row>
    <row r="8" spans="1:21">
      <c r="B8" s="4"/>
      <c r="C8" s="2" t="e">
        <f>SUM(((Table1681011[[#This Row],[Avg DPS]]*(Table1681011[[#This Row],[Range]]))+(Table1681011[[#This Row],[Avg DPS]]*Table1681011[[#This Row],[Arm Pen (%)]]))/100)</f>
        <v>#DIV/0!</v>
      </c>
      <c r="D8" s="3" t="e">
        <f>SUM(Table1681011[[#This Row],[DPS]]*Table1681011[[#This Row],[Avg Accuracy]])</f>
        <v>#DIV/0!</v>
      </c>
      <c r="E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8" s="2">
        <f>SUM((Table1681011[[#This Row],[Accuracy (Close)]]+Table1681011[[#This Row],[Accuracy (Short)]]+Table1681011[[#This Row],[Accuracy (Medium)]]+Table1681011[[#This Row],[Accuracy (Long)]])/4)</f>
        <v>0</v>
      </c>
      <c r="O8" s="2" t="e">
        <f t="shared" si="0"/>
        <v>#DIV/0!</v>
      </c>
      <c r="T8" s="17"/>
      <c r="U8" s="18"/>
    </row>
    <row r="9" spans="1:21">
      <c r="B9" s="4"/>
      <c r="C9" s="2" t="e">
        <f>SUM(((Table1681011[[#This Row],[Avg DPS]]*(Table1681011[[#This Row],[Range]]))+(Table1681011[[#This Row],[Avg DPS]]*Table1681011[[#This Row],[Arm Pen (%)]]))/100)</f>
        <v>#DIV/0!</v>
      </c>
      <c r="D9" s="3" t="e">
        <f>SUM(Table1681011[[#This Row],[DPS]]*Table1681011[[#This Row],[Avg Accuracy]])</f>
        <v>#DIV/0!</v>
      </c>
      <c r="E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9" s="2">
        <f>SUM((Table1681011[[#This Row],[Accuracy (Close)]]+Table1681011[[#This Row],[Accuracy (Short)]]+Table1681011[[#This Row],[Accuracy (Medium)]]+Table1681011[[#This Row],[Accuracy (Long)]])/4)</f>
        <v>0</v>
      </c>
      <c r="O9" s="2" t="e">
        <f t="shared" si="0"/>
        <v>#DIV/0!</v>
      </c>
      <c r="T9" s="19"/>
      <c r="U9" s="20"/>
    </row>
    <row r="10" spans="1:21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si="0"/>
        <v>#DIV/0!</v>
      </c>
      <c r="T10" s="17"/>
      <c r="U10" s="18"/>
    </row>
    <row r="11" spans="1:21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  <c r="T11" s="19"/>
      <c r="U11" s="20"/>
    </row>
    <row r="12" spans="1:21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  <c r="T12" s="17"/>
      <c r="U12" s="18"/>
    </row>
    <row r="13" spans="1:21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  <c r="T13" s="19"/>
      <c r="U13" s="20"/>
    </row>
    <row r="14" spans="1:21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  <c r="T14" s="17"/>
      <c r="U14" s="18"/>
    </row>
    <row r="15" spans="1:21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  <c r="T15" s="19"/>
      <c r="U15" s="20"/>
    </row>
    <row r="16" spans="1:21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  <c r="T16" s="17"/>
      <c r="U16" s="18"/>
    </row>
    <row r="17" spans="1:21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  <c r="T17" s="19"/>
      <c r="U17" s="20"/>
    </row>
    <row r="18" spans="1:21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  <c r="T18" s="17"/>
      <c r="U18" s="18"/>
    </row>
    <row r="19" spans="1:21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  <c r="T19" s="19"/>
      <c r="U19" s="20"/>
    </row>
  </sheetData>
  <conditionalFormatting sqref="C4:C19">
    <cfRule type="cellIs" dxfId="39" priority="1" operator="greaterThan">
      <formula>2.639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S32"/>
  <sheetViews>
    <sheetView topLeftCell="C1" workbookViewId="0">
      <selection activeCell="S6" sqref="S6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  <c r="F1" s="1" t="s">
        <v>79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47</v>
      </c>
      <c r="B4" s="11" t="s">
        <v>43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</row>
    <row r="5" spans="1:19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19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19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19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</row>
    <row r="9" spans="1:19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19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19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</row>
    <row r="12" spans="1:19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19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19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19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19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19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19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19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19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19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19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19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19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19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19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19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19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19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19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19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19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</row>
  </sheetData>
  <conditionalFormatting sqref="C4:C32">
    <cfRule type="cellIs" dxfId="33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U20"/>
  <sheetViews>
    <sheetView workbookViewId="0">
      <selection activeCell="Q28" sqref="Q2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</cols>
  <sheetData>
    <row r="1" spans="1:21">
      <c r="A1" s="1" t="s">
        <v>0</v>
      </c>
      <c r="C1" t="s">
        <v>24</v>
      </c>
      <c r="F1" s="1" t="s">
        <v>80</v>
      </c>
      <c r="H1" s="1" t="s">
        <v>91</v>
      </c>
    </row>
    <row r="2" spans="1:21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89</v>
      </c>
      <c r="U3" t="s">
        <v>90</v>
      </c>
    </row>
    <row r="4" spans="1:21">
      <c r="A4" s="6" t="s">
        <v>50</v>
      </c>
      <c r="B4" s="11" t="s">
        <v>43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</row>
    <row r="5" spans="1:21">
      <c r="A5" s="6" t="s">
        <v>75</v>
      </c>
      <c r="B5" s="11" t="s">
        <v>43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</row>
    <row r="6" spans="1:21">
      <c r="A6" s="14" t="s">
        <v>28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</row>
    <row r="7" spans="1:21">
      <c r="A7" s="14" t="s">
        <v>76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2.8280842105263155</v>
      </c>
      <c r="D7" s="3">
        <f>SUM(Table168101112[[#This Row],[DPS]]*Table168101112[[#This Row],[Avg Accuracy]])</f>
        <v>6.4421052631578943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16.842105263157894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10</v>
      </c>
      <c r="I7">
        <v>1</v>
      </c>
      <c r="J7">
        <v>13</v>
      </c>
      <c r="K7">
        <v>8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</row>
    <row r="8" spans="1:21">
      <c r="A8" s="1" t="s">
        <v>87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</row>
    <row r="9" spans="1:21">
      <c r="A9" t="s">
        <v>88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</row>
    <row r="10" spans="1:21">
      <c r="A10" t="s">
        <v>85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</row>
    <row r="11" spans="1:21">
      <c r="A11" s="1" t="s">
        <v>86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</row>
    <row r="12" spans="1:21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21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1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1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1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1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1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</row>
    <row r="19" spans="1:21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1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</row>
  </sheetData>
  <conditionalFormatting sqref="C4:C20">
    <cfRule type="cellIs" dxfId="27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U19"/>
  <sheetViews>
    <sheetView workbookViewId="0">
      <selection activeCell="U21" sqref="U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1">
      <c r="A1" s="1" t="s">
        <v>0</v>
      </c>
      <c r="C1" t="s">
        <v>24</v>
      </c>
      <c r="F1" s="1" t="s">
        <v>82</v>
      </c>
    </row>
    <row r="2" spans="1:21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1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89</v>
      </c>
      <c r="U3" s="16" t="s">
        <v>90</v>
      </c>
    </row>
    <row r="4" spans="1:21" ht="15.75" thickTop="1">
      <c r="A4" s="6" t="s">
        <v>52</v>
      </c>
      <c r="B4" s="11" t="s">
        <v>43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</row>
    <row r="5" spans="1:21">
      <c r="A5" s="6" t="s">
        <v>53</v>
      </c>
      <c r="B5" s="11" t="s">
        <v>43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</row>
    <row r="6" spans="1:21">
      <c r="A6" s="14" t="s">
        <v>92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/>
      <c r="U6" s="18"/>
    </row>
    <row r="7" spans="1:21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</row>
    <row r="8" spans="1:21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</row>
    <row r="9" spans="1:21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1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1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1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1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1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1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1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2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7" workbookViewId="0">
      <selection activeCell="K27" sqref="K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Volumes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2022-07-13T09:08:48Z</dcterms:modified>
</cp:coreProperties>
</file>