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15" i="5"/>
  <c r="W6" i="11"/>
  <c r="W6" i="8"/>
  <c r="W7"/>
  <c r="W8"/>
  <c r="W9"/>
  <c r="W5"/>
  <c r="W16" i="5"/>
  <c r="W17"/>
  <c r="W18"/>
  <c r="W10"/>
  <c r="W9"/>
  <c r="W8"/>
  <c r="W7"/>
  <c r="W11"/>
  <c r="W12"/>
  <c r="W13"/>
  <c r="W14"/>
  <c r="W6"/>
  <c r="W8" i="11"/>
  <c r="W9"/>
  <c r="W10"/>
  <c r="W11"/>
  <c r="W7"/>
  <c r="W6" i="12"/>
  <c r="W8" i="10"/>
  <c r="W7"/>
  <c r="W6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W17" i="10"/>
  <c r="W16"/>
  <c r="W15"/>
  <c r="W14"/>
  <c r="W13"/>
  <c r="W12"/>
  <c r="W10"/>
  <c r="W21" i="8"/>
  <c r="W20"/>
  <c r="W19"/>
  <c r="W18"/>
  <c r="W17"/>
  <c r="W16"/>
  <c r="W15"/>
  <c r="W14"/>
  <c r="W13"/>
  <c r="W12"/>
  <c r="W11"/>
  <c r="W10"/>
  <c r="O34" i="9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3" i="9"/>
  <c r="E23" s="1"/>
  <c r="E39"/>
  <c r="E16"/>
  <c r="E19"/>
  <c r="E20"/>
  <c r="E21"/>
  <c r="E22"/>
  <c r="E25"/>
  <c r="E26"/>
  <c r="O27"/>
  <c r="G27"/>
  <c r="G31"/>
  <c r="G32"/>
  <c r="G33"/>
  <c r="G34"/>
  <c r="G35"/>
  <c r="G36"/>
  <c r="G37"/>
  <c r="G28"/>
  <c r="G29"/>
  <c r="G3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1"/>
  <c r="E31" s="1"/>
  <c r="O32"/>
  <c r="E32" s="1"/>
  <c r="O33"/>
  <c r="E33" s="1"/>
  <c r="O35"/>
  <c r="E35" s="1"/>
  <c r="O36"/>
  <c r="O37"/>
  <c r="O28"/>
  <c r="E28" s="1"/>
  <c r="O29"/>
  <c r="E29" s="1"/>
  <c r="O30"/>
  <c r="E3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17" i="15" l="1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D20"/>
  <c r="C20" s="1"/>
  <c r="D19"/>
  <c r="C19" s="1"/>
  <c r="D18"/>
  <c r="C18" s="1"/>
  <c r="D22"/>
  <c r="C22" s="1"/>
  <c r="W22" s="1"/>
  <c r="D11"/>
  <c r="C11" s="1"/>
  <c r="D24" i="5"/>
  <c r="C24" s="1"/>
  <c r="D25"/>
  <c r="C25" s="1"/>
  <c r="D32" i="9"/>
  <c r="C32" s="1"/>
  <c r="W32" s="1"/>
  <c r="D33"/>
  <c r="C33" s="1"/>
  <c r="W33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4"/>
  <c r="D34" s="1"/>
  <c r="C34" s="1"/>
  <c r="W34" s="1"/>
  <c r="E98"/>
  <c r="D98" s="1"/>
  <c r="C98" s="1"/>
  <c r="E66"/>
  <c r="D66" s="1"/>
  <c r="C66" s="1"/>
  <c r="E99"/>
  <c r="D99" s="1"/>
  <c r="C99" s="1"/>
  <c r="E67"/>
  <c r="D67" s="1"/>
  <c r="C67" s="1"/>
  <c r="E36"/>
  <c r="D36" s="1"/>
  <c r="C36" s="1"/>
  <c r="W36" s="1"/>
  <c r="E100"/>
  <c r="D100" s="1"/>
  <c r="C100" s="1"/>
  <c r="E68"/>
  <c r="D68" s="1"/>
  <c r="C68" s="1"/>
  <c r="E37"/>
  <c r="D37" s="1"/>
  <c r="C37" s="1"/>
  <c r="W37" s="1"/>
  <c r="D56"/>
  <c r="C56" s="1"/>
  <c r="D92"/>
  <c r="C92" s="1"/>
  <c r="D60"/>
  <c r="C60" s="1"/>
  <c r="D94"/>
  <c r="C94" s="1"/>
  <c r="D62"/>
  <c r="C62" s="1"/>
  <c r="D31"/>
  <c r="C31" s="1"/>
  <c r="W31" s="1"/>
  <c r="D35"/>
  <c r="C35" s="1"/>
  <c r="W35" s="1"/>
  <c r="D28"/>
  <c r="C28" s="1"/>
  <c r="W28" s="1"/>
  <c r="D29"/>
  <c r="C29" s="1"/>
  <c r="W29" s="1"/>
  <c r="D30"/>
  <c r="C30" s="1"/>
  <c r="W3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11" i="11"/>
  <c r="E11" s="1"/>
  <c r="O12" i="9"/>
  <c r="E12" s="1"/>
  <c r="G12"/>
  <c r="E5" i="11"/>
  <c r="G5"/>
  <c r="O5"/>
  <c r="O11" i="5"/>
  <c r="E11" s="1"/>
  <c r="G11"/>
  <c r="E4" i="8"/>
  <c r="G4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39" i="9"/>
  <c r="O19" i="10"/>
  <c r="E19" s="1"/>
  <c r="G19"/>
  <c r="E18"/>
  <c r="G18"/>
  <c r="E17"/>
  <c r="G17"/>
  <c r="E4"/>
  <c r="G4"/>
  <c r="O38" i="9"/>
  <c r="E38" s="1"/>
  <c r="G17" i="8"/>
  <c r="E17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8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8" i="10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D14" i="10"/>
  <c r="C14" s="1"/>
  <c r="D19"/>
  <c r="C19" s="1"/>
  <c r="J5" i="20"/>
  <c r="N5" s="1"/>
  <c r="I5"/>
  <c r="M5" s="1"/>
  <c r="D8" i="10"/>
  <c r="C8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6" i="9"/>
  <c r="C6" s="1"/>
  <c r="W6" s="1"/>
  <c r="D10" i="8"/>
  <c r="C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2" i="9"/>
  <c r="C12" s="1"/>
  <c r="W12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39" i="9"/>
  <c r="C39" s="1"/>
  <c r="D9"/>
  <c r="C9" s="1"/>
  <c r="W9" s="1"/>
  <c r="D4"/>
  <c r="C4" s="1"/>
  <c r="W4" s="1"/>
  <c r="D8"/>
  <c r="C8" s="1"/>
  <c r="W8" s="1"/>
  <c r="D5" i="8"/>
  <c r="C5" s="1"/>
  <c r="D15" i="9"/>
  <c r="C15" s="1"/>
  <c r="D10"/>
  <c r="C10" s="1"/>
  <c r="W10" s="1"/>
  <c r="D8" i="8"/>
  <c r="C8" s="1"/>
  <c r="D9"/>
  <c r="C9" s="1"/>
  <c r="D7"/>
  <c r="C7" s="1"/>
  <c r="D6"/>
  <c r="C6" s="1"/>
  <c r="D5" i="5"/>
  <c r="C5" s="1"/>
  <c r="D38" i="9"/>
  <c r="C38" s="1"/>
  <c r="D11"/>
  <c r="C11" s="1"/>
  <c r="W11" s="1"/>
  <c r="D16"/>
  <c r="C16" s="1"/>
  <c r="W16" s="1"/>
  <c r="D13"/>
  <c r="C13" s="1"/>
  <c r="D5"/>
  <c r="C5" s="1"/>
  <c r="W5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R17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<sst xmlns="http://schemas.openxmlformats.org/spreadsheetml/2006/main" count="749" uniqueCount="289">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</sst>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63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</cellXfs>
  <cellStyles count="2">
    <cellStyle name="Normal" xfId="0" builtinId="0"/>
    <cellStyle name="Note" xfId="1" builtinId="10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5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94">
      <calculatedColumnFormula>SUM(Table1689[[#This Row],[DPS]]*Table1689[[#This Row],[Avg Accuracy]])</calculatedColumnFormula>
    </tableColumn>
    <tableColumn id="15" name="DPS" dataDxfId="93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92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9"/>
    <tableColumn id="22" name="Balance" dataDxfId="88">
      <calculatedColumnFormula>SUM(((Table168[[#This Row],[Avg DPS]]*(Table168[[#This Row],[Range]]))+(Table168[[#This Row],[Avg DPS]]*Table168[[#This Row],[Arm Pen (%)]]))/100)</calculatedColumnFormula>
    </tableColumn>
    <tableColumn id="20" name="Avg DPS" dataDxfId="87">
      <calculatedColumnFormula>SUM(Table168[[#This Row],[DPS]]*Table168[[#This Row],[Avg Accuracy]])</calculatedColumnFormula>
    </tableColumn>
    <tableColumn id="15" name="DPS" dataDxfId="86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85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1"/>
    <tableColumn id="22" name="Balance" dataDxfId="80">
      <calculatedColumnFormula>SUM(((Table16[[#This Row],[Avg DPS]]*(Table16[[#This Row],[Range]]))+(Table16[[#This Row],[Avg DPS]]*Table16[[#This Row],[Arm Pen (%)]]))/100)</calculatedColumnFormula>
    </tableColumn>
    <tableColumn id="20" name="Avg DPS" dataDxfId="79">
      <calculatedColumnFormula>SUM(Table16[[#This Row],[DPS]]*Table16[[#This Row],[Avg Accuracy]])</calculatedColumnFormula>
    </tableColumn>
    <tableColumn id="15" name="DPS" dataDxfId="78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77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5"/>
    <tableColumn id="14" name="Weight" dataDxfId="74"/>
    <tableColumn id="21" name="Craftable" dataDxfId="73"/>
    <tableColumn id="23" name="Value" dataDxfId="7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23">
    <sortCondition ref="B3:B123"/>
  </sortState>
  <tableColumns count="23">
    <tableColumn id="1" name="Weapon Name"/>
    <tableColumn id="12" name="Vol."/>
    <tableColumn id="22" name="Balance" dataDxfId="69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68">
      <calculatedColumnFormula>SUM(Table16810[[#This Row],[DPS]]*Table16810[[#This Row],[Avg Accuracy]])</calculatedColumnFormula>
    </tableColumn>
    <tableColumn id="15" name="DPS" dataDxfId="67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66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65"/>
    <tableColumn id="5" name="Warm-up" dataDxfId="64"/>
    <tableColumn id="6" name="RPM"/>
    <tableColumn id="7" name="Burst Time" dataDxfId="6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62"/>
    <tableColumn id="21" name="Craftable" dataDxfId="61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7">
      <calculatedColumnFormula>SUM(Table1681011[[#This Row],[DPS]]*Table1681011[[#This Row],[Avg Accuracy]])</calculatedColumnFormula>
    </tableColumn>
    <tableColumn id="15" name="DPS" dataDxfId="5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3"/>
    <tableColumn id="14" name="Weight" dataDxfId="52"/>
    <tableColumn id="21" name="Craftable" dataDxfId="51"/>
    <tableColumn id="23" name="Value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8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7">
      <calculatedColumnFormula>SUM(Table1681015[[#This Row],[DPS]]*Table1681015[[#This Row],[Avg Accuracy]])</calculatedColumnFormula>
    </tableColumn>
    <tableColumn id="15" name="DPS" dataDxfId="4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1">
      <calculatedColumnFormula>SUM(Table168101112[[#This Row],[DPS]]*Table168101112[[#This Row],[Avg Accuracy]])</calculatedColumnFormula>
    </tableColumn>
    <tableColumn id="15" name="DPS" dataDxfId="4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36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5">
      <calculatedColumnFormula>SUM(Table1681011124[[#This Row],[DPS]]*Table1681011124[[#This Row],[Avg Accuracy]])</calculatedColumnFormula>
    </tableColumn>
    <tableColumn id="15" name="DPS" dataDxfId="34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3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A28" sqref="A28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4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4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4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4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4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4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4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4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4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4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4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4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4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4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4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4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4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4">
        <f>Table1689[[#This Row],[Balance]]*W2</f>
        <v>165.83054641791045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97" priority="2" operator="greaterThan">
      <formula>1.731</formula>
    </cfRule>
  </conditionalFormatting>
  <conditionalFormatting sqref="O1:O1048576">
    <cfRule type="cellIs" dxfId="96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282</v>
      </c>
      <c r="Q1" t="s">
        <v>174</v>
      </c>
      <c r="X1" s="41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1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103</v>
      </c>
      <c r="P4" s="47">
        <f>IF(Table168101112133[[#This Row],[Extra Dam C%]]="N/A",0,SUM((Table168101112133[[#This Row],[Extra Dam C%]]*Table168101112133[[#This Row],[Extra Dam]])))</f>
        <v>0</v>
      </c>
      <c r="Q4" s="62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86</v>
      </c>
      <c r="W4" s="52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103</v>
      </c>
      <c r="P5" s="47">
        <f>IF(Table168101112133[[#This Row],[Extra Dam C%]]="N/A",0,SUM((Table168101112133[[#This Row],[Extra Dam C%]]*Table168101112133[[#This Row],[Extra Dam]])))</f>
        <v>0</v>
      </c>
      <c r="Q5" s="62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86</v>
      </c>
      <c r="W5" s="53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103</v>
      </c>
      <c r="P6" s="47">
        <f>IF(Table168101112133[[#This Row],[Extra Dam C%]]="N/A",0,SUM((Table168101112133[[#This Row],[Extra Dam C%]]*Table168101112133[[#This Row],[Extra Dam]])))</f>
        <v>0</v>
      </c>
      <c r="Q6" s="62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86</v>
      </c>
      <c r="W6" s="52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103</v>
      </c>
      <c r="P7" s="47">
        <f>IF(Table168101112133[[#This Row],[Extra Dam C%]]="N/A",0,SUM((Table168101112133[[#This Row],[Extra Dam C%]]*Table168101112133[[#This Row],[Extra Dam]])))</f>
        <v>0</v>
      </c>
      <c r="Q7" s="62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87</v>
      </c>
      <c r="W7" s="53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 s="62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87</v>
      </c>
      <c r="W8" s="52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2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>
      <selection activeCell="A20" sqref="A20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87</v>
      </c>
      <c r="P4" s="36" t="s">
        <v>86</v>
      </c>
      <c r="Q4" s="36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86</v>
      </c>
      <c r="P5" s="36" t="s">
        <v>87</v>
      </c>
      <c r="Q5" s="36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86</v>
      </c>
      <c r="P6" s="36" t="s">
        <v>87</v>
      </c>
      <c r="Q6" s="36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86</v>
      </c>
      <c r="P7" s="33" t="s">
        <v>87</v>
      </c>
      <c r="Q7" s="33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86</v>
      </c>
      <c r="P8" s="36" t="s">
        <v>87</v>
      </c>
      <c r="Q8" s="36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87</v>
      </c>
      <c r="P9" s="36" t="s">
        <v>86</v>
      </c>
      <c r="Q9" s="36"/>
    </row>
    <row r="10" spans="1:17">
      <c r="A10" t="s">
        <v>102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87</v>
      </c>
      <c r="P10" s="36" t="s">
        <v>87</v>
      </c>
      <c r="Q10" s="36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87</v>
      </c>
      <c r="P11" s="36" t="s">
        <v>87</v>
      </c>
      <c r="Q11" s="36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87</v>
      </c>
      <c r="P12" s="36" t="s">
        <v>87</v>
      </c>
      <c r="Q12" s="36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87</v>
      </c>
      <c r="P13" s="36" t="s">
        <v>87</v>
      </c>
      <c r="Q13" s="36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86</v>
      </c>
      <c r="P14" s="36" t="s">
        <v>86</v>
      </c>
      <c r="Q14" s="36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87</v>
      </c>
      <c r="P15" s="36" t="s">
        <v>86</v>
      </c>
      <c r="Q15" s="36" t="s">
        <v>208</v>
      </c>
    </row>
    <row r="16" spans="1:17">
      <c r="A16" s="1" t="s">
        <v>183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87</v>
      </c>
      <c r="P16" s="36" t="s">
        <v>86</v>
      </c>
      <c r="Q16" s="36"/>
    </row>
    <row r="17" spans="1:17">
      <c r="A17" t="s">
        <v>189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87</v>
      </c>
      <c r="P17" s="36" t="s">
        <v>86</v>
      </c>
      <c r="Q17" s="36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87</v>
      </c>
      <c r="P18" s="36" t="s">
        <v>87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D21" sqref="D21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263</v>
      </c>
      <c r="C1" t="s">
        <v>268</v>
      </c>
      <c r="D1" t="s">
        <v>264</v>
      </c>
      <c r="E1" t="s">
        <v>265</v>
      </c>
      <c r="F1" t="s">
        <v>266</v>
      </c>
    </row>
    <row r="2" spans="1:12">
      <c r="A2" s="1" t="s">
        <v>50</v>
      </c>
      <c r="B2" s="1" t="s">
        <v>51</v>
      </c>
      <c r="C2" s="1" t="s">
        <v>269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0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0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0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10</v>
      </c>
      <c r="E6">
        <f>COUNTIF(Rifle!B:B, 3)</f>
        <v>7</v>
      </c>
      <c r="F6">
        <f>COUNTIF(Rifle!B:B, 4)</f>
        <v>0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2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0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40" t="s">
        <v>261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40"/>
    </row>
    <row r="15" spans="1:12">
      <c r="A15" s="39" t="s">
        <v>267</v>
      </c>
      <c r="B15" s="41" t="s">
        <v>86</v>
      </c>
      <c r="C15" s="41" t="s">
        <v>87</v>
      </c>
      <c r="D15" s="41" t="s">
        <v>86</v>
      </c>
      <c r="E15" s="41" t="s">
        <v>86</v>
      </c>
      <c r="F15" s="41" t="s">
        <v>87</v>
      </c>
      <c r="G15" s="41"/>
      <c r="H15" s="41"/>
      <c r="I15" s="41"/>
      <c r="J15" s="41"/>
    </row>
    <row r="17" spans="1:18">
      <c r="A17" t="s">
        <v>52</v>
      </c>
      <c r="B17">
        <f>SUM(B3:B13)</f>
        <v>47</v>
      </c>
      <c r="C17">
        <f>SUM(C3:C13)</f>
        <v>2</v>
      </c>
      <c r="D17">
        <f t="shared" ref="D17:J17" si="0">SUM(D3:D13)</f>
        <v>19</v>
      </c>
      <c r="E17">
        <f t="shared" si="0"/>
        <v>30</v>
      </c>
      <c r="F17">
        <f t="shared" si="0"/>
        <v>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107</v>
      </c>
    </row>
    <row r="18" spans="1:18">
      <c r="A18" t="s">
        <v>88</v>
      </c>
      <c r="B18" s="56">
        <v>10</v>
      </c>
      <c r="C18" s="56">
        <v>2</v>
      </c>
      <c r="D18" s="56">
        <v>7</v>
      </c>
      <c r="E18" s="56">
        <v>7</v>
      </c>
      <c r="F18" s="56">
        <v>2</v>
      </c>
      <c r="G18" s="56"/>
      <c r="H18" s="56"/>
      <c r="I18" s="56"/>
      <c r="J18" s="56"/>
    </row>
    <row r="20" spans="1:18">
      <c r="A20" t="s">
        <v>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130</v>
      </c>
      <c r="W3" s="43" t="s">
        <v>154</v>
      </c>
      <c r="X3" s="41"/>
      <c r="Y3" s="41"/>
    </row>
    <row r="4" spans="2:42">
      <c r="B4" s="42" t="s">
        <v>131</v>
      </c>
      <c r="C4" s="42" t="s">
        <v>132</v>
      </c>
      <c r="D4" s="42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2" t="s">
        <v>131</v>
      </c>
      <c r="X4" s="42" t="s">
        <v>132</v>
      </c>
      <c r="Y4" s="42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22" sqref="A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90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60" t="s">
        <v>281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4" t="s">
        <v>86</v>
      </c>
      <c r="W4" s="24">
        <v>355</v>
      </c>
    </row>
    <row r="5" spans="1:23">
      <c r="A5" s="6" t="s">
        <v>28</v>
      </c>
      <c r="B5" s="11" t="s">
        <v>35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5" t="s">
        <v>86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4" t="s">
        <v>86</v>
      </c>
      <c r="W6" s="58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9">
        <v>3.4</v>
      </c>
      <c r="V7" s="25" t="s">
        <v>87</v>
      </c>
      <c r="W7" s="58">
        <f>Table16[[#This Row],[Balance]]*$W$1</f>
        <v>288.3667251315789</v>
      </c>
    </row>
    <row r="8" spans="1:23">
      <c r="A8" s="60" t="s">
        <v>105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4" t="s">
        <v>87</v>
      </c>
      <c r="W8" s="58">
        <f>Table16[[#This Row],[Balance]]*$W$2</f>
        <v>235.78842419999998</v>
      </c>
    </row>
    <row r="9" spans="1:23">
      <c r="A9" s="60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5" t="s">
        <v>87</v>
      </c>
      <c r="W9" s="58">
        <f>Table16[[#This Row],[Balance]]*$W$2</f>
        <v>236.46727762859879</v>
      </c>
    </row>
    <row r="10" spans="1:23" s="4" customFormat="1">
      <c r="A10" s="61" t="s">
        <v>60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4" t="s">
        <v>86</v>
      </c>
      <c r="W10" s="58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5" t="s">
        <v>87</v>
      </c>
      <c r="W11" s="58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87</v>
      </c>
      <c r="W12" s="58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87</v>
      </c>
      <c r="W13" s="58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4" t="s">
        <v>87</v>
      </c>
      <c r="W14" s="58">
        <f>Table16[[#This Row],[Balance]]*$W$1</f>
        <v>313.63898624999996</v>
      </c>
    </row>
    <row r="15" spans="1:23">
      <c r="A15" s="60" t="s">
        <v>118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87</v>
      </c>
      <c r="W15" s="58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87</v>
      </c>
      <c r="W16" s="58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87</v>
      </c>
      <c r="W17" s="58">
        <f>Table16[[#This Row],[Balance]]*$W$1</f>
        <v>272.55044685459438</v>
      </c>
    </row>
    <row r="18" spans="1:23">
      <c r="A18" s="49" t="s">
        <v>186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8">
        <f>Table16[[#This Row],[Balance]]*$W$1</f>
        <v>235.52447268292684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3" priority="2" operator="greaterThan">
      <formula>2.599</formula>
    </cfRule>
  </conditionalFormatting>
  <conditionalFormatting sqref="O1:O1048576">
    <cfRule type="cellIs" dxfId="8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A2" sqref="A2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7.42578125" customWidth="1"/>
  </cols>
  <sheetData>
    <row r="1" spans="1:23">
      <c r="A1" s="1" t="s">
        <v>0</v>
      </c>
      <c r="C1" t="s">
        <v>24</v>
      </c>
      <c r="F1" s="1" t="s">
        <v>66</v>
      </c>
      <c r="H1" s="1" t="s">
        <v>76</v>
      </c>
      <c r="V1" s="41" t="s">
        <v>199</v>
      </c>
      <c r="W1">
        <v>150.47</v>
      </c>
    </row>
    <row r="2" spans="1:23">
      <c r="A2" t="s">
        <v>23</v>
      </c>
      <c r="B2" t="s">
        <v>25</v>
      </c>
      <c r="E2" t="s">
        <v>21</v>
      </c>
      <c r="I2" s="5" t="s">
        <v>283</v>
      </c>
      <c r="P2" t="s">
        <v>33</v>
      </c>
      <c r="Q2" t="s">
        <v>31</v>
      </c>
      <c r="R2" t="s">
        <v>32</v>
      </c>
      <c r="V2" s="41" t="s">
        <v>198</v>
      </c>
      <c r="W2">
        <v>90.105999999999995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1" t="s">
        <v>85</v>
      </c>
      <c r="W3" t="s">
        <v>197</v>
      </c>
    </row>
    <row r="4" spans="1:23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1" t="s">
        <v>86</v>
      </c>
      <c r="W4" s="54">
        <f t="shared" ref="W4:W12" si="1">C4*$W$1</f>
        <v>460.55388993428568</v>
      </c>
    </row>
    <row r="5" spans="1:23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1" t="s">
        <v>86</v>
      </c>
      <c r="W5" s="54">
        <f t="shared" si="1"/>
        <v>440.44052204285708</v>
      </c>
    </row>
    <row r="6" spans="1:23">
      <c r="A6" t="s">
        <v>275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1" t="s">
        <v>87</v>
      </c>
      <c r="W6" s="54">
        <f t="shared" si="1"/>
        <v>479.95461398488112</v>
      </c>
    </row>
    <row r="7" spans="1:23">
      <c r="A7" t="s">
        <v>276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1" t="s">
        <v>87</v>
      </c>
      <c r="W7" s="54">
        <f t="shared" si="1"/>
        <v>441.95538359647037</v>
      </c>
    </row>
    <row r="8" spans="1:23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1" t="s">
        <v>87</v>
      </c>
      <c r="W8" s="54">
        <f t="shared" si="1"/>
        <v>453.92955714532013</v>
      </c>
    </row>
    <row r="9" spans="1:23">
      <c r="A9" t="s">
        <v>277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1" t="s">
        <v>87</v>
      </c>
      <c r="W9" s="54">
        <f t="shared" si="1"/>
        <v>477.66016903846156</v>
      </c>
    </row>
    <row r="10" spans="1:23">
      <c r="A10" s="4" t="s">
        <v>278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1" t="s">
        <v>87</v>
      </c>
      <c r="W10" s="54">
        <f t="shared" si="1"/>
        <v>440.62315610958899</v>
      </c>
    </row>
    <row r="11" spans="1:23">
      <c r="A11" s="4" t="s">
        <v>279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1" t="s">
        <v>87</v>
      </c>
      <c r="W11" s="54">
        <f t="shared" si="1"/>
        <v>454.11507641534388</v>
      </c>
    </row>
    <row r="12" spans="1:23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1" t="s">
        <v>87</v>
      </c>
      <c r="W12" s="54">
        <f t="shared" si="1"/>
        <v>457.33144772289143</v>
      </c>
    </row>
    <row r="13" spans="1:23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1" t="s">
        <v>87</v>
      </c>
      <c r="W13">
        <v>480</v>
      </c>
    </row>
    <row r="14" spans="1:23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1" t="s">
        <v>87</v>
      </c>
      <c r="W14">
        <v>480</v>
      </c>
    </row>
    <row r="15" spans="1:23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1" t="s">
        <v>87</v>
      </c>
      <c r="W15">
        <v>530</v>
      </c>
    </row>
    <row r="16" spans="1:23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1" t="s">
        <v>87</v>
      </c>
      <c r="W16" s="54">
        <f>C16*$W$1</f>
        <v>365.95557916666667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1" t="s">
        <v>87</v>
      </c>
      <c r="W17" s="54">
        <f>C17*$W$1</f>
        <v>357.09540400000003</v>
      </c>
    </row>
    <row r="18" spans="1:23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8" t="s">
        <v>87</v>
      </c>
      <c r="W18" s="54">
        <f>C18*$W$1</f>
        <v>453.70889418539315</v>
      </c>
    </row>
    <row r="19" spans="1:23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1" t="s">
        <v>87</v>
      </c>
      <c r="W19" s="54">
        <f>C19*$W$2</f>
        <v>260.57694069333331</v>
      </c>
    </row>
    <row r="20" spans="1:23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1" t="s">
        <v>87</v>
      </c>
      <c r="W20" s="54">
        <f>C20*$W$2</f>
        <v>255.37266289640885</v>
      </c>
    </row>
    <row r="21" spans="1:23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1" t="s">
        <v>87</v>
      </c>
      <c r="W21">
        <v>245</v>
      </c>
    </row>
    <row r="22" spans="1:23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1" t="s">
        <v>87</v>
      </c>
      <c r="W22">
        <v>410</v>
      </c>
    </row>
    <row r="23" spans="1:23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1" t="s">
        <v>86</v>
      </c>
      <c r="W23">
        <v>455</v>
      </c>
    </row>
    <row r="24" spans="1:23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1" t="s">
        <v>87</v>
      </c>
      <c r="W24">
        <v>460</v>
      </c>
    </row>
    <row r="25" spans="1:23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1" t="s">
        <v>86</v>
      </c>
      <c r="W25">
        <v>410</v>
      </c>
    </row>
    <row r="26" spans="1:23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1" t="s">
        <v>87</v>
      </c>
      <c r="W26">
        <v>185</v>
      </c>
    </row>
    <row r="27" spans="1:23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1" t="s">
        <v>87</v>
      </c>
      <c r="W27">
        <v>435</v>
      </c>
    </row>
    <row r="28" spans="1:23">
      <c r="A28" s="1" t="s">
        <v>284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1" t="s">
        <v>86</v>
      </c>
      <c r="W28" s="54">
        <f t="shared" ref="W28:W37" si="3">C28*$W$1</f>
        <v>407.97351407262573</v>
      </c>
    </row>
    <row r="29" spans="1:23">
      <c r="A29" t="s">
        <v>285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1" t="s">
        <v>87</v>
      </c>
      <c r="W29" s="54">
        <f t="shared" si="3"/>
        <v>452.36266318750006</v>
      </c>
    </row>
    <row r="30" spans="1:23">
      <c r="A30" t="s">
        <v>286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1" t="s">
        <v>87</v>
      </c>
      <c r="W30" s="54">
        <f t="shared" si="3"/>
        <v>466.54390939655161</v>
      </c>
    </row>
    <row r="31" spans="1:23">
      <c r="A31" t="s">
        <v>211</v>
      </c>
      <c r="B31" s="12">
        <v>3</v>
      </c>
      <c r="C31" s="2">
        <f>SUM(((Table16810[[#This Row],[Avg DPS]]*(Table16810[[#This Row],[Range]]))+(Table16810[[#This Row],[Avg DPS]]*Table16810[[#This Row],[Arm Pen (%)]]))/100)</f>
        <v>2.4114572480181193</v>
      </c>
      <c r="D31" s="3">
        <f>SUM(Table16810[[#This Row],[DPS]]*Table16810[[#This Row],[Avg Accuracy]])</f>
        <v>6.3626840317100779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1">
        <v>24.9</v>
      </c>
      <c r="G31" s="2">
        <f>SUM((Table16810[[#This Row],[Accuracy (Close)]]+Table16810[[#This Row],[Accuracy (Short)]]+Table16810[[#This Row],[Accuracy (Medium)]]+Table16810[[#This Row],[Accuracy (Long)]])/4)</f>
        <v>0.5675</v>
      </c>
      <c r="H31">
        <v>11</v>
      </c>
      <c r="I31">
        <v>0.5</v>
      </c>
      <c r="J31">
        <v>13</v>
      </c>
      <c r="K31">
        <v>3</v>
      </c>
      <c r="L31" s="2">
        <v>1.51</v>
      </c>
      <c r="M31" s="2">
        <v>1.1000000000000001</v>
      </c>
      <c r="N31">
        <v>360</v>
      </c>
      <c r="O31" s="2">
        <f t="shared" si="2"/>
        <v>0.16666666666666666</v>
      </c>
      <c r="P31">
        <v>0.77</v>
      </c>
      <c r="Q31">
        <v>0.7</v>
      </c>
      <c r="R31">
        <v>0.5</v>
      </c>
      <c r="S31">
        <v>0.3</v>
      </c>
      <c r="T31">
        <v>70</v>
      </c>
      <c r="U31" s="2">
        <v>3.3</v>
      </c>
      <c r="V31" s="41" t="s">
        <v>87</v>
      </c>
      <c r="W31" s="54">
        <f t="shared" si="3"/>
        <v>362.85197210928641</v>
      </c>
    </row>
    <row r="32" spans="1:23">
      <c r="A32" s="1" t="s">
        <v>210</v>
      </c>
      <c r="B32" s="41">
        <v>3</v>
      </c>
      <c r="C32" s="2">
        <f>SUM(((Table16810[[#This Row],[Avg DPS]]*(Table16810[[#This Row],[Range]]))+(Table16810[[#This Row],[Avg DPS]]*Table16810[[#This Row],[Arm Pen (%)]]))/100)</f>
        <v>3.0127881355932202</v>
      </c>
      <c r="D32" s="3">
        <f>SUM(Table16810[[#This Row],[DPS]]*Table16810[[#This Row],[Avg Accuracy]])</f>
        <v>6.5638085742771688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0.66499999999999992</v>
      </c>
      <c r="H32">
        <v>11</v>
      </c>
      <c r="I32">
        <v>0.5</v>
      </c>
      <c r="J32">
        <v>13</v>
      </c>
      <c r="K32">
        <v>3</v>
      </c>
      <c r="L32" s="2">
        <v>1.79</v>
      </c>
      <c r="M32" s="2">
        <v>1.22</v>
      </c>
      <c r="N32">
        <v>360</v>
      </c>
      <c r="O32" s="2">
        <f t="shared" si="2"/>
        <v>0.16666666666666666</v>
      </c>
      <c r="P32">
        <v>0.63</v>
      </c>
      <c r="Q32">
        <v>0.75</v>
      </c>
      <c r="R32">
        <v>0.71</v>
      </c>
      <c r="S32">
        <v>0.56999999999999995</v>
      </c>
      <c r="T32">
        <v>70</v>
      </c>
      <c r="U32" s="2">
        <v>3.6</v>
      </c>
      <c r="V32" s="41" t="s">
        <v>86</v>
      </c>
      <c r="W32" s="54">
        <f t="shared" si="3"/>
        <v>453.33423076271185</v>
      </c>
    </row>
    <row r="33" spans="1:23">
      <c r="A33" t="s">
        <v>212</v>
      </c>
      <c r="B33" s="41">
        <v>3</v>
      </c>
      <c r="C33" s="2">
        <f>SUM(((Table16810[[#This Row],[Avg DPS]]*(Table16810[[#This Row],[Range]]))+(Table16810[[#This Row],[Avg DPS]]*Table16810[[#This Row],[Arm Pen (%)]]))/100)</f>
        <v>3.1961697316103379</v>
      </c>
      <c r="D33" s="3">
        <f>SUM(Table16810[[#This Row],[DPS]]*Table16810[[#This Row],[Avg Accuracy]])</f>
        <v>6.8148608349900597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3">
        <v>33.9</v>
      </c>
      <c r="G33" s="2">
        <f>SUM((Table16810[[#This Row],[Accuracy (Close)]]+Table16810[[#This Row],[Accuracy (Short)]]+Table16810[[#This Row],[Accuracy (Medium)]]+Table16810[[#This Row],[Accuracy (Long)]])/4)</f>
        <v>0.6925</v>
      </c>
      <c r="H33">
        <v>11</v>
      </c>
      <c r="I33">
        <v>0.5</v>
      </c>
      <c r="J33">
        <v>13</v>
      </c>
      <c r="K33">
        <v>3</v>
      </c>
      <c r="L33" s="2">
        <v>1.8</v>
      </c>
      <c r="M33" s="2">
        <v>1.22</v>
      </c>
      <c r="N33">
        <v>360</v>
      </c>
      <c r="O33" s="2">
        <f t="shared" si="2"/>
        <v>0.16666666666666666</v>
      </c>
      <c r="P33">
        <v>0.72</v>
      </c>
      <c r="Q33">
        <v>0.76</v>
      </c>
      <c r="R33">
        <v>0.71</v>
      </c>
      <c r="S33">
        <v>0.57999999999999996</v>
      </c>
      <c r="T33">
        <v>70</v>
      </c>
      <c r="U33" s="2">
        <v>3.7</v>
      </c>
      <c r="V33" s="41" t="s">
        <v>87</v>
      </c>
      <c r="W33" s="54">
        <f t="shared" si="3"/>
        <v>480.92765951540753</v>
      </c>
    </row>
    <row r="34" spans="1:23">
      <c r="A34" t="s">
        <v>213</v>
      </c>
      <c r="B34" s="41">
        <v>3</v>
      </c>
      <c r="C34" s="2">
        <f>SUM(((Table16810[[#This Row],[Avg DPS]]*(Table16810[[#This Row],[Range]]))+(Table16810[[#This Row],[Avg DPS]]*Table16810[[#This Row],[Arm Pen (%)]]))/100)</f>
        <v>2.6787115384615383</v>
      </c>
      <c r="D34" s="3">
        <f>SUM(Table16810[[#This Row],[DPS]]*Table16810[[#This Row],[Avg Accuracy]])</f>
        <v>5.7115384615384617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4">
        <v>30.9</v>
      </c>
      <c r="G34" s="2">
        <f>SUM((Table16810[[#This Row],[Accuracy (Close)]]+Table16810[[#This Row],[Accuracy (Short)]]+Table16810[[#This Row],[Accuracy (Medium)]]+Table16810[[#This Row],[Accuracy (Long)]])/4)</f>
        <v>0.67500000000000004</v>
      </c>
      <c r="H34">
        <v>11</v>
      </c>
      <c r="I34">
        <v>0.5</v>
      </c>
      <c r="J34">
        <v>16</v>
      </c>
      <c r="K34">
        <v>2</v>
      </c>
      <c r="L34" s="2">
        <v>1.4</v>
      </c>
      <c r="M34" s="2">
        <v>1</v>
      </c>
      <c r="N34">
        <v>300</v>
      </c>
      <c r="O34" s="2">
        <f t="shared" si="2"/>
        <v>0.2</v>
      </c>
      <c r="P34">
        <v>0.6</v>
      </c>
      <c r="Q34">
        <v>0.75</v>
      </c>
      <c r="R34">
        <v>0.85</v>
      </c>
      <c r="S34">
        <v>0.5</v>
      </c>
      <c r="T34">
        <v>70</v>
      </c>
      <c r="U34" s="2">
        <v>3.75</v>
      </c>
      <c r="V34" s="41" t="s">
        <v>87</v>
      </c>
      <c r="W34" s="54">
        <f t="shared" si="3"/>
        <v>403.06572519230764</v>
      </c>
    </row>
    <row r="35" spans="1:23">
      <c r="A35" s="1" t="s">
        <v>214</v>
      </c>
      <c r="B35" s="41">
        <v>3</v>
      </c>
      <c r="C35" s="2">
        <f>SUM(((Table16810[[#This Row],[Avg DPS]]*(Table16810[[#This Row],[Range]]))+(Table16810[[#This Row],[Avg DPS]]*Table16810[[#This Row],[Arm Pen (%)]]))/100)</f>
        <v>2.3062499999999999</v>
      </c>
      <c r="D35" s="3">
        <f>SUM(Table16810[[#This Row],[DPS]]*Table16810[[#This Row],[Avg Accuracy]])</f>
        <v>6.2499999999999991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5">
        <v>26.9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8</v>
      </c>
      <c r="I35">
        <v>0.5</v>
      </c>
      <c r="J35">
        <v>10</v>
      </c>
      <c r="K35">
        <v>3</v>
      </c>
      <c r="L35" s="2">
        <v>1</v>
      </c>
      <c r="M35" s="2">
        <v>1.2</v>
      </c>
      <c r="N35">
        <v>600</v>
      </c>
      <c r="O35" s="2">
        <f t="shared" si="2"/>
        <v>0.1</v>
      </c>
      <c r="P35">
        <v>0.6</v>
      </c>
      <c r="Q35">
        <v>0.7</v>
      </c>
      <c r="R35">
        <v>0.65</v>
      </c>
      <c r="S35">
        <v>0.55000000000000004</v>
      </c>
      <c r="T35">
        <v>60</v>
      </c>
      <c r="U35" s="2">
        <v>2.6</v>
      </c>
      <c r="V35" s="41" t="s">
        <v>86</v>
      </c>
      <c r="W35" s="54">
        <f t="shared" si="3"/>
        <v>347.02143749999999</v>
      </c>
    </row>
    <row r="36" spans="1:23">
      <c r="A36" t="s">
        <v>215</v>
      </c>
      <c r="B36" s="41">
        <v>3</v>
      </c>
      <c r="C36" s="2">
        <f>SUM(((Table16810[[#This Row],[Avg DPS]]*(Table16810[[#This Row],[Range]]))+(Table16810[[#This Row],[Avg DPS]]*Table16810[[#This Row],[Arm Pen (%)]]))/100)</f>
        <v>3.1143688524590165</v>
      </c>
      <c r="D36" s="3">
        <f>SUM(Table16810[[#This Row],[DPS]]*Table16810[[#This Row],[Avg Accuracy]])</f>
        <v>6.3688524590163933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6">
        <v>32.9</v>
      </c>
      <c r="G36" s="2">
        <f>SUM((Table16810[[#This Row],[Accuracy (Close)]]+Table16810[[#This Row],[Accuracy (Short)]]+Table16810[[#This Row],[Accuracy (Medium)]]+Table16810[[#This Row],[Accuracy (Long)]])/4)</f>
        <v>0.64749999999999996</v>
      </c>
      <c r="H36">
        <v>10</v>
      </c>
      <c r="I36">
        <v>0.5</v>
      </c>
      <c r="J36">
        <v>16</v>
      </c>
      <c r="K36">
        <v>3</v>
      </c>
      <c r="L36" s="2">
        <v>1.7</v>
      </c>
      <c r="M36" s="2">
        <v>1.1499999999999999</v>
      </c>
      <c r="N36">
        <v>600</v>
      </c>
      <c r="O36" s="2">
        <f t="shared" si="2"/>
        <v>0.1</v>
      </c>
      <c r="P36">
        <v>0.62</v>
      </c>
      <c r="Q36">
        <v>0.75</v>
      </c>
      <c r="R36">
        <v>0.67</v>
      </c>
      <c r="S36">
        <v>0.55000000000000004</v>
      </c>
      <c r="T36">
        <v>70</v>
      </c>
      <c r="U36" s="2">
        <v>4</v>
      </c>
      <c r="V36" s="41" t="s">
        <v>87</v>
      </c>
      <c r="W36" s="54">
        <f t="shared" si="3"/>
        <v>468.6190812295082</v>
      </c>
    </row>
    <row r="37" spans="1:23">
      <c r="A37" t="s">
        <v>216</v>
      </c>
      <c r="B37" s="41">
        <v>3</v>
      </c>
      <c r="C37" s="2">
        <f>SUM(((Table16810[[#This Row],[Avg DPS]]*(Table16810[[#This Row],[Range]]))+(Table16810[[#This Row],[Avg DPS]]*Table16810[[#This Row],[Arm Pen (%)]]))/100)</f>
        <v>2.2709189189189187</v>
      </c>
      <c r="D37" s="3">
        <f>SUM(Table16810[[#This Row],[DPS]]*Table16810[[#This Row],[Avg Accuracy]])</f>
        <v>5.8378378378378377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7">
        <v>28.9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8</v>
      </c>
      <c r="I37">
        <v>0.5</v>
      </c>
      <c r="J37">
        <v>10</v>
      </c>
      <c r="K37">
        <v>3</v>
      </c>
      <c r="L37" s="2">
        <v>1.2</v>
      </c>
      <c r="M37" s="2">
        <v>1</v>
      </c>
      <c r="N37">
        <v>450</v>
      </c>
      <c r="O37" s="2">
        <f t="shared" si="2"/>
        <v>0.13333333333333333</v>
      </c>
      <c r="P37">
        <v>0.6</v>
      </c>
      <c r="Q37">
        <v>0.7</v>
      </c>
      <c r="R37">
        <v>0.6</v>
      </c>
      <c r="S37">
        <v>0.5</v>
      </c>
      <c r="T37">
        <v>70</v>
      </c>
      <c r="U37" s="2">
        <v>3.3</v>
      </c>
      <c r="V37" s="41" t="s">
        <v>87</v>
      </c>
      <c r="W37" s="54">
        <f t="shared" si="3"/>
        <v>341.70516972972968</v>
      </c>
    </row>
    <row r="38" spans="1:23">
      <c r="A38" s="6" t="s">
        <v>38</v>
      </c>
      <c r="B38" s="11" t="s">
        <v>35</v>
      </c>
      <c r="C38" s="2">
        <f>SUM(((Table16810[[#This Row],[Avg DPS]]*(Table16810[[#This Row],[Range]]))+(Table16810[[#This Row],[Avg DPS]]*Table16810[[#This Row],[Arm Pen (%)]]))/100)</f>
        <v>3.1889423076923071</v>
      </c>
      <c r="D38" s="3">
        <f>SUM(Table16810[[#This Row],[DPS]]*Table16810[[#This Row],[Avg Accuracy]])</f>
        <v>6.7994505494505484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8">
        <v>30.9</v>
      </c>
      <c r="G38" s="2">
        <f>SUM((Table16810[[#This Row],[Accuracy (Close)]]+Table16810[[#This Row],[Accuracy (Short)]]+Table16810[[#This Row],[Accuracy (Medium)]]+Table16810[[#This Row],[Accuracy (Long)]])/4)</f>
        <v>0.625</v>
      </c>
      <c r="H38">
        <v>11</v>
      </c>
      <c r="I38">
        <v>0.5</v>
      </c>
      <c r="J38">
        <v>16</v>
      </c>
      <c r="K38">
        <v>3</v>
      </c>
      <c r="L38" s="2">
        <v>1.7</v>
      </c>
      <c r="M38" s="2">
        <v>1</v>
      </c>
      <c r="N38">
        <v>360</v>
      </c>
      <c r="O38" s="2">
        <f t="shared" si="2"/>
        <v>0.16666666666666666</v>
      </c>
      <c r="P38">
        <v>0.6</v>
      </c>
      <c r="Q38">
        <v>0.7</v>
      </c>
      <c r="R38">
        <v>0.65</v>
      </c>
      <c r="S38">
        <v>0.55000000000000004</v>
      </c>
      <c r="T38">
        <v>70</v>
      </c>
      <c r="U38" s="2">
        <v>3.5</v>
      </c>
      <c r="W38">
        <v>480</v>
      </c>
    </row>
    <row r="39" spans="1:23">
      <c r="A39" s="6" t="s">
        <v>40</v>
      </c>
      <c r="B39" s="11" t="s">
        <v>35</v>
      </c>
      <c r="C39" s="2">
        <f>SUM(((Table16810[[#This Row],[Avg DPS]]*(Table16810[[#This Row],[Range]]))+(Table16810[[#This Row],[Avg DPS]]*Table16810[[#This Row],[Arm Pen (%)]]))/100)</f>
        <v>2.8305703125000004</v>
      </c>
      <c r="D39" s="3">
        <f>SUM(Table16810[[#This Row],[DPS]]*Table16810[[#This Row],[Avg Accuracy]])</f>
        <v>4.4296875000000009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39">
        <v>36.9</v>
      </c>
      <c r="G39" s="2">
        <f>SUM((Table16810[[#This Row],[Accuracy (Close)]]+Table16810[[#This Row],[Accuracy (Short)]]+Table16810[[#This Row],[Accuracy (Medium)]]+Table16810[[#This Row],[Accuracy (Long)]])/4)</f>
        <v>0.78750000000000009</v>
      </c>
      <c r="H39">
        <v>18</v>
      </c>
      <c r="I39">
        <v>1.5</v>
      </c>
      <c r="J39">
        <v>27</v>
      </c>
      <c r="K39">
        <v>1</v>
      </c>
      <c r="L39" s="2">
        <v>1.5</v>
      </c>
      <c r="M39" s="2">
        <v>1.7</v>
      </c>
      <c r="N39">
        <v>0</v>
      </c>
      <c r="O39" s="2">
        <v>0</v>
      </c>
      <c r="P39">
        <v>0.65</v>
      </c>
      <c r="Q39">
        <v>0.8</v>
      </c>
      <c r="R39">
        <v>0.9</v>
      </c>
      <c r="S39">
        <v>0.8</v>
      </c>
      <c r="T39">
        <v>70</v>
      </c>
      <c r="U39" s="2">
        <v>3.5</v>
      </c>
      <c r="W39">
        <v>255</v>
      </c>
    </row>
    <row r="40" spans="1:23">
      <c r="C40" s="2"/>
      <c r="D40" s="3"/>
      <c r="E40" s="2"/>
      <c r="G40" s="2"/>
      <c r="L40" s="2"/>
      <c r="M40" s="2"/>
      <c r="O40" s="2"/>
      <c r="U40" s="2"/>
      <c r="W40" s="54"/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ref="O41:O72" si="4">60/N41</f>
        <v>#DIV/0!</v>
      </c>
      <c r="U41" s="2"/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si="4"/>
        <v>#DIV/0!</v>
      </c>
      <c r="U42" s="2"/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</row>
    <row r="49" spans="3:21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</row>
    <row r="50" spans="3:21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</row>
    <row r="51" spans="3:21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</row>
    <row r="52" spans="3:21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</row>
    <row r="53" spans="3:21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</row>
    <row r="54" spans="3:21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</row>
    <row r="55" spans="3:21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</row>
    <row r="56" spans="3:21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</row>
    <row r="57" spans="3:21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</row>
    <row r="58" spans="3:21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</row>
    <row r="59" spans="3:21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</row>
    <row r="60" spans="3:21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</row>
    <row r="61" spans="3:21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</row>
    <row r="62" spans="3:21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</row>
    <row r="63" spans="3:21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</row>
    <row r="64" spans="3:21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</row>
    <row r="65" spans="3:21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</row>
    <row r="66" spans="3:21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</row>
    <row r="67" spans="3:21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</row>
    <row r="68" spans="3:21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</row>
    <row r="69" spans="3:21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</row>
    <row r="70" spans="3:21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</row>
    <row r="71" spans="3:21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</row>
    <row r="72" spans="3:21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</row>
    <row r="73" spans="3:21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ref="O73:O104" si="5">60/N73</f>
        <v>#DIV/0!</v>
      </c>
      <c r="U73" s="2"/>
    </row>
    <row r="74" spans="3:21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</row>
    <row r="75" spans="3:21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</row>
    <row r="76" spans="3:21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</row>
    <row r="77" spans="3:21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</row>
    <row r="78" spans="3:21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</row>
    <row r="79" spans="3:21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</row>
    <row r="80" spans="3:21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</row>
    <row r="81" spans="3:21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</row>
    <row r="82" spans="3:21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</row>
    <row r="83" spans="3:21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</row>
    <row r="84" spans="3:21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</row>
    <row r="85" spans="3:21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</row>
    <row r="86" spans="3:21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</row>
    <row r="87" spans="3:21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</row>
    <row r="88" spans="3:21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</row>
    <row r="89" spans="3:21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</row>
    <row r="90" spans="3:21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</row>
    <row r="91" spans="3:21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</row>
    <row r="92" spans="3:21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</row>
    <row r="93" spans="3:21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</row>
    <row r="94" spans="3:21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</row>
    <row r="95" spans="3:21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</row>
    <row r="96" spans="3:21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</row>
    <row r="97" spans="3:21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</row>
    <row r="98" spans="3:21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</row>
    <row r="99" spans="3:21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</row>
    <row r="100" spans="3:21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</row>
    <row r="101" spans="3:21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</row>
    <row r="102" spans="3:21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</row>
    <row r="103" spans="3:21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</row>
    <row r="104" spans="3:21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</row>
    <row r="105" spans="3:21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ref="O105:O123" si="6">60/N105</f>
        <v>#DIV/0!</v>
      </c>
      <c r="U105" s="2"/>
    </row>
    <row r="106" spans="3:21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6"/>
        <v>#DIV/0!</v>
      </c>
      <c r="U106" s="2"/>
    </row>
    <row r="107" spans="3:21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</row>
    <row r="108" spans="3:21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</row>
    <row r="109" spans="3:21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</row>
    <row r="110" spans="3:21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</row>
    <row r="111" spans="3:21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</row>
    <row r="112" spans="3:21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8"/>
      <c r="W123" s="7"/>
    </row>
  </sheetData>
  <conditionalFormatting sqref="C4:C997">
    <cfRule type="cellIs" dxfId="71" priority="2" operator="greaterThan">
      <formula>3.2</formula>
    </cfRule>
  </conditionalFormatting>
  <conditionalFormatting sqref="O4:O123">
    <cfRule type="cellIs" dxfId="7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A21" sqref="A2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41</v>
      </c>
      <c r="B4" s="11" t="s">
        <v>35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86</v>
      </c>
      <c r="W4" s="24">
        <v>530</v>
      </c>
    </row>
    <row r="5" spans="1:23">
      <c r="A5" s="4" t="s">
        <v>108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87</v>
      </c>
      <c r="W5" s="25">
        <v>650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86</v>
      </c>
      <c r="W6" s="58">
        <f>Table1681011[[#This Row],[Balance]]*W2</f>
        <v>513.76607999999999</v>
      </c>
    </row>
    <row r="7" spans="1:23">
      <c r="A7" t="s">
        <v>109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87</v>
      </c>
      <c r="W7" s="58">
        <f>Table1681011[[#This Row],[Balance]]*W2</f>
        <v>555.69333769230764</v>
      </c>
    </row>
    <row r="8" spans="1:23">
      <c r="A8" t="s">
        <v>119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87</v>
      </c>
      <c r="W8" s="58">
        <f>Table1681011[[#This Row],[Balance]]*W2</f>
        <v>490.88508700000017</v>
      </c>
    </row>
    <row r="9" spans="1:23">
      <c r="A9" t="s">
        <v>192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87</v>
      </c>
      <c r="W9" s="25">
        <v>530</v>
      </c>
    </row>
    <row r="10" spans="1:23">
      <c r="A10" t="s">
        <v>235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87</v>
      </c>
      <c r="W10" s="54">
        <f>Table1681011[[#This Row],[Balance]]*W2</f>
        <v>513.17297000000008</v>
      </c>
    </row>
    <row r="11" spans="1:23">
      <c r="A11" s="4" t="s">
        <v>234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87</v>
      </c>
      <c r="W11" s="54">
        <v>750</v>
      </c>
    </row>
    <row r="12" spans="1:23">
      <c r="A12" s="4" t="s">
        <v>233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87</v>
      </c>
      <c r="W12" s="54">
        <f>Table1681011[[#This Row],[Balance]]*W2</f>
        <v>398.87791366336643</v>
      </c>
    </row>
    <row r="13" spans="1:23">
      <c r="A13" s="1" t="s">
        <v>228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86</v>
      </c>
      <c r="W13" s="54">
        <f>Table1681011[[#This Row],[Balance]]*W2</f>
        <v>428.86685175903608</v>
      </c>
    </row>
    <row r="14" spans="1:23">
      <c r="A14" t="s">
        <v>230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87</v>
      </c>
      <c r="W14" s="54">
        <f>Table1681011[[#This Row],[Balance]]*W2</f>
        <v>444.59024210526309</v>
      </c>
    </row>
    <row r="15" spans="1:23">
      <c r="A15" t="s">
        <v>231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87</v>
      </c>
      <c r="W15" s="54">
        <f>Table1681011[[#This Row],[Balance]]*W2</f>
        <v>531.38529910714283</v>
      </c>
    </row>
    <row r="16" spans="1:23">
      <c r="A16" s="1" t="s">
        <v>229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86</v>
      </c>
      <c r="W16" s="54">
        <f>Table1681011[[#This Row],[Balance]]*W2</f>
        <v>496.0172405660378</v>
      </c>
    </row>
    <row r="17" spans="1:23" s="4" customFormat="1">
      <c r="A17" t="s">
        <v>232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87</v>
      </c>
      <c r="W17" s="54">
        <f>Table1681011[[#This Row],[Balance]]*W2</f>
        <v>543.60947348672585</v>
      </c>
    </row>
    <row r="18" spans="1:23">
      <c r="A18" t="s">
        <v>241</v>
      </c>
      <c r="B18">
        <v>4</v>
      </c>
      <c r="C18" s="2">
        <f>SUM(((Table1681011[[#This Row],[Avg DPS]]*(Table1681011[[#This Row],[Range]]))+(Table1681011[[#This Row],[Avg DPS]]*Table1681011[[#This Row],[Arm Pen (%)]]))/100)</f>
        <v>3.1470000000000002</v>
      </c>
      <c r="D18" s="3">
        <f>SUM(Table1681011[[#This Row],[DPS]]*Table1681011[[#This Row],[Avg Accuracy]])</f>
        <v>3.0000000000000004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4.4444444444444446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0.67500000000000004</v>
      </c>
      <c r="H18">
        <v>40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0.82</v>
      </c>
      <c r="S18">
        <v>0.78</v>
      </c>
      <c r="T18">
        <v>150</v>
      </c>
      <c r="U18">
        <v>27</v>
      </c>
      <c r="V18" t="s">
        <v>87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60" priority="2" operator="greaterThan">
      <formula>2.639</formula>
    </cfRule>
  </conditionalFormatting>
  <conditionalFormatting sqref="O1:O1048576">
    <cfRule type="cellIs" dxfId="5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9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22" sqref="A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1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42</v>
      </c>
      <c r="B4" s="11" t="s">
        <v>35</v>
      </c>
      <c r="C4" s="2">
        <f>SUM(((Table168101112[[#This Row],[Avg DPS]]*(Table168101112[[#This Row],[Range]]))+(Table168101112[[#This Row],[Avg DPS]]*Table168101112[[#This Row],[Arm Pen (%)]]))/100)</f>
        <v>2.4624207896417474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25.9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U4">
        <v>8.5</v>
      </c>
      <c r="V4" t="s">
        <v>86</v>
      </c>
      <c r="W4">
        <v>425</v>
      </c>
    </row>
    <row r="5" spans="1:23">
      <c r="A5" s="6" t="s">
        <v>62</v>
      </c>
      <c r="B5" s="11" t="s">
        <v>35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U5">
        <v>10</v>
      </c>
      <c r="V5" t="s">
        <v>86</v>
      </c>
      <c r="W5">
        <v>1160</v>
      </c>
    </row>
    <row r="6" spans="1:23">
      <c r="A6" s="14" t="s">
        <v>27</v>
      </c>
      <c r="B6" s="4">
        <v>4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86</v>
      </c>
      <c r="W6" s="54">
        <f>Table168101112[[#This Row],[Balance]]*W1</f>
        <v>414.97249408767124</v>
      </c>
    </row>
    <row r="7" spans="1:23">
      <c r="A7" s="14" t="s">
        <v>63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86</v>
      </c>
      <c r="W7" s="54">
        <f>Table168101112[[#This Row],[Balance]]*$W$1</f>
        <v>595.90898234999975</v>
      </c>
    </row>
    <row r="8" spans="1:23">
      <c r="A8" t="s">
        <v>110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87</v>
      </c>
      <c r="W8" s="54">
        <f>Table168101112[[#This Row],[Balance]]*$W$1</f>
        <v>447.53523779999995</v>
      </c>
    </row>
    <row r="9" spans="1:23">
      <c r="A9" t="s">
        <v>280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87</v>
      </c>
      <c r="W9" s="54">
        <f>Table168101112[[#This Row],[Balance]]*$W$1</f>
        <v>477.22488099999993</v>
      </c>
    </row>
    <row r="10" spans="1:23">
      <c r="A10" t="s">
        <v>71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87</v>
      </c>
      <c r="W10" s="54">
        <f>Table168101112[[#This Row],[Balance]]*$W$1</f>
        <v>495.73607507870031</v>
      </c>
    </row>
    <row r="11" spans="1:23">
      <c r="A11" t="s">
        <v>111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87</v>
      </c>
      <c r="W11" s="54">
        <f>Table168101112[[#This Row],[Balance]]*$W$1</f>
        <v>348.00105208686483</v>
      </c>
    </row>
    <row r="12" spans="1:23">
      <c r="A12" s="14" t="s">
        <v>236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86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3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>
      <selection activeCell="A17" sqref="A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256</v>
      </c>
      <c r="H1" s="1" t="s">
        <v>248</v>
      </c>
      <c r="J1" t="s">
        <v>249</v>
      </c>
      <c r="M1" t="s">
        <v>251</v>
      </c>
      <c r="O1" t="s">
        <v>270</v>
      </c>
      <c r="S1" t="s">
        <v>260</v>
      </c>
      <c r="V1" s="41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1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252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3.0224443329925701</v>
      </c>
      <c r="D4" s="3">
        <f>SUM(Table1681011124[[#This Row],[DPS]]*Table1681011124[[#This Row],[Avg Accuracy]])</f>
        <v>6.5848460413781496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40.522129485403994</v>
      </c>
      <c r="F4">
        <v>32.9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50</v>
      </c>
      <c r="L4">
        <v>5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86</v>
      </c>
      <c r="W4">
        <v>755</v>
      </c>
      <c r="X4" t="s">
        <v>273</v>
      </c>
      <c r="Y4" s="57" t="s">
        <v>271</v>
      </c>
      <c r="Z4" t="s">
        <v>253</v>
      </c>
    </row>
    <row r="5" spans="1:26">
      <c r="A5" s="4" t="s">
        <v>252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3.8611886467489454</v>
      </c>
      <c r="D5" s="3">
        <f>SUM(Table1681011124[[#This Row],[DPS]]*Table1681011124[[#This Row],[Avg Accuracy]])</f>
        <v>8.4121757009780946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42.593294688496677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50</v>
      </c>
      <c r="L5">
        <v>5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86</v>
      </c>
      <c r="W5">
        <v>965</v>
      </c>
      <c r="Y5" s="57" t="s">
        <v>272</v>
      </c>
      <c r="Z5" t="s">
        <v>254</v>
      </c>
    </row>
    <row r="6" spans="1:26">
      <c r="A6" s="4" t="s">
        <v>255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4.9952393617021267</v>
      </c>
      <c r="D6" s="3">
        <f>SUM(Table1681011124[[#This Row],[DPS]]*Table1681011124[[#This Row],[Avg Accuracy]])</f>
        <v>9.8138297872340416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47.872340425531917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0.20499999999999999</v>
      </c>
      <c r="H6">
        <v>12</v>
      </c>
      <c r="I6">
        <v>1</v>
      </c>
      <c r="J6">
        <v>15</v>
      </c>
      <c r="K6">
        <v>50</v>
      </c>
      <c r="L6">
        <v>5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0.21</v>
      </c>
      <c r="T6">
        <v>100</v>
      </c>
      <c r="U6">
        <v>58</v>
      </c>
      <c r="V6" t="s">
        <v>87</v>
      </c>
      <c r="W6">
        <v>1050</v>
      </c>
      <c r="Y6" s="57" t="s">
        <v>274</v>
      </c>
      <c r="Z6" t="s">
        <v>254</v>
      </c>
    </row>
    <row r="7" spans="1:26">
      <c r="A7" s="4" t="s">
        <v>257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87</v>
      </c>
      <c r="W7" s="54"/>
      <c r="X7" s="54"/>
      <c r="Y7" s="54"/>
      <c r="Z7" s="54" t="s">
        <v>254</v>
      </c>
    </row>
    <row r="8" spans="1:26">
      <c r="A8" s="4" t="s">
        <v>259</v>
      </c>
      <c r="B8" s="12" t="s">
        <v>258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86</v>
      </c>
      <c r="Z8" t="s">
        <v>253</v>
      </c>
    </row>
    <row r="9" spans="1:26">
      <c r="A9" s="4" t="s">
        <v>259</v>
      </c>
      <c r="B9" s="12" t="s">
        <v>258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86</v>
      </c>
      <c r="Z9" t="s">
        <v>254</v>
      </c>
    </row>
    <row r="10" spans="1:26">
      <c r="A10" s="40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40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40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40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40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5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1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86</v>
      </c>
      <c r="W4" s="24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86</v>
      </c>
      <c r="W5" s="25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5">
        <v>3.4</v>
      </c>
      <c r="V6" s="36" t="s">
        <v>86</v>
      </c>
      <c r="W6" s="58">
        <f>Table16810111213[[#This Row],[Balance]]*W1</f>
        <v>241.25181780000003</v>
      </c>
    </row>
    <row r="7" spans="1:23">
      <c r="A7" s="1" t="s">
        <v>287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5">
        <v>3.5</v>
      </c>
      <c r="V7" s="36" t="s">
        <v>86</v>
      </c>
      <c r="W7" s="58">
        <f>Table16810111213[[#This Row],[Balance]]*W1</f>
        <v>189.43410623999995</v>
      </c>
    </row>
    <row r="8" spans="1:23">
      <c r="A8" t="s">
        <v>288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5">
        <v>3.6</v>
      </c>
      <c r="V8" s="36" t="s">
        <v>87</v>
      </c>
      <c r="W8" s="58">
        <f>Table16810111213[[#This Row],[Balance]]*W1</f>
        <v>255.63219396000002</v>
      </c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2024-04-06T12:06:00Z</dcterms:modified>
</cp:coreProperties>
</file>