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/>
  </bookViews>
  <sheets>
    <sheet name="Handgun" sheetId="8" r:id="rId1"/>
    <sheet name="Revolver" sheetId="7" r:id="rId2"/>
    <sheet name="SMG" sheetId="5" r:id="rId3"/>
    <sheet name="Rifle" sheetId="9" r:id="rId4"/>
    <sheet name="Sniper Rifle" sheetId="10" r:id="rId5"/>
    <sheet name="Spacer Rifle" sheetId="14" r:id="rId6"/>
    <sheet name="LMG" sheetId="11" r:id="rId7"/>
    <sheet name="Shotgun" sheetId="12" r:id="rId8"/>
    <sheet name="Melee" sheetId="17" r:id="rId9"/>
    <sheet name="Misc" sheetId="19" r:id="rId10"/>
    <sheet name="Volumes" sheetId="15" r:id="rId11"/>
    <sheet name="Math" sheetId="18" r:id="rId12"/>
  </sheets>
  <calcPr calcId="124519"/>
</workbook>
</file>

<file path=xl/calcChain.xml><?xml version="1.0" encoding="utf-8"?>
<calcChain xmlns="http://schemas.openxmlformats.org/spreadsheetml/2006/main">
  <c r="B5" i="18"/>
  <c r="E15" i="15" s="1"/>
  <c r="B4" i="18"/>
  <c r="D15" i="15" s="1"/>
  <c r="B3" i="18"/>
  <c r="C15" i="15" s="1"/>
  <c r="AM3" i="18"/>
  <c r="AN3"/>
  <c r="AO3"/>
  <c r="AP3"/>
  <c r="AM4"/>
  <c r="AN4"/>
  <c r="AO4"/>
  <c r="AP4"/>
  <c r="AM5"/>
  <c r="AN5"/>
  <c r="AO5"/>
  <c r="AP5"/>
  <c r="AM6"/>
  <c r="AN6"/>
  <c r="AO6"/>
  <c r="AP6"/>
  <c r="AM7"/>
  <c r="AN7"/>
  <c r="AO7"/>
  <c r="AP7"/>
  <c r="AM8"/>
  <c r="AN8"/>
  <c r="AO8"/>
  <c r="AP8"/>
  <c r="AM9"/>
  <c r="AN9"/>
  <c r="AO9"/>
  <c r="AP9"/>
  <c r="AM10"/>
  <c r="AN10"/>
  <c r="AO10"/>
  <c r="AP10"/>
  <c r="AM11"/>
  <c r="AN11"/>
  <c r="AO11"/>
  <c r="AP11"/>
  <c r="AM12"/>
  <c r="AN12"/>
  <c r="AO12"/>
  <c r="AP12"/>
  <c r="AM13"/>
  <c r="AN13"/>
  <c r="AO13"/>
  <c r="AP13"/>
  <c r="AM14"/>
  <c r="AN14"/>
  <c r="AO14"/>
  <c r="AP14"/>
  <c r="AM15"/>
  <c r="AN15"/>
  <c r="AO15"/>
  <c r="AP15"/>
  <c r="AM16"/>
  <c r="AN16"/>
  <c r="AO16"/>
  <c r="AP16"/>
  <c r="AM17"/>
  <c r="AN17"/>
  <c r="AO17"/>
  <c r="AP17"/>
  <c r="AM18"/>
  <c r="AN18"/>
  <c r="AO18"/>
  <c r="AP18"/>
  <c r="AM19"/>
  <c r="AN19"/>
  <c r="AO19"/>
  <c r="AP19"/>
  <c r="AM20"/>
  <c r="AN20"/>
  <c r="AO20"/>
  <c r="AP20"/>
  <c r="AP2"/>
  <c r="AO2"/>
  <c r="AN2"/>
  <c r="AM2"/>
  <c r="AI3"/>
  <c r="AJ3"/>
  <c r="AK3"/>
  <c r="AI4"/>
  <c r="AJ4"/>
  <c r="AK4"/>
  <c r="AI5"/>
  <c r="AJ5"/>
  <c r="AK5"/>
  <c r="AI6"/>
  <c r="AJ6"/>
  <c r="AK6"/>
  <c r="AI7"/>
  <c r="AJ7"/>
  <c r="AK7"/>
  <c r="AI8"/>
  <c r="AJ8"/>
  <c r="AK8"/>
  <c r="AI9"/>
  <c r="AJ9"/>
  <c r="AK9"/>
  <c r="AI10"/>
  <c r="AJ10"/>
  <c r="AK10"/>
  <c r="AI11"/>
  <c r="AJ11"/>
  <c r="AK11"/>
  <c r="AI12"/>
  <c r="AJ12"/>
  <c r="AK12"/>
  <c r="AI13"/>
  <c r="AJ13"/>
  <c r="AK13"/>
  <c r="AI14"/>
  <c r="AJ14"/>
  <c r="AK14"/>
  <c r="AI15"/>
  <c r="AJ15"/>
  <c r="AK15"/>
  <c r="AI16"/>
  <c r="AJ16"/>
  <c r="AK16"/>
  <c r="AI17"/>
  <c r="AJ17"/>
  <c r="AK17"/>
  <c r="AI18"/>
  <c r="AJ18"/>
  <c r="AK18"/>
  <c r="AI19"/>
  <c r="AJ19"/>
  <c r="AK19"/>
  <c r="AI20"/>
  <c r="AJ20"/>
  <c r="AK20"/>
  <c r="AK2"/>
  <c r="AJ2"/>
  <c r="AI2"/>
  <c r="AH3"/>
  <c r="AH4"/>
  <c r="AH5"/>
  <c r="AH6"/>
  <c r="AH7"/>
  <c r="AH8"/>
  <c r="AH9"/>
  <c r="AH10"/>
  <c r="AH11"/>
  <c r="AH12"/>
  <c r="AH13"/>
  <c r="AH14"/>
  <c r="AH15"/>
  <c r="AH16"/>
  <c r="AH17"/>
  <c r="AH18"/>
  <c r="AH19"/>
  <c r="AH20"/>
  <c r="AH2"/>
  <c r="AC3"/>
  <c r="AD3"/>
  <c r="AE3"/>
  <c r="AF3"/>
  <c r="AC4"/>
  <c r="AD4"/>
  <c r="AE4"/>
  <c r="AF4"/>
  <c r="AC5"/>
  <c r="AD5"/>
  <c r="AE5"/>
  <c r="AF5"/>
  <c r="AC6"/>
  <c r="AD6"/>
  <c r="AE6"/>
  <c r="AF6"/>
  <c r="AC7"/>
  <c r="AD7"/>
  <c r="AE7"/>
  <c r="AF7"/>
  <c r="AC8"/>
  <c r="AD8"/>
  <c r="AE8"/>
  <c r="AF8"/>
  <c r="AC9"/>
  <c r="AD9"/>
  <c r="AE9"/>
  <c r="AF9"/>
  <c r="AC10"/>
  <c r="AD10"/>
  <c r="AE10"/>
  <c r="AF10"/>
  <c r="AC11"/>
  <c r="AD11"/>
  <c r="AE11"/>
  <c r="AF11"/>
  <c r="AC12"/>
  <c r="AD12"/>
  <c r="AE12"/>
  <c r="AF12"/>
  <c r="AC13"/>
  <c r="AD13"/>
  <c r="AE13"/>
  <c r="AF13"/>
  <c r="AC14"/>
  <c r="AD14"/>
  <c r="AE14"/>
  <c r="AF14"/>
  <c r="AC15"/>
  <c r="AD15"/>
  <c r="AE15"/>
  <c r="AF15"/>
  <c r="AC16"/>
  <c r="AD16"/>
  <c r="AE16"/>
  <c r="AF16"/>
  <c r="AC17"/>
  <c r="AD17"/>
  <c r="AE17"/>
  <c r="AF17"/>
  <c r="AC18"/>
  <c r="AD18"/>
  <c r="AE18"/>
  <c r="AF18"/>
  <c r="AC19"/>
  <c r="AD19"/>
  <c r="AE19"/>
  <c r="AF19"/>
  <c r="AC20"/>
  <c r="AD20"/>
  <c r="AE20"/>
  <c r="AF20"/>
  <c r="AF2"/>
  <c r="AE2"/>
  <c r="AD2"/>
  <c r="AC2"/>
  <c r="X3"/>
  <c r="Y3"/>
  <c r="Z3"/>
  <c r="AA3"/>
  <c r="X4"/>
  <c r="Y4"/>
  <c r="Z4"/>
  <c r="AA4"/>
  <c r="X5"/>
  <c r="Y5"/>
  <c r="Z5"/>
  <c r="AA5"/>
  <c r="X6"/>
  <c r="Y6"/>
  <c r="Z6"/>
  <c r="AA6"/>
  <c r="X7"/>
  <c r="Y7"/>
  <c r="Z7"/>
  <c r="AA7"/>
  <c r="X8"/>
  <c r="Y8"/>
  <c r="Z8"/>
  <c r="AA8"/>
  <c r="X9"/>
  <c r="Y9"/>
  <c r="Z9"/>
  <c r="AA9"/>
  <c r="X10"/>
  <c r="Y10"/>
  <c r="Z10"/>
  <c r="AA10"/>
  <c r="X11"/>
  <c r="Y11"/>
  <c r="Z11"/>
  <c r="AA11"/>
  <c r="X12"/>
  <c r="Y12"/>
  <c r="Z12"/>
  <c r="AA12"/>
  <c r="X13"/>
  <c r="Y13"/>
  <c r="Z13"/>
  <c r="AA13"/>
  <c r="X14"/>
  <c r="Y14"/>
  <c r="Z14"/>
  <c r="AA14"/>
  <c r="X15"/>
  <c r="Y15"/>
  <c r="Z15"/>
  <c r="AA15"/>
  <c r="X16"/>
  <c r="Y16"/>
  <c r="Z16"/>
  <c r="AA16"/>
  <c r="X17"/>
  <c r="Y17"/>
  <c r="Z17"/>
  <c r="AA17"/>
  <c r="X18"/>
  <c r="Y18"/>
  <c r="Z18"/>
  <c r="AA18"/>
  <c r="X19"/>
  <c r="Y19"/>
  <c r="Z19"/>
  <c r="AA19"/>
  <c r="X20"/>
  <c r="Y20"/>
  <c r="Z20"/>
  <c r="AA20"/>
  <c r="AA2"/>
  <c r="Z2"/>
  <c r="Y2"/>
  <c r="X2"/>
  <c r="D8"/>
  <c r="E8"/>
  <c r="F8"/>
  <c r="G8"/>
  <c r="D9"/>
  <c r="E9"/>
  <c r="F9"/>
  <c r="G9"/>
  <c r="D10"/>
  <c r="E10"/>
  <c r="F10"/>
  <c r="G10"/>
  <c r="D11"/>
  <c r="E11"/>
  <c r="F11"/>
  <c r="G11"/>
  <c r="D12"/>
  <c r="E12"/>
  <c r="F12"/>
  <c r="G12"/>
  <c r="D13"/>
  <c r="E13"/>
  <c r="F13"/>
  <c r="G13"/>
  <c r="D14"/>
  <c r="E14"/>
  <c r="F14"/>
  <c r="G14"/>
  <c r="D15"/>
  <c r="E15"/>
  <c r="F15"/>
  <c r="G15"/>
  <c r="D16"/>
  <c r="E16"/>
  <c r="F16"/>
  <c r="G16"/>
  <c r="D17"/>
  <c r="E17"/>
  <c r="F17"/>
  <c r="G17"/>
  <c r="D18"/>
  <c r="E18"/>
  <c r="F18"/>
  <c r="G18"/>
  <c r="D19"/>
  <c r="E19"/>
  <c r="F19"/>
  <c r="G19"/>
  <c r="D20"/>
  <c r="E20"/>
  <c r="F20"/>
  <c r="G20"/>
  <c r="I8"/>
  <c r="J8"/>
  <c r="K8"/>
  <c r="L8"/>
  <c r="I9"/>
  <c r="J9"/>
  <c r="K9"/>
  <c r="L9"/>
  <c r="I10"/>
  <c r="J10"/>
  <c r="K10"/>
  <c r="L10"/>
  <c r="I11"/>
  <c r="J11"/>
  <c r="K11"/>
  <c r="L11"/>
  <c r="I12"/>
  <c r="J12"/>
  <c r="K12"/>
  <c r="L12"/>
  <c r="I13"/>
  <c r="J13"/>
  <c r="K13"/>
  <c r="L13"/>
  <c r="I14"/>
  <c r="J14"/>
  <c r="K14"/>
  <c r="L14"/>
  <c r="I15"/>
  <c r="J15"/>
  <c r="K15"/>
  <c r="L15"/>
  <c r="I16"/>
  <c r="J16"/>
  <c r="K16"/>
  <c r="L16"/>
  <c r="I17"/>
  <c r="J17"/>
  <c r="K17"/>
  <c r="L17"/>
  <c r="I18"/>
  <c r="J18"/>
  <c r="K18"/>
  <c r="L18"/>
  <c r="I19"/>
  <c r="J19"/>
  <c r="K19"/>
  <c r="L19"/>
  <c r="I20"/>
  <c r="J20"/>
  <c r="K20"/>
  <c r="L20"/>
  <c r="N16"/>
  <c r="O16"/>
  <c r="P16"/>
  <c r="Q16"/>
  <c r="N17"/>
  <c r="O17"/>
  <c r="P17"/>
  <c r="Q17"/>
  <c r="N18"/>
  <c r="O18"/>
  <c r="P18"/>
  <c r="Q18"/>
  <c r="N19"/>
  <c r="O19"/>
  <c r="P19"/>
  <c r="Q19"/>
  <c r="N20"/>
  <c r="O20"/>
  <c r="P20"/>
  <c r="Q20"/>
  <c r="T3"/>
  <c r="U3"/>
  <c r="V3"/>
  <c r="T4"/>
  <c r="U4"/>
  <c r="V4"/>
  <c r="T5"/>
  <c r="U5"/>
  <c r="V5"/>
  <c r="T6"/>
  <c r="U6"/>
  <c r="V6"/>
  <c r="T7"/>
  <c r="U7"/>
  <c r="V7"/>
  <c r="T8"/>
  <c r="U8"/>
  <c r="V8"/>
  <c r="T9"/>
  <c r="U9"/>
  <c r="V9"/>
  <c r="T10"/>
  <c r="U10"/>
  <c r="V10"/>
  <c r="T11"/>
  <c r="U11"/>
  <c r="V11"/>
  <c r="T12"/>
  <c r="U12"/>
  <c r="V12"/>
  <c r="T13"/>
  <c r="U13"/>
  <c r="V13"/>
  <c r="T14"/>
  <c r="U14"/>
  <c r="V14"/>
  <c r="T15"/>
  <c r="U15"/>
  <c r="V15"/>
  <c r="T16"/>
  <c r="U16"/>
  <c r="V16"/>
  <c r="T17"/>
  <c r="U17"/>
  <c r="V17"/>
  <c r="T18"/>
  <c r="U18"/>
  <c r="V18"/>
  <c r="T19"/>
  <c r="U19"/>
  <c r="V19"/>
  <c r="T20"/>
  <c r="U20"/>
  <c r="V20"/>
  <c r="V2"/>
  <c r="U2"/>
  <c r="T2"/>
  <c r="S3"/>
  <c r="S4"/>
  <c r="S5"/>
  <c r="S6"/>
  <c r="S7"/>
  <c r="S8"/>
  <c r="S9"/>
  <c r="S10"/>
  <c r="S11"/>
  <c r="S12"/>
  <c r="S13"/>
  <c r="S14"/>
  <c r="S15"/>
  <c r="S16"/>
  <c r="S17"/>
  <c r="S18"/>
  <c r="S19"/>
  <c r="S20"/>
  <c r="S2"/>
  <c r="J3"/>
  <c r="K3"/>
  <c r="L3"/>
  <c r="J4"/>
  <c r="K4"/>
  <c r="L4"/>
  <c r="J5"/>
  <c r="K5"/>
  <c r="L5"/>
  <c r="J6"/>
  <c r="K6"/>
  <c r="L6"/>
  <c r="J7"/>
  <c r="K7"/>
  <c r="L7"/>
  <c r="L2"/>
  <c r="K2"/>
  <c r="J2"/>
  <c r="I3"/>
  <c r="I4"/>
  <c r="I5"/>
  <c r="I6"/>
  <c r="I7"/>
  <c r="I2"/>
  <c r="Q3"/>
  <c r="Q4"/>
  <c r="Q5"/>
  <c r="Q6"/>
  <c r="Q7"/>
  <c r="Q8"/>
  <c r="Q9"/>
  <c r="Q10"/>
  <c r="Q11"/>
  <c r="Q12"/>
  <c r="Q13"/>
  <c r="Q14"/>
  <c r="Q15"/>
  <c r="Q2"/>
  <c r="P15"/>
  <c r="P8"/>
  <c r="P9"/>
  <c r="P10"/>
  <c r="P11"/>
  <c r="P12"/>
  <c r="P13"/>
  <c r="P14"/>
  <c r="P2"/>
  <c r="O3"/>
  <c r="O4"/>
  <c r="O5"/>
  <c r="O6"/>
  <c r="O7"/>
  <c r="O8"/>
  <c r="O9"/>
  <c r="O10"/>
  <c r="O11"/>
  <c r="O12"/>
  <c r="O13"/>
  <c r="O14"/>
  <c r="O15"/>
  <c r="O2"/>
  <c r="N3"/>
  <c r="N4"/>
  <c r="N5"/>
  <c r="N6"/>
  <c r="N7"/>
  <c r="N8"/>
  <c r="N9"/>
  <c r="N10"/>
  <c r="N11"/>
  <c r="B2" s="1"/>
  <c r="B15" i="15" s="1"/>
  <c r="N12" i="18"/>
  <c r="N13"/>
  <c r="N14"/>
  <c r="N15"/>
  <c r="N2"/>
  <c r="P7"/>
  <c r="E3"/>
  <c r="F3"/>
  <c r="G3"/>
  <c r="E4"/>
  <c r="F4"/>
  <c r="G4"/>
  <c r="E5"/>
  <c r="F5"/>
  <c r="G5"/>
  <c r="E6"/>
  <c r="F6"/>
  <c r="G6"/>
  <c r="E7"/>
  <c r="F7"/>
  <c r="G7"/>
  <c r="G2"/>
  <c r="F2"/>
  <c r="E2"/>
  <c r="D3"/>
  <c r="D4"/>
  <c r="D5"/>
  <c r="D6"/>
  <c r="D7"/>
  <c r="D2"/>
  <c r="G21" i="9"/>
  <c r="G22"/>
  <c r="G23"/>
  <c r="G24"/>
  <c r="G25"/>
  <c r="G26"/>
  <c r="G27"/>
  <c r="G28"/>
  <c r="G29"/>
  <c r="E21"/>
  <c r="E22"/>
  <c r="O23"/>
  <c r="E23" s="1"/>
  <c r="O24"/>
  <c r="E24" s="1"/>
  <c r="O25"/>
  <c r="E25" s="1"/>
  <c r="O26"/>
  <c r="E26" s="1"/>
  <c r="O27"/>
  <c r="E27" s="1"/>
  <c r="O28"/>
  <c r="E28" s="1"/>
  <c r="O29"/>
  <c r="E29" s="1"/>
  <c r="O11" i="11"/>
  <c r="E11" s="1"/>
  <c r="O14" i="9"/>
  <c r="E14" s="1"/>
  <c r="G14"/>
  <c r="E5" i="11"/>
  <c r="G5"/>
  <c r="O5"/>
  <c r="O11" i="5"/>
  <c r="E11" s="1"/>
  <c r="G11"/>
  <c r="E9" i="15"/>
  <c r="E8"/>
  <c r="E7"/>
  <c r="E6"/>
  <c r="E5"/>
  <c r="E4"/>
  <c r="E3"/>
  <c r="E2"/>
  <c r="E4" i="8"/>
  <c r="G4"/>
  <c r="D9" i="15"/>
  <c r="D8"/>
  <c r="D7"/>
  <c r="D6"/>
  <c r="D5"/>
  <c r="D4"/>
  <c r="D3"/>
  <c r="D2"/>
  <c r="C9"/>
  <c r="C8"/>
  <c r="C7"/>
  <c r="C6"/>
  <c r="C5"/>
  <c r="C4"/>
  <c r="C3"/>
  <c r="C2"/>
  <c r="B9"/>
  <c r="B8"/>
  <c r="B7"/>
  <c r="B6"/>
  <c r="B5"/>
  <c r="B4"/>
  <c r="B3"/>
  <c r="B2"/>
  <c r="E23" i="14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O12"/>
  <c r="E12" s="1"/>
  <c r="O13"/>
  <c r="E13" s="1"/>
  <c r="O14"/>
  <c r="E14" s="1"/>
  <c r="O15"/>
  <c r="E15" s="1"/>
  <c r="O16"/>
  <c r="E16" s="1"/>
  <c r="O17"/>
  <c r="E17" s="1"/>
  <c r="O18"/>
  <c r="E18" s="1"/>
  <c r="O19"/>
  <c r="E19" s="1"/>
  <c r="O20"/>
  <c r="E20" s="1"/>
  <c r="O21"/>
  <c r="E21" s="1"/>
  <c r="O22"/>
  <c r="E22" s="1"/>
  <c r="O23"/>
  <c r="O24"/>
  <c r="E24" s="1"/>
  <c r="O25"/>
  <c r="E25" s="1"/>
  <c r="O26"/>
  <c r="E26" s="1"/>
  <c r="O27"/>
  <c r="E27" s="1"/>
  <c r="O28"/>
  <c r="E28" s="1"/>
  <c r="D28" s="1"/>
  <c r="C28" s="1"/>
  <c r="O29"/>
  <c r="E29" s="1"/>
  <c r="D29" s="1"/>
  <c r="C29" s="1"/>
  <c r="O30"/>
  <c r="E30" s="1"/>
  <c r="D30" s="1"/>
  <c r="C30" s="1"/>
  <c r="O31"/>
  <c r="E31" s="1"/>
  <c r="O32"/>
  <c r="E32" s="1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O5"/>
  <c r="E5" s="1"/>
  <c r="D5" s="1"/>
  <c r="C5" s="1"/>
  <c r="G5"/>
  <c r="O4"/>
  <c r="E4" s="1"/>
  <c r="G4"/>
  <c r="O19" i="12"/>
  <c r="E19" s="1"/>
  <c r="G19"/>
  <c r="O18"/>
  <c r="E18" s="1"/>
  <c r="G18"/>
  <c r="O17"/>
  <c r="E17" s="1"/>
  <c r="G17"/>
  <c r="O16"/>
  <c r="E16" s="1"/>
  <c r="D16" s="1"/>
  <c r="C16" s="1"/>
  <c r="G16"/>
  <c r="O15"/>
  <c r="E15" s="1"/>
  <c r="G15"/>
  <c r="O14"/>
  <c r="E14" s="1"/>
  <c r="D14" s="1"/>
  <c r="C14" s="1"/>
  <c r="G14"/>
  <c r="O13"/>
  <c r="E13" s="1"/>
  <c r="G13"/>
  <c r="O12"/>
  <c r="E12" s="1"/>
  <c r="D12" s="1"/>
  <c r="C12" s="1"/>
  <c r="G12"/>
  <c r="O11"/>
  <c r="E11" s="1"/>
  <c r="D11" s="1"/>
  <c r="C11" s="1"/>
  <c r="G11"/>
  <c r="O10"/>
  <c r="E10" s="1"/>
  <c r="G10"/>
  <c r="O9"/>
  <c r="E9" s="1"/>
  <c r="D9" s="1"/>
  <c r="C9" s="1"/>
  <c r="G9"/>
  <c r="O8"/>
  <c r="E8" s="1"/>
  <c r="D8" s="1"/>
  <c r="C8" s="1"/>
  <c r="G8"/>
  <c r="O7"/>
  <c r="E7" s="1"/>
  <c r="G7"/>
  <c r="E6"/>
  <c r="G6"/>
  <c r="E5"/>
  <c r="G5"/>
  <c r="E4"/>
  <c r="G4"/>
  <c r="E5" i="8"/>
  <c r="G5"/>
  <c r="E7" i="5"/>
  <c r="G7"/>
  <c r="O7"/>
  <c r="O4" i="11"/>
  <c r="O6"/>
  <c r="E6" s="1"/>
  <c r="O20"/>
  <c r="E20" s="1"/>
  <c r="G20"/>
  <c r="O19"/>
  <c r="E19" s="1"/>
  <c r="G19"/>
  <c r="O18"/>
  <c r="E18" s="1"/>
  <c r="G18"/>
  <c r="O17"/>
  <c r="E17" s="1"/>
  <c r="D17" s="1"/>
  <c r="C17" s="1"/>
  <c r="G17"/>
  <c r="O16"/>
  <c r="E16" s="1"/>
  <c r="D16" s="1"/>
  <c r="C16" s="1"/>
  <c r="G16"/>
  <c r="O15"/>
  <c r="E15" s="1"/>
  <c r="G15"/>
  <c r="O14"/>
  <c r="E14" s="1"/>
  <c r="G14"/>
  <c r="O13"/>
  <c r="E13" s="1"/>
  <c r="G13"/>
  <c r="O12"/>
  <c r="E12" s="1"/>
  <c r="G12"/>
  <c r="G11"/>
  <c r="O10"/>
  <c r="E10" s="1"/>
  <c r="G10"/>
  <c r="O9"/>
  <c r="E9" s="1"/>
  <c r="G9"/>
  <c r="O8"/>
  <c r="E8" s="1"/>
  <c r="G8"/>
  <c r="O7"/>
  <c r="E7" s="1"/>
  <c r="G7"/>
  <c r="G6"/>
  <c r="G4"/>
  <c r="E4"/>
  <c r="E5" i="10"/>
  <c r="G5"/>
  <c r="E6"/>
  <c r="G6"/>
  <c r="E7"/>
  <c r="G7"/>
  <c r="E8"/>
  <c r="D8" s="1"/>
  <c r="C8" s="1"/>
  <c r="G8"/>
  <c r="O8"/>
  <c r="E9"/>
  <c r="G9"/>
  <c r="O9"/>
  <c r="E10"/>
  <c r="G10"/>
  <c r="O10"/>
  <c r="G11"/>
  <c r="O11"/>
  <c r="E11" s="1"/>
  <c r="E12"/>
  <c r="G12"/>
  <c r="O12"/>
  <c r="E13"/>
  <c r="D13" s="1"/>
  <c r="C13" s="1"/>
  <c r="G13"/>
  <c r="O13"/>
  <c r="G14"/>
  <c r="O14"/>
  <c r="E14" s="1"/>
  <c r="D14" s="1"/>
  <c r="C14" s="1"/>
  <c r="E15"/>
  <c r="G15"/>
  <c r="O15"/>
  <c r="G16"/>
  <c r="O16"/>
  <c r="E16" s="1"/>
  <c r="G5" i="9"/>
  <c r="E5"/>
  <c r="O19" i="10"/>
  <c r="E19" s="1"/>
  <c r="D19" s="1"/>
  <c r="C19" s="1"/>
  <c r="G19"/>
  <c r="O18"/>
  <c r="E18" s="1"/>
  <c r="D18" s="1"/>
  <c r="C18" s="1"/>
  <c r="G18"/>
  <c r="O17"/>
  <c r="E17" s="1"/>
  <c r="D17" s="1"/>
  <c r="C17" s="1"/>
  <c r="G17"/>
  <c r="E4"/>
  <c r="G4"/>
  <c r="O4" i="9"/>
  <c r="E4" s="1"/>
  <c r="G17" i="8"/>
  <c r="O17"/>
  <c r="E17" s="1"/>
  <c r="G5" i="5"/>
  <c r="O5"/>
  <c r="E5" s="1"/>
  <c r="O20" i="9"/>
  <c r="E20" s="1"/>
  <c r="G20"/>
  <c r="O19"/>
  <c r="E19" s="1"/>
  <c r="G19"/>
  <c r="E18"/>
  <c r="G18"/>
  <c r="O17"/>
  <c r="E17" s="1"/>
  <c r="G17"/>
  <c r="O16"/>
  <c r="E16" s="1"/>
  <c r="G16"/>
  <c r="O15"/>
  <c r="E15" s="1"/>
  <c r="G15"/>
  <c r="O13"/>
  <c r="E13" s="1"/>
  <c r="G13"/>
  <c r="O12"/>
  <c r="E12" s="1"/>
  <c r="G12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G4"/>
  <c r="G6" i="8"/>
  <c r="G7"/>
  <c r="G8"/>
  <c r="G9"/>
  <c r="G10"/>
  <c r="G11"/>
  <c r="G12"/>
  <c r="G13"/>
  <c r="G14"/>
  <c r="G15"/>
  <c r="G16"/>
  <c r="G4" i="5"/>
  <c r="O4"/>
  <c r="E4" s="1"/>
  <c r="O16" i="8"/>
  <c r="E16" s="1"/>
  <c r="O15"/>
  <c r="E15" s="1"/>
  <c r="O14"/>
  <c r="E14" s="1"/>
  <c r="O13"/>
  <c r="E13" s="1"/>
  <c r="O12"/>
  <c r="E12" s="1"/>
  <c r="O11"/>
  <c r="E11" s="1"/>
  <c r="E10"/>
  <c r="E9"/>
  <c r="E8"/>
  <c r="E7"/>
  <c r="E6"/>
  <c r="O5" i="7"/>
  <c r="E5" s="1"/>
  <c r="O6"/>
  <c r="E6" s="1"/>
  <c r="O7"/>
  <c r="E7" s="1"/>
  <c r="O8"/>
  <c r="O9"/>
  <c r="E9" s="1"/>
  <c r="O10"/>
  <c r="E10" s="1"/>
  <c r="O11"/>
  <c r="E11" s="1"/>
  <c r="O12"/>
  <c r="E12" s="1"/>
  <c r="O13"/>
  <c r="E13" s="1"/>
  <c r="O14"/>
  <c r="E14" s="1"/>
  <c r="O15"/>
  <c r="O16"/>
  <c r="E16" s="1"/>
  <c r="O17"/>
  <c r="O18"/>
  <c r="O19"/>
  <c r="O20"/>
  <c r="G5"/>
  <c r="G6"/>
  <c r="G7"/>
  <c r="G8"/>
  <c r="G9"/>
  <c r="P6" i="18" s="1"/>
  <c r="G10" i="7"/>
  <c r="G11"/>
  <c r="G12"/>
  <c r="G13"/>
  <c r="G14"/>
  <c r="G15"/>
  <c r="G16"/>
  <c r="G17"/>
  <c r="G18"/>
  <c r="G19"/>
  <c r="G20"/>
  <c r="E8"/>
  <c r="E15"/>
  <c r="E17"/>
  <c r="E18"/>
  <c r="E19"/>
  <c r="E20"/>
  <c r="E4"/>
  <c r="G4"/>
  <c r="O18" i="5"/>
  <c r="E18" s="1"/>
  <c r="G18"/>
  <c r="O17"/>
  <c r="E17" s="1"/>
  <c r="G17"/>
  <c r="O16"/>
  <c r="E16" s="1"/>
  <c r="G16"/>
  <c r="O15"/>
  <c r="E15" s="1"/>
  <c r="G15"/>
  <c r="O14"/>
  <c r="E14" s="1"/>
  <c r="G14"/>
  <c r="O13"/>
  <c r="E13" s="1"/>
  <c r="G13"/>
  <c r="E12"/>
  <c r="G12"/>
  <c r="O10"/>
  <c r="E10" s="1"/>
  <c r="G10"/>
  <c r="O9"/>
  <c r="E9" s="1"/>
  <c r="G9"/>
  <c r="O8"/>
  <c r="E8" s="1"/>
  <c r="G8"/>
  <c r="O6"/>
  <c r="E6" s="1"/>
  <c r="G6"/>
  <c r="C14" i="15" l="1"/>
  <c r="B14"/>
  <c r="D14"/>
  <c r="E14"/>
  <c r="D18" i="12"/>
  <c r="C18" s="1"/>
  <c r="D15"/>
  <c r="C15" s="1"/>
  <c r="D10"/>
  <c r="C10" s="1"/>
  <c r="D20" i="11"/>
  <c r="C20" s="1"/>
  <c r="D18"/>
  <c r="C18" s="1"/>
  <c r="D26" i="14"/>
  <c r="C26" s="1"/>
  <c r="D27"/>
  <c r="C27" s="1"/>
  <c r="D8"/>
  <c r="C8" s="1"/>
  <c r="D18"/>
  <c r="C18" s="1"/>
  <c r="D20"/>
  <c r="C20" s="1"/>
  <c r="D21"/>
  <c r="C21" s="1"/>
  <c r="D22"/>
  <c r="C22" s="1"/>
  <c r="D23"/>
  <c r="C23" s="1"/>
  <c r="D24"/>
  <c r="C24" s="1"/>
  <c r="D25"/>
  <c r="C25" s="1"/>
  <c r="D12"/>
  <c r="C12" s="1"/>
  <c r="D13"/>
  <c r="C13" s="1"/>
  <c r="D14"/>
  <c r="C14" s="1"/>
  <c r="D15"/>
  <c r="C15" s="1"/>
  <c r="D17"/>
  <c r="C17" s="1"/>
  <c r="D19"/>
  <c r="C19" s="1"/>
  <c r="D16"/>
  <c r="C16" s="1"/>
  <c r="D31"/>
  <c r="C31" s="1"/>
  <c r="D32"/>
  <c r="C32" s="1"/>
  <c r="D4" i="10"/>
  <c r="C4" s="1"/>
  <c r="D10"/>
  <c r="C10" s="1"/>
  <c r="P5" i="18"/>
  <c r="P4"/>
  <c r="P3"/>
  <c r="D8" i="9"/>
  <c r="C8" s="1"/>
  <c r="D5" i="8"/>
  <c r="C5" s="1"/>
  <c r="D29" i="9"/>
  <c r="C29" s="1"/>
  <c r="D22"/>
  <c r="C22" s="1"/>
  <c r="D21"/>
  <c r="C21" s="1"/>
  <c r="D25"/>
  <c r="C25" s="1"/>
  <c r="D23"/>
  <c r="C23" s="1"/>
  <c r="D24"/>
  <c r="C24" s="1"/>
  <c r="D27"/>
  <c r="C27" s="1"/>
  <c r="D28"/>
  <c r="C28" s="1"/>
  <c r="D26"/>
  <c r="C26" s="1"/>
  <c r="D19" i="12"/>
  <c r="C19" s="1"/>
  <c r="D17"/>
  <c r="C17" s="1"/>
  <c r="D9" i="9"/>
  <c r="C9" s="1"/>
  <c r="D20"/>
  <c r="C20" s="1"/>
  <c r="D19"/>
  <c r="C19" s="1"/>
  <c r="D16"/>
  <c r="C16" s="1"/>
  <c r="D6" i="12"/>
  <c r="C6" s="1"/>
  <c r="D11" i="11"/>
  <c r="C11" s="1"/>
  <c r="D15"/>
  <c r="C15" s="1"/>
  <c r="D10"/>
  <c r="C10" s="1"/>
  <c r="D19"/>
  <c r="C19" s="1"/>
  <c r="D8"/>
  <c r="C8" s="1"/>
  <c r="D12"/>
  <c r="C12" s="1"/>
  <c r="D14" i="9"/>
  <c r="C14" s="1"/>
  <c r="D11" i="5"/>
  <c r="C11" s="1"/>
  <c r="D9" i="10"/>
  <c r="C9" s="1"/>
  <c r="D6"/>
  <c r="C6" s="1"/>
  <c r="D7" i="11"/>
  <c r="C7" s="1"/>
  <c r="D5"/>
  <c r="C5" s="1"/>
  <c r="D4" i="8"/>
  <c r="C4" s="1"/>
  <c r="D11" i="10"/>
  <c r="C11" s="1"/>
  <c r="D10" i="14"/>
  <c r="C10" s="1"/>
  <c r="D7" i="10"/>
  <c r="C7" s="1"/>
  <c r="D12"/>
  <c r="C12" s="1"/>
  <c r="D7" i="14"/>
  <c r="C7" s="1"/>
  <c r="D6"/>
  <c r="C6" s="1"/>
  <c r="D11"/>
  <c r="C11" s="1"/>
  <c r="D4"/>
  <c r="C4" s="1"/>
  <c r="D9"/>
  <c r="C9" s="1"/>
  <c r="D4" i="12"/>
  <c r="C4" s="1"/>
  <c r="D13"/>
  <c r="C13" s="1"/>
  <c r="D4" i="7"/>
  <c r="C4" s="1"/>
  <c r="D7" i="12"/>
  <c r="C7" s="1"/>
  <c r="D5"/>
  <c r="C5" s="1"/>
  <c r="D7" i="5"/>
  <c r="C7" s="1"/>
  <c r="D17" i="8"/>
  <c r="C17" s="1"/>
  <c r="D14" i="11"/>
  <c r="C14" s="1"/>
  <c r="D4"/>
  <c r="C4" s="1"/>
  <c r="D13"/>
  <c r="C13" s="1"/>
  <c r="D6"/>
  <c r="C6" s="1"/>
  <c r="D9"/>
  <c r="C9" s="1"/>
  <c r="D9" i="5"/>
  <c r="C9" s="1"/>
  <c r="D5" i="10"/>
  <c r="C5" s="1"/>
  <c r="D16"/>
  <c r="C16" s="1"/>
  <c r="D15"/>
  <c r="C15" s="1"/>
  <c r="D5" i="9"/>
  <c r="C5" s="1"/>
  <c r="D11"/>
  <c r="C11" s="1"/>
  <c r="D6"/>
  <c r="C6" s="1"/>
  <c r="D10"/>
  <c r="C10" s="1"/>
  <c r="D6" i="8"/>
  <c r="C6" s="1"/>
  <c r="D17" i="9"/>
  <c r="C17" s="1"/>
  <c r="D12"/>
  <c r="C12" s="1"/>
  <c r="D9" i="8"/>
  <c r="C9" s="1"/>
  <c r="D10"/>
  <c r="C10" s="1"/>
  <c r="D8"/>
  <c r="C8" s="1"/>
  <c r="D11"/>
  <c r="C11" s="1"/>
  <c r="D7"/>
  <c r="C7" s="1"/>
  <c r="D5" i="5"/>
  <c r="C5" s="1"/>
  <c r="D4" i="9"/>
  <c r="C4" s="1"/>
  <c r="D13"/>
  <c r="C13" s="1"/>
  <c r="D18"/>
  <c r="C18" s="1"/>
  <c r="D15"/>
  <c r="C15" s="1"/>
  <c r="D7"/>
  <c r="C7" s="1"/>
  <c r="D15" i="8"/>
  <c r="C15" s="1"/>
  <c r="D14"/>
  <c r="C14" s="1"/>
  <c r="D16"/>
  <c r="C16" s="1"/>
  <c r="D12"/>
  <c r="C12" s="1"/>
  <c r="D13"/>
  <c r="C13" s="1"/>
  <c r="D4" i="5"/>
  <c r="C4" s="1"/>
  <c r="D16"/>
  <c r="C16" s="1"/>
  <c r="D18"/>
  <c r="C18" s="1"/>
  <c r="D6"/>
  <c r="C6" s="1"/>
  <c r="D17"/>
  <c r="C17" s="1"/>
  <c r="D7" i="7"/>
  <c r="C7" s="1"/>
  <c r="D16"/>
  <c r="C16" s="1"/>
  <c r="D17"/>
  <c r="C17" s="1"/>
  <c r="D18"/>
  <c r="C18" s="1"/>
  <c r="D5"/>
  <c r="C5" s="1"/>
  <c r="D6"/>
  <c r="C6" s="1"/>
  <c r="D8"/>
  <c r="C8" s="1"/>
  <c r="D9"/>
  <c r="C9" s="1"/>
  <c r="D10"/>
  <c r="C10" s="1"/>
  <c r="D11"/>
  <c r="C11" s="1"/>
  <c r="D12"/>
  <c r="C12" s="1"/>
  <c r="D13"/>
  <c r="C13" s="1"/>
  <c r="D14"/>
  <c r="C14" s="1"/>
  <c r="D15"/>
  <c r="C15" s="1"/>
  <c r="D19"/>
  <c r="C19" s="1"/>
  <c r="D20"/>
  <c r="C20" s="1"/>
  <c r="D14" i="5"/>
  <c r="C14" s="1"/>
  <c r="D10"/>
  <c r="C10" s="1"/>
  <c r="D15"/>
  <c r="C15" s="1"/>
  <c r="D12"/>
  <c r="C12" s="1"/>
  <c r="D8"/>
  <c r="C8" s="1"/>
  <c r="D13"/>
  <c r="C13" s="1"/>
</calcChain>
</file>

<file path=xl/sharedStrings.xml><?xml version="1.0" encoding="utf-8"?>
<sst xmlns="http://schemas.openxmlformats.org/spreadsheetml/2006/main" count="468" uniqueCount="170">
  <si>
    <t>Weapon Stats - Sleepy's Weapons</t>
  </si>
  <si>
    <t>Weapon Name</t>
  </si>
  <si>
    <t>Heavy SMG (Stock)</t>
  </si>
  <si>
    <t>Damage</t>
  </si>
  <si>
    <t>DPS</t>
  </si>
  <si>
    <t>Burst</t>
  </si>
  <si>
    <t>Ranged Cooldown</t>
  </si>
  <si>
    <t>Warm-up</t>
  </si>
  <si>
    <t>RPM</t>
  </si>
  <si>
    <t>Burst Time</t>
  </si>
  <si>
    <t>Avg Accuracy</t>
  </si>
  <si>
    <t>Range</t>
  </si>
  <si>
    <t>Stopping Pwr</t>
  </si>
  <si>
    <t>Arm Pen (%)</t>
  </si>
  <si>
    <t>Accuracy (Close)</t>
  </si>
  <si>
    <t>Accuracy (Short)</t>
  </si>
  <si>
    <t>Accuracy (Medium)</t>
  </si>
  <si>
    <t>Accuracy (Long)</t>
  </si>
  <si>
    <t>Avg DPS</t>
  </si>
  <si>
    <t>Balance</t>
  </si>
  <si>
    <t>MP5A3</t>
  </si>
  <si>
    <t>Avg Accuracy doesn’t factor range</t>
  </si>
  <si>
    <t>MP5SD*</t>
  </si>
  <si>
    <t>* Cant be made</t>
  </si>
  <si>
    <t>All stats based off normal quality</t>
  </si>
  <si>
    <t>Higher is overall better</t>
  </si>
  <si>
    <t>MP5K STK*</t>
  </si>
  <si>
    <t>M249</t>
  </si>
  <si>
    <t>Machine Pistol (Stock)</t>
  </si>
  <si>
    <t>HK416 L*</t>
  </si>
  <si>
    <t>HK416 L ACOG*</t>
  </si>
  <si>
    <t>HK416 DMR</t>
  </si>
  <si>
    <t>0.4 Lowest</t>
  </si>
  <si>
    <t>HK416 DMR ACOG*</t>
  </si>
  <si>
    <t>HK416 DMR SCOPE*</t>
  </si>
  <si>
    <t>0.98 Highest</t>
  </si>
  <si>
    <t>Aim for:</t>
  </si>
  <si>
    <t>HK416 CQB*</t>
  </si>
  <si>
    <t>HK416</t>
  </si>
  <si>
    <t>HK416 ACOG*</t>
  </si>
  <si>
    <t>Vol.</t>
  </si>
  <si>
    <t>Stock</t>
  </si>
  <si>
    <t>Auto Pistol</t>
  </si>
  <si>
    <t>Revolver</t>
  </si>
  <si>
    <t>Assault Rifle</t>
  </si>
  <si>
    <t>Charge Rifle</t>
  </si>
  <si>
    <t>Bolt Action Rifle</t>
  </si>
  <si>
    <t>Sniper Rifle</t>
  </si>
  <si>
    <t>LMG</t>
  </si>
  <si>
    <t>Glock 17 (Grey)</t>
  </si>
  <si>
    <t>Pump Shotgun</t>
  </si>
  <si>
    <t>Chain Shotgun</t>
  </si>
  <si>
    <t>Handgun</t>
  </si>
  <si>
    <t>SMG</t>
  </si>
  <si>
    <t>Rifle</t>
  </si>
  <si>
    <t>Space Rifle</t>
  </si>
  <si>
    <t>Shotgun</t>
  </si>
  <si>
    <t>Adds:</t>
  </si>
  <si>
    <t>Vol 1</t>
  </si>
  <si>
    <t>Total Weapons</t>
  </si>
  <si>
    <t>Vol 2</t>
  </si>
  <si>
    <t>Vol 3</t>
  </si>
  <si>
    <t>Vol 4</t>
  </si>
  <si>
    <t>Vol 5</t>
  </si>
  <si>
    <t>Vol 6</t>
  </si>
  <si>
    <t>Vol 7</t>
  </si>
  <si>
    <t>Vol 8</t>
  </si>
  <si>
    <t>Vol 9</t>
  </si>
  <si>
    <t>Vol 10</t>
  </si>
  <si>
    <t>MP7</t>
  </si>
  <si>
    <t>Melee</t>
  </si>
  <si>
    <t>Minigun</t>
  </si>
  <si>
    <t>MG3</t>
  </si>
  <si>
    <t>WA2000</t>
  </si>
  <si>
    <t>M400 Thread Predator*</t>
  </si>
  <si>
    <t>RIFLE MAX RANGE: 44.9</t>
  </si>
  <si>
    <t>LMG MAX RANGE: 32.9</t>
  </si>
  <si>
    <t>SNIPER MAX RANGE: 64.9</t>
  </si>
  <si>
    <t>SHOTGUN MAX RANGE: 20.9</t>
  </si>
  <si>
    <t>REVOLVER MAX RANGE: 25.9</t>
  </si>
  <si>
    <t>HANDGUN MAX RANGE: 25.9</t>
  </si>
  <si>
    <t>MG5*</t>
  </si>
  <si>
    <t>MG4 E*</t>
  </si>
  <si>
    <t>Bullet Speed</t>
  </si>
  <si>
    <t>Weight</t>
  </si>
  <si>
    <t>LMG MIN RANGE: 23.9</t>
  </si>
  <si>
    <t>F3 ST</t>
  </si>
  <si>
    <t>RIFLE MIN RANGE: 23.9</t>
  </si>
  <si>
    <t>SMG MAX RANGE: 22.9</t>
  </si>
  <si>
    <t>G36K TAC*</t>
  </si>
  <si>
    <t>CR300*</t>
  </si>
  <si>
    <t>SPF9 SF SD TAC</t>
  </si>
  <si>
    <t>MP5A3 TAC*</t>
  </si>
  <si>
    <t>MP5A5 MIL*</t>
  </si>
  <si>
    <t>HAENEL MK556*</t>
  </si>
  <si>
    <t>MXC RATTLER SBR*</t>
  </si>
  <si>
    <t>Craftable</t>
  </si>
  <si>
    <t>Yes</t>
  </si>
  <si>
    <t>No</t>
  </si>
  <si>
    <t>Craftable Weapons</t>
  </si>
  <si>
    <t>Vol 1H</t>
  </si>
  <si>
    <t>Vol 2H</t>
  </si>
  <si>
    <t>Vol 3H</t>
  </si>
  <si>
    <t>Vol 4H</t>
  </si>
  <si>
    <t>Count</t>
  </si>
  <si>
    <t>V</t>
  </si>
  <si>
    <t>Vol 1Re</t>
  </si>
  <si>
    <t>Vol 2Re</t>
  </si>
  <si>
    <t>Vol 3Re</t>
  </si>
  <si>
    <t>Vol 4Re</t>
  </si>
  <si>
    <t>Vol 1SMG</t>
  </si>
  <si>
    <t>Vol 2SMG</t>
  </si>
  <si>
    <t>Vol 3SMG</t>
  </si>
  <si>
    <t>Vol 4SMG</t>
  </si>
  <si>
    <t>Vol 1Rif</t>
  </si>
  <si>
    <t>Vol 2Rif</t>
  </si>
  <si>
    <t>Vol 3Rif</t>
  </si>
  <si>
    <t>Vol 4Rif</t>
  </si>
  <si>
    <t>Vol 1Sni</t>
  </si>
  <si>
    <t>Vol 2Sni</t>
  </si>
  <si>
    <t>Vol 3Sni</t>
  </si>
  <si>
    <t>Vol 4Sni</t>
  </si>
  <si>
    <t>Vol 1Spr</t>
  </si>
  <si>
    <t>Vol 2Spr</t>
  </si>
  <si>
    <t>Vol 3Spr</t>
  </si>
  <si>
    <t>Vol 4Spr</t>
  </si>
  <si>
    <t>Vol 1Lmg</t>
  </si>
  <si>
    <t>Vol 2Lmg</t>
  </si>
  <si>
    <t>Vol 3Lmg</t>
  </si>
  <si>
    <t>Vol 4Lmg</t>
  </si>
  <si>
    <t>Vol 1Sho</t>
  </si>
  <si>
    <t>Vol 2Sho</t>
  </si>
  <si>
    <t>Vol 3Sho</t>
  </si>
  <si>
    <t>Vol 4Sho</t>
  </si>
  <si>
    <t>Misc (Craftable)</t>
  </si>
  <si>
    <t>Misc (Not Craftable)</t>
  </si>
  <si>
    <t>Blast Range</t>
  </si>
  <si>
    <t>AP</t>
  </si>
  <si>
    <t>Stopping Power</t>
  </si>
  <si>
    <t>Single Use</t>
  </si>
  <si>
    <t>Warm-Up</t>
  </si>
  <si>
    <t>Cooldown</t>
  </si>
  <si>
    <t>GEWEHR43*</t>
  </si>
  <si>
    <t>K98K*</t>
  </si>
  <si>
    <t>Stick Grenade</t>
  </si>
  <si>
    <t>Frag Grenade</t>
  </si>
  <si>
    <t>DetDelay</t>
  </si>
  <si>
    <t>ForcedMiss</t>
  </si>
  <si>
    <t>MP40*</t>
  </si>
  <si>
    <t>Bundle Stick Grenade*</t>
  </si>
  <si>
    <t>N/A</t>
  </si>
  <si>
    <t>HK USC*</t>
  </si>
  <si>
    <t>MP5K*</t>
  </si>
  <si>
    <t>G36*</t>
  </si>
  <si>
    <t>HK243 SSAR*</t>
  </si>
  <si>
    <t>M82A1 CQ 50BMG*</t>
  </si>
  <si>
    <t>HAENEL RS9*</t>
  </si>
  <si>
    <t>MG4 KE*</t>
  </si>
  <si>
    <t>HK21 E*</t>
  </si>
  <si>
    <t>FGM-148 Javelin (HEAT)*</t>
  </si>
  <si>
    <t>FGM-148 Javelin (HE)*</t>
  </si>
  <si>
    <t xml:space="preserve">Max 50 Weapons Total / Max 10 Craftable  Per Volume </t>
  </si>
  <si>
    <t>P229 Compact*</t>
  </si>
  <si>
    <t>P320 Spectre*</t>
  </si>
  <si>
    <t>Q5 MatchSF*</t>
  </si>
  <si>
    <t>HK USP Match*</t>
  </si>
  <si>
    <t>HK169*</t>
  </si>
  <si>
    <t>MPX CU*</t>
  </si>
  <si>
    <t>R8 ULTS*</t>
  </si>
  <si>
    <t>Pazerfaust 3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</si>
</sst>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2" fontId="0" fillId="0" borderId="0" xfId="0" applyNumberFormat="1"/>
    <xf numFmtId="2" fontId="0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Border="1"/>
    <xf numFmtId="2" fontId="0" fillId="0" borderId="0" xfId="0" applyNumberFormat="1" applyBorder="1"/>
    <xf numFmtId="2" fontId="0" fillId="0" borderId="0" xfId="0" applyNumberFormat="1" applyFont="1" applyBorder="1"/>
    <xf numFmtId="0" fontId="2" fillId="0" borderId="0" xfId="0" applyFont="1" applyBorder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  <xf numFmtId="0" fontId="5" fillId="0" borderId="0" xfId="0" applyFont="1"/>
    <xf numFmtId="0" fontId="6" fillId="2" borderId="1" xfId="0" applyFont="1" applyFill="1" applyBorder="1"/>
    <xf numFmtId="0" fontId="6" fillId="2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6" fillId="2" borderId="0" xfId="0" applyFont="1" applyFill="1" applyBorder="1"/>
    <xf numFmtId="0" fontId="0" fillId="3" borderId="0" xfId="0" applyFont="1" applyFill="1" applyBorder="1"/>
    <xf numFmtId="0" fontId="0" fillId="4" borderId="0" xfId="0" applyFont="1" applyFill="1" applyBorder="1"/>
    <xf numFmtId="0" fontId="0" fillId="3" borderId="0" xfId="0" applyFill="1" applyBorder="1"/>
    <xf numFmtId="0" fontId="0" fillId="4" borderId="0" xfId="0" applyFill="1" applyBorder="1"/>
    <xf numFmtId="10" fontId="2" fillId="0" borderId="0" xfId="0" applyNumberFormat="1" applyFont="1" applyAlignment="1">
      <alignment horizontal="right"/>
    </xf>
    <xf numFmtId="10" fontId="2" fillId="0" borderId="0" xfId="0" applyNumberFormat="1" applyFont="1"/>
    <xf numFmtId="10" fontId="2" fillId="0" borderId="0" xfId="0" applyNumberFormat="1" applyFont="1" applyBorder="1"/>
    <xf numFmtId="0" fontId="7" fillId="0" borderId="0" xfId="0" applyFont="1"/>
    <xf numFmtId="10" fontId="7" fillId="0" borderId="0" xfId="0" applyNumberFormat="1" applyFont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0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0" xfId="0" applyFill="1" applyBorder="1"/>
    <xf numFmtId="0" fontId="8" fillId="0" borderId="3" xfId="0" applyFont="1" applyFill="1" applyBorder="1"/>
    <xf numFmtId="0" fontId="8" fillId="0" borderId="4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ill="1"/>
  </cellXfs>
  <cellStyles count="1">
    <cellStyle name="Normal" xfId="0" builtinId="0"/>
  </cellStyles>
  <dxfs count="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color auto="1"/>
      </font>
      <fill>
        <patternFill patternType="solid"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alignment horizontal="right" vertical="bottom" textRotation="0" wrapText="0" indent="0" relativeIndent="255" justifyLastLine="0" shrinkToFit="0" mergeCell="0" readingOrder="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bottom" textRotation="0" wrapText="0" indent="0" relativeIndent="255" justifyLastLine="0" shrinkToFit="0" mergeCell="0" readingOrder="0"/>
    </dxf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colors>
    <mruColors>
      <color rgb="FF00823B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8" name="Table1689" displayName="Table1689" ref="A3:V17" totalsRowShown="0">
  <autoFilter ref="A3:V17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/>
    <tableColumn id="22" name="Balance" dataDxfId="70">
      <calculatedColumnFormula>SUM(((Table1689[[#This Row],[Avg DPS]]*(Table1689[[#This Row],[Range]]))+(Table1689[[#This Row],[Avg DPS]]*Table1689[[#This Row],[Arm Pen (%)]]))/100)</calculatedColumnFormula>
    </tableColumn>
    <tableColumn id="20" name="Avg DPS" dataDxfId="69">
      <calculatedColumnFormula>SUM(Table1689[[#This Row],[DPS]]*Table1689[[#This Row],[Avg Accuracy]])</calculatedColumnFormula>
    </tableColumn>
    <tableColumn id="15" name="DPS" dataDxfId="68">
      <calculatedColumnFormula>SUM((Table1689[[#This Row],[Damage]]*Table1689[[#This Row],[Burst]])/(Table1689[[#This Row],[Ranged Cooldown]]+Table1689[[#This Row],[Warm-up]]+(Table1689[[#This Row],[Burst Time]]*(Table1689[[#This Row],[Burst]]-1))))</calculatedColumnFormula>
    </tableColumn>
    <tableColumn id="16" name="Range"/>
    <tableColumn id="17" name="Avg Accuracy" dataDxfId="67">
      <calculatedColumnFormula>SUM((Table1689[[#This Row],[Accuracy (Close)]]+Table1689[[#This Row],[Accuracy (Short)]]+Table1689[[#This Row],[Accuracy (Medium)]]+Table1689[[#This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66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 dataDxfId="65"/>
    <tableColumn id="14" name="Weight" dataDxfId="64"/>
    <tableColumn id="21" name="Craftable" dataDxfId="6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7" name="Table168" displayName="Table168" ref="A3:V20" totalsRowShown="0">
  <autoFilter ref="A3:V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 dataDxfId="61"/>
    <tableColumn id="22" name="Balance" dataDxfId="60">
      <calculatedColumnFormula>SUM(((Table168[[#This Row],[Avg DPS]]*(Table168[[#This Row],[Range]]))+(Table168[[#This Row],[Avg DPS]]*Table168[[#This Row],[Arm Pen (%)]]))/100)</calculatedColumnFormula>
    </tableColumn>
    <tableColumn id="20" name="Avg DPS" dataDxfId="59">
      <calculatedColumnFormula>SUM(Table168[[#This Row],[DPS]]*Table168[[#This Row],[Avg Accuracy]])</calculatedColumnFormula>
    </tableColumn>
    <tableColumn id="15" name="DPS" dataDxfId="58">
      <calculatedColumnFormula>SUM((Table168[[#This Row],[Damage]]*Table168[[#This Row],[Burst]])/(Table168[[#This Row],[Ranged Cooldown]]+Table168[[#This Row],[Warm-up]]+(Table168[[#This Row],[Burst Time]]*(Table168[[#This Row],[Burst]]-1))))</calculatedColumnFormula>
    </tableColumn>
    <tableColumn id="16" name="Range"/>
    <tableColumn id="17" name="Avg Accuracy" dataDxfId="57">
      <calculatedColumnFormula>SUM((Table168[[#This Row],[Accuracy (Close)]]+Table168[[#This Row],[Accuracy (Short)]]+Table168[[#This Row],[Accuracy (Medium)]]+Table168[[#This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56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Table16" displayName="Table16" ref="A3:V18" totalsRowShown="0">
  <autoFilter ref="A3:V18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 dataDxfId="54"/>
    <tableColumn id="22" name="Balance" dataDxfId="53">
      <calculatedColumnFormula>SUM(((Table16[[#This Row],[Avg DPS]]*(Table16[[#This Row],[Range]]))+(Table16[[#This Row],[Avg DPS]]*Table16[[#This Row],[Arm Pen (%)]]))/100)</calculatedColumnFormula>
    </tableColumn>
    <tableColumn id="20" name="Avg DPS" dataDxfId="52">
      <calculatedColumnFormula>SUM(Table16[[#This Row],[DPS]]*Table16[[#This Row],[Avg Accuracy]])</calculatedColumnFormula>
    </tableColumn>
    <tableColumn id="15" name="DPS" dataDxfId="51">
      <calculatedColumnFormula>SUM((Table16[[#This Row],[Damage]]*Table16[[#This Row],[Burst]])/(Table16[[#This Row],[Ranged Cooldown]]+Table16[[#This Row],[Warm-up]]+(Table16[[#This Row],[Burst Time]]*(Table16[[#This Row],[Burst]]-1))))</calculatedColumnFormula>
    </tableColumn>
    <tableColumn id="16" name="Range"/>
    <tableColumn id="17" name="Avg Accuracy" dataDxfId="50">
      <calculatedColumnFormula>SUM((Table16[[#This Row],[Accuracy (Close)]]+Table16[[#This Row],[Accuracy (Short)]]+Table16[[#This Row],[Accuracy (Medium)]]+Table16[[#This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49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 dataDxfId="48"/>
    <tableColumn id="14" name="Weight" dataDxfId="47"/>
    <tableColumn id="21" name="Craftable" dataDxfId="4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9" name="Table16810" displayName="Table16810" ref="A3:V29" totalsRowShown="0">
  <autoFilter ref="A3:V2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/>
    <tableColumn id="22" name="Balance" dataDxfId="44">
      <calculatedColumnFormula>SUM(((Table16810[[#This Row],[Avg DPS]]*(Table16810[[#This Row],[Range]]))+(Table16810[[#This Row],[Avg DPS]]*Table16810[[#This Row],[Arm Pen (%)]]))/100)</calculatedColumnFormula>
    </tableColumn>
    <tableColumn id="20" name="Avg DPS" dataDxfId="43">
      <calculatedColumnFormula>SUM(Table16810[[#This Row],[DPS]]*Table16810[[#This Row],[Avg Accuracy]])</calculatedColumnFormula>
    </tableColumn>
    <tableColumn id="15" name="DPS" dataDxfId="42">
      <calculatedColumnFormula>SUM((Table16810[[#This Row],[Damage]]*Table16810[[#This Row],[Burst]])/(Table16810[[#This Row],[Ranged Cooldown]]+Table16810[[#This Row],[Warm-up]]+(Table16810[[#This Row],[Burst Time]]*(Table16810[[#This Row],[Burst]]-1))))</calculatedColumnFormula>
    </tableColumn>
    <tableColumn id="16" name="Range"/>
    <tableColumn id="17" name="Avg Accuracy" dataDxfId="41">
      <calculatedColumnFormula>SUM((Table16810[[#This Row],[Accuracy (Close)]]+Table16810[[#This Row],[Accuracy (Short)]]+Table16810[[#This Row],[Accuracy (Medium)]]+Table16810[[#This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40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0" name="Table1681011" displayName="Table1681011" ref="A3:V19" totalsRowShown="0">
  <autoFilter ref="A3:V1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/>
    <tableColumn id="22" name="Balance" dataDxfId="38">
      <calculatedColumnFormula>SUM(((Table1681011[[#This Row],[Avg DPS]]*(Table1681011[[#This Row],[Range]]))+(Table1681011[[#This Row],[Avg DPS]]*Table1681011[[#This Row],[Arm Pen (%)]]))/100)</calculatedColumnFormula>
    </tableColumn>
    <tableColumn id="20" name="Avg DPS" dataDxfId="37">
      <calculatedColumnFormula>SUM(Table1681011[[#This Row],[DPS]]*Table1681011[[#This Row],[Avg Accuracy]])</calculatedColumnFormula>
    </tableColumn>
    <tableColumn id="15" name="DPS" dataDxfId="36">
      <calculatedColumnFormula>SUM((Table1681011[[#This Row],[Damage]]*Table1681011[[#This Row],[Burst]])/(Table1681011[[#This Row],[Ranged Cooldown]]+Table1681011[[#This Row],[Warm-up]]+(Table1681011[[#This Row],[Burst Time]]*(Table1681011[[#This Row],[Burst]]-1))))</calculatedColumnFormula>
    </tableColumn>
    <tableColumn id="16" name="Range"/>
    <tableColumn id="17" name="Avg Accuracy" dataDxfId="35">
      <calculatedColumnFormula>SUM((Table1681011[[#This Row],[Accuracy (Close)]]+Table1681011[[#This Row],[Accuracy (Short)]]+Table1681011[[#This Row],[Accuracy (Medium)]]+Table1681011[[#This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4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 dataDxfId="33"/>
    <tableColumn id="14" name="Weight" dataDxfId="32"/>
    <tableColumn id="21" name="Craftable" dataDxfId="31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4" name="Table1681015" displayName="Table1681015" ref="A3:V32" totalsRowShown="0">
  <autoFilter ref="A3:V32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/>
    <tableColumn id="22" name="Balance" dataDxfId="29">
      <calculatedColumnFormula>SUM(((Table1681015[[#This Row],[Avg DPS]]*(Table1681015[[#This Row],[Range]]))+(Table1681015[[#This Row],[Avg DPS]]*Table1681015[[#This Row],[Arm Pen (%)]]))/100)</calculatedColumnFormula>
    </tableColumn>
    <tableColumn id="20" name="Avg DPS" dataDxfId="28">
      <calculatedColumnFormula>SUM(Table1681015[[#This Row],[DPS]]*Table1681015[[#This Row],[Avg Accuracy]])</calculatedColumnFormula>
    </tableColumn>
    <tableColumn id="15" name="DPS" dataDxfId="27">
      <calculatedColumnFormula>SUM((Table1681015[[#This Row],[Damage]]*Table1681015[[#This Row],[Burst]])/(Table1681015[[#This Row],[Ranged Cooldown]]+Table1681015[[#This Row],[Warm-up]]+(Table1681015[[#This Row],[Burst Time]]*(Table1681015[[#This Row],[Burst]]-1))))</calculatedColumnFormula>
    </tableColumn>
    <tableColumn id="16" name="Range"/>
    <tableColumn id="17" name="Avg Accuracy" dataDxfId="26">
      <calculatedColumnFormula>SUM((Table1681015[[#This Row],[Accuracy (Close)]]+Table1681015[[#This Row],[Accuracy (Short)]]+Table1681015[[#This Row],[Accuracy (Medium)]]+Table1681015[[#This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25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1" name="Table168101112" displayName="Table168101112" ref="A3:V20" totalsRowShown="0">
  <autoFilter ref="A3:V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/>
    <tableColumn id="22" name="Balance" dataDxfId="23">
      <calculatedColumnFormula>SUM(((Table168101112[[#This Row],[Avg DPS]]*(Table168101112[[#This Row],[Range]]))+(Table168101112[[#This Row],[Avg DPS]]*Table168101112[[#This Row],[Arm Pen (%)]]))/100)</calculatedColumnFormula>
    </tableColumn>
    <tableColumn id="20" name="Avg DPS" dataDxfId="22">
      <calculatedColumnFormula>SUM(Table168101112[[#This Row],[DPS]]*Table168101112[[#This Row],[Avg Accuracy]])</calculatedColumnFormula>
    </tableColumn>
    <tableColumn id="15" name="DPS" dataDxfId="21">
      <calculatedColumnFormula>SUM((Table168101112[[#This Row],[Damage]]*Table168101112[[#This Row],[Burst]])/(Table168101112[[#This Row],[Ranged Cooldown]]+Table168101112[[#This Row],[Warm-up]]+(Table168101112[[#This Row],[Burst Time]]*(Table168101112[[#This Row],[Burst]]-1))))</calculatedColumnFormula>
    </tableColumn>
    <tableColumn id="16" name="Range"/>
    <tableColumn id="17" name="Avg Accuracy" dataDxfId="20">
      <calculatedColumnFormula>SUM((Table168101112[[#This Row],[Accuracy (Close)]]+Table168101112[[#This Row],[Accuracy (Short)]]+Table168101112[[#This Row],[Accuracy (Medium)]]+Table168101112[[#This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19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2" name="Table16810111213" displayName="Table16810111213" ref="A3:V19" totalsRowShown="0">
  <autoFilter ref="A3:V1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/>
    <tableColumn id="22" name="Balance" dataDxfId="17">
      <calculatedColumnFormula>SUM(((Table16810111213[[#This Row],[Avg DPS]]*(Table16810111213[[#This Row],[Range]]))+(Table16810111213[[#This Row],[Avg DPS]]*Table16810111213[[#This Row],[Arm Pen (%)]]))/100)</calculatedColumnFormula>
    </tableColumn>
    <tableColumn id="20" name="Avg DPS" dataDxfId="16">
      <calculatedColumnFormula>SUM(Table16810111213[[#This Row],[DPS]]*Table16810111213[[#This Row],[Avg Accuracy]])</calculatedColumnFormula>
    </tableColumn>
    <tableColumn id="15" name="DPS" dataDxfId="15">
      <calculatedColumnFormula>SUM((Table16810111213[[#This Row],[Damage]]*Table16810111213[[#This Row],[Burst]])/(Table16810111213[[#This Row],[Ranged Cooldown]]+Table16810111213[[#This Row],[Warm-up]]+(Table16810111213[[#This Row],[Burst Time]]*(Table16810111213[[#This Row],[Burst]]-1))))</calculatedColumnFormula>
    </tableColumn>
    <tableColumn id="16" name="Range"/>
    <tableColumn id="17" name="Avg Accuracy" dataDxfId="14">
      <calculatedColumnFormula>SUM((Table16810111213[[#This Row],[Accuracy (Close)]]+Table16810111213[[#This Row],[Accuracy (Short)]]+Table16810111213[[#This Row],[Accuracy (Medium)]]+Table16810111213[[#This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13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" name="Table16892" displayName="Table16892" ref="A3:O18" totalsRowShown="0">
  <autoFilter ref="A3:O18">
    <filterColumn colId="2"/>
    <filterColumn colId="3"/>
    <filterColumn colId="4"/>
    <filterColumn colId="5"/>
    <filterColumn colId="6"/>
    <filterColumn colId="7"/>
    <filterColumn colId="8"/>
    <filterColumn colId="9"/>
    <filterColumn colId="10"/>
    <filterColumn colId="13"/>
  </autoFilter>
  <tableColumns count="15">
    <tableColumn id="1" name="Weapon Name"/>
    <tableColumn id="12" name="Vol."/>
    <tableColumn id="3" name="Range" dataDxfId="12"/>
    <tableColumn id="4" name="Damage" dataDxfId="11"/>
    <tableColumn id="5" name="AP" dataDxfId="10"/>
    <tableColumn id="6" name="Stopping Power" dataDxfId="9"/>
    <tableColumn id="15" name="ForcedMiss" dataDxfId="8"/>
    <tableColumn id="11" name="DetDelay" dataDxfId="7"/>
    <tableColumn id="10" name="Blast Range" dataDxfId="6"/>
    <tableColumn id="8" name="Warm-Up" dataDxfId="5"/>
    <tableColumn id="9" name="Cooldown" dataDxfId="4"/>
    <tableColumn id="13" name="Bullet Speed" dataDxfId="3"/>
    <tableColumn id="14" name="Weight" dataDxfId="2"/>
    <tableColumn id="7" name="Single Use" dataDxfId="1"/>
    <tableColumn id="21" name="Craftabl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7"/>
  <sheetViews>
    <sheetView tabSelected="1" workbookViewId="0">
      <selection activeCell="F19" sqref="F19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2" customWidth="1"/>
    <col min="9" max="9" width="14.5703125" customWidth="1"/>
    <col min="10" max="10" width="8.5703125" customWidth="1"/>
    <col min="11" max="11" width="9.140625" customWidth="1"/>
    <col min="12" max="12" width="12" customWidth="1"/>
    <col min="13" max="13" width="8.85546875" customWidth="1"/>
    <col min="14" max="14" width="7" customWidth="1"/>
    <col min="15" max="15" width="13.425781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2">
      <c r="A1" s="1" t="s">
        <v>0</v>
      </c>
      <c r="C1" t="s">
        <v>24</v>
      </c>
      <c r="F1" s="1" t="s">
        <v>80</v>
      </c>
    </row>
    <row r="2" spans="1:22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</row>
    <row r="3" spans="1:22" ht="15.75" thickBot="1">
      <c r="A3" t="s">
        <v>1</v>
      </c>
      <c r="B3" t="s">
        <v>40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83</v>
      </c>
      <c r="U3" s="16" t="s">
        <v>84</v>
      </c>
      <c r="V3" s="21" t="s">
        <v>96</v>
      </c>
    </row>
    <row r="4" spans="1:22" ht="15.75" thickTop="1">
      <c r="A4" s="6" t="s">
        <v>42</v>
      </c>
      <c r="B4" s="11" t="s">
        <v>41</v>
      </c>
      <c r="C4" s="2">
        <f>SUM(((Table1689[[#This Row],[Avg DPS]]*(Table1689[[#This Row],[Range]]))+(Table1689[[#This Row],[Avg DPS]]*Table1689[[#This Row],[Arm Pen (%)]]))/100)</f>
        <v>1.730384615384615</v>
      </c>
      <c r="D4" s="3">
        <f>SUM(Table1689[[#This Row],[DPS]]*Table1689[[#This Row],[Avg Accuracy]])</f>
        <v>4.2307692307692299</v>
      </c>
      <c r="E4" s="2">
        <f>SUM((Table1689[[#This Row],[Damage]]*Table1689[[#This Row],[Burst]])/(Table1689[[#This Row],[Ranged Cooldown]]+Table1689[[#This Row],[Warm-up]]+(Table1689[[#This Row],[Burst Time]]*(Table1689[[#This Row],[Burst]]-1))))</f>
        <v>7.6923076923076916</v>
      </c>
      <c r="F4">
        <v>25.9</v>
      </c>
      <c r="G4" s="2">
        <f>SUM((Table1689[[#This Row],[Accuracy (Close)]]+Table1689[[#This Row],[Accuracy (Short)]]+Table1689[[#This Row],[Accuracy (Medium)]]+Table1689[[#This Row],[Accuracy (Long)]])/4)</f>
        <v>0.54999999999999993</v>
      </c>
      <c r="H4">
        <v>10</v>
      </c>
      <c r="I4">
        <v>0.5</v>
      </c>
      <c r="J4">
        <v>15</v>
      </c>
      <c r="K4">
        <v>1</v>
      </c>
      <c r="L4">
        <v>1</v>
      </c>
      <c r="M4">
        <v>0.3</v>
      </c>
      <c r="N4">
        <v>0</v>
      </c>
      <c r="O4" s="2">
        <v>1</v>
      </c>
      <c r="P4">
        <v>0.8</v>
      </c>
      <c r="Q4">
        <v>0.7</v>
      </c>
      <c r="R4">
        <v>0.4</v>
      </c>
      <c r="S4">
        <v>0.3</v>
      </c>
      <c r="T4" s="17">
        <v>55</v>
      </c>
      <c r="U4" s="18"/>
      <c r="V4" s="24" t="s">
        <v>97</v>
      </c>
    </row>
    <row r="5" spans="1:22">
      <c r="A5" s="14" t="s">
        <v>49</v>
      </c>
      <c r="B5" s="4">
        <v>3</v>
      </c>
      <c r="C5" s="2">
        <f>SUM(((Table1689[[#This Row],[Avg DPS]]*(Table1689[[#This Row],[Range]]))+(Table1689[[#This Row],[Avg DPS]]*Table1689[[#This Row],[Arm Pen (%)]]))/100)</f>
        <v>1.5420681818181818</v>
      </c>
      <c r="D5" s="3">
        <f>SUM(Table1689[[#This Row],[DPS]]*Table1689[[#This Row],[Avg Accuracy]])</f>
        <v>4.2954545454545459</v>
      </c>
      <c r="E5" s="2">
        <f>SUM((Table1689[[#This Row],[Damage]]*Table1689[[#This Row],[Burst]])/(Table1689[[#This Row],[Ranged Cooldown]]+Table1689[[#This Row],[Warm-up]]+(Table1689[[#This Row],[Burst Time]]*(Table1689[[#This Row],[Burst]]-1))))</f>
        <v>8.1818181818181817</v>
      </c>
      <c r="F5">
        <v>25.9</v>
      </c>
      <c r="G5" s="2">
        <f>SUM((Table1689[[#This Row],[Accuracy (Close)]]+Table1689[[#This Row],[Accuracy (Short)]]+Table1689[[#This Row],[Accuracy (Medium)]]+Table1689[[#This Row],[Accuracy (Long)]])/4)</f>
        <v>0.52500000000000002</v>
      </c>
      <c r="H5">
        <v>9</v>
      </c>
      <c r="I5">
        <v>0.5</v>
      </c>
      <c r="J5">
        <v>10</v>
      </c>
      <c r="K5">
        <v>1</v>
      </c>
      <c r="L5">
        <v>0.8</v>
      </c>
      <c r="M5">
        <v>0.3</v>
      </c>
      <c r="N5">
        <v>0</v>
      </c>
      <c r="O5" s="2">
        <v>0.8</v>
      </c>
      <c r="P5">
        <v>0.85</v>
      </c>
      <c r="Q5">
        <v>0.75</v>
      </c>
      <c r="R5">
        <v>0.3</v>
      </c>
      <c r="S5">
        <v>0.2</v>
      </c>
      <c r="T5" s="19"/>
      <c r="U5" s="20"/>
      <c r="V5" s="25" t="s">
        <v>97</v>
      </c>
    </row>
    <row r="6" spans="1:22">
      <c r="A6" s="14" t="s">
        <v>91</v>
      </c>
      <c r="B6" s="4">
        <v>1</v>
      </c>
      <c r="C6" s="2">
        <f>SUM(((Table1689[[#This Row],[Avg DPS]]*(Table1689[[#This Row],[Range]]))+(Table1689[[#This Row],[Avg DPS]]*Table1689[[#This Row],[Arm Pen (%)]]))/100)</f>
        <v>1.45089</v>
      </c>
      <c r="D6" s="3">
        <f>SUM(Table1689[[#This Row],[DPS]]*Table1689[[#This Row],[Avg Accuracy]])</f>
        <v>4.41</v>
      </c>
      <c r="E6" s="2">
        <f>SUM((Table1689[[#This Row],[Damage]]*Table1689[[#This Row],[Burst]])/(Table1689[[#This Row],[Ranged Cooldown]]+Table1689[[#This Row],[Warm-up]]+(Table1689[[#This Row],[Burst Time]]*(Table1689[[#This Row],[Burst]]-1))))</f>
        <v>9</v>
      </c>
      <c r="F6">
        <v>22.9</v>
      </c>
      <c r="G6" s="2">
        <f>SUM((Table1689[[#This Row],[Accuracy (Close)]]+Table1689[[#This Row],[Accuracy (Short)]]+Table1689[[#This Row],[Accuracy (Medium)]]+Table1689[[#This Row],[Accuracy (Long)]])/4)</f>
        <v>0.49</v>
      </c>
      <c r="H6">
        <v>9</v>
      </c>
      <c r="I6">
        <v>0.5</v>
      </c>
      <c r="J6">
        <v>10</v>
      </c>
      <c r="K6">
        <v>1</v>
      </c>
      <c r="L6">
        <v>0.7</v>
      </c>
      <c r="M6">
        <v>0.3</v>
      </c>
      <c r="N6">
        <v>0</v>
      </c>
      <c r="O6" s="2">
        <v>0.7</v>
      </c>
      <c r="P6" s="41">
        <v>0.81</v>
      </c>
      <c r="Q6" s="41">
        <v>0.7</v>
      </c>
      <c r="R6" s="41">
        <v>0.25</v>
      </c>
      <c r="S6" s="41">
        <v>0.2</v>
      </c>
      <c r="T6" s="34">
        <v>60</v>
      </c>
      <c r="U6" s="18">
        <v>0.71899999999999997</v>
      </c>
      <c r="V6" s="36" t="s">
        <v>97</v>
      </c>
    </row>
    <row r="7" spans="1:22">
      <c r="A7" t="s">
        <v>162</v>
      </c>
      <c r="B7" s="4">
        <v>1</v>
      </c>
      <c r="C7" s="2">
        <f>SUM(((Table1689[[#This Row],[Avg DPS]]*(Table1689[[#This Row],[Range]]))+(Table1689[[#This Row],[Avg DPS]]*Table1689[[#This Row],[Arm Pen (%)]]))/100)</f>
        <v>1.3145192307692306</v>
      </c>
      <c r="D7" s="3">
        <f>SUM(Table1689[[#This Row],[DPS]]*Table1689[[#This Row],[Avg Accuracy]])</f>
        <v>4.7115384615384617</v>
      </c>
      <c r="E7" s="2">
        <f>SUM((Table1689[[#This Row],[Damage]]*Table1689[[#This Row],[Burst]])/(Table1689[[#This Row],[Ranged Cooldown]]+Table1689[[#This Row],[Warm-up]]+(Table1689[[#This Row],[Burst Time]]*(Table1689[[#This Row],[Burst]]-1))))</f>
        <v>10.769230769230768</v>
      </c>
      <c r="F7">
        <v>20.9</v>
      </c>
      <c r="G7" s="2">
        <f>SUM((Table1689[[#This Row],[Accuracy (Close)]]+Table1689[[#This Row],[Accuracy (Short)]]+Table1689[[#This Row],[Accuracy (Medium)]]+Table1689[[#This Row],[Accuracy (Long)]])/4)</f>
        <v>0.43750000000000006</v>
      </c>
      <c r="H7">
        <v>7</v>
      </c>
      <c r="I7">
        <v>0.5</v>
      </c>
      <c r="J7">
        <v>7</v>
      </c>
      <c r="K7">
        <v>1</v>
      </c>
      <c r="L7">
        <v>0.5</v>
      </c>
      <c r="M7">
        <v>0.15</v>
      </c>
      <c r="N7">
        <v>0</v>
      </c>
      <c r="O7" s="2">
        <v>0.5</v>
      </c>
      <c r="P7" s="41">
        <v>0.75</v>
      </c>
      <c r="Q7" s="41">
        <v>0.6</v>
      </c>
      <c r="R7" s="41">
        <v>0.3</v>
      </c>
      <c r="S7" s="41">
        <v>0.1</v>
      </c>
      <c r="T7" s="34">
        <v>55</v>
      </c>
      <c r="U7" s="20">
        <v>0.90700000000000003</v>
      </c>
      <c r="V7" s="36" t="s">
        <v>98</v>
      </c>
    </row>
    <row r="8" spans="1:22">
      <c r="A8" t="s">
        <v>163</v>
      </c>
      <c r="B8" s="4">
        <v>1</v>
      </c>
      <c r="C8" s="2">
        <f>SUM(((Table1689[[#This Row],[Avg DPS]]*(Table1689[[#This Row],[Range]]))+(Table1689[[#This Row],[Avg DPS]]*Table1689[[#This Row],[Arm Pen (%)]]))/100)</f>
        <v>1.6924285714285709</v>
      </c>
      <c r="D8" s="3">
        <f>SUM(Table1689[[#This Row],[DPS]]*Table1689[[#This Row],[Avg Accuracy]])</f>
        <v>4.7142857142857135</v>
      </c>
      <c r="E8" s="2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8">
        <v>22.9</v>
      </c>
      <c r="G8" s="2">
        <f>SUM((Table1689[[#This Row],[Accuracy (Close)]]+Table1689[[#This Row],[Accuracy (Short)]]+Table1689[[#This Row],[Accuracy (Medium)]]+Table1689[[#This Row],[Accuracy (Long)]])/4)</f>
        <v>0.54999999999999993</v>
      </c>
      <c r="H8">
        <v>9</v>
      </c>
      <c r="I8">
        <v>0.5</v>
      </c>
      <c r="J8">
        <v>13</v>
      </c>
      <c r="K8">
        <v>1</v>
      </c>
      <c r="L8">
        <v>0.78</v>
      </c>
      <c r="M8">
        <v>0.27</v>
      </c>
      <c r="N8">
        <v>0</v>
      </c>
      <c r="O8" s="2">
        <v>0.78</v>
      </c>
      <c r="P8" s="41">
        <v>0.8</v>
      </c>
      <c r="Q8" s="41">
        <v>0.7</v>
      </c>
      <c r="R8" s="41">
        <v>0.4</v>
      </c>
      <c r="S8" s="41">
        <v>0.3</v>
      </c>
      <c r="T8" s="34">
        <v>55</v>
      </c>
      <c r="U8" s="18">
        <v>1.19</v>
      </c>
      <c r="V8" s="36" t="s">
        <v>98</v>
      </c>
    </row>
    <row r="9" spans="1:22">
      <c r="A9" t="s">
        <v>164</v>
      </c>
      <c r="B9" s="4">
        <v>1</v>
      </c>
      <c r="C9" s="2">
        <f>SUM(((Table1689[[#This Row],[Avg DPS]]*(Table1689[[#This Row],[Range]]))+(Table1689[[#This Row],[Avg DPS]]*Table1689[[#This Row],[Arm Pen (%)]]))/100)</f>
        <v>1.7754493670886071</v>
      </c>
      <c r="D9" s="3">
        <f>SUM(Table1689[[#This Row],[DPS]]*Table1689[[#This Row],[Avg Accuracy]])</f>
        <v>4.0443037974683538</v>
      </c>
      <c r="E9" s="2">
        <f>SUM((Table1689[[#This Row],[Damage]]*Table1689[[#This Row],[Burst]])/(Table1689[[#This Row],[Ranged Cooldown]]+Table1689[[#This Row],[Warm-up]]+(Table1689[[#This Row],[Burst Time]]*(Table1689[[#This Row],[Burst]]-1))))</f>
        <v>7.5949367088607591</v>
      </c>
      <c r="F9">
        <v>25.9</v>
      </c>
      <c r="G9" s="2">
        <f>SUM((Table1689[[#This Row],[Accuracy (Close)]]+Table1689[[#This Row],[Accuracy (Short)]]+Table1689[[#This Row],[Accuracy (Medium)]]+Table1689[[#This Row],[Accuracy (Long)]])/4)</f>
        <v>0.53249999999999997</v>
      </c>
      <c r="H9">
        <v>12</v>
      </c>
      <c r="I9">
        <v>0.5</v>
      </c>
      <c r="J9">
        <v>18</v>
      </c>
      <c r="K9">
        <v>1</v>
      </c>
      <c r="L9">
        <v>1.18</v>
      </c>
      <c r="M9">
        <v>0.4</v>
      </c>
      <c r="N9">
        <v>0</v>
      </c>
      <c r="O9" s="2">
        <v>1.18</v>
      </c>
      <c r="P9" s="41">
        <v>0.75</v>
      </c>
      <c r="Q9" s="41">
        <v>0.66</v>
      </c>
      <c r="R9" s="41">
        <v>0.42</v>
      </c>
      <c r="S9" s="41">
        <v>0.3</v>
      </c>
      <c r="T9" s="34">
        <v>65</v>
      </c>
      <c r="U9" s="20">
        <v>1.1990000000000001</v>
      </c>
      <c r="V9" s="36" t="s">
        <v>98</v>
      </c>
    </row>
    <row r="10" spans="1:22">
      <c r="A10" t="s">
        <v>165</v>
      </c>
      <c r="B10" s="4">
        <v>1</v>
      </c>
      <c r="C10" s="2">
        <f>SUM(((Table1689[[#This Row],[Avg DPS]]*(Table1689[[#This Row],[Range]]))+(Table1689[[#This Row],[Avg DPS]]*Table1689[[#This Row],[Arm Pen (%)]]))/100)</f>
        <v>1.7088953488372089</v>
      </c>
      <c r="D10" s="3">
        <f>SUM(Table1689[[#This Row],[DPS]]*Table1689[[#This Row],[Avg Accuracy]])</f>
        <v>4.2829457364341081</v>
      </c>
      <c r="E10" s="2">
        <f>SUM((Table1689[[#This Row],[Damage]]*Table1689[[#This Row],[Burst]])/(Table1689[[#This Row],[Ranged Cooldown]]+Table1689[[#This Row],[Warm-up]]+(Table1689[[#This Row],[Burst Time]]*(Table1689[[#This Row],[Burst]]-1))))</f>
        <v>7.7519379844961236</v>
      </c>
      <c r="F10">
        <v>25.9</v>
      </c>
      <c r="G10" s="2">
        <f>SUM((Table1689[[#This Row],[Accuracy (Close)]]+Table1689[[#This Row],[Accuracy (Short)]]+Table1689[[#This Row],[Accuracy (Medium)]]+Table1689[[#This Row],[Accuracy (Long)]])/4)</f>
        <v>0.55249999999999999</v>
      </c>
      <c r="H10">
        <v>10</v>
      </c>
      <c r="I10">
        <v>0.5</v>
      </c>
      <c r="J10">
        <v>14</v>
      </c>
      <c r="K10">
        <v>1</v>
      </c>
      <c r="L10">
        <v>1</v>
      </c>
      <c r="M10">
        <v>0.28999999999999998</v>
      </c>
      <c r="N10">
        <v>0</v>
      </c>
      <c r="O10" s="2">
        <v>1</v>
      </c>
      <c r="P10" s="41">
        <v>0.78</v>
      </c>
      <c r="Q10" s="41">
        <v>0.67</v>
      </c>
      <c r="R10" s="41">
        <v>0.45</v>
      </c>
      <c r="S10" s="41">
        <v>0.31</v>
      </c>
      <c r="T10" s="34">
        <v>60</v>
      </c>
      <c r="U10" s="18">
        <v>1.08</v>
      </c>
      <c r="V10" s="36" t="s">
        <v>98</v>
      </c>
    </row>
    <row r="11" spans="1:22">
      <c r="B11" s="4"/>
      <c r="C11" s="2" t="e">
        <f>SUM(((Table1689[[#This Row],[Avg DPS]]*(Table1689[[#This Row],[Range]]))+(Table1689[[#This Row],[Avg DPS]]*Table1689[[#This Row],[Arm Pen (%)]]))/100)</f>
        <v>#DIV/0!</v>
      </c>
      <c r="D11" s="3" t="e">
        <f>SUM(Table1689[[#This Row],[DPS]]*Table1689[[#This Row],[Avg Accuracy]])</f>
        <v>#DIV/0!</v>
      </c>
      <c r="E11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1" s="2">
        <f>SUM((Table1689[[#This Row],[Accuracy (Close)]]+Table1689[[#This Row],[Accuracy (Short)]]+Table1689[[#This Row],[Accuracy (Medium)]]+Table1689[[#This Row],[Accuracy (Long)]])/4)</f>
        <v>0</v>
      </c>
      <c r="O11" s="2" t="e">
        <f t="shared" ref="O7:O16" si="0">60/N11</f>
        <v>#DIV/0!</v>
      </c>
      <c r="P11" s="41"/>
      <c r="Q11" s="41"/>
      <c r="R11" s="41"/>
      <c r="S11" s="41"/>
      <c r="T11" s="34"/>
      <c r="U11" s="20"/>
      <c r="V11" s="23"/>
    </row>
    <row r="12" spans="1:22">
      <c r="B12" s="4"/>
      <c r="C12" s="2" t="e">
        <f>SUM(((Table1689[[#This Row],[Avg DPS]]*(Table1689[[#This Row],[Range]]))+(Table1689[[#This Row],[Avg DPS]]*Table1689[[#This Row],[Arm Pen (%)]]))/100)</f>
        <v>#DIV/0!</v>
      </c>
      <c r="D12" s="3" t="e">
        <f>SUM(Table1689[[#This Row],[DPS]]*Table1689[[#This Row],[Avg Accuracy]])</f>
        <v>#DIV/0!</v>
      </c>
      <c r="E12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2" s="2">
        <f>SUM((Table1689[[#This Row],[Accuracy (Close)]]+Table1689[[#This Row],[Accuracy (Short)]]+Table1689[[#This Row],[Accuracy (Medium)]]+Table1689[[#This Row],[Accuracy (Long)]])/4)</f>
        <v>0</v>
      </c>
      <c r="O12" s="2" t="e">
        <f t="shared" si="0"/>
        <v>#DIV/0!</v>
      </c>
      <c r="T12" s="17"/>
      <c r="U12" s="18"/>
      <c r="V12" s="22"/>
    </row>
    <row r="13" spans="1:22">
      <c r="B13" s="4"/>
      <c r="C13" s="2" t="e">
        <f>SUM(((Table1689[[#This Row],[Avg DPS]]*(Table1689[[#This Row],[Range]]))+(Table1689[[#This Row],[Avg DPS]]*Table1689[[#This Row],[Arm Pen (%)]]))/100)</f>
        <v>#DIV/0!</v>
      </c>
      <c r="D13" s="3" t="e">
        <f>SUM(Table1689[[#This Row],[DPS]]*Table1689[[#This Row],[Avg Accuracy]])</f>
        <v>#DIV/0!</v>
      </c>
      <c r="E13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3" s="2">
        <f>SUM((Table1689[[#This Row],[Accuracy (Close)]]+Table1689[[#This Row],[Accuracy (Short)]]+Table1689[[#This Row],[Accuracy (Medium)]]+Table1689[[#This Row],[Accuracy (Long)]])/4)</f>
        <v>0</v>
      </c>
      <c r="O13" s="2" t="e">
        <f t="shared" si="0"/>
        <v>#DIV/0!</v>
      </c>
      <c r="T13" s="19"/>
      <c r="U13" s="20"/>
      <c r="V13" s="23"/>
    </row>
    <row r="14" spans="1:22" s="4" customFormat="1">
      <c r="A14"/>
      <c r="C14" s="2" t="e">
        <f>SUM(((Table1689[[#This Row],[Avg DPS]]*(Table1689[[#This Row],[Range]]))+(Table1689[[#This Row],[Avg DPS]]*Table1689[[#This Row],[Arm Pen (%)]]))/100)</f>
        <v>#DIV/0!</v>
      </c>
      <c r="D14" s="3" t="e">
        <f>SUM(Table1689[[#This Row],[DPS]]*Table1689[[#This Row],[Avg Accuracy]])</f>
        <v>#DIV/0!</v>
      </c>
      <c r="E14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F14"/>
      <c r="G14" s="2">
        <f>SUM((Table1689[[#This Row],[Accuracy (Close)]]+Table1689[[#This Row],[Accuracy (Short)]]+Table1689[[#This Row],[Accuracy (Medium)]]+Table1689[[#This Row],[Accuracy (Long)]])/4)</f>
        <v>0</v>
      </c>
      <c r="H14"/>
      <c r="I14"/>
      <c r="J14"/>
      <c r="K14"/>
      <c r="L14"/>
      <c r="M14"/>
      <c r="N14"/>
      <c r="O14" s="2" t="e">
        <f t="shared" si="0"/>
        <v>#DIV/0!</v>
      </c>
      <c r="P14"/>
      <c r="Q14"/>
      <c r="R14"/>
      <c r="S14"/>
      <c r="T14" s="17"/>
      <c r="U14" s="18"/>
      <c r="V14" s="22"/>
    </row>
    <row r="15" spans="1:22">
      <c r="B15" s="4"/>
      <c r="C15" s="2" t="e">
        <f>SUM(((Table1689[[#This Row],[Avg DPS]]*(Table1689[[#This Row],[Range]]))+(Table1689[[#This Row],[Avg DPS]]*Table1689[[#This Row],[Arm Pen (%)]]))/100)</f>
        <v>#DIV/0!</v>
      </c>
      <c r="D15" s="3" t="e">
        <f>SUM(Table1689[[#This Row],[DPS]]*Table1689[[#This Row],[Avg Accuracy]])</f>
        <v>#DIV/0!</v>
      </c>
      <c r="E15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5" s="2">
        <f>SUM((Table1689[[#This Row],[Accuracy (Close)]]+Table1689[[#This Row],[Accuracy (Short)]]+Table1689[[#This Row],[Accuracy (Medium)]]+Table1689[[#This Row],[Accuracy (Long)]])/4)</f>
        <v>0</v>
      </c>
      <c r="O15" s="2" t="e">
        <f t="shared" si="0"/>
        <v>#DIV/0!</v>
      </c>
      <c r="T15" s="19"/>
      <c r="U15" s="20"/>
      <c r="V15" s="23"/>
    </row>
    <row r="16" spans="1:22">
      <c r="A16" s="7"/>
      <c r="B16" s="4"/>
      <c r="C16" s="2" t="e">
        <f>SUM(((Table1689[[#This Row],[Avg DPS]]*(Table1689[[#This Row],[Range]]))+(Table1689[[#This Row],[Avg DPS]]*Table1689[[#This Row],[Arm Pen (%)]]))/100)</f>
        <v>#DIV/0!</v>
      </c>
      <c r="D16" s="3" t="e">
        <f>SUM(Table1689[[#This Row],[DPS]]*Table1689[[#This Row],[Avg Accuracy]])</f>
        <v>#DIV/0!</v>
      </c>
      <c r="E16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F16" s="7"/>
      <c r="G16" s="2">
        <f>SUM((Table1689[[#This Row],[Accuracy (Close)]]+Table1689[[#This Row],[Accuracy (Short)]]+Table1689[[#This Row],[Accuracy (Medium)]]+Table1689[[#This Row],[Accuracy (Long)]])/4)</f>
        <v>0</v>
      </c>
      <c r="H16" s="7"/>
      <c r="I16" s="7"/>
      <c r="J16" s="7"/>
      <c r="K16" s="7"/>
      <c r="L16" s="7"/>
      <c r="M16" s="7"/>
      <c r="N16" s="7"/>
      <c r="O16" s="2" t="e">
        <f t="shared" si="0"/>
        <v>#DIV/0!</v>
      </c>
      <c r="P16" s="7"/>
      <c r="Q16" s="7"/>
      <c r="R16" s="7"/>
      <c r="S16" s="7"/>
      <c r="T16" s="17"/>
      <c r="U16" s="18"/>
      <c r="V16" s="22"/>
    </row>
    <row r="17" spans="2:22">
      <c r="B17" s="10"/>
      <c r="C17" s="2" t="e">
        <f>SUM(((Table1689[[#This Row],[Avg DPS]]*(Table1689[[#This Row],[Range]]))+(Table1689[[#This Row],[Avg DPS]]*Table1689[[#This Row],[Arm Pen (%)]]))/100)</f>
        <v>#DIV/0!</v>
      </c>
      <c r="D17" s="3" t="e">
        <f>SUM(Table1689[[#This Row],[DPS]]*Table1689[[#This Row],[Avg Accuracy]])</f>
        <v>#DIV/0!</v>
      </c>
      <c r="E1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7" s="2">
        <f>SUM((Table1689[[#This Row],[Accuracy (Close)]]+Table1689[[#This Row],[Accuracy (Short)]]+Table1689[[#This Row],[Accuracy (Medium)]]+Table1689[[#This Row],[Accuracy (Long)]])/4)</f>
        <v>0</v>
      </c>
      <c r="O17" s="2" t="e">
        <f>60/N17</f>
        <v>#DIV/0!</v>
      </c>
      <c r="T17" s="19"/>
      <c r="U17" s="20"/>
      <c r="V17" s="23"/>
    </row>
  </sheetData>
  <conditionalFormatting sqref="C5:C17">
    <cfRule type="cellIs" dxfId="71" priority="1" operator="greaterThan">
      <formula>1.73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O18"/>
  <sheetViews>
    <sheetView workbookViewId="0">
      <selection activeCell="C10" sqref="C10"/>
    </sheetView>
  </sheetViews>
  <sheetFormatPr defaultRowHeight="15"/>
  <cols>
    <col min="1" max="1" width="24.42578125" customWidth="1"/>
    <col min="2" max="2" width="7.28515625" customWidth="1"/>
    <col min="3" max="3" width="8.42578125" customWidth="1"/>
    <col min="4" max="4" width="10.85546875" customWidth="1"/>
    <col min="5" max="5" width="9.5703125" customWidth="1"/>
    <col min="6" max="6" width="17.140625" customWidth="1"/>
    <col min="7" max="7" width="13.28515625" customWidth="1"/>
    <col min="8" max="8" width="11.42578125" customWidth="1"/>
    <col min="9" max="9" width="13.7109375" customWidth="1"/>
    <col min="10" max="10" width="17.7109375" customWidth="1"/>
    <col min="11" max="11" width="12.42578125" customWidth="1"/>
    <col min="12" max="12" width="12.140625" customWidth="1"/>
    <col min="13" max="13" width="14.85546875" customWidth="1"/>
    <col min="14" max="14" width="10.140625" customWidth="1"/>
    <col min="15" max="15" width="12.5703125" bestFit="1" customWidth="1"/>
    <col min="16" max="16" width="12.5703125" customWidth="1"/>
    <col min="17" max="17" width="7" customWidth="1"/>
    <col min="18" max="18" width="13.42578125" customWidth="1"/>
    <col min="19" max="19" width="18" customWidth="1"/>
    <col min="20" max="20" width="16.28515625" customWidth="1"/>
    <col min="21" max="21" width="18.28515625" customWidth="1"/>
    <col min="22" max="22" width="16.28515625" customWidth="1"/>
  </cols>
  <sheetData>
    <row r="1" spans="1:15">
      <c r="A1" s="1" t="s">
        <v>0</v>
      </c>
      <c r="C1" t="s">
        <v>24</v>
      </c>
      <c r="F1" s="1"/>
      <c r="G1" s="1"/>
      <c r="H1" s="1"/>
      <c r="I1" s="1"/>
    </row>
    <row r="2" spans="1:15">
      <c r="A2" t="s">
        <v>23</v>
      </c>
    </row>
    <row r="3" spans="1:15" ht="15.75" thickBot="1">
      <c r="A3" t="s">
        <v>1</v>
      </c>
      <c r="B3" t="s">
        <v>40</v>
      </c>
      <c r="C3" t="s">
        <v>11</v>
      </c>
      <c r="D3" t="s">
        <v>3</v>
      </c>
      <c r="E3" t="s">
        <v>137</v>
      </c>
      <c r="F3" t="s">
        <v>138</v>
      </c>
      <c r="G3" t="s">
        <v>147</v>
      </c>
      <c r="H3" t="s">
        <v>146</v>
      </c>
      <c r="I3" t="s">
        <v>136</v>
      </c>
      <c r="J3" t="s">
        <v>140</v>
      </c>
      <c r="K3" t="s">
        <v>141</v>
      </c>
      <c r="L3" s="15" t="s">
        <v>83</v>
      </c>
      <c r="M3" s="16" t="s">
        <v>84</v>
      </c>
      <c r="N3" s="21" t="s">
        <v>139</v>
      </c>
      <c r="O3" s="21" t="s">
        <v>96</v>
      </c>
    </row>
    <row r="4" spans="1:15" s="4" customFormat="1" ht="15.75" thickTop="1">
      <c r="A4" s="6" t="s">
        <v>145</v>
      </c>
      <c r="B4" s="11" t="s">
        <v>41</v>
      </c>
      <c r="C4" s="29">
        <v>12.9</v>
      </c>
      <c r="D4" s="29">
        <v>50</v>
      </c>
      <c r="E4" s="30">
        <v>0.1</v>
      </c>
      <c r="F4" s="29">
        <v>0.5</v>
      </c>
      <c r="G4" s="29">
        <v>1.9</v>
      </c>
      <c r="H4" s="29">
        <v>100</v>
      </c>
      <c r="I4" s="29">
        <v>1.9</v>
      </c>
      <c r="J4" s="29">
        <v>1.5</v>
      </c>
      <c r="K4" s="29">
        <v>2.66</v>
      </c>
      <c r="L4" s="37">
        <v>12</v>
      </c>
      <c r="M4" s="38">
        <v>1</v>
      </c>
      <c r="N4" s="36" t="s">
        <v>98</v>
      </c>
      <c r="O4" s="36" t="s">
        <v>97</v>
      </c>
    </row>
    <row r="5" spans="1:15">
      <c r="A5" s="4" t="s">
        <v>159</v>
      </c>
      <c r="B5" s="12">
        <v>2</v>
      </c>
      <c r="C5" s="12">
        <v>46.9</v>
      </c>
      <c r="D5" s="12">
        <v>495</v>
      </c>
      <c r="E5" s="26">
        <v>1.3</v>
      </c>
      <c r="F5" s="12">
        <v>2</v>
      </c>
      <c r="G5" s="12">
        <v>0</v>
      </c>
      <c r="H5" s="12" t="s">
        <v>150</v>
      </c>
      <c r="I5" s="12">
        <v>1.5</v>
      </c>
      <c r="J5" s="12">
        <v>5.5</v>
      </c>
      <c r="K5" s="12">
        <v>0.8</v>
      </c>
      <c r="L5" s="31">
        <v>75</v>
      </c>
      <c r="M5" s="32">
        <v>22.3</v>
      </c>
      <c r="N5" s="33" t="s">
        <v>97</v>
      </c>
      <c r="O5" s="33" t="s">
        <v>98</v>
      </c>
    </row>
    <row r="6" spans="1:15">
      <c r="A6" s="4" t="s">
        <v>160</v>
      </c>
      <c r="B6" s="4">
        <v>2</v>
      </c>
      <c r="C6" s="4">
        <v>35.9</v>
      </c>
      <c r="D6" s="4">
        <v>50</v>
      </c>
      <c r="E6" s="27">
        <v>0.1</v>
      </c>
      <c r="F6" s="4">
        <v>1</v>
      </c>
      <c r="G6" s="4">
        <v>0</v>
      </c>
      <c r="H6" s="12" t="s">
        <v>150</v>
      </c>
      <c r="I6" s="4">
        <v>4.5</v>
      </c>
      <c r="J6" s="4">
        <v>5.5</v>
      </c>
      <c r="K6" s="4">
        <v>0.8</v>
      </c>
      <c r="L6" s="34">
        <v>75</v>
      </c>
      <c r="M6" s="35">
        <v>22.3</v>
      </c>
      <c r="N6" s="36" t="s">
        <v>97</v>
      </c>
      <c r="O6" s="36" t="s">
        <v>98</v>
      </c>
    </row>
    <row r="7" spans="1:15">
      <c r="A7" s="14" t="s">
        <v>144</v>
      </c>
      <c r="B7" s="4">
        <v>1</v>
      </c>
      <c r="C7" s="4">
        <v>15.9</v>
      </c>
      <c r="D7" s="4">
        <v>40</v>
      </c>
      <c r="E7" s="27">
        <v>8.5000000000000006E-2</v>
      </c>
      <c r="F7" s="4">
        <v>0.5</v>
      </c>
      <c r="G7" s="4">
        <v>2.2000000000000002</v>
      </c>
      <c r="H7" s="4">
        <v>100</v>
      </c>
      <c r="I7" s="4">
        <v>1.9</v>
      </c>
      <c r="J7" s="4">
        <v>1.8</v>
      </c>
      <c r="K7" s="4">
        <v>2.66</v>
      </c>
      <c r="L7" s="34">
        <v>15</v>
      </c>
      <c r="M7" s="35">
        <v>1</v>
      </c>
      <c r="N7" s="36" t="s">
        <v>98</v>
      </c>
      <c r="O7" s="36" t="s">
        <v>97</v>
      </c>
    </row>
    <row r="8" spans="1:15">
      <c r="A8" t="s">
        <v>149</v>
      </c>
      <c r="B8" s="4">
        <v>1</v>
      </c>
      <c r="C8" s="4">
        <v>9.9</v>
      </c>
      <c r="D8" s="4">
        <v>70</v>
      </c>
      <c r="E8" s="27">
        <v>0.2</v>
      </c>
      <c r="F8" s="4">
        <v>1</v>
      </c>
      <c r="G8" s="4">
        <v>1.5</v>
      </c>
      <c r="H8" s="4">
        <v>100</v>
      </c>
      <c r="I8" s="4">
        <v>2.5</v>
      </c>
      <c r="J8" s="4">
        <v>2</v>
      </c>
      <c r="K8" s="4">
        <v>2.66</v>
      </c>
      <c r="L8" s="34">
        <v>10</v>
      </c>
      <c r="M8" s="35">
        <v>2.5</v>
      </c>
      <c r="N8" s="36" t="s">
        <v>98</v>
      </c>
      <c r="O8" s="36" t="s">
        <v>98</v>
      </c>
    </row>
    <row r="9" spans="1:15">
      <c r="A9" t="s">
        <v>166</v>
      </c>
      <c r="B9" s="4">
        <v>1</v>
      </c>
      <c r="C9" s="4"/>
      <c r="D9" s="4"/>
      <c r="E9" s="27"/>
      <c r="F9" s="4"/>
      <c r="G9" s="4"/>
      <c r="H9" s="4"/>
      <c r="I9" s="4"/>
      <c r="J9" s="4"/>
      <c r="K9" s="4"/>
      <c r="L9" s="34"/>
      <c r="M9" s="35"/>
      <c r="N9" s="39"/>
      <c r="O9" s="36" t="s">
        <v>98</v>
      </c>
    </row>
    <row r="10" spans="1:15">
      <c r="A10" t="s">
        <v>169</v>
      </c>
      <c r="B10" s="4">
        <v>1</v>
      </c>
      <c r="C10" s="4"/>
      <c r="D10" s="4"/>
      <c r="E10" s="27"/>
      <c r="F10" s="4"/>
      <c r="G10" s="4"/>
      <c r="H10" s="4"/>
      <c r="I10" s="4"/>
      <c r="J10" s="4"/>
      <c r="K10" s="4"/>
      <c r="L10" s="34"/>
      <c r="M10" s="35"/>
      <c r="N10" s="39"/>
      <c r="O10" s="39"/>
    </row>
    <row r="11" spans="1:15">
      <c r="B11" s="4"/>
      <c r="C11" s="4"/>
      <c r="D11" s="4"/>
      <c r="E11" s="27"/>
      <c r="F11" s="4"/>
      <c r="G11" s="4"/>
      <c r="H11" s="4"/>
      <c r="I11" s="4"/>
      <c r="J11" s="4"/>
      <c r="K11" s="4"/>
      <c r="L11" s="34"/>
      <c r="M11" s="35"/>
      <c r="N11" s="39"/>
      <c r="O11" s="39"/>
    </row>
    <row r="12" spans="1:15">
      <c r="B12" s="4"/>
      <c r="C12" s="4"/>
      <c r="D12" s="4"/>
      <c r="E12" s="27"/>
      <c r="F12" s="4"/>
      <c r="G12" s="4"/>
      <c r="H12" s="4"/>
      <c r="I12" s="4"/>
      <c r="J12" s="4"/>
      <c r="K12" s="4"/>
      <c r="L12" s="34"/>
      <c r="M12" s="35"/>
      <c r="N12" s="39"/>
      <c r="O12" s="39"/>
    </row>
    <row r="13" spans="1:15">
      <c r="B13" s="4"/>
      <c r="C13" s="4"/>
      <c r="D13" s="4"/>
      <c r="E13" s="27"/>
      <c r="F13" s="4"/>
      <c r="G13" s="4"/>
      <c r="H13" s="4"/>
      <c r="I13" s="4"/>
      <c r="J13" s="4"/>
      <c r="K13" s="4"/>
      <c r="L13" s="34"/>
      <c r="M13" s="35"/>
      <c r="N13" s="39"/>
      <c r="O13" s="39"/>
    </row>
    <row r="14" spans="1:15" s="4" customFormat="1">
      <c r="A14"/>
      <c r="E14" s="27"/>
      <c r="L14" s="34"/>
      <c r="M14" s="35"/>
      <c r="N14" s="39"/>
      <c r="O14" s="39"/>
    </row>
    <row r="15" spans="1:15">
      <c r="B15" s="4"/>
      <c r="C15" s="4"/>
      <c r="D15" s="4"/>
      <c r="E15" s="27"/>
      <c r="F15" s="4"/>
      <c r="G15" s="4"/>
      <c r="H15" s="4"/>
      <c r="I15" s="4"/>
      <c r="J15" s="4"/>
      <c r="K15" s="4"/>
      <c r="L15" s="34"/>
      <c r="M15" s="35"/>
      <c r="N15" s="39"/>
      <c r="O15" s="39"/>
    </row>
    <row r="16" spans="1:15">
      <c r="B16" s="4"/>
      <c r="C16" s="4"/>
      <c r="D16" s="4"/>
      <c r="E16" s="27"/>
      <c r="F16" s="4"/>
      <c r="G16" s="4"/>
      <c r="H16" s="4"/>
      <c r="I16" s="4"/>
      <c r="J16" s="4"/>
      <c r="K16" s="4"/>
      <c r="L16" s="34"/>
      <c r="M16" s="35"/>
      <c r="N16" s="39"/>
      <c r="O16" s="39"/>
    </row>
    <row r="17" spans="1:15">
      <c r="A17" s="7"/>
      <c r="B17" s="4"/>
      <c r="C17" s="4"/>
      <c r="D17" s="4"/>
      <c r="E17" s="27"/>
      <c r="F17" s="4"/>
      <c r="G17" s="4"/>
      <c r="H17" s="4"/>
      <c r="I17" s="4"/>
      <c r="J17" s="4"/>
      <c r="K17" s="4"/>
      <c r="L17" s="34"/>
      <c r="M17" s="35"/>
      <c r="N17" s="39"/>
      <c r="O17" s="39"/>
    </row>
    <row r="18" spans="1:15">
      <c r="B18" s="10"/>
      <c r="C18" s="10"/>
      <c r="D18" s="10"/>
      <c r="E18" s="28"/>
      <c r="F18" s="10"/>
      <c r="G18" s="10"/>
      <c r="H18" s="10"/>
      <c r="I18" s="10"/>
      <c r="J18" s="10"/>
      <c r="K18" s="10"/>
      <c r="L18" s="34"/>
      <c r="M18" s="35"/>
      <c r="N18" s="39"/>
      <c r="O18" s="3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K17"/>
  <sheetViews>
    <sheetView workbookViewId="0">
      <selection activeCell="D9" sqref="D9"/>
    </sheetView>
  </sheetViews>
  <sheetFormatPr defaultRowHeight="15"/>
  <cols>
    <col min="1" max="1" width="19.5703125" customWidth="1"/>
  </cols>
  <sheetData>
    <row r="1" spans="1:11">
      <c r="A1" s="1" t="s">
        <v>57</v>
      </c>
      <c r="B1" s="1" t="s">
        <v>58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  <c r="I1" s="1" t="s">
        <v>66</v>
      </c>
      <c r="J1" s="1" t="s">
        <v>67</v>
      </c>
      <c r="K1" s="1" t="s">
        <v>68</v>
      </c>
    </row>
    <row r="2" spans="1:11">
      <c r="A2" t="s">
        <v>52</v>
      </c>
      <c r="B2">
        <f>COUNTIF(Table1689[Vol.], 1)</f>
        <v>5</v>
      </c>
      <c r="C2">
        <f>COUNTIF(Table1689[Vol.], 2)</f>
        <v>0</v>
      </c>
      <c r="D2">
        <f>COUNTIF(Table1689[Vol.], 3)</f>
        <v>1</v>
      </c>
      <c r="E2">
        <f>COUNTIF(Table1689[Vol.], 4)</f>
        <v>0</v>
      </c>
    </row>
    <row r="3" spans="1:11">
      <c r="A3" t="s">
        <v>43</v>
      </c>
      <c r="B3">
        <f>COUNTIF(Table168[Vol.], 1)</f>
        <v>0</v>
      </c>
      <c r="C3">
        <f>COUNTIF(Table168[Vol.], 2)</f>
        <v>0</v>
      </c>
      <c r="D3">
        <f>COUNTIF(Table168[Vol.], 3)</f>
        <v>0</v>
      </c>
      <c r="E3">
        <f>COUNTIF(Table168[Vol.], 4)</f>
        <v>0</v>
      </c>
    </row>
    <row r="4" spans="1:11">
      <c r="A4" t="s">
        <v>53</v>
      </c>
      <c r="B4">
        <f>COUNTIF(Table16[Vol.], 1)</f>
        <v>10</v>
      </c>
      <c r="C4">
        <f>COUNTIF(Table16[Vol.], 2)</f>
        <v>0</v>
      </c>
      <c r="D4">
        <f>COUNTIF(Table16[Vol.], 3)</f>
        <v>0</v>
      </c>
      <c r="E4">
        <f>COUNTIF(Table16[Vol.], 4)</f>
        <v>0</v>
      </c>
    </row>
    <row r="5" spans="1:11">
      <c r="A5" t="s">
        <v>54</v>
      </c>
      <c r="B5">
        <f>COUNTIF(Table16810[Vol.], 1)</f>
        <v>17</v>
      </c>
      <c r="C5">
        <f>COUNTIF(Table16810[Vol.], 2)</f>
        <v>0</v>
      </c>
      <c r="D5">
        <f>COUNTIF(Table16810[Vol.], 3)</f>
        <v>0</v>
      </c>
      <c r="E5">
        <f>COUNTIF(Table16810[Vol.], 4)</f>
        <v>0</v>
      </c>
    </row>
    <row r="6" spans="1:11">
      <c r="A6" t="s">
        <v>47</v>
      </c>
      <c r="B6">
        <f>COUNTIF(Table1681011[Vol.], 1)</f>
        <v>3</v>
      </c>
      <c r="C6">
        <f>COUNTIF(Table1681011[Vol.], 2)</f>
        <v>1</v>
      </c>
      <c r="D6">
        <f>COUNTIF(Table1681011[Vol.], 3)</f>
        <v>0</v>
      </c>
      <c r="E6">
        <f>COUNTIF(Table1681011[Vol.], 4)</f>
        <v>0</v>
      </c>
    </row>
    <row r="7" spans="1:11">
      <c r="A7" t="s">
        <v>55</v>
      </c>
      <c r="B7">
        <f>COUNTIF(Table1681015[Vol.], 1)</f>
        <v>0</v>
      </c>
      <c r="C7">
        <f>COUNTIF(Table1681015[Vol.], 2)</f>
        <v>0</v>
      </c>
      <c r="D7">
        <f>COUNTIF(Table1681015[Vol.], 3)</f>
        <v>0</v>
      </c>
      <c r="E7">
        <f>COUNTIF(Table1681015[Vol.], 4)</f>
        <v>0</v>
      </c>
    </row>
    <row r="8" spans="1:11">
      <c r="A8" t="s">
        <v>48</v>
      </c>
      <c r="B8">
        <f>COUNTIF(Table168101112[Vol.], 1)</f>
        <v>5</v>
      </c>
      <c r="C8">
        <f>COUNTIF(Table168101112[Vol.], 2)</f>
        <v>1</v>
      </c>
      <c r="D8">
        <f>COUNTIF(Table168101112[Vol.], 3)</f>
        <v>0</v>
      </c>
      <c r="E8">
        <f>COUNTIF(Table168101112[Vol.], 4)</f>
        <v>0</v>
      </c>
    </row>
    <row r="9" spans="1:11">
      <c r="A9" t="s">
        <v>56</v>
      </c>
      <c r="B9">
        <f>COUNTIF(Table16810111213[Vol.], 1)</f>
        <v>1</v>
      </c>
      <c r="C9">
        <f>COUNTIF(Table16810111213[Vol.], 2)</f>
        <v>0</v>
      </c>
      <c r="D9">
        <f>COUNTIF(Table16810111213[Vol.], 3)</f>
        <v>0</v>
      </c>
      <c r="E9">
        <f>COUNTIF(Table16810111213[Vol.], 4)</f>
        <v>0</v>
      </c>
    </row>
    <row r="10" spans="1:11">
      <c r="A10" t="s">
        <v>70</v>
      </c>
    </row>
    <row r="11" spans="1:11">
      <c r="A11" t="s">
        <v>134</v>
      </c>
      <c r="B11">
        <v>1</v>
      </c>
      <c r="C11">
        <v>0</v>
      </c>
      <c r="D11">
        <v>0</v>
      </c>
      <c r="E11">
        <v>0</v>
      </c>
    </row>
    <row r="12" spans="1:11">
      <c r="A12" t="s">
        <v>135</v>
      </c>
      <c r="B12">
        <v>3</v>
      </c>
      <c r="C12">
        <v>2</v>
      </c>
      <c r="D12">
        <v>0</v>
      </c>
      <c r="E12">
        <v>0</v>
      </c>
    </row>
    <row r="14" spans="1:11">
      <c r="A14" t="s">
        <v>59</v>
      </c>
      <c r="B14">
        <f>SUM(B2:B12)</f>
        <v>45</v>
      </c>
      <c r="C14">
        <f>SUM(C2:C12)</f>
        <v>4</v>
      </c>
      <c r="D14">
        <f t="shared" ref="D14:E14" si="0">SUM(D2:D12)</f>
        <v>1</v>
      </c>
      <c r="E14">
        <f t="shared" si="0"/>
        <v>0</v>
      </c>
    </row>
    <row r="15" spans="1:11">
      <c r="A15" t="s">
        <v>99</v>
      </c>
      <c r="B15">
        <f>Math!B2+B11</f>
        <v>9</v>
      </c>
      <c r="C15">
        <f>Math!B3+C11</f>
        <v>1</v>
      </c>
      <c r="D15">
        <f>Math!B4+D11</f>
        <v>1</v>
      </c>
      <c r="E15">
        <f>Math!B5+E11</f>
        <v>0</v>
      </c>
    </row>
    <row r="17" spans="1:1">
      <c r="A17" t="s">
        <v>161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P20"/>
  <sheetViews>
    <sheetView workbookViewId="0">
      <selection activeCell="D3" sqref="D3"/>
    </sheetView>
  </sheetViews>
  <sheetFormatPr defaultRowHeight="15"/>
  <cols>
    <col min="4" max="4" width="7.5703125" customWidth="1"/>
    <col min="5" max="5" width="8" customWidth="1"/>
    <col min="6" max="6" width="8.42578125" customWidth="1"/>
  </cols>
  <sheetData>
    <row r="1" spans="1:42">
      <c r="A1" t="s">
        <v>105</v>
      </c>
      <c r="B1" t="s">
        <v>104</v>
      </c>
      <c r="D1" t="s">
        <v>100</v>
      </c>
      <c r="E1" t="s">
        <v>101</v>
      </c>
      <c r="F1" t="s">
        <v>102</v>
      </c>
      <c r="G1" t="s">
        <v>103</v>
      </c>
      <c r="I1" t="s">
        <v>106</v>
      </c>
      <c r="J1" t="s">
        <v>107</v>
      </c>
      <c r="K1" t="s">
        <v>108</v>
      </c>
      <c r="L1" t="s">
        <v>109</v>
      </c>
      <c r="N1" t="s">
        <v>110</v>
      </c>
      <c r="O1" t="s">
        <v>111</v>
      </c>
      <c r="P1" t="s">
        <v>112</v>
      </c>
      <c r="Q1" t="s">
        <v>113</v>
      </c>
      <c r="S1" t="s">
        <v>114</v>
      </c>
      <c r="T1" t="s">
        <v>115</v>
      </c>
      <c r="U1" t="s">
        <v>116</v>
      </c>
      <c r="V1" t="s">
        <v>117</v>
      </c>
      <c r="X1" t="s">
        <v>118</v>
      </c>
      <c r="Y1" t="s">
        <v>119</v>
      </c>
      <c r="Z1" t="s">
        <v>120</v>
      </c>
      <c r="AA1" t="s">
        <v>121</v>
      </c>
      <c r="AC1" t="s">
        <v>122</v>
      </c>
      <c r="AD1" t="s">
        <v>123</v>
      </c>
      <c r="AE1" t="s">
        <v>124</v>
      </c>
      <c r="AF1" t="s">
        <v>125</v>
      </c>
      <c r="AH1" t="s">
        <v>126</v>
      </c>
      <c r="AI1" t="s">
        <v>127</v>
      </c>
      <c r="AJ1" t="s">
        <v>128</v>
      </c>
      <c r="AK1" t="s">
        <v>129</v>
      </c>
      <c r="AM1" t="s">
        <v>130</v>
      </c>
      <c r="AN1" t="s">
        <v>131</v>
      </c>
      <c r="AO1" t="s">
        <v>132</v>
      </c>
      <c r="AP1" t="s">
        <v>133</v>
      </c>
    </row>
    <row r="2" spans="1:42">
      <c r="A2">
        <v>1</v>
      </c>
      <c r="B2">
        <f>COUNTIF(D:D, 1)+COUNTIF(I:I, 1)+COUNTIF(N:N, 1)+COUNTIF(S:S, 1)+COUNTIF(X:X, 1)+COUNTIF(AC:AC, 1)+COUNTIF(AH:AH, 1)+COUNTIF(AM:AM, 1)</f>
        <v>8</v>
      </c>
      <c r="D2">
        <f>IF(AND(Handgun!B5=1,Handgun!V5="Yes"),1,0)</f>
        <v>0</v>
      </c>
      <c r="E2">
        <f>IF(AND(Handgun!B5=2,Handgun!V5="Yes"),1,0)</f>
        <v>0</v>
      </c>
      <c r="F2">
        <f>IF(AND(Handgun!B5=3,Handgun!V5="Yes"),1,0)</f>
        <v>1</v>
      </c>
      <c r="G2">
        <f>IF(AND(Handgun!B5=4,Handgun!V5="Yes"),1,0)</f>
        <v>0</v>
      </c>
      <c r="I2">
        <f>IF(AND(Revolver!B5=1,Revolver!V5="Yes"),1,0)</f>
        <v>0</v>
      </c>
      <c r="J2">
        <f>IF(AND(Revolver!B5=1,Revolver!V5="Yes"),1,0)</f>
        <v>0</v>
      </c>
      <c r="K2">
        <f>IF(AND(Revolver!B5=1,Revolver!V5="Yes"),1,0)</f>
        <v>0</v>
      </c>
      <c r="L2">
        <f>IF(AND(Revolver!B5=1,Revolver!V5="Yes"),1,0)</f>
        <v>0</v>
      </c>
      <c r="N2">
        <f>IF(AND(SMG!B6=1,SMG!V6="Yes"),1,0)</f>
        <v>1</v>
      </c>
      <c r="O2">
        <f>IF(AND(SMG!B6=2,SMG!V6="Yes"),1,0)</f>
        <v>0</v>
      </c>
      <c r="P2">
        <f>IF(AND(SMG!B6=3,SMG!V6="Yes"),1,0)</f>
        <v>0</v>
      </c>
      <c r="Q2">
        <f>IF(AND(SMG!B6=4,SMG!V6="Yes"),1,0)</f>
        <v>0</v>
      </c>
      <c r="S2">
        <f>IF(AND(Rifle!B6=1,Rifle!V6="Yes"),1,0)</f>
        <v>1</v>
      </c>
      <c r="T2">
        <f>IF(AND(Rifle!B6=2,Rifle!V6="Yes"),1,0)</f>
        <v>0</v>
      </c>
      <c r="U2">
        <f>IF(AND(Rifle!B6=3,Rifle!V6="Yes"),1,0)</f>
        <v>0</v>
      </c>
      <c r="V2">
        <f>IF(AND(Rifle!B6=4,Rifle!V6="Yes"),1,0)</f>
        <v>0</v>
      </c>
      <c r="X2">
        <f>IF(AND('Sniper Rifle'!B5=1,'Sniper Rifle'!V5="Yes"),1,0)</f>
        <v>0</v>
      </c>
      <c r="Y2">
        <f>IF(AND('Sniper Rifle'!B5=2,'Sniper Rifle'!V5="Yes"),1,0)</f>
        <v>0</v>
      </c>
      <c r="Z2">
        <f>IF(AND('Sniper Rifle'!B5=3,'Sniper Rifle'!V5="Yes"),1,0)</f>
        <v>0</v>
      </c>
      <c r="AA2">
        <f>IF(AND('Sniper Rifle'!B5=4,'Sniper Rifle'!V5="Yes"),1,0)</f>
        <v>0</v>
      </c>
      <c r="AC2">
        <f>IF(AND('Spacer Rifle'!B5=1,'Spacer Rifle'!V5="Yes"),1,0)</f>
        <v>0</v>
      </c>
      <c r="AD2">
        <f>IF(AND('Spacer Rifle'!B5=2,'Spacer Rifle'!V5="Yes"),1,0)</f>
        <v>0</v>
      </c>
      <c r="AE2">
        <f>IF(AND('Spacer Rifle'!B5=3,'Spacer Rifle'!V5="Yes"),1,0)</f>
        <v>0</v>
      </c>
      <c r="AF2">
        <f>IF(AND('Spacer Rifle'!B5=4,'Spacer Rifle'!V5="Yes"),1,0)</f>
        <v>0</v>
      </c>
      <c r="AH2">
        <f>IF(AND(LMG!B6=1,LMG!V6="Yes"),1,0)</f>
        <v>0</v>
      </c>
      <c r="AI2">
        <f>IF(AND(LMG!B6=2,LMG!V6="Yes"),1,0)</f>
        <v>1</v>
      </c>
      <c r="AJ2">
        <f>IF(AND(LMG!B6=3,LMG!V6="Yes"),1,0)</f>
        <v>0</v>
      </c>
      <c r="AK2">
        <f>IF(AND(LMG!B6=4,LMG!V6="Yes"),1,0)</f>
        <v>0</v>
      </c>
      <c r="AM2">
        <f>IF(AND(Shotgun!B6=1,Shotgun!V6="Yes"),1,0)</f>
        <v>1</v>
      </c>
      <c r="AN2">
        <f>IF(AND(Shotgun!B6=2,Shotgun!V6="Yes"),1,0)</f>
        <v>0</v>
      </c>
      <c r="AO2">
        <f>IF(AND(Shotgun!B6=3,Shotgun!V6="Yes"),1,0)</f>
        <v>0</v>
      </c>
      <c r="AP2">
        <f>IF(AND(Shotgun!B6=4,Shotgun!V6="Yes"),1,0)</f>
        <v>0</v>
      </c>
    </row>
    <row r="3" spans="1:42">
      <c r="A3">
        <v>2</v>
      </c>
      <c r="B3">
        <f>COUNTIF(E:E, 1)+COUNTIF(J:J, 1)+COUNTIF(O:O, 1)+COUNTIF(T:T, 1)+COUNTIF(Y:Y, 1)+COUNTIF(AD:AD, 1)+COUNTIF(AI:AI, 1)+COUNTIF(AN:AN, 1)</f>
        <v>1</v>
      </c>
      <c r="D3">
        <f>IF(AND(Handgun!B6=1,Handgun!V6="Yes"),1,0)</f>
        <v>1</v>
      </c>
      <c r="E3">
        <f>IF(AND(Handgun!B6=2,Handgun!V6="Yes"),1,0)</f>
        <v>0</v>
      </c>
      <c r="F3">
        <f>IF(AND(Handgun!B6=3,Handgun!V6="Yes"),1,0)</f>
        <v>0</v>
      </c>
      <c r="G3">
        <f>IF(AND(Handgun!B6=4,Handgun!V6="Yes"),1,0)</f>
        <v>0</v>
      </c>
      <c r="I3">
        <f>IF(AND(Revolver!B6=1,Revolver!V6="Yes"),1,0)</f>
        <v>0</v>
      </c>
      <c r="J3">
        <f>IF(AND(Revolver!B6=1,Revolver!V6="Yes"),1,0)</f>
        <v>0</v>
      </c>
      <c r="K3">
        <f>IF(AND(Revolver!B6=1,Revolver!V6="Yes"),1,0)</f>
        <v>0</v>
      </c>
      <c r="L3">
        <f>IF(AND(Revolver!B6=1,Revolver!V6="Yes"),1,0)</f>
        <v>0</v>
      </c>
      <c r="N3">
        <f>IF(AND(SMG!B7=1,SMG!V7="Yes"),1,0)</f>
        <v>0</v>
      </c>
      <c r="O3">
        <f>IF(AND(SMG!B7=2,SMG!V7="Yes"),1,0)</f>
        <v>0</v>
      </c>
      <c r="P3">
        <f>IF(AND(Revolver!G6=1,Revolver!AB6="Yes"),1,0)</f>
        <v>0</v>
      </c>
      <c r="Q3">
        <f>IF(AND(SMG!B7=4,SMG!V7="Yes"),1,0)</f>
        <v>0</v>
      </c>
      <c r="S3">
        <f>IF(AND(Rifle!B7=1,Rifle!V7="Yes"),1,0)</f>
        <v>1</v>
      </c>
      <c r="T3">
        <f>IF(AND(Rifle!B7=2,Rifle!V7="Yes"),1,0)</f>
        <v>0</v>
      </c>
      <c r="U3">
        <f>IF(AND(Rifle!B7=3,Rifle!V7="Yes"),1,0)</f>
        <v>0</v>
      </c>
      <c r="V3">
        <f>IF(AND(Rifle!B7=4,Rifle!V7="Yes"),1,0)</f>
        <v>0</v>
      </c>
      <c r="X3">
        <f>IF(AND('Sniper Rifle'!B6=1,'Sniper Rifle'!V6="Yes"),1,0)</f>
        <v>1</v>
      </c>
      <c r="Y3">
        <f>IF(AND('Sniper Rifle'!B6=2,'Sniper Rifle'!V6="Yes"),1,0)</f>
        <v>0</v>
      </c>
      <c r="Z3">
        <f>IF(AND('Sniper Rifle'!B6=3,'Sniper Rifle'!V6="Yes"),1,0)</f>
        <v>0</v>
      </c>
      <c r="AA3">
        <f>IF(AND('Sniper Rifle'!B6=4,'Sniper Rifle'!V6="Yes"),1,0)</f>
        <v>0</v>
      </c>
      <c r="AC3">
        <f>IF(AND('Spacer Rifle'!B6=1,'Spacer Rifle'!V6="Yes"),1,0)</f>
        <v>0</v>
      </c>
      <c r="AD3">
        <f>IF(AND('Spacer Rifle'!B6=2,'Spacer Rifle'!V6="Yes"),1,0)</f>
        <v>0</v>
      </c>
      <c r="AE3">
        <f>IF(AND('Spacer Rifle'!B6=3,'Spacer Rifle'!V6="Yes"),1,0)</f>
        <v>0</v>
      </c>
      <c r="AF3">
        <f>IF(AND('Spacer Rifle'!B6=4,'Spacer Rifle'!V6="Yes"),1,0)</f>
        <v>0</v>
      </c>
      <c r="AH3">
        <f>IF(AND(LMG!B7=1,LMG!V7="Yes"),1,0)</f>
        <v>1</v>
      </c>
      <c r="AI3">
        <f>IF(AND(LMG!B7=2,LMG!V7="Yes"),1,0)</f>
        <v>0</v>
      </c>
      <c r="AJ3">
        <f>IF(AND(LMG!B7=3,LMG!V7="Yes"),1,0)</f>
        <v>0</v>
      </c>
      <c r="AK3">
        <f>IF(AND(LMG!B7=4,LMG!V7="Yes"),1,0)</f>
        <v>0</v>
      </c>
      <c r="AM3">
        <f>IF(AND(Shotgun!B7=1,Shotgun!V7="Yes"),1,0)</f>
        <v>0</v>
      </c>
      <c r="AN3">
        <f>IF(AND(Shotgun!B7=2,Shotgun!V7="Yes"),1,0)</f>
        <v>0</v>
      </c>
      <c r="AO3">
        <f>IF(AND(Shotgun!B7=3,Shotgun!V7="Yes"),1,0)</f>
        <v>0</v>
      </c>
      <c r="AP3">
        <f>IF(AND(Shotgun!B7=4,Shotgun!V7="Yes"),1,0)</f>
        <v>0</v>
      </c>
    </row>
    <row r="4" spans="1:42">
      <c r="A4">
        <v>3</v>
      </c>
      <c r="B4">
        <f>COUNTIF(F:F, 1)+COUNTIF(K:K, 1)+COUNTIF(P:P, 1)+COUNTIF(U:U, 1)+COUNTIF(Z:Z, 1)+COUNTIF(AE:AE, 1)+COUNTIF(AJ:AJ, 1)+COUNTIF(AO:AO, 1)</f>
        <v>1</v>
      </c>
      <c r="D4">
        <f>IF(AND(Handgun!B7=1,Handgun!V7="Yes"),1,0)</f>
        <v>0</v>
      </c>
      <c r="E4">
        <f>IF(AND(Handgun!B7=2,Handgun!V7="Yes"),1,0)</f>
        <v>0</v>
      </c>
      <c r="F4">
        <f>IF(AND(Handgun!B7=3,Handgun!V7="Yes"),1,0)</f>
        <v>0</v>
      </c>
      <c r="G4">
        <f>IF(AND(Handgun!B7=4,Handgun!V7="Yes"),1,0)</f>
        <v>0</v>
      </c>
      <c r="I4">
        <f>IF(AND(Revolver!B7=1,Revolver!V7="Yes"),1,0)</f>
        <v>0</v>
      </c>
      <c r="J4">
        <f>IF(AND(Revolver!B7=1,Revolver!V7="Yes"),1,0)</f>
        <v>0</v>
      </c>
      <c r="K4">
        <f>IF(AND(Revolver!B7=1,Revolver!V7="Yes"),1,0)</f>
        <v>0</v>
      </c>
      <c r="L4">
        <f>IF(AND(Revolver!B7=1,Revolver!V7="Yes"),1,0)</f>
        <v>0</v>
      </c>
      <c r="N4">
        <f>IF(AND(SMG!B8=1,SMG!V8="Yes"),1,0)</f>
        <v>0</v>
      </c>
      <c r="O4">
        <f>IF(AND(SMG!B8=2,SMG!V8="Yes"),1,0)</f>
        <v>0</v>
      </c>
      <c r="P4">
        <f>IF(AND(Revolver!G7=1,Revolver!AB7="Yes"),1,0)</f>
        <v>0</v>
      </c>
      <c r="Q4">
        <f>IF(AND(SMG!B8=4,SMG!V8="Yes"),1,0)</f>
        <v>0</v>
      </c>
      <c r="S4">
        <f>IF(AND(Rifle!B8=1,Rifle!V8="Yes"),1,0)</f>
        <v>0</v>
      </c>
      <c r="T4">
        <f>IF(AND(Rifle!B8=2,Rifle!V8="Yes"),1,0)</f>
        <v>0</v>
      </c>
      <c r="U4">
        <f>IF(AND(Rifle!B8=3,Rifle!V8="Yes"),1,0)</f>
        <v>0</v>
      </c>
      <c r="V4">
        <f>IF(AND(Rifle!B8=4,Rifle!V8="Yes"),1,0)</f>
        <v>0</v>
      </c>
      <c r="X4">
        <f>IF(AND('Sniper Rifle'!B7=1,'Sniper Rifle'!V7="Yes"),1,0)</f>
        <v>0</v>
      </c>
      <c r="Y4">
        <f>IF(AND('Sniper Rifle'!B7=2,'Sniper Rifle'!V7="Yes"),1,0)</f>
        <v>0</v>
      </c>
      <c r="Z4">
        <f>IF(AND('Sniper Rifle'!B7=3,'Sniper Rifle'!V7="Yes"),1,0)</f>
        <v>0</v>
      </c>
      <c r="AA4">
        <f>IF(AND('Sniper Rifle'!B7=4,'Sniper Rifle'!V7="Yes"),1,0)</f>
        <v>0</v>
      </c>
      <c r="AC4">
        <f>IF(AND('Spacer Rifle'!B7=1,'Spacer Rifle'!V7="Yes"),1,0)</f>
        <v>0</v>
      </c>
      <c r="AD4">
        <f>IF(AND('Spacer Rifle'!B7=2,'Spacer Rifle'!V7="Yes"),1,0)</f>
        <v>0</v>
      </c>
      <c r="AE4">
        <f>IF(AND('Spacer Rifle'!B7=3,'Spacer Rifle'!V7="Yes"),1,0)</f>
        <v>0</v>
      </c>
      <c r="AF4">
        <f>IF(AND('Spacer Rifle'!B7=4,'Spacer Rifle'!V7="Yes"),1,0)</f>
        <v>0</v>
      </c>
      <c r="AH4">
        <f>IF(AND(LMG!B8=1,LMG!V8="Yes"),1,0)</f>
        <v>0</v>
      </c>
      <c r="AI4">
        <f>IF(AND(LMG!B8=2,LMG!V8="Yes"),1,0)</f>
        <v>0</v>
      </c>
      <c r="AJ4">
        <f>IF(AND(LMG!B8=3,LMG!V8="Yes"),1,0)</f>
        <v>0</v>
      </c>
      <c r="AK4">
        <f>IF(AND(LMG!B8=4,LMG!V8="Yes"),1,0)</f>
        <v>0</v>
      </c>
      <c r="AM4">
        <f>IF(AND(Shotgun!B8=1,Shotgun!V8="Yes"),1,0)</f>
        <v>0</v>
      </c>
      <c r="AN4">
        <f>IF(AND(Shotgun!B8=2,Shotgun!V8="Yes"),1,0)</f>
        <v>0</v>
      </c>
      <c r="AO4">
        <f>IF(AND(Shotgun!B8=3,Shotgun!V8="Yes"),1,0)</f>
        <v>0</v>
      </c>
      <c r="AP4">
        <f>IF(AND(Shotgun!B8=4,Shotgun!V8="Yes"),1,0)</f>
        <v>0</v>
      </c>
    </row>
    <row r="5" spans="1:42">
      <c r="A5">
        <v>4</v>
      </c>
      <c r="B5">
        <f>COUNTIF(G:G, 1)+COUNTIF(L:L, 1)+COUNTIF(Q:Q, 1)+COUNTIF(V:V, 1)+COUNTIF(AA:AA, 1)+COUNTIF(AF:AF, 1)+COUNTIF(AK:AK, 1)+COUNTIF(AP:AP, 1)</f>
        <v>0</v>
      </c>
      <c r="D5">
        <f>IF(AND(Handgun!B8=1,Handgun!V8="Yes"),1,0)</f>
        <v>0</v>
      </c>
      <c r="E5">
        <f>IF(AND(Handgun!B8=2,Handgun!V8="Yes"),1,0)</f>
        <v>0</v>
      </c>
      <c r="F5">
        <f>IF(AND(Handgun!B8=3,Handgun!V8="Yes"),1,0)</f>
        <v>0</v>
      </c>
      <c r="G5">
        <f>IF(AND(Handgun!B8=4,Handgun!V8="Yes"),1,0)</f>
        <v>0</v>
      </c>
      <c r="I5">
        <f>IF(AND(Revolver!B8=1,Revolver!V8="Yes"),1,0)</f>
        <v>0</v>
      </c>
      <c r="J5">
        <f>IF(AND(Revolver!B8=1,Revolver!V8="Yes"),1,0)</f>
        <v>0</v>
      </c>
      <c r="K5">
        <f>IF(AND(Revolver!B8=1,Revolver!V8="Yes"),1,0)</f>
        <v>0</v>
      </c>
      <c r="L5">
        <f>IF(AND(Revolver!B8=1,Revolver!V8="Yes"),1,0)</f>
        <v>0</v>
      </c>
      <c r="N5">
        <f>IF(AND(SMG!B9=1,SMG!V9="Yes"),1,0)</f>
        <v>0</v>
      </c>
      <c r="O5">
        <f>IF(AND(SMG!B9=2,SMG!V9="Yes"),1,0)</f>
        <v>0</v>
      </c>
      <c r="P5">
        <f>IF(AND(Revolver!G8=1,Revolver!AB8="Yes"),1,0)</f>
        <v>0</v>
      </c>
      <c r="Q5">
        <f>IF(AND(SMG!B9=4,SMG!V9="Yes"),1,0)</f>
        <v>0</v>
      </c>
      <c r="S5">
        <f>IF(AND(Rifle!B9=1,Rifle!V9="Yes"),1,0)</f>
        <v>0</v>
      </c>
      <c r="T5">
        <f>IF(AND(Rifle!B9=2,Rifle!V9="Yes"),1,0)</f>
        <v>0</v>
      </c>
      <c r="U5">
        <f>IF(AND(Rifle!B9=3,Rifle!V9="Yes"),1,0)</f>
        <v>0</v>
      </c>
      <c r="V5">
        <f>IF(AND(Rifle!B9=4,Rifle!V9="Yes"),1,0)</f>
        <v>0</v>
      </c>
      <c r="X5">
        <f>IF(AND('Sniper Rifle'!B8=1,'Sniper Rifle'!V8="Yes"),1,0)</f>
        <v>0</v>
      </c>
      <c r="Y5">
        <f>IF(AND('Sniper Rifle'!B8=2,'Sniper Rifle'!V8="Yes"),1,0)</f>
        <v>0</v>
      </c>
      <c r="Z5">
        <f>IF(AND('Sniper Rifle'!B8=3,'Sniper Rifle'!V8="Yes"),1,0)</f>
        <v>0</v>
      </c>
      <c r="AA5">
        <f>IF(AND('Sniper Rifle'!B8=4,'Sniper Rifle'!V8="Yes"),1,0)</f>
        <v>0</v>
      </c>
      <c r="AC5">
        <f>IF(AND('Spacer Rifle'!B8=1,'Spacer Rifle'!V8="Yes"),1,0)</f>
        <v>0</v>
      </c>
      <c r="AD5">
        <f>IF(AND('Spacer Rifle'!B8=2,'Spacer Rifle'!V8="Yes"),1,0)</f>
        <v>0</v>
      </c>
      <c r="AE5">
        <f>IF(AND('Spacer Rifle'!B8=3,'Spacer Rifle'!V8="Yes"),1,0)</f>
        <v>0</v>
      </c>
      <c r="AF5">
        <f>IF(AND('Spacer Rifle'!B8=4,'Spacer Rifle'!V8="Yes"),1,0)</f>
        <v>0</v>
      </c>
      <c r="AH5">
        <f>IF(AND(LMG!B9=1,LMG!V9="Yes"),1,0)</f>
        <v>0</v>
      </c>
      <c r="AI5">
        <f>IF(AND(LMG!B9=2,LMG!V9="Yes"),1,0)</f>
        <v>0</v>
      </c>
      <c r="AJ5">
        <f>IF(AND(LMG!B9=3,LMG!V9="Yes"),1,0)</f>
        <v>0</v>
      </c>
      <c r="AK5">
        <f>IF(AND(LMG!B9=4,LMG!V9="Yes"),1,0)</f>
        <v>0</v>
      </c>
      <c r="AM5">
        <f>IF(AND(Shotgun!B9=1,Shotgun!V9="Yes"),1,0)</f>
        <v>0</v>
      </c>
      <c r="AN5">
        <f>IF(AND(Shotgun!B9=2,Shotgun!V9="Yes"),1,0)</f>
        <v>0</v>
      </c>
      <c r="AO5">
        <f>IF(AND(Shotgun!B9=3,Shotgun!V9="Yes"),1,0)</f>
        <v>0</v>
      </c>
      <c r="AP5">
        <f>IF(AND(Shotgun!B9=4,Shotgun!V9="Yes"),1,0)</f>
        <v>0</v>
      </c>
    </row>
    <row r="6" spans="1:42">
      <c r="D6">
        <f>IF(AND(Handgun!B9=1,Handgun!V9="Yes"),1,0)</f>
        <v>0</v>
      </c>
      <c r="E6">
        <f>IF(AND(Handgun!B9=2,Handgun!V9="Yes"),1,0)</f>
        <v>0</v>
      </c>
      <c r="F6">
        <f>IF(AND(Handgun!B9=3,Handgun!V9="Yes"),1,0)</f>
        <v>0</v>
      </c>
      <c r="G6">
        <f>IF(AND(Handgun!B9=4,Handgun!V9="Yes"),1,0)</f>
        <v>0</v>
      </c>
      <c r="I6">
        <f>IF(AND(Revolver!B9=1,Revolver!V9="Yes"),1,0)</f>
        <v>0</v>
      </c>
      <c r="J6">
        <f>IF(AND(Revolver!B9=1,Revolver!V9="Yes"),1,0)</f>
        <v>0</v>
      </c>
      <c r="K6">
        <f>IF(AND(Revolver!B9=1,Revolver!V9="Yes"),1,0)</f>
        <v>0</v>
      </c>
      <c r="L6">
        <f>IF(AND(Revolver!B9=1,Revolver!V9="Yes"),1,0)</f>
        <v>0</v>
      </c>
      <c r="N6">
        <f>IF(AND(SMG!B10=1,SMG!V10="Yes"),1,0)</f>
        <v>1</v>
      </c>
      <c r="O6">
        <f>IF(AND(SMG!B10=2,SMG!V10="Yes"),1,0)</f>
        <v>0</v>
      </c>
      <c r="P6">
        <f>IF(AND(Revolver!G9=1,Revolver!AB9="Yes"),1,0)</f>
        <v>0</v>
      </c>
      <c r="Q6">
        <f>IF(AND(SMG!B10=4,SMG!V10="Yes"),1,0)</f>
        <v>0</v>
      </c>
      <c r="S6">
        <f>IF(AND(Rifle!B10=1,Rifle!V10="Yes"),1,0)</f>
        <v>0</v>
      </c>
      <c r="T6">
        <f>IF(AND(Rifle!B10=2,Rifle!V10="Yes"),1,0)</f>
        <v>0</v>
      </c>
      <c r="U6">
        <f>IF(AND(Rifle!B10=3,Rifle!V10="Yes"),1,0)</f>
        <v>0</v>
      </c>
      <c r="V6">
        <f>IF(AND(Rifle!B10=4,Rifle!V10="Yes"),1,0)</f>
        <v>0</v>
      </c>
      <c r="X6">
        <f>IF(AND('Sniper Rifle'!B9=1,'Sniper Rifle'!V9="Yes"),1,0)</f>
        <v>0</v>
      </c>
      <c r="Y6">
        <f>IF(AND('Sniper Rifle'!B9=2,'Sniper Rifle'!V9="Yes"),1,0)</f>
        <v>0</v>
      </c>
      <c r="Z6">
        <f>IF(AND('Sniper Rifle'!B9=3,'Sniper Rifle'!V9="Yes"),1,0)</f>
        <v>0</v>
      </c>
      <c r="AA6">
        <f>IF(AND('Sniper Rifle'!B9=4,'Sniper Rifle'!V9="Yes"),1,0)</f>
        <v>0</v>
      </c>
      <c r="AC6">
        <f>IF(AND('Spacer Rifle'!B9=1,'Spacer Rifle'!V9="Yes"),1,0)</f>
        <v>0</v>
      </c>
      <c r="AD6">
        <f>IF(AND('Spacer Rifle'!B9=2,'Spacer Rifle'!V9="Yes"),1,0)</f>
        <v>0</v>
      </c>
      <c r="AE6">
        <f>IF(AND('Spacer Rifle'!B9=3,'Spacer Rifle'!V9="Yes"),1,0)</f>
        <v>0</v>
      </c>
      <c r="AF6">
        <f>IF(AND('Spacer Rifle'!B9=4,'Spacer Rifle'!V9="Yes"),1,0)</f>
        <v>0</v>
      </c>
      <c r="AH6">
        <f>IF(AND(LMG!B10=1,LMG!V10="Yes"),1,0)</f>
        <v>0</v>
      </c>
      <c r="AI6">
        <f>IF(AND(LMG!B10=2,LMG!V10="Yes"),1,0)</f>
        <v>0</v>
      </c>
      <c r="AJ6">
        <f>IF(AND(LMG!B10=3,LMG!V10="Yes"),1,0)</f>
        <v>0</v>
      </c>
      <c r="AK6">
        <f>IF(AND(LMG!B10=4,LMG!V10="Yes"),1,0)</f>
        <v>0</v>
      </c>
      <c r="AM6">
        <f>IF(AND(Shotgun!B10=1,Shotgun!V10="Yes"),1,0)</f>
        <v>0</v>
      </c>
      <c r="AN6">
        <f>IF(AND(Shotgun!B10=2,Shotgun!V10="Yes"),1,0)</f>
        <v>0</v>
      </c>
      <c r="AO6">
        <f>IF(AND(Shotgun!B10=3,Shotgun!V10="Yes"),1,0)</f>
        <v>0</v>
      </c>
      <c r="AP6">
        <f>IF(AND(Shotgun!B10=4,Shotgun!V10="Yes"),1,0)</f>
        <v>0</v>
      </c>
    </row>
    <row r="7" spans="1:42">
      <c r="D7">
        <f>IF(AND(Handgun!B10=1,Handgun!V10="Yes"),1,0)</f>
        <v>0</v>
      </c>
      <c r="E7">
        <f>IF(AND(Handgun!B10=2,Handgun!V10="Yes"),1,0)</f>
        <v>0</v>
      </c>
      <c r="F7">
        <f>IF(AND(Handgun!B10=3,Handgun!V10="Yes"),1,0)</f>
        <v>0</v>
      </c>
      <c r="G7">
        <f>IF(AND(Handgun!B10=4,Handgun!V10="Yes"),1,0)</f>
        <v>0</v>
      </c>
      <c r="I7">
        <f>IF(AND(Revolver!B10=1,Revolver!V10="Yes"),1,0)</f>
        <v>0</v>
      </c>
      <c r="J7">
        <f>IF(AND(Revolver!B10=1,Revolver!V10="Yes"),1,0)</f>
        <v>0</v>
      </c>
      <c r="K7">
        <f>IF(AND(Revolver!B10=1,Revolver!V10="Yes"),1,0)</f>
        <v>0</v>
      </c>
      <c r="L7">
        <f>IF(AND(Revolver!B10=1,Revolver!V10="Yes"),1,0)</f>
        <v>0</v>
      </c>
      <c r="N7">
        <f>IF(AND(SMG!B11=1,SMG!V11="Yes"),1,0)</f>
        <v>0</v>
      </c>
      <c r="O7">
        <f>IF(AND(SMG!B11=2,SMG!V11="Yes"),1,0)</f>
        <v>0</v>
      </c>
      <c r="P7">
        <f>IF(AND(Revolver!G10=1,Revolver!AB10="Yes"),1,0)</f>
        <v>0</v>
      </c>
      <c r="Q7">
        <f>IF(AND(SMG!B11=4,SMG!V11="Yes"),1,0)</f>
        <v>0</v>
      </c>
      <c r="S7">
        <f>IF(AND(Rifle!B11=1,Rifle!V11="Yes"),1,0)</f>
        <v>0</v>
      </c>
      <c r="T7">
        <f>IF(AND(Rifle!B11=2,Rifle!V11="Yes"),1,0)</f>
        <v>0</v>
      </c>
      <c r="U7">
        <f>IF(AND(Rifle!B11=3,Rifle!V11="Yes"),1,0)</f>
        <v>0</v>
      </c>
      <c r="V7">
        <f>IF(AND(Rifle!B11=4,Rifle!V11="Yes"),1,0)</f>
        <v>0</v>
      </c>
      <c r="X7">
        <f>IF(AND('Sniper Rifle'!B10=1,'Sniper Rifle'!V10="Yes"),1,0)</f>
        <v>0</v>
      </c>
      <c r="Y7">
        <f>IF(AND('Sniper Rifle'!B10=2,'Sniper Rifle'!V10="Yes"),1,0)</f>
        <v>0</v>
      </c>
      <c r="Z7">
        <f>IF(AND('Sniper Rifle'!B10=3,'Sniper Rifle'!V10="Yes"),1,0)</f>
        <v>0</v>
      </c>
      <c r="AA7">
        <f>IF(AND('Sniper Rifle'!B10=4,'Sniper Rifle'!V10="Yes"),1,0)</f>
        <v>0</v>
      </c>
      <c r="AC7">
        <f>IF(AND('Spacer Rifle'!B10=1,'Spacer Rifle'!V10="Yes"),1,0)</f>
        <v>0</v>
      </c>
      <c r="AD7">
        <f>IF(AND('Spacer Rifle'!B10=2,'Spacer Rifle'!V10="Yes"),1,0)</f>
        <v>0</v>
      </c>
      <c r="AE7">
        <f>IF(AND('Spacer Rifle'!B10=3,'Spacer Rifle'!V10="Yes"),1,0)</f>
        <v>0</v>
      </c>
      <c r="AF7">
        <f>IF(AND('Spacer Rifle'!B10=4,'Spacer Rifle'!V10="Yes"),1,0)</f>
        <v>0</v>
      </c>
      <c r="AH7">
        <f>IF(AND(LMG!B11=1,LMG!V11="Yes"),1,0)</f>
        <v>0</v>
      </c>
      <c r="AI7">
        <f>IF(AND(LMG!B11=2,LMG!V11="Yes"),1,0)</f>
        <v>0</v>
      </c>
      <c r="AJ7">
        <f>IF(AND(LMG!B11=3,LMG!V11="Yes"),1,0)</f>
        <v>0</v>
      </c>
      <c r="AK7">
        <f>IF(AND(LMG!B11=4,LMG!V11="Yes"),1,0)</f>
        <v>0</v>
      </c>
      <c r="AM7">
        <f>IF(AND(Shotgun!B11=1,Shotgun!V11="Yes"),1,0)</f>
        <v>0</v>
      </c>
      <c r="AN7">
        <f>IF(AND(Shotgun!B11=2,Shotgun!V11="Yes"),1,0)</f>
        <v>0</v>
      </c>
      <c r="AO7">
        <f>IF(AND(Shotgun!B11=3,Shotgun!V11="Yes"),1,0)</f>
        <v>0</v>
      </c>
      <c r="AP7">
        <f>IF(AND(Shotgun!B11=4,Shotgun!V11="Yes"),1,0)</f>
        <v>0</v>
      </c>
    </row>
    <row r="8" spans="1:42">
      <c r="D8">
        <f>IF(AND(Handgun!B11=1,Handgun!V11="Yes"),1,0)</f>
        <v>0</v>
      </c>
      <c r="E8">
        <f>IF(AND(Handgun!B11=2,Handgun!V11="Yes"),1,0)</f>
        <v>0</v>
      </c>
      <c r="F8">
        <f>IF(AND(Handgun!B11=3,Handgun!V11="Yes"),1,0)</f>
        <v>0</v>
      </c>
      <c r="G8">
        <f>IF(AND(Handgun!B11=4,Handgun!V11="Yes"),1,0)</f>
        <v>0</v>
      </c>
      <c r="I8">
        <f>IF(AND(Revolver!B11=1,Revolver!V11="Yes"),1,0)</f>
        <v>0</v>
      </c>
      <c r="J8">
        <f>IF(AND(Revolver!B11=1,Revolver!V11="Yes"),1,0)</f>
        <v>0</v>
      </c>
      <c r="K8">
        <f>IF(AND(Revolver!B11=1,Revolver!V11="Yes"),1,0)</f>
        <v>0</v>
      </c>
      <c r="L8">
        <f>IF(AND(Revolver!B11=1,Revolver!V11="Yes"),1,0)</f>
        <v>0</v>
      </c>
      <c r="N8">
        <f>IF(AND(SMG!B12=1,SMG!V12="Yes"),1,0)</f>
        <v>0</v>
      </c>
      <c r="O8">
        <f>IF(AND(SMG!B12=2,SMG!V12="Yes"),1,0)</f>
        <v>0</v>
      </c>
      <c r="P8">
        <f>IF(AND(Revolver!G11=1,Revolver!AB11="Yes"),1,0)</f>
        <v>0</v>
      </c>
      <c r="Q8">
        <f>IF(AND(SMG!B12=4,SMG!V12="Yes"),1,0)</f>
        <v>0</v>
      </c>
      <c r="S8">
        <f>IF(AND(Rifle!B12=1,Rifle!V12="Yes"),1,0)</f>
        <v>0</v>
      </c>
      <c r="T8">
        <f>IF(AND(Rifle!B12=2,Rifle!V12="Yes"),1,0)</f>
        <v>0</v>
      </c>
      <c r="U8">
        <f>IF(AND(Rifle!B12=3,Rifle!V12="Yes"),1,0)</f>
        <v>0</v>
      </c>
      <c r="V8">
        <f>IF(AND(Rifle!B12=4,Rifle!V12="Yes"),1,0)</f>
        <v>0</v>
      </c>
      <c r="X8">
        <f>IF(AND('Sniper Rifle'!B11=1,'Sniper Rifle'!V11="Yes"),1,0)</f>
        <v>0</v>
      </c>
      <c r="Y8">
        <f>IF(AND('Sniper Rifle'!B11=2,'Sniper Rifle'!V11="Yes"),1,0)</f>
        <v>0</v>
      </c>
      <c r="Z8">
        <f>IF(AND('Sniper Rifle'!B11=3,'Sniper Rifle'!V11="Yes"),1,0)</f>
        <v>0</v>
      </c>
      <c r="AA8">
        <f>IF(AND('Sniper Rifle'!B11=4,'Sniper Rifle'!V11="Yes"),1,0)</f>
        <v>0</v>
      </c>
      <c r="AC8">
        <f>IF(AND('Spacer Rifle'!B11=1,'Spacer Rifle'!V11="Yes"),1,0)</f>
        <v>0</v>
      </c>
      <c r="AD8">
        <f>IF(AND('Spacer Rifle'!B11=2,'Spacer Rifle'!V11="Yes"),1,0)</f>
        <v>0</v>
      </c>
      <c r="AE8">
        <f>IF(AND('Spacer Rifle'!B11=3,'Spacer Rifle'!V11="Yes"),1,0)</f>
        <v>0</v>
      </c>
      <c r="AF8">
        <f>IF(AND('Spacer Rifle'!B11=4,'Spacer Rifle'!V11="Yes"),1,0)</f>
        <v>0</v>
      </c>
      <c r="AH8">
        <f>IF(AND(LMG!B12=1,LMG!V12="Yes"),1,0)</f>
        <v>0</v>
      </c>
      <c r="AI8">
        <f>IF(AND(LMG!B12=2,LMG!V12="Yes"),1,0)</f>
        <v>0</v>
      </c>
      <c r="AJ8">
        <f>IF(AND(LMG!B12=3,LMG!V12="Yes"),1,0)</f>
        <v>0</v>
      </c>
      <c r="AK8">
        <f>IF(AND(LMG!B12=4,LMG!V12="Yes"),1,0)</f>
        <v>0</v>
      </c>
      <c r="AM8">
        <f>IF(AND(Shotgun!B12=1,Shotgun!V12="Yes"),1,0)</f>
        <v>0</v>
      </c>
      <c r="AN8">
        <f>IF(AND(Shotgun!B12=2,Shotgun!V12="Yes"),1,0)</f>
        <v>0</v>
      </c>
      <c r="AO8">
        <f>IF(AND(Shotgun!B12=3,Shotgun!V12="Yes"),1,0)</f>
        <v>0</v>
      </c>
      <c r="AP8">
        <f>IF(AND(Shotgun!B12=4,Shotgun!V12="Yes"),1,0)</f>
        <v>0</v>
      </c>
    </row>
    <row r="9" spans="1:42">
      <c r="D9">
        <f>IF(AND(Handgun!B12=1,Handgun!V12="Yes"),1,0)</f>
        <v>0</v>
      </c>
      <c r="E9">
        <f>IF(AND(Handgun!B12=2,Handgun!V12="Yes"),1,0)</f>
        <v>0</v>
      </c>
      <c r="F9">
        <f>IF(AND(Handgun!B12=3,Handgun!V12="Yes"),1,0)</f>
        <v>0</v>
      </c>
      <c r="G9">
        <f>IF(AND(Handgun!B12=4,Handgun!V12="Yes"),1,0)</f>
        <v>0</v>
      </c>
      <c r="I9">
        <f>IF(AND(Revolver!B12=1,Revolver!V12="Yes"),1,0)</f>
        <v>0</v>
      </c>
      <c r="J9">
        <f>IF(AND(Revolver!B12=1,Revolver!V12="Yes"),1,0)</f>
        <v>0</v>
      </c>
      <c r="K9">
        <f>IF(AND(Revolver!B12=1,Revolver!V12="Yes"),1,0)</f>
        <v>0</v>
      </c>
      <c r="L9">
        <f>IF(AND(Revolver!B12=1,Revolver!V12="Yes"),1,0)</f>
        <v>0</v>
      </c>
      <c r="N9">
        <f>IF(AND(SMG!B13=1,SMG!V13="Yes"),1,0)</f>
        <v>0</v>
      </c>
      <c r="O9">
        <f>IF(AND(SMG!B13=2,SMG!V13="Yes"),1,0)</f>
        <v>0</v>
      </c>
      <c r="P9">
        <f>IF(AND(Revolver!G12=1,Revolver!AB12="Yes"),1,0)</f>
        <v>0</v>
      </c>
      <c r="Q9">
        <f>IF(AND(SMG!B13=4,SMG!V13="Yes"),1,0)</f>
        <v>0</v>
      </c>
      <c r="S9">
        <f>IF(AND(Rifle!B13=1,Rifle!V13="Yes"),1,0)</f>
        <v>0</v>
      </c>
      <c r="T9">
        <f>IF(AND(Rifle!B13=2,Rifle!V13="Yes"),1,0)</f>
        <v>0</v>
      </c>
      <c r="U9">
        <f>IF(AND(Rifle!B13=3,Rifle!V13="Yes"),1,0)</f>
        <v>0</v>
      </c>
      <c r="V9">
        <f>IF(AND(Rifle!B13=4,Rifle!V13="Yes"),1,0)</f>
        <v>0</v>
      </c>
      <c r="X9">
        <f>IF(AND('Sniper Rifle'!B12=1,'Sniper Rifle'!V12="Yes"),1,0)</f>
        <v>0</v>
      </c>
      <c r="Y9">
        <f>IF(AND('Sniper Rifle'!B12=2,'Sniper Rifle'!V12="Yes"),1,0)</f>
        <v>0</v>
      </c>
      <c r="Z9">
        <f>IF(AND('Sniper Rifle'!B12=3,'Sniper Rifle'!V12="Yes"),1,0)</f>
        <v>0</v>
      </c>
      <c r="AA9">
        <f>IF(AND('Sniper Rifle'!B12=4,'Sniper Rifle'!V12="Yes"),1,0)</f>
        <v>0</v>
      </c>
      <c r="AC9">
        <f>IF(AND('Spacer Rifle'!B12=1,'Spacer Rifle'!V12="Yes"),1,0)</f>
        <v>0</v>
      </c>
      <c r="AD9">
        <f>IF(AND('Spacer Rifle'!B12=2,'Spacer Rifle'!V12="Yes"),1,0)</f>
        <v>0</v>
      </c>
      <c r="AE9">
        <f>IF(AND('Spacer Rifle'!B12=3,'Spacer Rifle'!V12="Yes"),1,0)</f>
        <v>0</v>
      </c>
      <c r="AF9">
        <f>IF(AND('Spacer Rifle'!B12=4,'Spacer Rifle'!V12="Yes"),1,0)</f>
        <v>0</v>
      </c>
      <c r="AH9">
        <f>IF(AND(LMG!B13=1,LMG!V13="Yes"),1,0)</f>
        <v>0</v>
      </c>
      <c r="AI9">
        <f>IF(AND(LMG!B13=2,LMG!V13="Yes"),1,0)</f>
        <v>0</v>
      </c>
      <c r="AJ9">
        <f>IF(AND(LMG!B13=3,LMG!V13="Yes"),1,0)</f>
        <v>0</v>
      </c>
      <c r="AK9">
        <f>IF(AND(LMG!B13=4,LMG!V13="Yes"),1,0)</f>
        <v>0</v>
      </c>
      <c r="AM9">
        <f>IF(AND(Shotgun!B13=1,Shotgun!V13="Yes"),1,0)</f>
        <v>0</v>
      </c>
      <c r="AN9">
        <f>IF(AND(Shotgun!B13=2,Shotgun!V13="Yes"),1,0)</f>
        <v>0</v>
      </c>
      <c r="AO9">
        <f>IF(AND(Shotgun!B13=3,Shotgun!V13="Yes"),1,0)</f>
        <v>0</v>
      </c>
      <c r="AP9">
        <f>IF(AND(Shotgun!B13=4,Shotgun!V13="Yes"),1,0)</f>
        <v>0</v>
      </c>
    </row>
    <row r="10" spans="1:42">
      <c r="D10">
        <f>IF(AND(Handgun!B13=1,Handgun!V13="Yes"),1,0)</f>
        <v>0</v>
      </c>
      <c r="E10">
        <f>IF(AND(Handgun!B13=2,Handgun!V13="Yes"),1,0)</f>
        <v>0</v>
      </c>
      <c r="F10">
        <f>IF(AND(Handgun!B13=3,Handgun!V13="Yes"),1,0)</f>
        <v>0</v>
      </c>
      <c r="G10">
        <f>IF(AND(Handgun!B13=4,Handgun!V13="Yes"),1,0)</f>
        <v>0</v>
      </c>
      <c r="I10">
        <f>IF(AND(Revolver!B13=1,Revolver!V13="Yes"),1,0)</f>
        <v>0</v>
      </c>
      <c r="J10">
        <f>IF(AND(Revolver!B13=1,Revolver!V13="Yes"),1,0)</f>
        <v>0</v>
      </c>
      <c r="K10">
        <f>IF(AND(Revolver!B13=1,Revolver!V13="Yes"),1,0)</f>
        <v>0</v>
      </c>
      <c r="L10">
        <f>IF(AND(Revolver!B13=1,Revolver!V13="Yes"),1,0)</f>
        <v>0</v>
      </c>
      <c r="N10">
        <f>IF(AND(SMG!B14=1,SMG!V14="Yes"),1,0)</f>
        <v>0</v>
      </c>
      <c r="O10">
        <f>IF(AND(SMG!B14=2,SMG!V14="Yes"),1,0)</f>
        <v>0</v>
      </c>
      <c r="P10">
        <f>IF(AND(Revolver!G13=1,Revolver!AB13="Yes"),1,0)</f>
        <v>0</v>
      </c>
      <c r="Q10">
        <f>IF(AND(SMG!B14=4,SMG!V14="Yes"),1,0)</f>
        <v>0</v>
      </c>
      <c r="S10">
        <f>IF(AND(Rifle!B14=1,Rifle!V14="Yes"),1,0)</f>
        <v>0</v>
      </c>
      <c r="T10">
        <f>IF(AND(Rifle!B14=2,Rifle!V14="Yes"),1,0)</f>
        <v>0</v>
      </c>
      <c r="U10">
        <f>IF(AND(Rifle!B14=3,Rifle!V14="Yes"),1,0)</f>
        <v>0</v>
      </c>
      <c r="V10">
        <f>IF(AND(Rifle!B14=4,Rifle!V14="Yes"),1,0)</f>
        <v>0</v>
      </c>
      <c r="X10">
        <f>IF(AND('Sniper Rifle'!B13=1,'Sniper Rifle'!V13="Yes"),1,0)</f>
        <v>0</v>
      </c>
      <c r="Y10">
        <f>IF(AND('Sniper Rifle'!B13=2,'Sniper Rifle'!V13="Yes"),1,0)</f>
        <v>0</v>
      </c>
      <c r="Z10">
        <f>IF(AND('Sniper Rifle'!B13=3,'Sniper Rifle'!V13="Yes"),1,0)</f>
        <v>0</v>
      </c>
      <c r="AA10">
        <f>IF(AND('Sniper Rifle'!B13=4,'Sniper Rifle'!V13="Yes"),1,0)</f>
        <v>0</v>
      </c>
      <c r="AC10">
        <f>IF(AND('Spacer Rifle'!B13=1,'Spacer Rifle'!V13="Yes"),1,0)</f>
        <v>0</v>
      </c>
      <c r="AD10">
        <f>IF(AND('Spacer Rifle'!B13=2,'Spacer Rifle'!V13="Yes"),1,0)</f>
        <v>0</v>
      </c>
      <c r="AE10">
        <f>IF(AND('Spacer Rifle'!B13=3,'Spacer Rifle'!V13="Yes"),1,0)</f>
        <v>0</v>
      </c>
      <c r="AF10">
        <f>IF(AND('Spacer Rifle'!B13=4,'Spacer Rifle'!V13="Yes"),1,0)</f>
        <v>0</v>
      </c>
      <c r="AH10">
        <f>IF(AND(LMG!B14=1,LMG!V14="Yes"),1,0)</f>
        <v>0</v>
      </c>
      <c r="AI10">
        <f>IF(AND(LMG!B14=2,LMG!V14="Yes"),1,0)</f>
        <v>0</v>
      </c>
      <c r="AJ10">
        <f>IF(AND(LMG!B14=3,LMG!V14="Yes"),1,0)</f>
        <v>0</v>
      </c>
      <c r="AK10">
        <f>IF(AND(LMG!B14=4,LMG!V14="Yes"),1,0)</f>
        <v>0</v>
      </c>
      <c r="AM10">
        <f>IF(AND(Shotgun!B14=1,Shotgun!V14="Yes"),1,0)</f>
        <v>0</v>
      </c>
      <c r="AN10">
        <f>IF(AND(Shotgun!B14=2,Shotgun!V14="Yes"),1,0)</f>
        <v>0</v>
      </c>
      <c r="AO10">
        <f>IF(AND(Shotgun!B14=3,Shotgun!V14="Yes"),1,0)</f>
        <v>0</v>
      </c>
      <c r="AP10">
        <f>IF(AND(Shotgun!B14=4,Shotgun!V14="Yes"),1,0)</f>
        <v>0</v>
      </c>
    </row>
    <row r="11" spans="1:42">
      <c r="D11">
        <f>IF(AND(Handgun!B14=1,Handgun!V14="Yes"),1,0)</f>
        <v>0</v>
      </c>
      <c r="E11">
        <f>IF(AND(Handgun!B14=2,Handgun!V14="Yes"),1,0)</f>
        <v>0</v>
      </c>
      <c r="F11">
        <f>IF(AND(Handgun!B14=3,Handgun!V14="Yes"),1,0)</f>
        <v>0</v>
      </c>
      <c r="G11">
        <f>IF(AND(Handgun!B14=4,Handgun!V14="Yes"),1,0)</f>
        <v>0</v>
      </c>
      <c r="I11">
        <f>IF(AND(Revolver!B14=1,Revolver!V14="Yes"),1,0)</f>
        <v>0</v>
      </c>
      <c r="J11">
        <f>IF(AND(Revolver!B14=1,Revolver!V14="Yes"),1,0)</f>
        <v>0</v>
      </c>
      <c r="K11">
        <f>IF(AND(Revolver!B14=1,Revolver!V14="Yes"),1,0)</f>
        <v>0</v>
      </c>
      <c r="L11">
        <f>IF(AND(Revolver!B14=1,Revolver!V14="Yes"),1,0)</f>
        <v>0</v>
      </c>
      <c r="N11">
        <f>IF(AND(SMG!B15=1,SMG!V15="Yes"),1,0)</f>
        <v>0</v>
      </c>
      <c r="O11">
        <f>IF(AND(SMG!B15=2,SMG!V15="Yes"),1,0)</f>
        <v>0</v>
      </c>
      <c r="P11">
        <f>IF(AND(Revolver!G14=1,Revolver!AB14="Yes"),1,0)</f>
        <v>0</v>
      </c>
      <c r="Q11">
        <f>IF(AND(SMG!B15=4,SMG!V15="Yes"),1,0)</f>
        <v>0</v>
      </c>
      <c r="S11">
        <f>IF(AND(Rifle!B15=1,Rifle!V15="Yes"),1,0)</f>
        <v>0</v>
      </c>
      <c r="T11">
        <f>IF(AND(Rifle!B15=2,Rifle!V15="Yes"),1,0)</f>
        <v>0</v>
      </c>
      <c r="U11">
        <f>IF(AND(Rifle!B15=3,Rifle!V15="Yes"),1,0)</f>
        <v>0</v>
      </c>
      <c r="V11">
        <f>IF(AND(Rifle!B15=4,Rifle!V15="Yes"),1,0)</f>
        <v>0</v>
      </c>
      <c r="X11">
        <f>IF(AND('Sniper Rifle'!B14=1,'Sniper Rifle'!V14="Yes"),1,0)</f>
        <v>0</v>
      </c>
      <c r="Y11">
        <f>IF(AND('Sniper Rifle'!B14=2,'Sniper Rifle'!V14="Yes"),1,0)</f>
        <v>0</v>
      </c>
      <c r="Z11">
        <f>IF(AND('Sniper Rifle'!B14=3,'Sniper Rifle'!V14="Yes"),1,0)</f>
        <v>0</v>
      </c>
      <c r="AA11">
        <f>IF(AND('Sniper Rifle'!B14=4,'Sniper Rifle'!V14="Yes"),1,0)</f>
        <v>0</v>
      </c>
      <c r="AC11">
        <f>IF(AND('Spacer Rifle'!B14=1,'Spacer Rifle'!V14="Yes"),1,0)</f>
        <v>0</v>
      </c>
      <c r="AD11">
        <f>IF(AND('Spacer Rifle'!B14=2,'Spacer Rifle'!V14="Yes"),1,0)</f>
        <v>0</v>
      </c>
      <c r="AE11">
        <f>IF(AND('Spacer Rifle'!B14=3,'Spacer Rifle'!V14="Yes"),1,0)</f>
        <v>0</v>
      </c>
      <c r="AF11">
        <f>IF(AND('Spacer Rifle'!B14=4,'Spacer Rifle'!V14="Yes"),1,0)</f>
        <v>0</v>
      </c>
      <c r="AH11">
        <f>IF(AND(LMG!B15=1,LMG!V15="Yes"),1,0)</f>
        <v>0</v>
      </c>
      <c r="AI11">
        <f>IF(AND(LMG!B15=2,LMG!V15="Yes"),1,0)</f>
        <v>0</v>
      </c>
      <c r="AJ11">
        <f>IF(AND(LMG!B15=3,LMG!V15="Yes"),1,0)</f>
        <v>0</v>
      </c>
      <c r="AK11">
        <f>IF(AND(LMG!B15=4,LMG!V15="Yes"),1,0)</f>
        <v>0</v>
      </c>
      <c r="AM11">
        <f>IF(AND(Shotgun!B15=1,Shotgun!V15="Yes"),1,0)</f>
        <v>0</v>
      </c>
      <c r="AN11">
        <f>IF(AND(Shotgun!B15=2,Shotgun!V15="Yes"),1,0)</f>
        <v>0</v>
      </c>
      <c r="AO11">
        <f>IF(AND(Shotgun!B15=3,Shotgun!V15="Yes"),1,0)</f>
        <v>0</v>
      </c>
      <c r="AP11">
        <f>IF(AND(Shotgun!B15=4,Shotgun!V15="Yes"),1,0)</f>
        <v>0</v>
      </c>
    </row>
    <row r="12" spans="1:42">
      <c r="D12">
        <f>IF(AND(Handgun!B15=1,Handgun!V15="Yes"),1,0)</f>
        <v>0</v>
      </c>
      <c r="E12">
        <f>IF(AND(Handgun!B15=2,Handgun!V15="Yes"),1,0)</f>
        <v>0</v>
      </c>
      <c r="F12">
        <f>IF(AND(Handgun!B15=3,Handgun!V15="Yes"),1,0)</f>
        <v>0</v>
      </c>
      <c r="G12">
        <f>IF(AND(Handgun!B15=4,Handgun!V15="Yes"),1,0)</f>
        <v>0</v>
      </c>
      <c r="I12">
        <f>IF(AND(Revolver!B15=1,Revolver!V15="Yes"),1,0)</f>
        <v>0</v>
      </c>
      <c r="J12">
        <f>IF(AND(Revolver!B15=1,Revolver!V15="Yes"),1,0)</f>
        <v>0</v>
      </c>
      <c r="K12">
        <f>IF(AND(Revolver!B15=1,Revolver!V15="Yes"),1,0)</f>
        <v>0</v>
      </c>
      <c r="L12">
        <f>IF(AND(Revolver!B15=1,Revolver!V15="Yes"),1,0)</f>
        <v>0</v>
      </c>
      <c r="N12">
        <f>IF(AND(SMG!B16=1,SMG!V16="Yes"),1,0)</f>
        <v>0</v>
      </c>
      <c r="O12">
        <f>IF(AND(SMG!B16=2,SMG!V16="Yes"),1,0)</f>
        <v>0</v>
      </c>
      <c r="P12">
        <f>IF(AND(Revolver!G15=1,Revolver!AB15="Yes"),1,0)</f>
        <v>0</v>
      </c>
      <c r="Q12">
        <f>IF(AND(SMG!B16=4,SMG!V16="Yes"),1,0)</f>
        <v>0</v>
      </c>
      <c r="S12">
        <f>IF(AND(Rifle!B16=1,Rifle!V16="Yes"),1,0)</f>
        <v>0</v>
      </c>
      <c r="T12">
        <f>IF(AND(Rifle!B16=2,Rifle!V16="Yes"),1,0)</f>
        <v>0</v>
      </c>
      <c r="U12">
        <f>IF(AND(Rifle!B16=3,Rifle!V16="Yes"),1,0)</f>
        <v>0</v>
      </c>
      <c r="V12">
        <f>IF(AND(Rifle!B16=4,Rifle!V16="Yes"),1,0)</f>
        <v>0</v>
      </c>
      <c r="X12">
        <f>IF(AND('Sniper Rifle'!B15=1,'Sniper Rifle'!V15="Yes"),1,0)</f>
        <v>0</v>
      </c>
      <c r="Y12">
        <f>IF(AND('Sniper Rifle'!B15=2,'Sniper Rifle'!V15="Yes"),1,0)</f>
        <v>0</v>
      </c>
      <c r="Z12">
        <f>IF(AND('Sniper Rifle'!B15=3,'Sniper Rifle'!V15="Yes"),1,0)</f>
        <v>0</v>
      </c>
      <c r="AA12">
        <f>IF(AND('Sniper Rifle'!B15=4,'Sniper Rifle'!V15="Yes"),1,0)</f>
        <v>0</v>
      </c>
      <c r="AC12">
        <f>IF(AND('Spacer Rifle'!B15=1,'Spacer Rifle'!V15="Yes"),1,0)</f>
        <v>0</v>
      </c>
      <c r="AD12">
        <f>IF(AND('Spacer Rifle'!B15=2,'Spacer Rifle'!V15="Yes"),1,0)</f>
        <v>0</v>
      </c>
      <c r="AE12">
        <f>IF(AND('Spacer Rifle'!B15=3,'Spacer Rifle'!V15="Yes"),1,0)</f>
        <v>0</v>
      </c>
      <c r="AF12">
        <f>IF(AND('Spacer Rifle'!B15=4,'Spacer Rifle'!V15="Yes"),1,0)</f>
        <v>0</v>
      </c>
      <c r="AH12">
        <f>IF(AND(LMG!B16=1,LMG!V16="Yes"),1,0)</f>
        <v>0</v>
      </c>
      <c r="AI12">
        <f>IF(AND(LMG!B16=2,LMG!V16="Yes"),1,0)</f>
        <v>0</v>
      </c>
      <c r="AJ12">
        <f>IF(AND(LMG!B16=3,LMG!V16="Yes"),1,0)</f>
        <v>0</v>
      </c>
      <c r="AK12">
        <f>IF(AND(LMG!B16=4,LMG!V16="Yes"),1,0)</f>
        <v>0</v>
      </c>
      <c r="AM12">
        <f>IF(AND(Shotgun!B16=1,Shotgun!V16="Yes"),1,0)</f>
        <v>0</v>
      </c>
      <c r="AN12">
        <f>IF(AND(Shotgun!B16=2,Shotgun!V16="Yes"),1,0)</f>
        <v>0</v>
      </c>
      <c r="AO12">
        <f>IF(AND(Shotgun!B16=3,Shotgun!V16="Yes"),1,0)</f>
        <v>0</v>
      </c>
      <c r="AP12">
        <f>IF(AND(Shotgun!B16=4,Shotgun!V16="Yes"),1,0)</f>
        <v>0</v>
      </c>
    </row>
    <row r="13" spans="1:42">
      <c r="D13">
        <f>IF(AND(Handgun!B16=1,Handgun!V16="Yes"),1,0)</f>
        <v>0</v>
      </c>
      <c r="E13">
        <f>IF(AND(Handgun!B16=2,Handgun!V16="Yes"),1,0)</f>
        <v>0</v>
      </c>
      <c r="F13">
        <f>IF(AND(Handgun!B16=3,Handgun!V16="Yes"),1,0)</f>
        <v>0</v>
      </c>
      <c r="G13">
        <f>IF(AND(Handgun!B16=4,Handgun!V16="Yes"),1,0)</f>
        <v>0</v>
      </c>
      <c r="I13">
        <f>IF(AND(Revolver!B16=1,Revolver!V16="Yes"),1,0)</f>
        <v>0</v>
      </c>
      <c r="J13">
        <f>IF(AND(Revolver!B16=1,Revolver!V16="Yes"),1,0)</f>
        <v>0</v>
      </c>
      <c r="K13">
        <f>IF(AND(Revolver!B16=1,Revolver!V16="Yes"),1,0)</f>
        <v>0</v>
      </c>
      <c r="L13">
        <f>IF(AND(Revolver!B16=1,Revolver!V16="Yes"),1,0)</f>
        <v>0</v>
      </c>
      <c r="N13">
        <f>IF(AND(SMG!B17=1,SMG!V17="Yes"),1,0)</f>
        <v>0</v>
      </c>
      <c r="O13">
        <f>IF(AND(SMG!B17=2,SMG!V17="Yes"),1,0)</f>
        <v>0</v>
      </c>
      <c r="P13">
        <f>IF(AND(Revolver!G16=1,Revolver!AB16="Yes"),1,0)</f>
        <v>0</v>
      </c>
      <c r="Q13">
        <f>IF(AND(SMG!B17=4,SMG!V17="Yes"),1,0)</f>
        <v>0</v>
      </c>
      <c r="S13">
        <f>IF(AND(Rifle!B17=1,Rifle!V17="Yes"),1,0)</f>
        <v>0</v>
      </c>
      <c r="T13">
        <f>IF(AND(Rifle!B17=2,Rifle!V17="Yes"),1,0)</f>
        <v>0</v>
      </c>
      <c r="U13">
        <f>IF(AND(Rifle!B17=3,Rifle!V17="Yes"),1,0)</f>
        <v>0</v>
      </c>
      <c r="V13">
        <f>IF(AND(Rifle!B17=4,Rifle!V17="Yes"),1,0)</f>
        <v>0</v>
      </c>
      <c r="X13">
        <f>IF(AND('Sniper Rifle'!B16=1,'Sniper Rifle'!V16="Yes"),1,0)</f>
        <v>0</v>
      </c>
      <c r="Y13">
        <f>IF(AND('Sniper Rifle'!B16=2,'Sniper Rifle'!V16="Yes"),1,0)</f>
        <v>0</v>
      </c>
      <c r="Z13">
        <f>IF(AND('Sniper Rifle'!B16=3,'Sniper Rifle'!V16="Yes"),1,0)</f>
        <v>0</v>
      </c>
      <c r="AA13">
        <f>IF(AND('Sniper Rifle'!B16=4,'Sniper Rifle'!V16="Yes"),1,0)</f>
        <v>0</v>
      </c>
      <c r="AC13">
        <f>IF(AND('Spacer Rifle'!B16=1,'Spacer Rifle'!V16="Yes"),1,0)</f>
        <v>0</v>
      </c>
      <c r="AD13">
        <f>IF(AND('Spacer Rifle'!B16=2,'Spacer Rifle'!V16="Yes"),1,0)</f>
        <v>0</v>
      </c>
      <c r="AE13">
        <f>IF(AND('Spacer Rifle'!B16=3,'Spacer Rifle'!V16="Yes"),1,0)</f>
        <v>0</v>
      </c>
      <c r="AF13">
        <f>IF(AND('Spacer Rifle'!B16=4,'Spacer Rifle'!V16="Yes"),1,0)</f>
        <v>0</v>
      </c>
      <c r="AH13">
        <f>IF(AND(LMG!B17=1,LMG!V17="Yes"),1,0)</f>
        <v>0</v>
      </c>
      <c r="AI13">
        <f>IF(AND(LMG!B17=2,LMG!V17="Yes"),1,0)</f>
        <v>0</v>
      </c>
      <c r="AJ13">
        <f>IF(AND(LMG!B17=3,LMG!V17="Yes"),1,0)</f>
        <v>0</v>
      </c>
      <c r="AK13">
        <f>IF(AND(LMG!B17=4,LMG!V17="Yes"),1,0)</f>
        <v>0</v>
      </c>
      <c r="AM13">
        <f>IF(AND(Shotgun!B17=1,Shotgun!V17="Yes"),1,0)</f>
        <v>0</v>
      </c>
      <c r="AN13">
        <f>IF(AND(Shotgun!B17=2,Shotgun!V17="Yes"),1,0)</f>
        <v>0</v>
      </c>
      <c r="AO13">
        <f>IF(AND(Shotgun!B17=3,Shotgun!V17="Yes"),1,0)</f>
        <v>0</v>
      </c>
      <c r="AP13">
        <f>IF(AND(Shotgun!B17=4,Shotgun!V17="Yes"),1,0)</f>
        <v>0</v>
      </c>
    </row>
    <row r="14" spans="1:42">
      <c r="D14">
        <f>IF(AND(Handgun!B17=1,Handgun!V17="Yes"),1,0)</f>
        <v>0</v>
      </c>
      <c r="E14">
        <f>IF(AND(Handgun!B17=2,Handgun!V17="Yes"),1,0)</f>
        <v>0</v>
      </c>
      <c r="F14">
        <f>IF(AND(Handgun!B17=3,Handgun!V17="Yes"),1,0)</f>
        <v>0</v>
      </c>
      <c r="G14">
        <f>IF(AND(Handgun!B17=4,Handgun!V17="Yes"),1,0)</f>
        <v>0</v>
      </c>
      <c r="I14">
        <f>IF(AND(Revolver!B17=1,Revolver!V17="Yes"),1,0)</f>
        <v>0</v>
      </c>
      <c r="J14">
        <f>IF(AND(Revolver!B17=1,Revolver!V17="Yes"),1,0)</f>
        <v>0</v>
      </c>
      <c r="K14">
        <f>IF(AND(Revolver!B17=1,Revolver!V17="Yes"),1,0)</f>
        <v>0</v>
      </c>
      <c r="L14">
        <f>IF(AND(Revolver!B17=1,Revolver!V17="Yes"),1,0)</f>
        <v>0</v>
      </c>
      <c r="N14">
        <f>IF(AND(SMG!B18=1,SMG!V18="Yes"),1,0)</f>
        <v>0</v>
      </c>
      <c r="O14">
        <f>IF(AND(SMG!B18=2,SMG!V18="Yes"),1,0)</f>
        <v>0</v>
      </c>
      <c r="P14">
        <f>IF(AND(Revolver!G17=1,Revolver!AB17="Yes"),1,0)</f>
        <v>0</v>
      </c>
      <c r="Q14">
        <f>IF(AND(SMG!B18=4,SMG!V18="Yes"),1,0)</f>
        <v>0</v>
      </c>
      <c r="S14">
        <f>IF(AND(Rifle!B18=1,Rifle!V18="Yes"),1,0)</f>
        <v>0</v>
      </c>
      <c r="T14">
        <f>IF(AND(Rifle!B18=2,Rifle!V18="Yes"),1,0)</f>
        <v>0</v>
      </c>
      <c r="U14">
        <f>IF(AND(Rifle!B18=3,Rifle!V18="Yes"),1,0)</f>
        <v>0</v>
      </c>
      <c r="V14">
        <f>IF(AND(Rifle!B18=4,Rifle!V18="Yes"),1,0)</f>
        <v>0</v>
      </c>
      <c r="X14">
        <f>IF(AND('Sniper Rifle'!B17=1,'Sniper Rifle'!V17="Yes"),1,0)</f>
        <v>0</v>
      </c>
      <c r="Y14">
        <f>IF(AND('Sniper Rifle'!B17=2,'Sniper Rifle'!V17="Yes"),1,0)</f>
        <v>0</v>
      </c>
      <c r="Z14">
        <f>IF(AND('Sniper Rifle'!B17=3,'Sniper Rifle'!V17="Yes"),1,0)</f>
        <v>0</v>
      </c>
      <c r="AA14">
        <f>IF(AND('Sniper Rifle'!B17=4,'Sniper Rifle'!V17="Yes"),1,0)</f>
        <v>0</v>
      </c>
      <c r="AC14">
        <f>IF(AND('Spacer Rifle'!B17=1,'Spacer Rifle'!V17="Yes"),1,0)</f>
        <v>0</v>
      </c>
      <c r="AD14">
        <f>IF(AND('Spacer Rifle'!B17=2,'Spacer Rifle'!V17="Yes"),1,0)</f>
        <v>0</v>
      </c>
      <c r="AE14">
        <f>IF(AND('Spacer Rifle'!B17=3,'Spacer Rifle'!V17="Yes"),1,0)</f>
        <v>0</v>
      </c>
      <c r="AF14">
        <f>IF(AND('Spacer Rifle'!B17=4,'Spacer Rifle'!V17="Yes"),1,0)</f>
        <v>0</v>
      </c>
      <c r="AH14">
        <f>IF(AND(LMG!B18=1,LMG!V18="Yes"),1,0)</f>
        <v>0</v>
      </c>
      <c r="AI14">
        <f>IF(AND(LMG!B18=2,LMG!V18="Yes"),1,0)</f>
        <v>0</v>
      </c>
      <c r="AJ14">
        <f>IF(AND(LMG!B18=3,LMG!V18="Yes"),1,0)</f>
        <v>0</v>
      </c>
      <c r="AK14">
        <f>IF(AND(LMG!B18=4,LMG!V18="Yes"),1,0)</f>
        <v>0</v>
      </c>
      <c r="AM14">
        <f>IF(AND(Shotgun!B18=1,Shotgun!V18="Yes"),1,0)</f>
        <v>0</v>
      </c>
      <c r="AN14">
        <f>IF(AND(Shotgun!B18=2,Shotgun!V18="Yes"),1,0)</f>
        <v>0</v>
      </c>
      <c r="AO14">
        <f>IF(AND(Shotgun!B18=3,Shotgun!V18="Yes"),1,0)</f>
        <v>0</v>
      </c>
      <c r="AP14">
        <f>IF(AND(Shotgun!B18=4,Shotgun!V18="Yes"),1,0)</f>
        <v>0</v>
      </c>
    </row>
    <row r="15" spans="1:42">
      <c r="D15">
        <f>IF(AND(Handgun!B18=1,Handgun!V18="Yes"),1,0)</f>
        <v>0</v>
      </c>
      <c r="E15">
        <f>IF(AND(Handgun!B18=2,Handgun!V18="Yes"),1,0)</f>
        <v>0</v>
      </c>
      <c r="F15">
        <f>IF(AND(Handgun!B18=3,Handgun!V18="Yes"),1,0)</f>
        <v>0</v>
      </c>
      <c r="G15">
        <f>IF(AND(Handgun!B18=4,Handgun!V18="Yes"),1,0)</f>
        <v>0</v>
      </c>
      <c r="I15">
        <f>IF(AND(Revolver!B18=1,Revolver!V18="Yes"),1,0)</f>
        <v>0</v>
      </c>
      <c r="J15">
        <f>IF(AND(Revolver!B18=1,Revolver!V18="Yes"),1,0)</f>
        <v>0</v>
      </c>
      <c r="K15">
        <f>IF(AND(Revolver!B18=1,Revolver!V18="Yes"),1,0)</f>
        <v>0</v>
      </c>
      <c r="L15">
        <f>IF(AND(Revolver!B18=1,Revolver!V18="Yes"),1,0)</f>
        <v>0</v>
      </c>
      <c r="N15">
        <f>IF(AND(SMG!B19=1,SMG!V19="Yes"),1,0)</f>
        <v>0</v>
      </c>
      <c r="O15">
        <f>IF(AND(SMG!B19=2,SMG!V19="Yes"),1,0)</f>
        <v>0</v>
      </c>
      <c r="P15">
        <f>IF(AND(Revolver!G18=1,Revolver!AB18="Yes"),1,0)</f>
        <v>0</v>
      </c>
      <c r="Q15">
        <f>IF(AND(SMG!B19=4,SMG!V19="Yes"),1,0)</f>
        <v>0</v>
      </c>
      <c r="S15">
        <f>IF(AND(Rifle!B19=1,Rifle!V19="Yes"),1,0)</f>
        <v>0</v>
      </c>
      <c r="T15">
        <f>IF(AND(Rifle!B19=2,Rifle!V19="Yes"),1,0)</f>
        <v>0</v>
      </c>
      <c r="U15">
        <f>IF(AND(Rifle!B19=3,Rifle!V19="Yes"),1,0)</f>
        <v>0</v>
      </c>
      <c r="V15">
        <f>IF(AND(Rifle!B19=4,Rifle!V19="Yes"),1,0)</f>
        <v>0</v>
      </c>
      <c r="X15">
        <f>IF(AND('Sniper Rifle'!B18=1,'Sniper Rifle'!V18="Yes"),1,0)</f>
        <v>0</v>
      </c>
      <c r="Y15">
        <f>IF(AND('Sniper Rifle'!B18=2,'Sniper Rifle'!V18="Yes"),1,0)</f>
        <v>0</v>
      </c>
      <c r="Z15">
        <f>IF(AND('Sniper Rifle'!B18=3,'Sniper Rifle'!V18="Yes"),1,0)</f>
        <v>0</v>
      </c>
      <c r="AA15">
        <f>IF(AND('Sniper Rifle'!B18=4,'Sniper Rifle'!V18="Yes"),1,0)</f>
        <v>0</v>
      </c>
      <c r="AC15">
        <f>IF(AND('Spacer Rifle'!B18=1,'Spacer Rifle'!V18="Yes"),1,0)</f>
        <v>0</v>
      </c>
      <c r="AD15">
        <f>IF(AND('Spacer Rifle'!B18=2,'Spacer Rifle'!V18="Yes"),1,0)</f>
        <v>0</v>
      </c>
      <c r="AE15">
        <f>IF(AND('Spacer Rifle'!B18=3,'Spacer Rifle'!V18="Yes"),1,0)</f>
        <v>0</v>
      </c>
      <c r="AF15">
        <f>IF(AND('Spacer Rifle'!B18=4,'Spacer Rifle'!V18="Yes"),1,0)</f>
        <v>0</v>
      </c>
      <c r="AH15">
        <f>IF(AND(LMG!B19=1,LMG!V19="Yes"),1,0)</f>
        <v>0</v>
      </c>
      <c r="AI15">
        <f>IF(AND(LMG!B19=2,LMG!V19="Yes"),1,0)</f>
        <v>0</v>
      </c>
      <c r="AJ15">
        <f>IF(AND(LMG!B19=3,LMG!V19="Yes"),1,0)</f>
        <v>0</v>
      </c>
      <c r="AK15">
        <f>IF(AND(LMG!B19=4,LMG!V19="Yes"),1,0)</f>
        <v>0</v>
      </c>
      <c r="AM15">
        <f>IF(AND(Shotgun!B19=1,Shotgun!V19="Yes"),1,0)</f>
        <v>0</v>
      </c>
      <c r="AN15">
        <f>IF(AND(Shotgun!B19=2,Shotgun!V19="Yes"),1,0)</f>
        <v>0</v>
      </c>
      <c r="AO15">
        <f>IF(AND(Shotgun!B19=3,Shotgun!V19="Yes"),1,0)</f>
        <v>0</v>
      </c>
      <c r="AP15">
        <f>IF(AND(Shotgun!B19=4,Shotgun!V19="Yes"),1,0)</f>
        <v>0</v>
      </c>
    </row>
    <row r="16" spans="1:42">
      <c r="D16">
        <f>IF(AND(Handgun!B19=1,Handgun!V19="Yes"),1,0)</f>
        <v>0</v>
      </c>
      <c r="E16">
        <f>IF(AND(Handgun!B19=2,Handgun!V19="Yes"),1,0)</f>
        <v>0</v>
      </c>
      <c r="F16">
        <f>IF(AND(Handgun!B19=3,Handgun!V19="Yes"),1,0)</f>
        <v>0</v>
      </c>
      <c r="G16">
        <f>IF(AND(Handgun!B19=4,Handgun!V19="Yes"),1,0)</f>
        <v>0</v>
      </c>
      <c r="I16">
        <f>IF(AND(Revolver!B19=1,Revolver!V19="Yes"),1,0)</f>
        <v>0</v>
      </c>
      <c r="J16">
        <f>IF(AND(Revolver!B19=1,Revolver!V19="Yes"),1,0)</f>
        <v>0</v>
      </c>
      <c r="K16">
        <f>IF(AND(Revolver!B19=1,Revolver!V19="Yes"),1,0)</f>
        <v>0</v>
      </c>
      <c r="L16">
        <f>IF(AND(Revolver!B19=1,Revolver!V19="Yes"),1,0)</f>
        <v>0</v>
      </c>
      <c r="N16">
        <f>IF(AND(SMG!B20=1,SMG!V20="Yes"),1,0)</f>
        <v>0</v>
      </c>
      <c r="O16">
        <f>IF(AND(SMG!B20=2,SMG!V20="Yes"),1,0)</f>
        <v>0</v>
      </c>
      <c r="P16">
        <f>IF(AND(Revolver!G19=1,Revolver!AB19="Yes"),1,0)</f>
        <v>0</v>
      </c>
      <c r="Q16">
        <f>IF(AND(SMG!B20=4,SMG!V20="Yes"),1,0)</f>
        <v>0</v>
      </c>
      <c r="S16">
        <f>IF(AND(Rifle!B20=1,Rifle!V20="Yes"),1,0)</f>
        <v>0</v>
      </c>
      <c r="T16">
        <f>IF(AND(Rifle!B20=2,Rifle!V20="Yes"),1,0)</f>
        <v>0</v>
      </c>
      <c r="U16">
        <f>IF(AND(Rifle!B20=3,Rifle!V20="Yes"),1,0)</f>
        <v>0</v>
      </c>
      <c r="V16">
        <f>IF(AND(Rifle!B20=4,Rifle!V20="Yes"),1,0)</f>
        <v>0</v>
      </c>
      <c r="X16">
        <f>IF(AND('Sniper Rifle'!B19=1,'Sniper Rifle'!V19="Yes"),1,0)</f>
        <v>0</v>
      </c>
      <c r="Y16">
        <f>IF(AND('Sniper Rifle'!B19=2,'Sniper Rifle'!V19="Yes"),1,0)</f>
        <v>0</v>
      </c>
      <c r="Z16">
        <f>IF(AND('Sniper Rifle'!B19=3,'Sniper Rifle'!V19="Yes"),1,0)</f>
        <v>0</v>
      </c>
      <c r="AA16">
        <f>IF(AND('Sniper Rifle'!B19=4,'Sniper Rifle'!V19="Yes"),1,0)</f>
        <v>0</v>
      </c>
      <c r="AC16">
        <f>IF(AND('Spacer Rifle'!B19=1,'Spacer Rifle'!V19="Yes"),1,0)</f>
        <v>0</v>
      </c>
      <c r="AD16">
        <f>IF(AND('Spacer Rifle'!B19=2,'Spacer Rifle'!V19="Yes"),1,0)</f>
        <v>0</v>
      </c>
      <c r="AE16">
        <f>IF(AND('Spacer Rifle'!B19=3,'Spacer Rifle'!V19="Yes"),1,0)</f>
        <v>0</v>
      </c>
      <c r="AF16">
        <f>IF(AND('Spacer Rifle'!B19=4,'Spacer Rifle'!V19="Yes"),1,0)</f>
        <v>0</v>
      </c>
      <c r="AH16">
        <f>IF(AND(LMG!B20=1,LMG!V20="Yes"),1,0)</f>
        <v>0</v>
      </c>
      <c r="AI16">
        <f>IF(AND(LMG!B20=2,LMG!V20="Yes"),1,0)</f>
        <v>0</v>
      </c>
      <c r="AJ16">
        <f>IF(AND(LMG!B20=3,LMG!V20="Yes"),1,0)</f>
        <v>0</v>
      </c>
      <c r="AK16">
        <f>IF(AND(LMG!B20=4,LMG!V20="Yes"),1,0)</f>
        <v>0</v>
      </c>
      <c r="AM16">
        <f>IF(AND(Shotgun!B20=1,Shotgun!V20="Yes"),1,0)</f>
        <v>0</v>
      </c>
      <c r="AN16">
        <f>IF(AND(Shotgun!B20=2,Shotgun!V20="Yes"),1,0)</f>
        <v>0</v>
      </c>
      <c r="AO16">
        <f>IF(AND(Shotgun!B20=3,Shotgun!V20="Yes"),1,0)</f>
        <v>0</v>
      </c>
      <c r="AP16">
        <f>IF(AND(Shotgun!B20=4,Shotgun!V20="Yes"),1,0)</f>
        <v>0</v>
      </c>
    </row>
    <row r="17" spans="4:42">
      <c r="D17">
        <f>IF(AND(Handgun!B20=1,Handgun!V20="Yes"),1,0)</f>
        <v>0</v>
      </c>
      <c r="E17">
        <f>IF(AND(Handgun!B20=2,Handgun!V20="Yes"),1,0)</f>
        <v>0</v>
      </c>
      <c r="F17">
        <f>IF(AND(Handgun!B20=3,Handgun!V20="Yes"),1,0)</f>
        <v>0</v>
      </c>
      <c r="G17">
        <f>IF(AND(Handgun!B20=4,Handgun!V20="Yes"),1,0)</f>
        <v>0</v>
      </c>
      <c r="I17">
        <f>IF(AND(Revolver!B20=1,Revolver!V20="Yes"),1,0)</f>
        <v>0</v>
      </c>
      <c r="J17">
        <f>IF(AND(Revolver!B20=1,Revolver!V20="Yes"),1,0)</f>
        <v>0</v>
      </c>
      <c r="K17">
        <f>IF(AND(Revolver!B20=1,Revolver!V20="Yes"),1,0)</f>
        <v>0</v>
      </c>
      <c r="L17">
        <f>IF(AND(Revolver!B20=1,Revolver!V20="Yes"),1,0)</f>
        <v>0</v>
      </c>
      <c r="N17">
        <f>IF(AND(SMG!B21=1,SMG!V21="Yes"),1,0)</f>
        <v>0</v>
      </c>
      <c r="O17">
        <f>IF(AND(SMG!B21=2,SMG!V21="Yes"),1,0)</f>
        <v>0</v>
      </c>
      <c r="P17">
        <f>IF(AND(Revolver!G20=1,Revolver!AB20="Yes"),1,0)</f>
        <v>0</v>
      </c>
      <c r="Q17">
        <f>IF(AND(SMG!B21=4,SMG!V21="Yes"),1,0)</f>
        <v>0</v>
      </c>
      <c r="S17">
        <f>IF(AND(Rifle!B21=1,Rifle!V21="Yes"),1,0)</f>
        <v>0</v>
      </c>
      <c r="T17">
        <f>IF(AND(Rifle!B21=2,Rifle!V21="Yes"),1,0)</f>
        <v>0</v>
      </c>
      <c r="U17">
        <f>IF(AND(Rifle!B21=3,Rifle!V21="Yes"),1,0)</f>
        <v>0</v>
      </c>
      <c r="V17">
        <f>IF(AND(Rifle!B21=4,Rifle!V21="Yes"),1,0)</f>
        <v>0</v>
      </c>
      <c r="X17">
        <f>IF(AND('Sniper Rifle'!B20=1,'Sniper Rifle'!V20="Yes"),1,0)</f>
        <v>0</v>
      </c>
      <c r="Y17">
        <f>IF(AND('Sniper Rifle'!B20=2,'Sniper Rifle'!V20="Yes"),1,0)</f>
        <v>0</v>
      </c>
      <c r="Z17">
        <f>IF(AND('Sniper Rifle'!B20=3,'Sniper Rifle'!V20="Yes"),1,0)</f>
        <v>0</v>
      </c>
      <c r="AA17">
        <f>IF(AND('Sniper Rifle'!B20=4,'Sniper Rifle'!V20="Yes"),1,0)</f>
        <v>0</v>
      </c>
      <c r="AC17">
        <f>IF(AND('Spacer Rifle'!B20=1,'Spacer Rifle'!V20="Yes"),1,0)</f>
        <v>0</v>
      </c>
      <c r="AD17">
        <f>IF(AND('Spacer Rifle'!B20=2,'Spacer Rifle'!V20="Yes"),1,0)</f>
        <v>0</v>
      </c>
      <c r="AE17">
        <f>IF(AND('Spacer Rifle'!B20=3,'Spacer Rifle'!V20="Yes"),1,0)</f>
        <v>0</v>
      </c>
      <c r="AF17">
        <f>IF(AND('Spacer Rifle'!B20=4,'Spacer Rifle'!V20="Yes"),1,0)</f>
        <v>0</v>
      </c>
      <c r="AH17">
        <f>IF(AND(LMG!B21=1,LMG!V21="Yes"),1,0)</f>
        <v>0</v>
      </c>
      <c r="AI17">
        <f>IF(AND(LMG!B21=2,LMG!V21="Yes"),1,0)</f>
        <v>0</v>
      </c>
      <c r="AJ17">
        <f>IF(AND(LMG!B21=3,LMG!V21="Yes"),1,0)</f>
        <v>0</v>
      </c>
      <c r="AK17">
        <f>IF(AND(LMG!B21=4,LMG!V21="Yes"),1,0)</f>
        <v>0</v>
      </c>
      <c r="AM17">
        <f>IF(AND(Shotgun!B21=1,Shotgun!V21="Yes"),1,0)</f>
        <v>0</v>
      </c>
      <c r="AN17">
        <f>IF(AND(Shotgun!B21=2,Shotgun!V21="Yes"),1,0)</f>
        <v>0</v>
      </c>
      <c r="AO17">
        <f>IF(AND(Shotgun!B21=3,Shotgun!V21="Yes"),1,0)</f>
        <v>0</v>
      </c>
      <c r="AP17">
        <f>IF(AND(Shotgun!B21=4,Shotgun!V21="Yes"),1,0)</f>
        <v>0</v>
      </c>
    </row>
    <row r="18" spans="4:42">
      <c r="D18">
        <f>IF(AND(Handgun!B21=1,Handgun!V21="Yes"),1,0)</f>
        <v>0</v>
      </c>
      <c r="E18">
        <f>IF(AND(Handgun!B21=2,Handgun!V21="Yes"),1,0)</f>
        <v>0</v>
      </c>
      <c r="F18">
        <f>IF(AND(Handgun!B21=3,Handgun!V21="Yes"),1,0)</f>
        <v>0</v>
      </c>
      <c r="G18">
        <f>IF(AND(Handgun!B21=4,Handgun!V21="Yes"),1,0)</f>
        <v>0</v>
      </c>
      <c r="I18">
        <f>IF(AND(Revolver!B21=1,Revolver!V21="Yes"),1,0)</f>
        <v>0</v>
      </c>
      <c r="J18">
        <f>IF(AND(Revolver!B21=1,Revolver!V21="Yes"),1,0)</f>
        <v>0</v>
      </c>
      <c r="K18">
        <f>IF(AND(Revolver!B21=1,Revolver!V21="Yes"),1,0)</f>
        <v>0</v>
      </c>
      <c r="L18">
        <f>IF(AND(Revolver!B21=1,Revolver!V21="Yes"),1,0)</f>
        <v>0</v>
      </c>
      <c r="N18">
        <f>IF(AND(SMG!B22=1,SMG!V22="Yes"),1,0)</f>
        <v>0</v>
      </c>
      <c r="O18">
        <f>IF(AND(SMG!B22=2,SMG!V22="Yes"),1,0)</f>
        <v>0</v>
      </c>
      <c r="P18">
        <f>IF(AND(Revolver!G21=1,Revolver!AB21="Yes"),1,0)</f>
        <v>0</v>
      </c>
      <c r="Q18">
        <f>IF(AND(SMG!B22=4,SMG!V22="Yes"),1,0)</f>
        <v>0</v>
      </c>
      <c r="S18">
        <f>IF(AND(Rifle!B22=1,Rifle!V22="Yes"),1,0)</f>
        <v>0</v>
      </c>
      <c r="T18">
        <f>IF(AND(Rifle!B22=2,Rifle!V22="Yes"),1,0)</f>
        <v>0</v>
      </c>
      <c r="U18">
        <f>IF(AND(Rifle!B22=3,Rifle!V22="Yes"),1,0)</f>
        <v>0</v>
      </c>
      <c r="V18">
        <f>IF(AND(Rifle!B22=4,Rifle!V22="Yes"),1,0)</f>
        <v>0</v>
      </c>
      <c r="X18">
        <f>IF(AND('Sniper Rifle'!B21=1,'Sniper Rifle'!V21="Yes"),1,0)</f>
        <v>0</v>
      </c>
      <c r="Y18">
        <f>IF(AND('Sniper Rifle'!B21=2,'Sniper Rifle'!V21="Yes"),1,0)</f>
        <v>0</v>
      </c>
      <c r="Z18">
        <f>IF(AND('Sniper Rifle'!B21=3,'Sniper Rifle'!V21="Yes"),1,0)</f>
        <v>0</v>
      </c>
      <c r="AA18">
        <f>IF(AND('Sniper Rifle'!B21=4,'Sniper Rifle'!V21="Yes"),1,0)</f>
        <v>0</v>
      </c>
      <c r="AC18">
        <f>IF(AND('Spacer Rifle'!B21=1,'Spacer Rifle'!V21="Yes"),1,0)</f>
        <v>0</v>
      </c>
      <c r="AD18">
        <f>IF(AND('Spacer Rifle'!B21=2,'Spacer Rifle'!V21="Yes"),1,0)</f>
        <v>0</v>
      </c>
      <c r="AE18">
        <f>IF(AND('Spacer Rifle'!B21=3,'Spacer Rifle'!V21="Yes"),1,0)</f>
        <v>0</v>
      </c>
      <c r="AF18">
        <f>IF(AND('Spacer Rifle'!B21=4,'Spacer Rifle'!V21="Yes"),1,0)</f>
        <v>0</v>
      </c>
      <c r="AH18">
        <f>IF(AND(LMG!B22=1,LMG!V22="Yes"),1,0)</f>
        <v>0</v>
      </c>
      <c r="AI18">
        <f>IF(AND(LMG!B22=2,LMG!V22="Yes"),1,0)</f>
        <v>0</v>
      </c>
      <c r="AJ18">
        <f>IF(AND(LMG!B22=3,LMG!V22="Yes"),1,0)</f>
        <v>0</v>
      </c>
      <c r="AK18">
        <f>IF(AND(LMG!B22=4,LMG!V22="Yes"),1,0)</f>
        <v>0</v>
      </c>
      <c r="AM18">
        <f>IF(AND(Shotgun!B22=1,Shotgun!V22="Yes"),1,0)</f>
        <v>0</v>
      </c>
      <c r="AN18">
        <f>IF(AND(Shotgun!B22=2,Shotgun!V22="Yes"),1,0)</f>
        <v>0</v>
      </c>
      <c r="AO18">
        <f>IF(AND(Shotgun!B22=3,Shotgun!V22="Yes"),1,0)</f>
        <v>0</v>
      </c>
      <c r="AP18">
        <f>IF(AND(Shotgun!B22=4,Shotgun!V22="Yes"),1,0)</f>
        <v>0</v>
      </c>
    </row>
    <row r="19" spans="4:42">
      <c r="D19">
        <f>IF(AND(Handgun!B22=1,Handgun!V22="Yes"),1,0)</f>
        <v>0</v>
      </c>
      <c r="E19">
        <f>IF(AND(Handgun!B22=2,Handgun!V22="Yes"),1,0)</f>
        <v>0</v>
      </c>
      <c r="F19">
        <f>IF(AND(Handgun!B22=3,Handgun!V22="Yes"),1,0)</f>
        <v>0</v>
      </c>
      <c r="G19">
        <f>IF(AND(Handgun!B22=4,Handgun!V22="Yes"),1,0)</f>
        <v>0</v>
      </c>
      <c r="I19">
        <f>IF(AND(Revolver!B22=1,Revolver!V22="Yes"),1,0)</f>
        <v>0</v>
      </c>
      <c r="J19">
        <f>IF(AND(Revolver!B22=1,Revolver!V22="Yes"),1,0)</f>
        <v>0</v>
      </c>
      <c r="K19">
        <f>IF(AND(Revolver!B22=1,Revolver!V22="Yes"),1,0)</f>
        <v>0</v>
      </c>
      <c r="L19">
        <f>IF(AND(Revolver!B22=1,Revolver!V22="Yes"),1,0)</f>
        <v>0</v>
      </c>
      <c r="N19">
        <f>IF(AND(SMG!B23=1,SMG!V23="Yes"),1,0)</f>
        <v>0</v>
      </c>
      <c r="O19">
        <f>IF(AND(SMG!B23=2,SMG!V23="Yes"),1,0)</f>
        <v>0</v>
      </c>
      <c r="P19">
        <f>IF(AND(Revolver!G22=1,Revolver!AB22="Yes"),1,0)</f>
        <v>0</v>
      </c>
      <c r="Q19">
        <f>IF(AND(SMG!B23=4,SMG!V23="Yes"),1,0)</f>
        <v>0</v>
      </c>
      <c r="S19">
        <f>IF(AND(Rifle!B23=1,Rifle!V23="Yes"),1,0)</f>
        <v>0</v>
      </c>
      <c r="T19">
        <f>IF(AND(Rifle!B23=2,Rifle!V23="Yes"),1,0)</f>
        <v>0</v>
      </c>
      <c r="U19">
        <f>IF(AND(Rifle!B23=3,Rifle!V23="Yes"),1,0)</f>
        <v>0</v>
      </c>
      <c r="V19">
        <f>IF(AND(Rifle!B23=4,Rifle!V23="Yes"),1,0)</f>
        <v>0</v>
      </c>
      <c r="X19">
        <f>IF(AND('Sniper Rifle'!B22=1,'Sniper Rifle'!V22="Yes"),1,0)</f>
        <v>0</v>
      </c>
      <c r="Y19">
        <f>IF(AND('Sniper Rifle'!B22=2,'Sniper Rifle'!V22="Yes"),1,0)</f>
        <v>0</v>
      </c>
      <c r="Z19">
        <f>IF(AND('Sniper Rifle'!B22=3,'Sniper Rifle'!V22="Yes"),1,0)</f>
        <v>0</v>
      </c>
      <c r="AA19">
        <f>IF(AND('Sniper Rifle'!B22=4,'Sniper Rifle'!V22="Yes"),1,0)</f>
        <v>0</v>
      </c>
      <c r="AC19">
        <f>IF(AND('Spacer Rifle'!B22=1,'Spacer Rifle'!V22="Yes"),1,0)</f>
        <v>0</v>
      </c>
      <c r="AD19">
        <f>IF(AND('Spacer Rifle'!B22=2,'Spacer Rifle'!V22="Yes"),1,0)</f>
        <v>0</v>
      </c>
      <c r="AE19">
        <f>IF(AND('Spacer Rifle'!B22=3,'Spacer Rifle'!V22="Yes"),1,0)</f>
        <v>0</v>
      </c>
      <c r="AF19">
        <f>IF(AND('Spacer Rifle'!B22=4,'Spacer Rifle'!V22="Yes"),1,0)</f>
        <v>0</v>
      </c>
      <c r="AH19">
        <f>IF(AND(LMG!B23=1,LMG!V23="Yes"),1,0)</f>
        <v>0</v>
      </c>
      <c r="AI19">
        <f>IF(AND(LMG!B23=2,LMG!V23="Yes"),1,0)</f>
        <v>0</v>
      </c>
      <c r="AJ19">
        <f>IF(AND(LMG!B23=3,LMG!V23="Yes"),1,0)</f>
        <v>0</v>
      </c>
      <c r="AK19">
        <f>IF(AND(LMG!B23=4,LMG!V23="Yes"),1,0)</f>
        <v>0</v>
      </c>
      <c r="AM19">
        <f>IF(AND(Shotgun!B23=1,Shotgun!V23="Yes"),1,0)</f>
        <v>0</v>
      </c>
      <c r="AN19">
        <f>IF(AND(Shotgun!B23=2,Shotgun!V23="Yes"),1,0)</f>
        <v>0</v>
      </c>
      <c r="AO19">
        <f>IF(AND(Shotgun!B23=3,Shotgun!V23="Yes"),1,0)</f>
        <v>0</v>
      </c>
      <c r="AP19">
        <f>IF(AND(Shotgun!B23=4,Shotgun!V23="Yes"),1,0)</f>
        <v>0</v>
      </c>
    </row>
    <row r="20" spans="4:42">
      <c r="D20">
        <f>IF(AND(Handgun!B23=1,Handgun!V23="Yes"),1,0)</f>
        <v>0</v>
      </c>
      <c r="E20">
        <f>IF(AND(Handgun!B23=2,Handgun!V23="Yes"),1,0)</f>
        <v>0</v>
      </c>
      <c r="F20">
        <f>IF(AND(Handgun!B23=3,Handgun!V23="Yes"),1,0)</f>
        <v>0</v>
      </c>
      <c r="G20">
        <f>IF(AND(Handgun!B23=4,Handgun!V23="Yes"),1,0)</f>
        <v>0</v>
      </c>
      <c r="I20">
        <f>IF(AND(Revolver!B23=1,Revolver!V23="Yes"),1,0)</f>
        <v>0</v>
      </c>
      <c r="J20">
        <f>IF(AND(Revolver!B23=1,Revolver!V23="Yes"),1,0)</f>
        <v>0</v>
      </c>
      <c r="K20">
        <f>IF(AND(Revolver!B23=1,Revolver!V23="Yes"),1,0)</f>
        <v>0</v>
      </c>
      <c r="L20">
        <f>IF(AND(Revolver!B23=1,Revolver!V23="Yes"),1,0)</f>
        <v>0</v>
      </c>
      <c r="N20">
        <f>IF(AND(SMG!B24=1,SMG!V24="Yes"),1,0)</f>
        <v>0</v>
      </c>
      <c r="O20">
        <f>IF(AND(SMG!B24=2,SMG!V24="Yes"),1,0)</f>
        <v>0</v>
      </c>
      <c r="P20">
        <f>IF(AND(Revolver!G23=1,Revolver!AB23="Yes"),1,0)</f>
        <v>0</v>
      </c>
      <c r="Q20">
        <f>IF(AND(SMG!B24=4,SMG!V24="Yes"),1,0)</f>
        <v>0</v>
      </c>
      <c r="S20">
        <f>IF(AND(Rifle!B24=1,Rifle!V24="Yes"),1,0)</f>
        <v>0</v>
      </c>
      <c r="T20">
        <f>IF(AND(Rifle!B24=2,Rifle!V24="Yes"),1,0)</f>
        <v>0</v>
      </c>
      <c r="U20">
        <f>IF(AND(Rifle!B24=3,Rifle!V24="Yes"),1,0)</f>
        <v>0</v>
      </c>
      <c r="V20">
        <f>IF(AND(Rifle!B24=4,Rifle!V24="Yes"),1,0)</f>
        <v>0</v>
      </c>
      <c r="X20">
        <f>IF(AND('Sniper Rifle'!B23=1,'Sniper Rifle'!V23="Yes"),1,0)</f>
        <v>0</v>
      </c>
      <c r="Y20">
        <f>IF(AND('Sniper Rifle'!B23=2,'Sniper Rifle'!V23="Yes"),1,0)</f>
        <v>0</v>
      </c>
      <c r="Z20">
        <f>IF(AND('Sniper Rifle'!B23=3,'Sniper Rifle'!V23="Yes"),1,0)</f>
        <v>0</v>
      </c>
      <c r="AA20">
        <f>IF(AND('Sniper Rifle'!B23=4,'Sniper Rifle'!V23="Yes"),1,0)</f>
        <v>0</v>
      </c>
      <c r="AC20">
        <f>IF(AND('Spacer Rifle'!B23=1,'Spacer Rifle'!V23="Yes"),1,0)</f>
        <v>0</v>
      </c>
      <c r="AD20">
        <f>IF(AND('Spacer Rifle'!B23=2,'Spacer Rifle'!V23="Yes"),1,0)</f>
        <v>0</v>
      </c>
      <c r="AE20">
        <f>IF(AND('Spacer Rifle'!B23=3,'Spacer Rifle'!V23="Yes"),1,0)</f>
        <v>0</v>
      </c>
      <c r="AF20">
        <f>IF(AND('Spacer Rifle'!B23=4,'Spacer Rifle'!V23="Yes"),1,0)</f>
        <v>0</v>
      </c>
      <c r="AH20">
        <f>IF(AND(LMG!B24=1,LMG!V24="Yes"),1,0)</f>
        <v>0</v>
      </c>
      <c r="AI20">
        <f>IF(AND(LMG!B24=2,LMG!V24="Yes"),1,0)</f>
        <v>0</v>
      </c>
      <c r="AJ20">
        <f>IF(AND(LMG!B24=3,LMG!V24="Yes"),1,0)</f>
        <v>0</v>
      </c>
      <c r="AK20">
        <f>IF(AND(LMG!B24=4,LMG!V24="Yes"),1,0)</f>
        <v>0</v>
      </c>
      <c r="AM20">
        <f>IF(AND(Shotgun!B24=1,Shotgun!V24="Yes"),1,0)</f>
        <v>0</v>
      </c>
      <c r="AN20">
        <f>IF(AND(Shotgun!B24=2,Shotgun!V24="Yes"),1,0)</f>
        <v>0</v>
      </c>
      <c r="AO20">
        <f>IF(AND(Shotgun!B24=3,Shotgun!V24="Yes"),1,0)</f>
        <v>0</v>
      </c>
      <c r="AP20">
        <f>IF(AND(Shotgun!B24=4,Shotgun!V24="Yes"),1,0)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V20"/>
  <sheetViews>
    <sheetView workbookViewId="0">
      <selection activeCell="G9" sqref="G9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0" customWidth="1"/>
    <col min="12" max="12" width="12" customWidth="1"/>
    <col min="13" max="13" width="8.85546875" customWidth="1"/>
    <col min="14" max="14" width="11.140625" customWidth="1"/>
    <col min="15" max="15" width="13.425781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2">
      <c r="A1" s="1" t="s">
        <v>0</v>
      </c>
      <c r="C1" t="s">
        <v>24</v>
      </c>
      <c r="F1" s="1" t="s">
        <v>79</v>
      </c>
    </row>
    <row r="2" spans="1:22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</row>
    <row r="3" spans="1:22" ht="15.75" thickBot="1">
      <c r="A3" t="s">
        <v>1</v>
      </c>
      <c r="B3" t="s">
        <v>40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83</v>
      </c>
      <c r="U3" s="16" t="s">
        <v>84</v>
      </c>
      <c r="V3" s="21" t="s">
        <v>96</v>
      </c>
    </row>
    <row r="4" spans="1:22" ht="15.75" thickTop="1">
      <c r="A4" s="6" t="s">
        <v>43</v>
      </c>
      <c r="B4" s="11" t="s">
        <v>41</v>
      </c>
      <c r="C4" s="2">
        <f>SUM(((Table168[[#This Row],[Avg DPS]]*(Table168[[#This Row],[Range]]))+(Table168[[#This Row],[Avg DPS]]*Table168[[#This Row],[Arm Pen (%)]]))/100)</f>
        <v>1.6289210526315787</v>
      </c>
      <c r="D4" s="3">
        <f>SUM(Table168[[#This Row],[DPS]]*Table168[[#This Row],[Avg Accuracy]])</f>
        <v>3.7105263157894735</v>
      </c>
      <c r="E4" s="2">
        <f>SUM((Table168[[#This Row],[Damage]]*Table168[[#This Row],[Burst]])/(Table168[[#This Row],[Ranged Cooldown]]+Table168[[#This Row],[Warm-up]]+(Table168[[#This Row],[Burst Time]]*(Table168[[#This Row],[Burst]]-1))))</f>
        <v>6.3157894736842097</v>
      </c>
      <c r="F4">
        <v>25.9</v>
      </c>
      <c r="G4" s="2">
        <f>SUM((Table168[[#This Row],[Accuracy (Close)]]+Table168[[#This Row],[Accuracy (Short)]]+Table168[[#This Row],[Accuracy (Medium)]]+Table168[[#This Row],[Accuracy (Long)]])/4)</f>
        <v>0.58750000000000002</v>
      </c>
      <c r="H4">
        <v>12</v>
      </c>
      <c r="I4">
        <v>1</v>
      </c>
      <c r="J4">
        <v>18</v>
      </c>
      <c r="K4">
        <v>1</v>
      </c>
      <c r="L4">
        <v>1.6</v>
      </c>
      <c r="M4">
        <v>0.3</v>
      </c>
      <c r="N4">
        <v>0</v>
      </c>
      <c r="O4" s="2">
        <v>1.6</v>
      </c>
      <c r="P4">
        <v>0.8</v>
      </c>
      <c r="Q4">
        <v>0.75</v>
      </c>
      <c r="R4">
        <v>0.45</v>
      </c>
      <c r="S4">
        <v>0.35</v>
      </c>
      <c r="T4" s="17">
        <v>55</v>
      </c>
      <c r="U4" s="18"/>
      <c r="V4" s="22"/>
    </row>
    <row r="5" spans="1:22">
      <c r="A5" s="5"/>
      <c r="B5" s="12"/>
      <c r="C5" s="2" t="e">
        <f>SUM(((Table168[[#This Row],[Avg DPS]]*(Table168[[#This Row],[Range]]))+(Table168[[#This Row],[Avg DPS]]*Table168[[#This Row],[Arm Pen (%)]]))/100)</f>
        <v>#DIV/0!</v>
      </c>
      <c r="D5" s="3" t="e">
        <f>SUM(Table168[[#This Row],[DPS]]*Table168[[#This Row],[Avg Accuracy]])</f>
        <v>#DIV/0!</v>
      </c>
      <c r="E5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5" s="2">
        <f>SUM((Table168[[#This Row],[Accuracy (Close)]]+Table168[[#This Row],[Accuracy (Short)]]+Table168[[#This Row],[Accuracy (Medium)]]+Table168[[#This Row],[Accuracy (Long)]])/4)</f>
        <v>0</v>
      </c>
      <c r="O5" s="2" t="e">
        <f t="shared" ref="O5:O20" si="0">60/N5</f>
        <v>#DIV/0!</v>
      </c>
      <c r="T5" s="19"/>
      <c r="U5" s="20"/>
      <c r="V5" s="23"/>
    </row>
    <row r="6" spans="1:22">
      <c r="A6" s="5"/>
      <c r="B6" s="12"/>
      <c r="C6" s="2" t="e">
        <f>SUM(((Table168[[#This Row],[Avg DPS]]*(Table168[[#This Row],[Range]]))+(Table168[[#This Row],[Avg DPS]]*Table168[[#This Row],[Arm Pen (%)]]))/100)</f>
        <v>#DIV/0!</v>
      </c>
      <c r="D6" s="3" t="e">
        <f>SUM(Table168[[#This Row],[DPS]]*Table168[[#This Row],[Avg Accuracy]])</f>
        <v>#DIV/0!</v>
      </c>
      <c r="E6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6" s="2">
        <f>SUM((Table168[[#This Row],[Accuracy (Close)]]+Table168[[#This Row],[Accuracy (Short)]]+Table168[[#This Row],[Accuracy (Medium)]]+Table168[[#This Row],[Accuracy (Long)]])/4)</f>
        <v>0</v>
      </c>
      <c r="O6" s="2" t="e">
        <f t="shared" si="0"/>
        <v>#DIV/0!</v>
      </c>
      <c r="T6" s="17"/>
      <c r="U6" s="18"/>
      <c r="V6" s="22"/>
    </row>
    <row r="7" spans="1:22">
      <c r="A7" s="5"/>
      <c r="B7" s="12"/>
      <c r="C7" s="2" t="e">
        <f>SUM(((Table168[[#This Row],[Avg DPS]]*(Table168[[#This Row],[Range]]))+(Table168[[#This Row],[Avg DPS]]*Table168[[#This Row],[Arm Pen (%)]]))/100)</f>
        <v>#DIV/0!</v>
      </c>
      <c r="D7" s="3" t="e">
        <f>SUM(Table168[[#This Row],[DPS]]*Table168[[#This Row],[Avg Accuracy]])</f>
        <v>#DIV/0!</v>
      </c>
      <c r="E7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7" s="2">
        <f>SUM((Table168[[#This Row],[Accuracy (Close)]]+Table168[[#This Row],[Accuracy (Short)]]+Table168[[#This Row],[Accuracy (Medium)]]+Table168[[#This Row],[Accuracy (Long)]])/4)</f>
        <v>0</v>
      </c>
      <c r="O7" s="2" t="e">
        <f t="shared" si="0"/>
        <v>#DIV/0!</v>
      </c>
      <c r="T7" s="19"/>
      <c r="U7" s="20"/>
      <c r="V7" s="23"/>
    </row>
    <row r="8" spans="1:22">
      <c r="A8" s="5"/>
      <c r="B8" s="12"/>
      <c r="C8" s="2" t="e">
        <f>SUM(((Table168[[#This Row],[Avg DPS]]*(Table168[[#This Row],[Range]]))+(Table168[[#This Row],[Avg DPS]]*Table168[[#This Row],[Arm Pen (%)]]))/100)</f>
        <v>#DIV/0!</v>
      </c>
      <c r="D8" s="3" t="e">
        <f>SUM(Table168[[#This Row],[DPS]]*Table168[[#This Row],[Avg Accuracy]])</f>
        <v>#DIV/0!</v>
      </c>
      <c r="E8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8" s="2">
        <f>SUM((Table168[[#This Row],[Accuracy (Close)]]+Table168[[#This Row],[Accuracy (Short)]]+Table168[[#This Row],[Accuracy (Medium)]]+Table168[[#This Row],[Accuracy (Long)]])/4)</f>
        <v>0</v>
      </c>
      <c r="O8" s="2" t="e">
        <f t="shared" si="0"/>
        <v>#DIV/0!</v>
      </c>
      <c r="T8" s="17"/>
      <c r="U8" s="18"/>
      <c r="V8" s="22"/>
    </row>
    <row r="9" spans="1:22">
      <c r="A9" s="5"/>
      <c r="B9" s="12"/>
      <c r="C9" s="2" t="e">
        <f>SUM(((Table168[[#This Row],[Avg DPS]]*(Table168[[#This Row],[Range]]))+(Table168[[#This Row],[Avg DPS]]*Table168[[#This Row],[Arm Pen (%)]]))/100)</f>
        <v>#DIV/0!</v>
      </c>
      <c r="D9" s="3" t="e">
        <f>SUM(Table168[[#This Row],[DPS]]*Table168[[#This Row],[Avg Accuracy]])</f>
        <v>#DIV/0!</v>
      </c>
      <c r="E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9" s="2">
        <f>SUM((Table168[[#This Row],[Accuracy (Close)]]+Table168[[#This Row],[Accuracy (Short)]]+Table168[[#This Row],[Accuracy (Medium)]]+Table168[[#This Row],[Accuracy (Long)]])/4)</f>
        <v>0</v>
      </c>
      <c r="O9" s="2" t="e">
        <f t="shared" si="0"/>
        <v>#DIV/0!</v>
      </c>
      <c r="T9" s="19"/>
      <c r="U9" s="20"/>
      <c r="V9" s="23"/>
    </row>
    <row r="10" spans="1:22">
      <c r="A10" s="5"/>
      <c r="B10" s="12"/>
      <c r="C10" s="2" t="e">
        <f>SUM(((Table168[[#This Row],[Avg DPS]]*(Table168[[#This Row],[Range]]))+(Table168[[#This Row],[Avg DPS]]*Table168[[#This Row],[Arm Pen (%)]]))/100)</f>
        <v>#DIV/0!</v>
      </c>
      <c r="D10" s="3" t="e">
        <f>SUM(Table168[[#This Row],[DPS]]*Table168[[#This Row],[Avg Accuracy]])</f>
        <v>#DIV/0!</v>
      </c>
      <c r="E1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0" s="2">
        <f>SUM((Table168[[#This Row],[Accuracy (Close)]]+Table168[[#This Row],[Accuracy (Short)]]+Table168[[#This Row],[Accuracy (Medium)]]+Table168[[#This Row],[Accuracy (Long)]])/4)</f>
        <v>0</v>
      </c>
      <c r="O10" s="2" t="e">
        <f t="shared" si="0"/>
        <v>#DIV/0!</v>
      </c>
      <c r="T10" s="17"/>
      <c r="U10" s="18"/>
      <c r="V10" s="22"/>
    </row>
    <row r="11" spans="1:22">
      <c r="B11" s="12"/>
      <c r="C11" s="2" t="e">
        <f>SUM(((Table168[[#This Row],[Avg DPS]]*(Table168[[#This Row],[Range]]))+(Table168[[#This Row],[Avg DPS]]*Table168[[#This Row],[Arm Pen (%)]]))/100)</f>
        <v>#DIV/0!</v>
      </c>
      <c r="D11" s="3" t="e">
        <f>SUM(Table168[[#This Row],[DPS]]*Table168[[#This Row],[Avg Accuracy]])</f>
        <v>#DIV/0!</v>
      </c>
      <c r="E11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1" s="2">
        <f>SUM((Table168[[#This Row],[Accuracy (Close)]]+Table168[[#This Row],[Accuracy (Short)]]+Table168[[#This Row],[Accuracy (Medium)]]+Table168[[#This Row],[Accuracy (Long)]])/4)</f>
        <v>0</v>
      </c>
      <c r="O11" s="2" t="e">
        <f t="shared" si="0"/>
        <v>#DIV/0!</v>
      </c>
      <c r="T11" s="19"/>
      <c r="U11" s="20"/>
      <c r="V11" s="23"/>
    </row>
    <row r="12" spans="1:22">
      <c r="B12" s="12"/>
      <c r="C12" s="2" t="e">
        <f>SUM(((Table168[[#This Row],[Avg DPS]]*(Table168[[#This Row],[Range]]))+(Table168[[#This Row],[Avg DPS]]*Table168[[#This Row],[Arm Pen (%)]]))/100)</f>
        <v>#DIV/0!</v>
      </c>
      <c r="D12" s="3" t="e">
        <f>SUM(Table168[[#This Row],[DPS]]*Table168[[#This Row],[Avg Accuracy]])</f>
        <v>#DIV/0!</v>
      </c>
      <c r="E12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2" s="2">
        <f>SUM((Table168[[#This Row],[Accuracy (Close)]]+Table168[[#This Row],[Accuracy (Short)]]+Table168[[#This Row],[Accuracy (Medium)]]+Table168[[#This Row],[Accuracy (Long)]])/4)</f>
        <v>0</v>
      </c>
      <c r="O12" s="2" t="e">
        <f t="shared" si="0"/>
        <v>#DIV/0!</v>
      </c>
      <c r="T12" s="17"/>
      <c r="U12" s="18"/>
      <c r="V12" s="22"/>
    </row>
    <row r="13" spans="1:22">
      <c r="B13" s="12"/>
      <c r="C13" s="2" t="e">
        <f>SUM(((Table168[[#This Row],[Avg DPS]]*(Table168[[#This Row],[Range]]))+(Table168[[#This Row],[Avg DPS]]*Table168[[#This Row],[Arm Pen (%)]]))/100)</f>
        <v>#DIV/0!</v>
      </c>
      <c r="D13" s="3" t="e">
        <f>SUM(Table168[[#This Row],[DPS]]*Table168[[#This Row],[Avg Accuracy]])</f>
        <v>#DIV/0!</v>
      </c>
      <c r="E13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3" s="2">
        <f>SUM((Table168[[#This Row],[Accuracy (Close)]]+Table168[[#This Row],[Accuracy (Short)]]+Table168[[#This Row],[Accuracy (Medium)]]+Table168[[#This Row],[Accuracy (Long)]])/4)</f>
        <v>0</v>
      </c>
      <c r="O13" s="2" t="e">
        <f t="shared" si="0"/>
        <v>#DIV/0!</v>
      </c>
      <c r="T13" s="19"/>
      <c r="U13" s="20"/>
      <c r="V13" s="23"/>
    </row>
    <row r="14" spans="1:22">
      <c r="B14" s="12"/>
      <c r="C14" s="2" t="e">
        <f>SUM(((Table168[[#This Row],[Avg DPS]]*(Table168[[#This Row],[Range]]))+(Table168[[#This Row],[Avg DPS]]*Table168[[#This Row],[Arm Pen (%)]]))/100)</f>
        <v>#DIV/0!</v>
      </c>
      <c r="D14" s="3" t="e">
        <f>SUM(Table168[[#This Row],[DPS]]*Table168[[#This Row],[Avg Accuracy]])</f>
        <v>#DIV/0!</v>
      </c>
      <c r="E14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4" s="2">
        <f>SUM((Table168[[#This Row],[Accuracy (Close)]]+Table168[[#This Row],[Accuracy (Short)]]+Table168[[#This Row],[Accuracy (Medium)]]+Table168[[#This Row],[Accuracy (Long)]])/4)</f>
        <v>0</v>
      </c>
      <c r="O14" s="2" t="e">
        <f t="shared" si="0"/>
        <v>#DIV/0!</v>
      </c>
      <c r="T14" s="17"/>
      <c r="U14" s="18"/>
      <c r="V14" s="22"/>
    </row>
    <row r="15" spans="1:22">
      <c r="B15" s="12"/>
      <c r="C15" s="2" t="e">
        <f>SUM(((Table168[[#This Row],[Avg DPS]]*(Table168[[#This Row],[Range]]))+(Table168[[#This Row],[Avg DPS]]*Table168[[#This Row],[Arm Pen (%)]]))/100)</f>
        <v>#DIV/0!</v>
      </c>
      <c r="D15" s="3" t="e">
        <f>SUM(Table168[[#This Row],[DPS]]*Table168[[#This Row],[Avg Accuracy]])</f>
        <v>#DIV/0!</v>
      </c>
      <c r="E15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5" s="2">
        <f>SUM((Table168[[#This Row],[Accuracy (Close)]]+Table168[[#This Row],[Accuracy (Short)]]+Table168[[#This Row],[Accuracy (Medium)]]+Table168[[#This Row],[Accuracy (Long)]])/4)</f>
        <v>0</v>
      </c>
      <c r="O15" s="2" t="e">
        <f t="shared" si="0"/>
        <v>#DIV/0!</v>
      </c>
      <c r="T15" s="19"/>
      <c r="U15" s="20"/>
      <c r="V15" s="23"/>
    </row>
    <row r="16" spans="1:22">
      <c r="B16" s="12"/>
      <c r="C16" s="2" t="e">
        <f>SUM(((Table168[[#This Row],[Avg DPS]]*(Table168[[#This Row],[Range]]))+(Table168[[#This Row],[Avg DPS]]*Table168[[#This Row],[Arm Pen (%)]]))/100)</f>
        <v>#DIV/0!</v>
      </c>
      <c r="D16" s="3" t="e">
        <f>SUM(Table168[[#This Row],[DPS]]*Table168[[#This Row],[Avg Accuracy]])</f>
        <v>#DIV/0!</v>
      </c>
      <c r="E16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6" s="2">
        <f>SUM((Table168[[#This Row],[Accuracy (Close)]]+Table168[[#This Row],[Accuracy (Short)]]+Table168[[#This Row],[Accuracy (Medium)]]+Table168[[#This Row],[Accuracy (Long)]])/4)</f>
        <v>0</v>
      </c>
      <c r="O16" s="2" t="e">
        <f t="shared" si="0"/>
        <v>#DIV/0!</v>
      </c>
      <c r="T16" s="17"/>
      <c r="U16" s="18"/>
      <c r="V16" s="22"/>
    </row>
    <row r="17" spans="1:22">
      <c r="B17" s="12"/>
      <c r="C17" s="2" t="e">
        <f>SUM(((Table168[[#This Row],[Avg DPS]]*(Table168[[#This Row],[Range]]))+(Table168[[#This Row],[Avg DPS]]*Table168[[#This Row],[Arm Pen (%)]]))/100)</f>
        <v>#DIV/0!</v>
      </c>
      <c r="D17" s="3" t="e">
        <f>SUM(Table168[[#This Row],[DPS]]*Table168[[#This Row],[Avg Accuracy]])</f>
        <v>#DIV/0!</v>
      </c>
      <c r="E17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7" s="2">
        <f>SUM((Table168[[#This Row],[Accuracy (Close)]]+Table168[[#This Row],[Accuracy (Short)]]+Table168[[#This Row],[Accuracy (Medium)]]+Table168[[#This Row],[Accuracy (Long)]])/4)</f>
        <v>0</v>
      </c>
      <c r="O17" s="2" t="e">
        <f t="shared" si="0"/>
        <v>#DIV/0!</v>
      </c>
      <c r="T17" s="19"/>
      <c r="U17" s="20"/>
      <c r="V17" s="23"/>
    </row>
    <row r="18" spans="1:22" s="4" customFormat="1">
      <c r="A18"/>
      <c r="B18" s="12"/>
      <c r="C18" s="2" t="e">
        <f>SUM(((Table168[[#This Row],[Avg DPS]]*(Table168[[#This Row],[Range]]))+(Table168[[#This Row],[Avg DPS]]*Table168[[#This Row],[Arm Pen (%)]]))/100)</f>
        <v>#DIV/0!</v>
      </c>
      <c r="D18" s="3" t="e">
        <f>SUM(Table168[[#This Row],[DPS]]*Table168[[#This Row],[Avg Accuracy]])</f>
        <v>#DIV/0!</v>
      </c>
      <c r="E18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18"/>
      <c r="G18" s="2">
        <f>SUM((Table168[[#This Row],[Accuracy (Close)]]+Table168[[#This Row],[Accuracy (Short)]]+Table168[[#This Row],[Accuracy (Medium)]]+Table168[[#This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 s="17"/>
      <c r="U18" s="18"/>
      <c r="V18" s="22"/>
    </row>
    <row r="19" spans="1:22">
      <c r="B19" s="12"/>
      <c r="C19" s="2" t="e">
        <f>SUM(((Table168[[#This Row],[Avg DPS]]*(Table168[[#This Row],[Range]]))+(Table168[[#This Row],[Avg DPS]]*Table168[[#This Row],[Arm Pen (%)]]))/100)</f>
        <v>#DIV/0!</v>
      </c>
      <c r="D19" s="3" t="e">
        <f>SUM(Table168[[#This Row],[DPS]]*Table168[[#This Row],[Avg Accuracy]])</f>
        <v>#DIV/0!</v>
      </c>
      <c r="E1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9" s="2">
        <f>SUM((Table168[[#This Row],[Accuracy (Close)]]+Table168[[#This Row],[Accuracy (Short)]]+Table168[[#This Row],[Accuracy (Medium)]]+Table168[[#This Row],[Accuracy (Long)]])/4)</f>
        <v>0</v>
      </c>
      <c r="O19" s="2" t="e">
        <f t="shared" si="0"/>
        <v>#DIV/0!</v>
      </c>
    </row>
    <row r="20" spans="1:22">
      <c r="A20" s="7"/>
      <c r="B20" s="13"/>
      <c r="C20" s="2" t="e">
        <f>SUM(((Table168[[#This Row],[Avg DPS]]*(Table168[[#This Row],[Range]]))+(Table168[[#This Row],[Avg DPS]]*Table168[[#This Row],[Arm Pen (%)]]))/100)</f>
        <v>#DIV/0!</v>
      </c>
      <c r="D20" s="3" t="e">
        <f>SUM(Table168[[#This Row],[DPS]]*Table168[[#This Row],[Avg Accuracy]])</f>
        <v>#DIV/0!</v>
      </c>
      <c r="E2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20" s="7"/>
      <c r="G20" s="2">
        <f>SUM((Table168[[#This Row],[Accuracy (Close)]]+Table168[[#This Row],[Accuracy (Short)]]+Table168[[#This Row],[Accuracy (Medium)]]+Table168[[#This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</row>
  </sheetData>
  <conditionalFormatting sqref="C5">
    <cfRule type="cellIs" dxfId="62" priority="1" operator="greaterThan">
      <formula>1.63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V19"/>
  <sheetViews>
    <sheetView workbookViewId="0">
      <selection activeCell="S20" sqref="S20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9.42578125" customWidth="1"/>
    <col min="12" max="12" width="12" customWidth="1"/>
    <col min="13" max="13" width="8.85546875" customWidth="1"/>
    <col min="14" max="14" width="13.5703125" customWidth="1"/>
    <col min="15" max="15" width="13.425781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2">
      <c r="A1" s="1" t="s">
        <v>0</v>
      </c>
      <c r="C1" t="s">
        <v>24</v>
      </c>
      <c r="F1" s="1" t="s">
        <v>88</v>
      </c>
    </row>
    <row r="2" spans="1:22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</row>
    <row r="3" spans="1:22" ht="15.75" thickBot="1">
      <c r="A3" t="s">
        <v>1</v>
      </c>
      <c r="B3" t="s">
        <v>40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83</v>
      </c>
      <c r="U3" s="16" t="s">
        <v>84</v>
      </c>
      <c r="V3" s="21" t="s">
        <v>96</v>
      </c>
    </row>
    <row r="4" spans="1:22" ht="15.75" thickTop="1">
      <c r="A4" s="6" t="s">
        <v>2</v>
      </c>
      <c r="B4" s="11" t="s">
        <v>41</v>
      </c>
      <c r="C4" s="2">
        <f>SUM(((Table16[[#This Row],[Avg DPS]]*(Table16[[#This Row],[Range]]))+(Table16[[#This Row],[Avg DPS]]*Table16[[#This Row],[Arm Pen (%)]]))/100)</f>
        <v>2.5872144324194362</v>
      </c>
      <c r="D4" s="3">
        <f>SUM(Table16[[#This Row],[DPS]]*Table16[[#This Row],[Avg Accuracy]])</f>
        <v>6.3257076587272287</v>
      </c>
      <c r="E4" s="2">
        <f>SUM((Table16[[#This Row],[Damage]]*Table16[[#This Row],[Burst]])/(Table16[[#This Row],[Ranged Cooldown]]+Table16[[#This Row],[Warm-up]]+(Table16[[#This Row],[Burst Time]]*(Table16[[#This Row],[Burst]]-1))))</f>
        <v>12.342844212150689</v>
      </c>
      <c r="F4">
        <v>22.9</v>
      </c>
      <c r="G4" s="2">
        <f>SUM((Table16[[#This Row],[Accuracy (Close)]]+Table16[[#This Row],[Accuracy (Short)]]+Table16[[#This Row],[Accuracy (Medium)]]+Table16[[#This Row],[Accuracy (Long)]])/4)</f>
        <v>0.51250000000000007</v>
      </c>
      <c r="H4">
        <v>12</v>
      </c>
      <c r="I4">
        <v>0.5</v>
      </c>
      <c r="J4">
        <v>18</v>
      </c>
      <c r="K4">
        <v>3</v>
      </c>
      <c r="L4">
        <v>1.65</v>
      </c>
      <c r="M4">
        <v>0.9</v>
      </c>
      <c r="N4">
        <v>327.27</v>
      </c>
      <c r="O4" s="2">
        <f>60/N4</f>
        <v>0.1833348611238427</v>
      </c>
      <c r="P4">
        <v>0.85</v>
      </c>
      <c r="Q4">
        <v>0.65</v>
      </c>
      <c r="R4">
        <v>0.35</v>
      </c>
      <c r="S4">
        <v>0.2</v>
      </c>
      <c r="T4" s="17">
        <v>48</v>
      </c>
      <c r="U4" s="18"/>
      <c r="V4" s="24" t="s">
        <v>97</v>
      </c>
    </row>
    <row r="5" spans="1:22">
      <c r="A5" s="6" t="s">
        <v>28</v>
      </c>
      <c r="B5" s="11" t="s">
        <v>41</v>
      </c>
      <c r="C5" s="2">
        <f>SUM(((Table16[[#This Row],[Avg DPS]]*(Table16[[#This Row],[Range]]))+(Table16[[#This Row],[Avg DPS]]*Table16[[#This Row],[Arm Pen (%)]]))/100)</f>
        <v>1.637910113142049</v>
      </c>
      <c r="D5" s="3">
        <f>SUM(Table16[[#This Row],[DPS]]*Table16[[#This Row],[Avg Accuracy]])</f>
        <v>5.6479659073863759</v>
      </c>
      <c r="E5" s="2">
        <f>SUM((Table16[[#This Row],[Damage]]*Table16[[#This Row],[Burst]])/(Table16[[#This Row],[Ranged Cooldown]]+Table16[[#This Row],[Warm-up]]+(Table16[[#This Row],[Burst Time]]*(Table16[[#This Row],[Burst]]-1))))</f>
        <v>11.020421282705124</v>
      </c>
      <c r="F5">
        <v>20</v>
      </c>
      <c r="G5" s="2">
        <f>SUM((Table16[[#This Row],[Accuracy (Close)]]+Table16[[#This Row],[Accuracy (Short)]]+Table16[[#This Row],[Accuracy (Medium)]]+Table16[[#This Row],[Accuracy (Long)]])/4)</f>
        <v>0.51249999999999996</v>
      </c>
      <c r="H5">
        <v>6</v>
      </c>
      <c r="I5">
        <v>0.5</v>
      </c>
      <c r="J5">
        <v>9</v>
      </c>
      <c r="K5">
        <v>3</v>
      </c>
      <c r="L5">
        <v>0.9</v>
      </c>
      <c r="M5">
        <v>0.5</v>
      </c>
      <c r="N5">
        <v>514.29</v>
      </c>
      <c r="O5" s="2">
        <f>60/N5</f>
        <v>0.11666569445254624</v>
      </c>
      <c r="P5">
        <v>0.9</v>
      </c>
      <c r="Q5">
        <v>0.65</v>
      </c>
      <c r="R5">
        <v>0.35</v>
      </c>
      <c r="S5">
        <v>0.15</v>
      </c>
      <c r="T5" s="19"/>
      <c r="U5" s="20"/>
      <c r="V5" s="25" t="s">
        <v>97</v>
      </c>
    </row>
    <row r="6" spans="1:22">
      <c r="A6" s="14" t="s">
        <v>20</v>
      </c>
      <c r="B6" s="12">
        <v>1</v>
      </c>
      <c r="C6" s="2">
        <f>SUM(((Table16[[#This Row],[Avg DPS]]*(Table16[[#This Row],[Range]]))+(Table16[[#This Row],[Avg DPS]]*Table16[[#This Row],[Arm Pen (%)]]))/100)</f>
        <v>2.1377072368421057</v>
      </c>
      <c r="D6" s="3">
        <f>SUM(Table16[[#This Row],[DPS]]*Table16[[#This Row],[Avg Accuracy]])</f>
        <v>6.3059210526315796</v>
      </c>
      <c r="E6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6">
        <v>20.9</v>
      </c>
      <c r="G6" s="2">
        <f>SUM((Table16[[#This Row],[Accuracy (Close)]]+Table16[[#This Row],[Accuracy (Short)]]+Table16[[#This Row],[Accuracy (Medium)]]+Table16[[#This Row],[Accuracy (Long)]])/4)</f>
        <v>0.53250000000000008</v>
      </c>
      <c r="H6">
        <v>10</v>
      </c>
      <c r="I6">
        <v>0.5</v>
      </c>
      <c r="J6">
        <v>13</v>
      </c>
      <c r="K6">
        <v>3</v>
      </c>
      <c r="L6">
        <v>1.5</v>
      </c>
      <c r="M6">
        <v>0.7</v>
      </c>
      <c r="N6">
        <v>360</v>
      </c>
      <c r="O6" s="2">
        <f t="shared" ref="O6:O8" si="0">60/N6</f>
        <v>0.16666666666666666</v>
      </c>
      <c r="P6">
        <v>0.9</v>
      </c>
      <c r="Q6">
        <v>0.74</v>
      </c>
      <c r="R6">
        <v>0.33</v>
      </c>
      <c r="S6">
        <v>0.16</v>
      </c>
      <c r="T6" s="17">
        <v>48</v>
      </c>
      <c r="U6" s="18"/>
      <c r="V6" s="24" t="s">
        <v>97</v>
      </c>
    </row>
    <row r="7" spans="1:22">
      <c r="A7" t="s">
        <v>22</v>
      </c>
      <c r="B7" s="12">
        <v>1</v>
      </c>
      <c r="C7" s="2">
        <f>SUM(((Table16[[#This Row],[Avg DPS]]*(Table16[[#This Row],[Range]]))+(Table16[[#This Row],[Avg DPS]]*Table16[[#This Row],[Arm Pen (%)]]))/100)</f>
        <v>2.1038684210526313</v>
      </c>
      <c r="D7" s="3">
        <f>SUM(Table16[[#This Row],[DPS]]*Table16[[#This Row],[Avg Accuracy]])</f>
        <v>6.3947368421052628</v>
      </c>
      <c r="E7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7">
        <v>20.9</v>
      </c>
      <c r="G7" s="2">
        <f>SUM((Table16[[#This Row],[Accuracy (Close)]]+Table16[[#This Row],[Accuracy (Short)]]+Table16[[#This Row],[Accuracy (Medium)]]+Table16[[#This Row],[Accuracy (Long)]])/4)</f>
        <v>0.54</v>
      </c>
      <c r="H7">
        <v>10</v>
      </c>
      <c r="I7">
        <v>0.5</v>
      </c>
      <c r="J7">
        <v>12</v>
      </c>
      <c r="K7">
        <v>3</v>
      </c>
      <c r="L7">
        <v>1.5</v>
      </c>
      <c r="M7">
        <v>0.7</v>
      </c>
      <c r="N7">
        <v>360</v>
      </c>
      <c r="O7" s="2">
        <f>60/N7</f>
        <v>0.16666666666666666</v>
      </c>
      <c r="P7">
        <v>0.9</v>
      </c>
      <c r="Q7">
        <v>0.73</v>
      </c>
      <c r="R7">
        <v>0.35</v>
      </c>
      <c r="S7">
        <v>0.18</v>
      </c>
      <c r="T7" s="19">
        <v>45</v>
      </c>
      <c r="U7" s="20"/>
      <c r="V7" s="25" t="s">
        <v>98</v>
      </c>
    </row>
    <row r="8" spans="1:22">
      <c r="A8" s="4" t="s">
        <v>152</v>
      </c>
      <c r="B8" s="12">
        <v>1</v>
      </c>
      <c r="C8" s="2">
        <f>SUM(((Table16[[#This Row],[Avg DPS]]*(Table16[[#This Row],[Range]]))+(Table16[[#This Row],[Avg DPS]]*Table16[[#This Row],[Arm Pen (%)]]))/100)</f>
        <v>1.7577</v>
      </c>
      <c r="D8" s="3">
        <f>SUM(Table16[[#This Row],[DPS]]*Table16[[#This Row],[Avg Accuracy]])</f>
        <v>6.3000000000000007</v>
      </c>
      <c r="E8" s="2">
        <f>SUM((Table16[[#This Row],[Damage]]*Table16[[#This Row],[Burst]])/(Table16[[#This Row],[Ranged Cooldown]]+Table16[[#This Row],[Warm-up]]+(Table16[[#This Row],[Burst Time]]*(Table16[[#This Row],[Burst]]-1))))</f>
        <v>12.600000000000001</v>
      </c>
      <c r="F8">
        <v>18.899999999999999</v>
      </c>
      <c r="G8" s="2">
        <f>SUM((Table16[[#This Row],[Accuracy (Close)]]+Table16[[#This Row],[Accuracy (Short)]]+Table16[[#This Row],[Accuracy (Medium)]]+Table16[[#This Row],[Accuracy (Long)]])/4)</f>
        <v>0.5</v>
      </c>
      <c r="H8">
        <v>7</v>
      </c>
      <c r="I8">
        <v>0.5</v>
      </c>
      <c r="J8">
        <v>9</v>
      </c>
      <c r="K8">
        <v>3</v>
      </c>
      <c r="L8">
        <v>0.9</v>
      </c>
      <c r="M8">
        <v>0.5</v>
      </c>
      <c r="N8">
        <v>450</v>
      </c>
      <c r="O8" s="2">
        <f t="shared" si="0"/>
        <v>0.13333333333333333</v>
      </c>
      <c r="P8">
        <v>0.93</v>
      </c>
      <c r="Q8">
        <v>0.67</v>
      </c>
      <c r="R8">
        <v>0.3</v>
      </c>
      <c r="S8">
        <v>0.1</v>
      </c>
      <c r="T8" s="17"/>
      <c r="U8" s="18"/>
      <c r="V8" s="24" t="s">
        <v>98</v>
      </c>
    </row>
    <row r="9" spans="1:22">
      <c r="A9" s="4" t="s">
        <v>26</v>
      </c>
      <c r="B9" s="12">
        <v>1</v>
      </c>
      <c r="C9" s="2">
        <f>SUM(((Table16[[#This Row],[Avg DPS]]*(Table16[[#This Row],[Range]]))+(Table16[[#This Row],[Avg DPS]]*Table16[[#This Row],[Arm Pen (%)]]))/100)</f>
        <v>1.7627605566218807</v>
      </c>
      <c r="D9" s="3">
        <f>SUM(Table16[[#This Row],[DPS]]*Table16[[#This Row],[Avg Accuracy]])</f>
        <v>6.318138195777351</v>
      </c>
      <c r="E9" s="2">
        <f>SUM((Table16[[#This Row],[Damage]]*Table16[[#This Row],[Burst]])/(Table16[[#This Row],[Ranged Cooldown]]+Table16[[#This Row],[Warm-up]]+(Table16[[#This Row],[Burst Time]]*(Table16[[#This Row],[Burst]]-1))))</f>
        <v>12.092130518234166</v>
      </c>
      <c r="F9" s="4">
        <v>18.899999999999999</v>
      </c>
      <c r="G9" s="2">
        <f>SUM((Table16[[#This Row],[Accuracy (Close)]]+Table16[[#This Row],[Accuracy (Short)]]+Table16[[#This Row],[Accuracy (Medium)]]+Table16[[#This Row],[Accuracy (Long)]])/4)</f>
        <v>0.52249999999999996</v>
      </c>
      <c r="H9" s="4">
        <v>7</v>
      </c>
      <c r="I9" s="4">
        <v>0.5</v>
      </c>
      <c r="J9" s="4">
        <v>9</v>
      </c>
      <c r="K9" s="4">
        <v>3</v>
      </c>
      <c r="L9" s="4">
        <v>0.9</v>
      </c>
      <c r="M9" s="4">
        <v>0.56999999999999995</v>
      </c>
      <c r="N9" s="4">
        <v>450</v>
      </c>
      <c r="O9" s="2">
        <f t="shared" ref="O9:O18" si="1">60/N9</f>
        <v>0.13333333333333333</v>
      </c>
      <c r="P9" s="4">
        <v>0.95</v>
      </c>
      <c r="Q9" s="4">
        <v>0.71</v>
      </c>
      <c r="R9" s="4">
        <v>0.32</v>
      </c>
      <c r="S9" s="4">
        <v>0.11</v>
      </c>
      <c r="T9" s="19"/>
      <c r="U9" s="20"/>
      <c r="V9" s="25" t="s">
        <v>98</v>
      </c>
    </row>
    <row r="10" spans="1:22" s="4" customFormat="1">
      <c r="A10" s="1" t="s">
        <v>69</v>
      </c>
      <c r="B10" s="12">
        <v>1</v>
      </c>
      <c r="C10" s="2">
        <f>SUM(((Table16[[#This Row],[Avg DPS]]*(Table16[[#This Row],[Range]]))+(Table16[[#This Row],[Avg DPS]]*Table16[[#This Row],[Arm Pen (%)]]))/100)</f>
        <v>1.8087049180327863</v>
      </c>
      <c r="D10" s="3">
        <f>SUM(Table16[[#This Row],[DPS]]*Table16[[#This Row],[Avg Accuracy]])</f>
        <v>6.049180327868851</v>
      </c>
      <c r="E10" s="2">
        <f>SUM((Table16[[#This Row],[Damage]]*Table16[[#This Row],[Burst]])/(Table16[[#This Row],[Ranged Cooldown]]+Table16[[#This Row],[Warm-up]]+(Table16[[#This Row],[Burst Time]]*(Table16[[#This Row],[Burst]]-1))))</f>
        <v>11.803278688524589</v>
      </c>
      <c r="F10">
        <v>19.899999999999999</v>
      </c>
      <c r="G10" s="2">
        <f>SUM((Table16[[#This Row],[Accuracy (Close)]]+Table16[[#This Row],[Accuracy (Short)]]+Table16[[#This Row],[Accuracy (Medium)]]+Table16[[#This Row],[Accuracy (Long)]])/4)</f>
        <v>0.51249999999999996</v>
      </c>
      <c r="H10">
        <v>8</v>
      </c>
      <c r="I10">
        <v>0.5</v>
      </c>
      <c r="J10">
        <v>10</v>
      </c>
      <c r="K10">
        <v>3</v>
      </c>
      <c r="L10">
        <v>1.1000000000000001</v>
      </c>
      <c r="M10">
        <v>0.6</v>
      </c>
      <c r="N10">
        <v>360</v>
      </c>
      <c r="O10" s="2">
        <f t="shared" si="1"/>
        <v>0.16666666666666666</v>
      </c>
      <c r="P10">
        <v>0.91</v>
      </c>
      <c r="Q10">
        <v>0.7</v>
      </c>
      <c r="R10">
        <v>0.32</v>
      </c>
      <c r="S10">
        <v>0.12</v>
      </c>
      <c r="T10" s="17"/>
      <c r="U10" s="18"/>
      <c r="V10" s="24" t="s">
        <v>97</v>
      </c>
    </row>
    <row r="11" spans="1:22">
      <c r="A11" s="4" t="s">
        <v>92</v>
      </c>
      <c r="B11" s="12">
        <v>1</v>
      </c>
      <c r="C11" s="2">
        <f>SUM(((Table16[[#This Row],[Avg DPS]]*(Table16[[#This Row],[Range]]))+(Table16[[#This Row],[Avg DPS]]*Table16[[#This Row],[Arm Pen (%)]]))/100)</f>
        <v>2.3144210526315789</v>
      </c>
      <c r="D11" s="3">
        <f>SUM(Table16[[#This Row],[DPS]]*Table16[[#This Row],[Avg Accuracy]])</f>
        <v>6.6315789473684212</v>
      </c>
      <c r="E11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11">
        <v>21.9</v>
      </c>
      <c r="G11" s="2">
        <f>SUM((Table16[[#This Row],[Accuracy (Close)]]+Table16[[#This Row],[Accuracy (Short)]]+Table16[[#This Row],[Accuracy (Medium)]]+Table16[[#This Row],[Accuracy (Long)]])/4)</f>
        <v>0.56000000000000005</v>
      </c>
      <c r="H11">
        <v>10</v>
      </c>
      <c r="I11">
        <v>0.5</v>
      </c>
      <c r="J11">
        <v>13</v>
      </c>
      <c r="K11">
        <v>3</v>
      </c>
      <c r="L11">
        <v>1.5</v>
      </c>
      <c r="M11">
        <v>0.7</v>
      </c>
      <c r="N11">
        <v>360</v>
      </c>
      <c r="O11" s="2">
        <f t="shared" si="1"/>
        <v>0.16666666666666666</v>
      </c>
      <c r="P11">
        <v>0.9</v>
      </c>
      <c r="Q11">
        <v>0.8</v>
      </c>
      <c r="R11">
        <v>0.38</v>
      </c>
      <c r="S11">
        <v>0.16</v>
      </c>
      <c r="T11" s="19"/>
      <c r="U11" s="20"/>
      <c r="V11" s="25" t="s">
        <v>98</v>
      </c>
    </row>
    <row r="12" spans="1:22">
      <c r="A12" t="s">
        <v>151</v>
      </c>
      <c r="B12" s="12">
        <v>1</v>
      </c>
      <c r="C12" s="2">
        <f>SUM(((Table16[[#This Row],[Avg DPS]]*(Table16[[#This Row],[Range]]))+(Table16[[#This Row],[Avg DPS]]*Table16[[#This Row],[Arm Pen (%)]]))/100)</f>
        <v>1.9278456521739133</v>
      </c>
      <c r="D12" s="3">
        <f>SUM(Table16[[#This Row],[DPS]]*Table16[[#This Row],[Avg Accuracy]])</f>
        <v>5.5239130434782622</v>
      </c>
      <c r="E12" s="2">
        <f>SUM((Table16[[#This Row],[Damage]]*Table16[[#This Row],[Burst]])/(Table16[[#This Row],[Ranged Cooldown]]+Table16[[#This Row],[Warm-up]]+(Table16[[#This Row],[Burst Time]]*(Table16[[#This Row],[Burst]]-1))))</f>
        <v>9.5652173913043494</v>
      </c>
      <c r="F12">
        <v>19.899999999999999</v>
      </c>
      <c r="G12" s="2">
        <f>SUM((Table16[[#This Row],[Accuracy (Close)]]+Table16[[#This Row],[Accuracy (Short)]]+Table16[[#This Row],[Accuracy (Medium)]]+Table16[[#This Row],[Accuracy (Long)]])/4)</f>
        <v>0.57750000000000001</v>
      </c>
      <c r="H12">
        <v>11</v>
      </c>
      <c r="I12">
        <v>0.5</v>
      </c>
      <c r="J12">
        <v>15</v>
      </c>
      <c r="K12">
        <v>1</v>
      </c>
      <c r="L12">
        <v>0.6</v>
      </c>
      <c r="M12">
        <v>0.55000000000000004</v>
      </c>
      <c r="N12">
        <v>0</v>
      </c>
      <c r="O12" s="2">
        <v>0.6</v>
      </c>
      <c r="P12">
        <v>0.85</v>
      </c>
      <c r="Q12">
        <v>0.88</v>
      </c>
      <c r="R12">
        <v>0.41</v>
      </c>
      <c r="S12">
        <v>0.17</v>
      </c>
      <c r="T12" s="17">
        <v>51</v>
      </c>
      <c r="U12" s="18">
        <v>2.78</v>
      </c>
      <c r="V12" s="24" t="s">
        <v>98</v>
      </c>
    </row>
    <row r="13" spans="1:22">
      <c r="A13" t="s">
        <v>93</v>
      </c>
      <c r="B13" s="12">
        <v>1</v>
      </c>
      <c r="C13" s="2">
        <f>SUM(((Table16[[#This Row],[Avg DPS]]*(Table16[[#This Row],[Range]]))+(Table16[[#This Row],[Avg DPS]]*Table16[[#This Row],[Arm Pen (%)]]))/100)</f>
        <v>2.4828825503355705</v>
      </c>
      <c r="D13" s="3">
        <f>SUM(Table16[[#This Row],[DPS]]*Table16[[#This Row],[Avg Accuracy]])</f>
        <v>6.9161073825503356</v>
      </c>
      <c r="E13" s="2">
        <f>SUM((Table16[[#This Row],[Damage]]*Table16[[#This Row],[Burst]])/(Table16[[#This Row],[Ranged Cooldown]]+Table16[[#This Row],[Warm-up]]+(Table16[[#This Row],[Burst Time]]*(Table16[[#This Row],[Burst]]-1))))</f>
        <v>12.080536912751677</v>
      </c>
      <c r="F13">
        <v>22.9</v>
      </c>
      <c r="G13" s="2">
        <f>SUM((Table16[[#This Row],[Accuracy (Close)]]+Table16[[#This Row],[Accuracy (Short)]]+Table16[[#This Row],[Accuracy (Medium)]]+Table16[[#This Row],[Accuracy (Long)]])/4)</f>
        <v>0.57250000000000001</v>
      </c>
      <c r="H13">
        <v>10</v>
      </c>
      <c r="I13">
        <v>0.5</v>
      </c>
      <c r="J13">
        <v>13</v>
      </c>
      <c r="K13">
        <v>3</v>
      </c>
      <c r="L13">
        <v>1.5</v>
      </c>
      <c r="M13">
        <v>0.65</v>
      </c>
      <c r="N13">
        <v>360</v>
      </c>
      <c r="O13" s="2">
        <f t="shared" si="1"/>
        <v>0.16666666666666666</v>
      </c>
      <c r="P13">
        <v>0.9</v>
      </c>
      <c r="Q13">
        <v>0.82</v>
      </c>
      <c r="R13">
        <v>0.4</v>
      </c>
      <c r="S13">
        <v>0.17</v>
      </c>
      <c r="T13" s="19">
        <v>48</v>
      </c>
      <c r="U13" s="20">
        <v>3.12</v>
      </c>
      <c r="V13" s="25" t="s">
        <v>98</v>
      </c>
    </row>
    <row r="14" spans="1:22">
      <c r="A14" t="s">
        <v>148</v>
      </c>
      <c r="B14" s="12">
        <v>1</v>
      </c>
      <c r="C14" s="2">
        <f>SUM(((Table16[[#This Row],[Avg DPS]]*(Table16[[#This Row],[Range]]))+(Table16[[#This Row],[Avg DPS]]*Table16[[#This Row],[Arm Pen (%)]]))/100)</f>
        <v>2.2882499999999997</v>
      </c>
      <c r="D14" s="3">
        <f>SUM(Table16[[#This Row],[DPS]]*Table16[[#This Row],[Avg Accuracy]])</f>
        <v>6.75</v>
      </c>
      <c r="E14" s="2">
        <f>SUM((Table16[[#This Row],[Damage]]*Table16[[#This Row],[Burst]])/(Table16[[#This Row],[Ranged Cooldown]]+Table16[[#This Row],[Warm-up]]+(Table16[[#This Row],[Burst Time]]*(Table16[[#This Row],[Burst]]-1))))</f>
        <v>13.636363636363637</v>
      </c>
      <c r="F14">
        <v>20.9</v>
      </c>
      <c r="G14" s="2">
        <f>SUM((Table16[[#This Row],[Accuracy (Close)]]+Table16[[#This Row],[Accuracy (Short)]]+Table16[[#This Row],[Accuracy (Medium)]]+Table16[[#This Row],[Accuracy (Long)]])/4)</f>
        <v>0.495</v>
      </c>
      <c r="H14">
        <v>11</v>
      </c>
      <c r="I14">
        <v>0.5</v>
      </c>
      <c r="J14">
        <v>13</v>
      </c>
      <c r="K14">
        <v>3</v>
      </c>
      <c r="L14">
        <v>1.5</v>
      </c>
      <c r="M14">
        <v>0.52</v>
      </c>
      <c r="N14">
        <v>300</v>
      </c>
      <c r="O14" s="2">
        <f t="shared" si="1"/>
        <v>0.2</v>
      </c>
      <c r="P14">
        <v>0.85</v>
      </c>
      <c r="Q14">
        <v>0.69</v>
      </c>
      <c r="R14">
        <v>0.3</v>
      </c>
      <c r="S14">
        <v>0.14000000000000001</v>
      </c>
      <c r="T14" s="17">
        <v>44</v>
      </c>
      <c r="U14" s="18"/>
      <c r="V14" s="24" t="s">
        <v>98</v>
      </c>
    </row>
    <row r="15" spans="1:22">
      <c r="A15" t="s">
        <v>167</v>
      </c>
      <c r="B15" s="12">
        <v>1</v>
      </c>
      <c r="C15" s="2" t="e">
        <f>SUM(((Table16[[#This Row],[Avg DPS]]*(Table16[[#This Row],[Range]]))+(Table16[[#This Row],[Avg DPS]]*Table16[[#This Row],[Arm Pen (%)]]))/100)</f>
        <v>#DIV/0!</v>
      </c>
      <c r="D15" s="3" t="e">
        <f>SUM(Table16[[#This Row],[DPS]]*Table16[[#This Row],[Avg Accuracy]])</f>
        <v>#DIV/0!</v>
      </c>
      <c r="E15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5" s="2">
        <f>SUM((Table16[[#This Row],[Accuracy (Close)]]+Table16[[#This Row],[Accuracy (Short)]]+Table16[[#This Row],[Accuracy (Medium)]]+Table16[[#This Row],[Accuracy (Long)]])/4)</f>
        <v>0</v>
      </c>
      <c r="O15" s="2" t="e">
        <f t="shared" si="1"/>
        <v>#DIV/0!</v>
      </c>
      <c r="T15" s="19"/>
      <c r="U15" s="20"/>
      <c r="V15" s="25" t="s">
        <v>98</v>
      </c>
    </row>
    <row r="16" spans="1:22">
      <c r="B16" s="12"/>
      <c r="C16" s="2" t="e">
        <f>SUM(((Table16[[#This Row],[Avg DPS]]*(Table16[[#This Row],[Range]]))+(Table16[[#This Row],[Avg DPS]]*Table16[[#This Row],[Arm Pen (%)]]))/100)</f>
        <v>#DIV/0!</v>
      </c>
      <c r="D16" s="3" t="e">
        <f>SUM(Table16[[#This Row],[DPS]]*Table16[[#This Row],[Avg Accuracy]])</f>
        <v>#DIV/0!</v>
      </c>
      <c r="E16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6" s="2">
        <f>SUM((Table16[[#This Row],[Accuracy (Close)]]+Table16[[#This Row],[Accuracy (Short)]]+Table16[[#This Row],[Accuracy (Medium)]]+Table16[[#This Row],[Accuracy (Long)]])/4)</f>
        <v>0</v>
      </c>
      <c r="O16" s="2" t="e">
        <f t="shared" si="1"/>
        <v>#DIV/0!</v>
      </c>
      <c r="T16" s="17"/>
      <c r="U16" s="18"/>
      <c r="V16" s="22"/>
    </row>
    <row r="17" spans="1:22">
      <c r="B17" s="12"/>
      <c r="C17" s="2" t="e">
        <f>SUM(((Table16[[#This Row],[Avg DPS]]*(Table16[[#This Row],[Range]]))+(Table16[[#This Row],[Avg DPS]]*Table16[[#This Row],[Arm Pen (%)]]))/100)</f>
        <v>#DIV/0!</v>
      </c>
      <c r="D17" s="3" t="e">
        <f>SUM(Table16[[#This Row],[DPS]]*Table16[[#This Row],[Avg Accuracy]])</f>
        <v>#DIV/0!</v>
      </c>
      <c r="E17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7" s="2">
        <f>SUM((Table16[[#This Row],[Accuracy (Close)]]+Table16[[#This Row],[Accuracy (Short)]]+Table16[[#This Row],[Accuracy (Medium)]]+Table16[[#This Row],[Accuracy (Long)]])/4)</f>
        <v>0</v>
      </c>
      <c r="O17" s="2" t="e">
        <f t="shared" si="1"/>
        <v>#DIV/0!</v>
      </c>
      <c r="T17" s="19"/>
      <c r="U17" s="20"/>
      <c r="V17" s="23"/>
    </row>
    <row r="18" spans="1:22">
      <c r="A18" s="7"/>
      <c r="B18" s="13"/>
      <c r="C18" s="8" t="e">
        <f>SUM(((Table16[[#This Row],[Avg DPS]]*(Table16[[#This Row],[Range]]))+(Table16[[#This Row],[Avg DPS]]*Table16[[#This Row],[Arm Pen (%)]]))/100)</f>
        <v>#DIV/0!</v>
      </c>
      <c r="D18" s="9" t="e">
        <f>SUM(Table16[[#This Row],[DPS]]*Table16[[#This Row],[Avg Accuracy]])</f>
        <v>#DIV/0!</v>
      </c>
      <c r="E18" s="8" t="e">
        <f>SUM((Table16[[#This Row],[Damage]]*Table16[[#This Row],[Burst]])/(Table16[[#This Row],[Ranged Cooldown]]+Table16[[#This Row],[Warm-up]]+(Table16[[#This Row],[Burst Time]]*(Table16[[#This Row],[Burst]]-1))))</f>
        <v>#DIV/0!</v>
      </c>
      <c r="F18" s="7"/>
      <c r="G18" s="8">
        <f>SUM((Table16[[#This Row],[Accuracy (Close)]]+Table16[[#This Row],[Accuracy (Short)]]+Table16[[#This Row],[Accuracy (Medium)]]+Table16[[#This Row],[Accuracy (Long)]])/4)</f>
        <v>0</v>
      </c>
      <c r="H18" s="7"/>
      <c r="I18" s="7"/>
      <c r="J18" s="7"/>
      <c r="K18" s="7"/>
      <c r="L18" s="7"/>
      <c r="M18" s="7"/>
      <c r="N18" s="7"/>
      <c r="O18" s="8" t="e">
        <f t="shared" si="1"/>
        <v>#DIV/0!</v>
      </c>
      <c r="P18" s="7"/>
      <c r="Q18" s="7"/>
      <c r="R18" s="7"/>
      <c r="S18" s="7"/>
      <c r="T18" s="17"/>
      <c r="U18" s="18"/>
      <c r="V18" s="22"/>
    </row>
    <row r="19" spans="1:22">
      <c r="B19" s="4"/>
    </row>
  </sheetData>
  <conditionalFormatting sqref="C4:C18">
    <cfRule type="cellIs" dxfId="55" priority="1" operator="greaterThan">
      <formula>2.599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V29"/>
  <sheetViews>
    <sheetView workbookViewId="0">
      <selection activeCell="A23" sqref="A23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1.7109375" customWidth="1"/>
    <col min="7" max="7" width="11.5703125" customWidth="1"/>
    <col min="8" max="8" width="10.85546875" customWidth="1"/>
    <col min="9" max="9" width="13.85546875" customWidth="1"/>
    <col min="10" max="10" width="8.5703125" customWidth="1"/>
    <col min="11" max="11" width="7.5703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5.85546875" customWidth="1"/>
    <col min="17" max="17" width="16.28515625" customWidth="1"/>
    <col min="18" max="18" width="18.28515625" customWidth="1"/>
    <col min="19" max="19" width="16.28515625" customWidth="1"/>
  </cols>
  <sheetData>
    <row r="1" spans="1:22">
      <c r="A1" s="1" t="s">
        <v>0</v>
      </c>
      <c r="C1" t="s">
        <v>24</v>
      </c>
      <c r="F1" s="1" t="s">
        <v>75</v>
      </c>
      <c r="H1" s="1" t="s">
        <v>87</v>
      </c>
    </row>
    <row r="2" spans="1:22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</row>
    <row r="3" spans="1:22">
      <c r="A3" t="s">
        <v>1</v>
      </c>
      <c r="B3" t="s">
        <v>40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83</v>
      </c>
      <c r="U3" t="s">
        <v>84</v>
      </c>
      <c r="V3" t="s">
        <v>96</v>
      </c>
    </row>
    <row r="4" spans="1:22">
      <c r="A4" s="6" t="s">
        <v>44</v>
      </c>
      <c r="B4" s="11" t="s">
        <v>41</v>
      </c>
      <c r="C4" s="2">
        <f>SUM(((Table16810[[#This Row],[Avg DPS]]*(Table16810[[#This Row],[Range]]))+(Table16810[[#This Row],[Avg DPS]]*Table16810[[#This Row],[Arm Pen (%)]]))/100)</f>
        <v>3.1957417582417578</v>
      </c>
      <c r="D4" s="3">
        <f>SUM(Table16810[[#This Row],[DPS]]*Table16810[[#This Row],[Avg Accuracy]])</f>
        <v>6.7994505494505484</v>
      </c>
      <c r="E4" s="2">
        <f>SUM((Table16810[[#This Row],[Damage]]*Table16810[[#This Row],[Burst]])/(Table16810[[#This Row],[Ranged Cooldown]]+Table16810[[#This Row],[Warm-up]]+(Table16810[[#This Row],[Burst Time]]*(Table16810[[#This Row],[Burst]]-1))))</f>
        <v>10.879120879120878</v>
      </c>
      <c r="F4">
        <v>31</v>
      </c>
      <c r="G4" s="2">
        <f>SUM((Table16810[[#This Row],[Accuracy (Close)]]+Table16810[[#This Row],[Accuracy (Short)]]+Table16810[[#This Row],[Accuracy (Medium)]]+Table16810[[#This Row],[Accuracy (Long)]])/4)</f>
        <v>0.625</v>
      </c>
      <c r="H4">
        <v>11</v>
      </c>
      <c r="I4">
        <v>0.5</v>
      </c>
      <c r="J4">
        <v>16</v>
      </c>
      <c r="K4">
        <v>3</v>
      </c>
      <c r="L4">
        <v>1.7</v>
      </c>
      <c r="M4">
        <v>1</v>
      </c>
      <c r="N4">
        <v>360</v>
      </c>
      <c r="O4" s="2">
        <f t="shared" ref="O4:O20" si="0">60/N4</f>
        <v>0.16666666666666666</v>
      </c>
      <c r="P4">
        <v>0.6</v>
      </c>
      <c r="Q4">
        <v>0.7</v>
      </c>
      <c r="R4">
        <v>0.65</v>
      </c>
      <c r="S4">
        <v>0.55000000000000004</v>
      </c>
      <c r="T4">
        <v>70</v>
      </c>
    </row>
    <row r="5" spans="1:22">
      <c r="A5" s="6" t="s">
        <v>46</v>
      </c>
      <c r="B5" s="11" t="s">
        <v>41</v>
      </c>
      <c r="C5" s="2">
        <f>SUM(((Table16810[[#This Row],[Avg DPS]]*(Table16810[[#This Row],[Range]]))+(Table16810[[#This Row],[Avg DPS]]*Table16810[[#This Row],[Arm Pen (%)]]))/100)</f>
        <v>2.8350000000000004</v>
      </c>
      <c r="D5" s="3">
        <f>SUM(Table16810[[#This Row],[DPS]]*Table16810[[#This Row],[Avg Accuracy]])</f>
        <v>4.4296875000000009</v>
      </c>
      <c r="E5" s="2">
        <f>SUM((Table16810[[#This Row],[Damage]]*Table16810[[#This Row],[Burst]])/(Table16810[[#This Row],[Ranged Cooldown]]+Table16810[[#This Row],[Warm-up]]+(Table16810[[#This Row],[Burst Time]]*(Table16810[[#This Row],[Burst]]-1))))</f>
        <v>5.625</v>
      </c>
      <c r="F5">
        <v>37</v>
      </c>
      <c r="G5" s="2">
        <f>SUM((Table16810[[#This Row],[Accuracy (Close)]]+Table16810[[#This Row],[Accuracy (Short)]]+Table16810[[#This Row],[Accuracy (Medium)]]+Table16810[[#This Row],[Accuracy (Long)]])/4)</f>
        <v>0.78750000000000009</v>
      </c>
      <c r="H5">
        <v>18</v>
      </c>
      <c r="I5">
        <v>1.5</v>
      </c>
      <c r="J5">
        <v>27</v>
      </c>
      <c r="K5">
        <v>1</v>
      </c>
      <c r="L5">
        <v>1.5</v>
      </c>
      <c r="M5">
        <v>1.7</v>
      </c>
      <c r="N5">
        <v>0</v>
      </c>
      <c r="O5" s="2">
        <v>1.5</v>
      </c>
      <c r="P5">
        <v>0.65</v>
      </c>
      <c r="Q5">
        <v>0.8</v>
      </c>
      <c r="R5">
        <v>0.9</v>
      </c>
      <c r="S5">
        <v>0.8</v>
      </c>
      <c r="T5">
        <v>70</v>
      </c>
    </row>
    <row r="6" spans="1:22">
      <c r="A6" s="14" t="s">
        <v>38</v>
      </c>
      <c r="B6" s="4">
        <v>1</v>
      </c>
      <c r="C6" s="2">
        <f>SUM(((Table16810[[#This Row],[Avg DPS]]*(Table16810[[#This Row],[Range]]))+(Table16810[[#This Row],[Avg DPS]]*Table16810[[#This Row],[Arm Pen (%)]]))/100)</f>
        <v>3.0607688571428571</v>
      </c>
      <c r="D6" s="3">
        <f>SUM(Table16810[[#This Row],[DPS]]*Table16810[[#This Row],[Avg Accuracy]])</f>
        <v>6.8168571428571427</v>
      </c>
      <c r="E6" s="2">
        <f>SUM((Table16810[[#This Row],[Damage]]*Table16810[[#This Row],[Burst]])/(Table16810[[#This Row],[Ranged Cooldown]]+Table16810[[#This Row],[Warm-up]]+(Table16810[[#This Row],[Burst Time]]*(Table16810[[#This Row],[Burst]]-1))))</f>
        <v>11.314285714285715</v>
      </c>
      <c r="F6">
        <v>30.9</v>
      </c>
      <c r="G6" s="2">
        <f>SUM((Table16810[[#This Row],[Accuracy (Close)]]+Table16810[[#This Row],[Accuracy (Short)]]+Table16810[[#This Row],[Accuracy (Medium)]]+Table16810[[#This Row],[Accuracy (Long)]])/4)</f>
        <v>0.60249999999999992</v>
      </c>
      <c r="H6">
        <v>11</v>
      </c>
      <c r="I6">
        <v>0.5</v>
      </c>
      <c r="J6">
        <v>14</v>
      </c>
      <c r="K6">
        <v>3</v>
      </c>
      <c r="L6">
        <v>1.65</v>
      </c>
      <c r="M6">
        <v>1</v>
      </c>
      <c r="N6">
        <v>450</v>
      </c>
      <c r="O6" s="2">
        <f t="shared" si="0"/>
        <v>0.13333333333333333</v>
      </c>
      <c r="P6">
        <v>0.6</v>
      </c>
      <c r="Q6">
        <v>0.7</v>
      </c>
      <c r="R6">
        <v>0.61</v>
      </c>
      <c r="S6">
        <v>0.5</v>
      </c>
      <c r="V6" t="s">
        <v>97</v>
      </c>
    </row>
    <row r="7" spans="1:22">
      <c r="A7" s="14" t="s">
        <v>31</v>
      </c>
      <c r="B7" s="4">
        <v>1</v>
      </c>
      <c r="C7" s="2">
        <f>SUM(((Table16810[[#This Row],[Avg DPS]]*(Table16810[[#This Row],[Range]]))+(Table16810[[#This Row],[Avg DPS]]*Table16810[[#This Row],[Arm Pen (%)]]))/100)</f>
        <v>2.9270985714285711</v>
      </c>
      <c r="D7" s="3">
        <f>SUM(Table16810[[#This Row],[DPS]]*Table16810[[#This Row],[Avg Accuracy]])</f>
        <v>5.1442857142857141</v>
      </c>
      <c r="E7" s="2">
        <f>SUM((Table16810[[#This Row],[Damage]]*Table16810[[#This Row],[Burst]])/(Table16810[[#This Row],[Ranged Cooldown]]+Table16810[[#This Row],[Warm-up]]+(Table16810[[#This Row],[Burst Time]]*(Table16810[[#This Row],[Burst]]-1))))</f>
        <v>7.4285714285714288</v>
      </c>
      <c r="F7">
        <v>37.9</v>
      </c>
      <c r="G7" s="2">
        <f>SUM((Table16810[[#This Row],[Accuracy (Close)]]+Table16810[[#This Row],[Accuracy (Short)]]+Table16810[[#This Row],[Accuracy (Medium)]]+Table16810[[#This Row],[Accuracy (Long)]])/4)</f>
        <v>0.6925</v>
      </c>
      <c r="H7">
        <v>13</v>
      </c>
      <c r="I7">
        <v>1</v>
      </c>
      <c r="J7">
        <v>19</v>
      </c>
      <c r="K7">
        <v>2</v>
      </c>
      <c r="L7">
        <v>1.9</v>
      </c>
      <c r="M7">
        <v>1.4</v>
      </c>
      <c r="N7">
        <v>300</v>
      </c>
      <c r="O7" s="2">
        <f t="shared" si="0"/>
        <v>0.2</v>
      </c>
      <c r="P7">
        <v>0.4</v>
      </c>
      <c r="Q7">
        <v>0.7</v>
      </c>
      <c r="R7">
        <v>0.92</v>
      </c>
      <c r="S7">
        <v>0.75</v>
      </c>
      <c r="V7" t="s">
        <v>97</v>
      </c>
    </row>
    <row r="8" spans="1:22">
      <c r="A8" t="s">
        <v>39</v>
      </c>
      <c r="B8" s="4">
        <v>1</v>
      </c>
      <c r="C8" s="2">
        <f>SUM(((Table16810[[#This Row],[Avg DPS]]*(Table16810[[#This Row],[Range]]))+(Table16810[[#This Row],[Avg DPS]]*Table16810[[#This Row],[Arm Pen (%)]]))/100)</f>
        <v>3.1897030237580988</v>
      </c>
      <c r="D8" s="3">
        <f>SUM(Table16810[[#This Row],[DPS]]*Table16810[[#This Row],[Avg Accuracy]])</f>
        <v>6.9492440604751602</v>
      </c>
      <c r="E8" s="2">
        <f>SUM((Table16810[[#This Row],[Damage]]*Table16810[[#This Row],[Burst]])/(Table16810[[#This Row],[Ranged Cooldown]]+Table16810[[#This Row],[Warm-up]]+(Table16810[[#This Row],[Burst Time]]*(Table16810[[#This Row],[Burst]]-1))))</f>
        <v>10.691144708423325</v>
      </c>
      <c r="F8">
        <v>31.9</v>
      </c>
      <c r="G8" s="2">
        <f>SUM((Table16810[[#This Row],[Accuracy (Close)]]+Table16810[[#This Row],[Accuracy (Short)]]+Table16810[[#This Row],[Accuracy (Medium)]]+Table16810[[#This Row],[Accuracy (Long)]])/4)</f>
        <v>0.64999999999999991</v>
      </c>
      <c r="H8">
        <v>11</v>
      </c>
      <c r="I8">
        <v>0.5</v>
      </c>
      <c r="J8">
        <v>14</v>
      </c>
      <c r="K8">
        <v>3</v>
      </c>
      <c r="L8">
        <v>1.72</v>
      </c>
      <c r="M8">
        <v>1.1000000000000001</v>
      </c>
      <c r="N8">
        <v>450</v>
      </c>
      <c r="O8" s="2">
        <f t="shared" si="0"/>
        <v>0.13333333333333333</v>
      </c>
      <c r="P8">
        <v>0.6</v>
      </c>
      <c r="Q8">
        <v>0.75</v>
      </c>
      <c r="R8">
        <v>0.7</v>
      </c>
      <c r="S8">
        <v>0.55000000000000004</v>
      </c>
      <c r="V8" t="s">
        <v>98</v>
      </c>
    </row>
    <row r="9" spans="1:22">
      <c r="A9" t="s">
        <v>37</v>
      </c>
      <c r="B9" s="4">
        <v>1</v>
      </c>
      <c r="C9" s="2">
        <f>SUM(((Table16810[[#This Row],[Avg DPS]]*(Table16810[[#This Row],[Range]]))+(Table16810[[#This Row],[Avg DPS]]*Table16810[[#This Row],[Arm Pen (%)]]))/100)</f>
        <v>2.937166103518777</v>
      </c>
      <c r="D9" s="3">
        <f>SUM(Table16810[[#This Row],[DPS]]*Table16810[[#This Row],[Avg Accuracy]])</f>
        <v>7.0099429678252436</v>
      </c>
      <c r="E9" s="2">
        <f>SUM((Table16810[[#This Row],[Damage]]*Table16810[[#This Row],[Burst]])/(Table16810[[#This Row],[Ranged Cooldown]]+Table16810[[#This Row],[Warm-up]]+(Table16810[[#This Row],[Burst Time]]*(Table16810[[#This Row],[Burst]]-1))))</f>
        <v>12.298145557588148</v>
      </c>
      <c r="F9">
        <v>27.9</v>
      </c>
      <c r="G9" s="2">
        <f>SUM((Table16810[[#This Row],[Accuracy (Close)]]+Table16810[[#This Row],[Accuracy (Short)]]+Table16810[[#This Row],[Accuracy (Medium)]]+Table16810[[#This Row],[Accuracy (Long)]])/4)</f>
        <v>0.56999999999999995</v>
      </c>
      <c r="H9">
        <v>11</v>
      </c>
      <c r="I9">
        <v>0.5</v>
      </c>
      <c r="J9">
        <v>14</v>
      </c>
      <c r="K9">
        <v>3</v>
      </c>
      <c r="L9">
        <v>1.55</v>
      </c>
      <c r="M9">
        <v>0.9</v>
      </c>
      <c r="N9">
        <v>514.29</v>
      </c>
      <c r="O9" s="2">
        <f t="shared" si="0"/>
        <v>0.11666569445254624</v>
      </c>
      <c r="P9">
        <v>0.8</v>
      </c>
      <c r="Q9">
        <v>0.78</v>
      </c>
      <c r="R9">
        <v>0.4</v>
      </c>
      <c r="S9">
        <v>0.3</v>
      </c>
      <c r="V9" t="s">
        <v>98</v>
      </c>
    </row>
    <row r="10" spans="1:22">
      <c r="A10" t="s">
        <v>29</v>
      </c>
      <c r="B10" s="4">
        <v>1</v>
      </c>
      <c r="C10" s="2">
        <f>SUM(((Table16810[[#This Row],[Avg DPS]]*(Table16810[[#This Row],[Range]]))+(Table16810[[#This Row],[Avg DPS]]*Table16810[[#This Row],[Arm Pen (%)]]))/100)</f>
        <v>3.0167445812807876</v>
      </c>
      <c r="D10" s="3">
        <f>SUM(Table16810[[#This Row],[DPS]]*Table16810[[#This Row],[Avg Accuracy]])</f>
        <v>6.169211822660098</v>
      </c>
      <c r="E10" s="2">
        <f>SUM((Table16810[[#This Row],[Damage]]*Table16810[[#This Row],[Burst]])/(Table16810[[#This Row],[Ranged Cooldown]]+Table16810[[#This Row],[Warm-up]]+(Table16810[[#This Row],[Burst Time]]*(Table16810[[#This Row],[Burst]]-1))))</f>
        <v>9.7536945812807883</v>
      </c>
      <c r="F10">
        <v>34.9</v>
      </c>
      <c r="G10" s="2">
        <f>SUM((Table16810[[#This Row],[Accuracy (Close)]]+Table16810[[#This Row],[Accuracy (Short)]]+Table16810[[#This Row],[Accuracy (Medium)]]+Table16810[[#This Row],[Accuracy (Long)]])/4)</f>
        <v>0.63249999999999995</v>
      </c>
      <c r="H10">
        <v>11</v>
      </c>
      <c r="I10">
        <v>0.5</v>
      </c>
      <c r="J10">
        <v>14</v>
      </c>
      <c r="K10">
        <v>3</v>
      </c>
      <c r="L10">
        <v>1.85</v>
      </c>
      <c r="M10">
        <v>1.2</v>
      </c>
      <c r="N10">
        <v>360</v>
      </c>
      <c r="O10" s="2">
        <f t="shared" si="0"/>
        <v>0.16666666666666666</v>
      </c>
      <c r="P10">
        <v>0.4</v>
      </c>
      <c r="Q10">
        <v>0.75</v>
      </c>
      <c r="R10">
        <v>0.8</v>
      </c>
      <c r="S10">
        <v>0.57999999999999996</v>
      </c>
      <c r="V10" t="s">
        <v>98</v>
      </c>
    </row>
    <row r="11" spans="1:22">
      <c r="A11" t="s">
        <v>30</v>
      </c>
      <c r="B11" s="4">
        <v>1</v>
      </c>
      <c r="C11" s="2">
        <f>SUM(((Table16810[[#This Row],[Avg DPS]]*(Table16810[[#This Row],[Range]]))+(Table16810[[#This Row],[Avg DPS]]*Table16810[[#This Row],[Arm Pen (%)]]))/100)</f>
        <v>3.174454502814259</v>
      </c>
      <c r="D11" s="3">
        <f>SUM(Table16810[[#This Row],[DPS]]*Table16810[[#This Row],[Avg Accuracy]])</f>
        <v>6.3616322701688564</v>
      </c>
      <c r="E11" s="2">
        <f>SUM((Table16810[[#This Row],[Damage]]*Table16810[[#This Row],[Burst]])/(Table16810[[#This Row],[Ranged Cooldown]]+Table16810[[#This Row],[Warm-up]]+(Table16810[[#This Row],[Burst Time]]*(Table16810[[#This Row],[Burst]]-1))))</f>
        <v>9.2870544090056288</v>
      </c>
      <c r="F11">
        <v>35.9</v>
      </c>
      <c r="G11" s="2">
        <f>SUM((Table16810[[#This Row],[Accuracy (Close)]]+Table16810[[#This Row],[Accuracy (Short)]]+Table16810[[#This Row],[Accuracy (Medium)]]+Table16810[[#This Row],[Accuracy (Long)]])/4)</f>
        <v>0.68500000000000005</v>
      </c>
      <c r="H11">
        <v>11</v>
      </c>
      <c r="I11">
        <v>0.5</v>
      </c>
      <c r="J11">
        <v>14</v>
      </c>
      <c r="K11">
        <v>3</v>
      </c>
      <c r="L11">
        <v>1.92</v>
      </c>
      <c r="M11">
        <v>1.3</v>
      </c>
      <c r="N11">
        <v>360</v>
      </c>
      <c r="O11" s="2">
        <f t="shared" si="0"/>
        <v>0.16666666666666666</v>
      </c>
      <c r="P11">
        <v>0.4</v>
      </c>
      <c r="Q11">
        <v>0.8</v>
      </c>
      <c r="R11">
        <v>0.89</v>
      </c>
      <c r="S11">
        <v>0.65</v>
      </c>
      <c r="V11" t="s">
        <v>98</v>
      </c>
    </row>
    <row r="12" spans="1:22">
      <c r="A12" s="4" t="s">
        <v>33</v>
      </c>
      <c r="B12" s="4">
        <v>1</v>
      </c>
      <c r="C12" s="2">
        <f>SUM(((Table16810[[#This Row],[Avg DPS]]*(Table16810[[#This Row],[Range]]))+(Table16810[[#This Row],[Avg DPS]]*Table16810[[#This Row],[Arm Pen (%)]]))/100)</f>
        <v>2.9283123287671229</v>
      </c>
      <c r="D12" s="3">
        <f>SUM(Table16810[[#This Row],[DPS]]*Table16810[[#This Row],[Avg Accuracy]])</f>
        <v>5.0575342465753419</v>
      </c>
      <c r="E12" s="2">
        <f>SUM((Table16810[[#This Row],[Damage]]*Table16810[[#This Row],[Burst]])/(Table16810[[#This Row],[Ranged Cooldown]]+Table16810[[#This Row],[Warm-up]]+(Table16810[[#This Row],[Burst Time]]*(Table16810[[#This Row],[Burst]]-1))))</f>
        <v>7.1232876712328759</v>
      </c>
      <c r="F12">
        <v>38.9</v>
      </c>
      <c r="G12" s="2">
        <f>SUM((Table16810[[#This Row],[Accuracy (Close)]]+Table16810[[#This Row],[Accuracy (Short)]]+Table16810[[#This Row],[Accuracy (Medium)]]+Table16810[[#This Row],[Accuracy (Long)]])/4)</f>
        <v>0.71</v>
      </c>
      <c r="H12">
        <v>13</v>
      </c>
      <c r="I12">
        <v>1</v>
      </c>
      <c r="J12">
        <v>19</v>
      </c>
      <c r="K12">
        <v>2</v>
      </c>
      <c r="L12">
        <v>1.95</v>
      </c>
      <c r="M12">
        <v>1.5</v>
      </c>
      <c r="N12">
        <v>300</v>
      </c>
      <c r="O12" s="2">
        <f t="shared" si="0"/>
        <v>0.2</v>
      </c>
      <c r="P12">
        <v>0.4</v>
      </c>
      <c r="Q12">
        <v>0.73</v>
      </c>
      <c r="R12">
        <v>0.93</v>
      </c>
      <c r="S12">
        <v>0.78</v>
      </c>
      <c r="V12" t="s">
        <v>98</v>
      </c>
    </row>
    <row r="13" spans="1:22">
      <c r="A13" s="4" t="s">
        <v>34</v>
      </c>
      <c r="B13" s="4">
        <v>1</v>
      </c>
      <c r="C13" s="2">
        <f>SUM(((Table16810[[#This Row],[Avg DPS]]*(Table16810[[#This Row],[Range]]))+(Table16810[[#This Row],[Avg DPS]]*Table16810[[#This Row],[Arm Pen (%)]]))/100)</f>
        <v>3.0179775132275131</v>
      </c>
      <c r="D13" s="3">
        <f>SUM(Table16810[[#This Row],[DPS]]*Table16810[[#This Row],[Avg Accuracy]])</f>
        <v>5.0383597883597879</v>
      </c>
      <c r="E13" s="2">
        <f>SUM((Table16810[[#This Row],[Damage]]*Table16810[[#This Row],[Burst]])/(Table16810[[#This Row],[Ranged Cooldown]]+Table16810[[#This Row],[Warm-up]]+(Table16810[[#This Row],[Burst Time]]*(Table16810[[#This Row],[Burst]]-1))))</f>
        <v>6.8783068783068781</v>
      </c>
      <c r="F13">
        <v>40.9</v>
      </c>
      <c r="G13" s="2">
        <f>SUM((Table16810[[#This Row],[Accuracy (Close)]]+Table16810[[#This Row],[Accuracy (Short)]]+Table16810[[#This Row],[Accuracy (Medium)]]+Table16810[[#This Row],[Accuracy (Long)]])/4)</f>
        <v>0.73249999999999993</v>
      </c>
      <c r="H13">
        <v>13</v>
      </c>
      <c r="I13">
        <v>1</v>
      </c>
      <c r="J13">
        <v>19</v>
      </c>
      <c r="K13">
        <v>2</v>
      </c>
      <c r="L13">
        <v>1.98</v>
      </c>
      <c r="M13">
        <v>1.6</v>
      </c>
      <c r="N13">
        <v>300</v>
      </c>
      <c r="O13" s="2">
        <f t="shared" si="0"/>
        <v>0.2</v>
      </c>
      <c r="P13">
        <v>0.4</v>
      </c>
      <c r="Q13">
        <v>0.67</v>
      </c>
      <c r="R13">
        <v>0.98</v>
      </c>
      <c r="S13">
        <v>0.88</v>
      </c>
      <c r="V13" t="s">
        <v>98</v>
      </c>
    </row>
    <row r="14" spans="1:22">
      <c r="A14" s="4" t="s">
        <v>74</v>
      </c>
      <c r="B14" s="4">
        <v>1</v>
      </c>
      <c r="C14" s="2">
        <f>SUM(((Table16810[[#This Row],[Avg DPS]]*(Table16810[[#This Row],[Range]]))+(Table16810[[#This Row],[Avg DPS]]*Table16810[[#This Row],[Arm Pen (%)]]))/100)</f>
        <v>3.039353012048192</v>
      </c>
      <c r="D14" s="3">
        <f>SUM(Table16810[[#This Row],[DPS]]*Table16810[[#This Row],[Avg Accuracy]])</f>
        <v>4.6831325301204814</v>
      </c>
      <c r="E14" s="2">
        <f>SUM((Table16810[[#This Row],[Damage]]*Table16810[[#This Row],[Burst]])/(Table16810[[#This Row],[Ranged Cooldown]]+Table16810[[#This Row],[Warm-up]]+(Table16810[[#This Row],[Burst Time]]*(Table16810[[#This Row],[Burst]]-1))))</f>
        <v>6.2650602409638552</v>
      </c>
      <c r="F14">
        <v>41.9</v>
      </c>
      <c r="G14" s="2">
        <f>SUM((Table16810[[#This Row],[Accuracy (Close)]]+Table16810[[#This Row],[Accuracy (Short)]]+Table16810[[#This Row],[Accuracy (Medium)]]+Table16810[[#This Row],[Accuracy (Long)]])/4)</f>
        <v>0.74749999999999994</v>
      </c>
      <c r="H14">
        <v>13</v>
      </c>
      <c r="I14">
        <v>1</v>
      </c>
      <c r="J14">
        <v>23</v>
      </c>
      <c r="K14">
        <v>2</v>
      </c>
      <c r="L14">
        <v>2.1</v>
      </c>
      <c r="M14">
        <v>1.8</v>
      </c>
      <c r="N14">
        <v>240</v>
      </c>
      <c r="O14" s="2">
        <f t="shared" si="0"/>
        <v>0.25</v>
      </c>
      <c r="P14">
        <v>0.4</v>
      </c>
      <c r="Q14">
        <v>0.71</v>
      </c>
      <c r="R14">
        <v>0.98</v>
      </c>
      <c r="S14">
        <v>0.9</v>
      </c>
      <c r="V14" t="s">
        <v>98</v>
      </c>
    </row>
    <row r="15" spans="1:22">
      <c r="A15" t="s">
        <v>90</v>
      </c>
      <c r="B15">
        <v>1</v>
      </c>
      <c r="C15" s="2">
        <f>SUM(((Table16810[[#This Row],[Avg DPS]]*(Table16810[[#This Row],[Range]]))+(Table16810[[#This Row],[Avg DPS]]*Table16810[[#This Row],[Arm Pen (%)]]))/100)</f>
        <v>3.0081290322580645</v>
      </c>
      <c r="D15" s="3">
        <f>SUM(Table16810[[#This Row],[DPS]]*Table16810[[#This Row],[Avg Accuracy]])</f>
        <v>7.3548387096774199</v>
      </c>
      <c r="E15" s="2">
        <f>SUM((Table16810[[#This Row],[Damage]]*Table16810[[#This Row],[Burst]])/(Table16810[[#This Row],[Ranged Cooldown]]+Table16810[[#This Row],[Warm-up]]+(Table16810[[#This Row],[Burst Time]]*(Table16810[[#This Row],[Burst]]-1))))</f>
        <v>12.903225806451612</v>
      </c>
      <c r="F15">
        <v>29.9</v>
      </c>
      <c r="G15" s="2">
        <f>SUM((Table16810[[#This Row],[Accuracy (Close)]]+Table16810[[#This Row],[Accuracy (Short)]]+Table16810[[#This Row],[Accuracy (Medium)]]+Table16810[[#This Row],[Accuracy (Long)]])/4)</f>
        <v>0.57000000000000006</v>
      </c>
      <c r="H15">
        <v>10</v>
      </c>
      <c r="I15">
        <v>0.5</v>
      </c>
      <c r="J15">
        <v>11</v>
      </c>
      <c r="K15">
        <v>4</v>
      </c>
      <c r="L15">
        <v>1.7</v>
      </c>
      <c r="M15">
        <v>1</v>
      </c>
      <c r="N15">
        <v>450</v>
      </c>
      <c r="O15" s="2">
        <f t="shared" si="0"/>
        <v>0.13333333333333333</v>
      </c>
      <c r="P15">
        <v>0.55000000000000004</v>
      </c>
      <c r="Q15">
        <v>0.65</v>
      </c>
      <c r="R15">
        <v>0.6</v>
      </c>
      <c r="S15">
        <v>0.48</v>
      </c>
      <c r="T15">
        <v>45</v>
      </c>
      <c r="U15">
        <v>3.4</v>
      </c>
      <c r="V15" t="s">
        <v>98</v>
      </c>
    </row>
    <row r="16" spans="1:22">
      <c r="A16" t="s">
        <v>153</v>
      </c>
      <c r="B16">
        <v>1</v>
      </c>
      <c r="C16" s="2">
        <f>SUM(((Table16810[[#This Row],[Avg DPS]]*(Table16810[[#This Row],[Range]]))+(Table16810[[#This Row],[Avg DPS]]*Table16810[[#This Row],[Arm Pen (%)]]))/100)</f>
        <v>2.9985267857142857</v>
      </c>
      <c r="D16" s="3">
        <f>SUM(Table16810[[#This Row],[DPS]]*Table16810[[#This Row],[Avg Accuracy]])</f>
        <v>6.8303571428571432</v>
      </c>
      <c r="E16" s="2">
        <f>SUM((Table16810[[#This Row],[Damage]]*Table16810[[#This Row],[Burst]])/(Table16810[[#This Row],[Ranged Cooldown]]+Table16810[[#This Row],[Warm-up]]+(Table16810[[#This Row],[Burst Time]]*(Table16810[[#This Row],[Burst]]-1))))</f>
        <v>10.714285714285715</v>
      </c>
      <c r="F16">
        <v>26.9</v>
      </c>
      <c r="G16" s="2">
        <f>SUM((Table16810[[#This Row],[Accuracy (Close)]]+Table16810[[#This Row],[Accuracy (Short)]]+Table16810[[#This Row],[Accuracy (Medium)]]+Table16810[[#This Row],[Accuracy (Long)]])/4)</f>
        <v>0.63749999999999996</v>
      </c>
      <c r="H16">
        <v>12</v>
      </c>
      <c r="I16">
        <v>0.5</v>
      </c>
      <c r="J16">
        <v>17</v>
      </c>
      <c r="K16">
        <v>3</v>
      </c>
      <c r="L16">
        <v>1.81</v>
      </c>
      <c r="M16">
        <v>1.1499999999999999</v>
      </c>
      <c r="N16">
        <v>300</v>
      </c>
      <c r="O16" s="2">
        <f t="shared" si="0"/>
        <v>0.2</v>
      </c>
      <c r="P16">
        <v>0.6</v>
      </c>
      <c r="Q16">
        <v>0.73</v>
      </c>
      <c r="R16">
        <v>0.67</v>
      </c>
      <c r="S16">
        <v>0.55000000000000004</v>
      </c>
      <c r="T16">
        <v>70</v>
      </c>
      <c r="U16">
        <v>3.63</v>
      </c>
      <c r="V16" t="s">
        <v>98</v>
      </c>
    </row>
    <row r="17" spans="1:22" s="4" customFormat="1">
      <c r="A17" t="s">
        <v>89</v>
      </c>
      <c r="B17">
        <v>1</v>
      </c>
      <c r="C17" s="2">
        <f>SUM(((Table16810[[#This Row],[Avg DPS]]*(Table16810[[#This Row],[Range]]))+(Table16810[[#This Row],[Avg DPS]]*Table16810[[#This Row],[Arm Pen (%)]]))/100)</f>
        <v>3.2797636363636364</v>
      </c>
      <c r="D17" s="3">
        <f>SUM(Table16810[[#This Row],[DPS]]*Table16810[[#This Row],[Avg Accuracy]])</f>
        <v>7.1454545454545455</v>
      </c>
      <c r="E17" s="2">
        <f>SUM((Table16810[[#This Row],[Damage]]*Table16810[[#This Row],[Burst]])/(Table16810[[#This Row],[Ranged Cooldown]]+Table16810[[#This Row],[Warm-up]]+(Table16810[[#This Row],[Burst Time]]*(Table16810[[#This Row],[Burst]]-1))))</f>
        <v>10.90909090909091</v>
      </c>
      <c r="F17">
        <v>28.9</v>
      </c>
      <c r="G17" s="2">
        <f>SUM((Table16810[[#This Row],[Accuracy (Close)]]+Table16810[[#This Row],[Accuracy (Short)]]+Table16810[[#This Row],[Accuracy (Medium)]]+Table16810[[#This Row],[Accuracy (Long)]])/4)</f>
        <v>0.65499999999999992</v>
      </c>
      <c r="H17">
        <v>12</v>
      </c>
      <c r="I17">
        <v>0.5</v>
      </c>
      <c r="J17">
        <v>17</v>
      </c>
      <c r="K17">
        <v>3</v>
      </c>
      <c r="L17">
        <v>1.75</v>
      </c>
      <c r="M17">
        <v>1.1499999999999999</v>
      </c>
      <c r="N17">
        <v>300</v>
      </c>
      <c r="O17" s="2">
        <f t="shared" si="0"/>
        <v>0.2</v>
      </c>
      <c r="P17">
        <v>0.6</v>
      </c>
      <c r="Q17">
        <v>0.76</v>
      </c>
      <c r="R17">
        <v>0.7</v>
      </c>
      <c r="S17">
        <v>0.56000000000000005</v>
      </c>
      <c r="T17">
        <v>70</v>
      </c>
      <c r="U17">
        <v>3.3</v>
      </c>
      <c r="V17" t="s">
        <v>98</v>
      </c>
    </row>
    <row r="18" spans="1:22">
      <c r="A18" s="40" t="s">
        <v>154</v>
      </c>
      <c r="B18">
        <v>1</v>
      </c>
      <c r="C18" s="2">
        <f>SUM(((Table16810[[#This Row],[Avg DPS]]*(Table16810[[#This Row],[Range]]))+(Table16810[[#This Row],[Avg DPS]]*Table16810[[#This Row],[Arm Pen (%)]]))/100)</f>
        <v>2.4320833333333334</v>
      </c>
      <c r="D18" s="3">
        <f>SUM(Table16810[[#This Row],[DPS]]*Table16810[[#This Row],[Avg Accuracy]])</f>
        <v>5.416666666666667</v>
      </c>
      <c r="E18" s="2">
        <f>SUM((Table16810[[#This Row],[Damage]]*Table16810[[#This Row],[Burst]])/(Table16810[[#This Row],[Ranged Cooldown]]+Table16810[[#This Row],[Warm-up]]+(Table16810[[#This Row],[Burst Time]]*(Table16810[[#This Row],[Burst]]-1))))</f>
        <v>8.3333333333333339</v>
      </c>
      <c r="F18">
        <v>27.9</v>
      </c>
      <c r="G18" s="2">
        <f>SUM((Table16810[[#This Row],[Accuracy (Close)]]+Table16810[[#This Row],[Accuracy (Short)]]+Table16810[[#This Row],[Accuracy (Medium)]]+Table16810[[#This Row],[Accuracy (Long)]])/4)</f>
        <v>0.65</v>
      </c>
      <c r="H18">
        <v>15</v>
      </c>
      <c r="I18">
        <v>0.5</v>
      </c>
      <c r="J18">
        <v>17</v>
      </c>
      <c r="K18">
        <v>1</v>
      </c>
      <c r="L18">
        <v>0.9</v>
      </c>
      <c r="M18">
        <v>0.9</v>
      </c>
      <c r="N18">
        <v>0</v>
      </c>
      <c r="O18" s="2">
        <v>1.5</v>
      </c>
      <c r="P18">
        <v>0.5</v>
      </c>
      <c r="Q18">
        <v>0.79</v>
      </c>
      <c r="R18">
        <v>0.73</v>
      </c>
      <c r="S18">
        <v>0.57999999999999996</v>
      </c>
      <c r="T18">
        <v>72</v>
      </c>
      <c r="U18">
        <v>3.21</v>
      </c>
      <c r="V18" t="s">
        <v>98</v>
      </c>
    </row>
    <row r="19" spans="1:22">
      <c r="A19" t="s">
        <v>95</v>
      </c>
      <c r="B19">
        <v>1</v>
      </c>
      <c r="C19" s="2">
        <f>SUM(((Table16810[[#This Row],[Avg DPS]]*(Table16810[[#This Row],[Range]]))+(Table16810[[#This Row],[Avg DPS]]*Table16810[[#This Row],[Arm Pen (%)]]))/100)</f>
        <v>2.3732000000000002</v>
      </c>
      <c r="D19" s="3">
        <f>SUM(Table16810[[#This Row],[DPS]]*Table16810[[#This Row],[Avg Accuracy]])</f>
        <v>6.8000000000000007</v>
      </c>
      <c r="E19" s="2">
        <f>SUM((Table16810[[#This Row],[Damage]]*Table16810[[#This Row],[Burst]])/(Table16810[[#This Row],[Ranged Cooldown]]+Table16810[[#This Row],[Warm-up]]+(Table16810[[#This Row],[Burst Time]]*(Table16810[[#This Row],[Burst]]-1))))</f>
        <v>16</v>
      </c>
      <c r="F19">
        <v>23.9</v>
      </c>
      <c r="G19" s="2">
        <f>SUM((Table16810[[#This Row],[Accuracy (Close)]]+Table16810[[#This Row],[Accuracy (Short)]]+Table16810[[#This Row],[Accuracy (Medium)]]+Table16810[[#This Row],[Accuracy (Long)]])/4)</f>
        <v>0.42500000000000004</v>
      </c>
      <c r="H19">
        <v>6</v>
      </c>
      <c r="I19">
        <v>0.5</v>
      </c>
      <c r="J19">
        <v>11</v>
      </c>
      <c r="K19">
        <v>10</v>
      </c>
      <c r="L19">
        <v>2</v>
      </c>
      <c r="M19">
        <v>1</v>
      </c>
      <c r="N19">
        <v>720</v>
      </c>
      <c r="O19" s="2">
        <f t="shared" si="0"/>
        <v>8.3333333333333329E-2</v>
      </c>
      <c r="P19">
        <v>0.3</v>
      </c>
      <c r="Q19">
        <v>0.55000000000000004</v>
      </c>
      <c r="R19">
        <v>0.5</v>
      </c>
      <c r="S19">
        <v>0.35</v>
      </c>
      <c r="T19">
        <v>45</v>
      </c>
      <c r="U19">
        <v>4.2</v>
      </c>
      <c r="V19" t="s">
        <v>98</v>
      </c>
    </row>
    <row r="20" spans="1:22">
      <c r="A20" s="7" t="s">
        <v>94</v>
      </c>
      <c r="B20" s="7">
        <v>1</v>
      </c>
      <c r="C20" s="2">
        <f>SUM(((Table16810[[#This Row],[Avg DPS]]*(Table16810[[#This Row],[Range]]))+(Table16810[[#This Row],[Avg DPS]]*Table16810[[#This Row],[Arm Pen (%)]]))/100)</f>
        <v>3.0152780898876399</v>
      </c>
      <c r="D20" s="3">
        <f>SUM(Table16810[[#This Row],[DPS]]*Table16810[[#This Row],[Avg Accuracy]])</f>
        <v>6.2949438202247174</v>
      </c>
      <c r="E20" s="2">
        <f>SUM((Table16810[[#This Row],[Damage]]*Table16810[[#This Row],[Burst]])/(Table16810[[#This Row],[Ranged Cooldown]]+Table16810[[#This Row],[Warm-up]]+(Table16810[[#This Row],[Burst Time]]*(Table16810[[#This Row],[Burst]]-1))))</f>
        <v>10.112359550561797</v>
      </c>
      <c r="F20" s="7">
        <v>33.9</v>
      </c>
      <c r="G20" s="2">
        <f>SUM((Table16810[[#This Row],[Accuracy (Close)]]+Table16810[[#This Row],[Accuracy (Short)]]+Table16810[[#This Row],[Accuracy (Medium)]]+Table16810[[#This Row],[Accuracy (Long)]])/4)</f>
        <v>0.62249999999999994</v>
      </c>
      <c r="H20">
        <v>10</v>
      </c>
      <c r="I20">
        <v>0.5</v>
      </c>
      <c r="J20">
        <v>14</v>
      </c>
      <c r="K20">
        <v>3</v>
      </c>
      <c r="L20">
        <v>1.65</v>
      </c>
      <c r="M20">
        <v>1.05</v>
      </c>
      <c r="N20">
        <v>450</v>
      </c>
      <c r="O20" s="2">
        <f t="shared" si="0"/>
        <v>0.13333333333333333</v>
      </c>
      <c r="P20">
        <v>0.6</v>
      </c>
      <c r="Q20">
        <v>0.74</v>
      </c>
      <c r="R20">
        <v>0.63</v>
      </c>
      <c r="S20">
        <v>0.52</v>
      </c>
      <c r="T20" s="7">
        <v>74</v>
      </c>
      <c r="U20" s="7">
        <v>3.5</v>
      </c>
      <c r="V20" s="7" t="s">
        <v>98</v>
      </c>
    </row>
    <row r="21" spans="1:22">
      <c r="A21" t="s">
        <v>142</v>
      </c>
      <c r="B21">
        <v>1</v>
      </c>
      <c r="C21" s="2">
        <f>SUM(((Table16810[[#This Row],[Avg DPS]]*(Table16810[[#This Row],[Range]]))+(Table16810[[#This Row],[Avg DPS]]*Table16810[[#This Row],[Arm Pen (%)]]))/100)</f>
        <v>2.891893333333333</v>
      </c>
      <c r="D21" s="3">
        <f>SUM(Table16810[[#This Row],[DPS]]*Table16810[[#This Row],[Avg Accuracy]])</f>
        <v>5.1733333333333329</v>
      </c>
      <c r="E21" s="2">
        <f>SUM((Table16810[[#This Row],[Damage]]*Table16810[[#This Row],[Burst]])/(Table16810[[#This Row],[Ranged Cooldown]]+Table16810[[#This Row],[Warm-up]]+(Table16810[[#This Row],[Burst Time]]*(Table16810[[#This Row],[Burst]]-1))))</f>
        <v>7.1111111111111107</v>
      </c>
      <c r="F21">
        <v>35.9</v>
      </c>
      <c r="G21" s="2">
        <f>SUM((Table16810[[#This Row],[Accuracy (Close)]]+Table16810[[#This Row],[Accuracy (Short)]]+Table16810[[#This Row],[Accuracy (Medium)]]+Table16810[[#This Row],[Accuracy (Long)]])/4)</f>
        <v>0.72750000000000004</v>
      </c>
      <c r="H21">
        <v>16</v>
      </c>
      <c r="I21">
        <v>1</v>
      </c>
      <c r="J21">
        <v>20</v>
      </c>
      <c r="K21">
        <v>1</v>
      </c>
      <c r="L21">
        <v>1</v>
      </c>
      <c r="M21">
        <v>1.25</v>
      </c>
      <c r="N21">
        <v>0</v>
      </c>
      <c r="O21" s="2">
        <v>1</v>
      </c>
      <c r="P21">
        <v>0.6</v>
      </c>
      <c r="Q21">
        <v>0.75</v>
      </c>
      <c r="R21">
        <v>0.84</v>
      </c>
      <c r="S21">
        <v>0.72</v>
      </c>
      <c r="T21">
        <v>70</v>
      </c>
      <c r="V21" t="s">
        <v>98</v>
      </c>
    </row>
    <row r="22" spans="1:22">
      <c r="A22" t="s">
        <v>143</v>
      </c>
      <c r="B22">
        <v>1</v>
      </c>
      <c r="C22" s="2">
        <f>SUM(((Table16810[[#This Row],[Avg DPS]]*(Table16810[[#This Row],[Range]]))+(Table16810[[#This Row],[Avg DPS]]*Table16810[[#This Row],[Arm Pen (%)]]))/100)</f>
        <v>2.8341360497237571</v>
      </c>
      <c r="D22" s="3">
        <f>SUM(Table16810[[#This Row],[DPS]]*Table16810[[#This Row],[Avg Accuracy]])</f>
        <v>4.0545580110497239</v>
      </c>
      <c r="E22" s="2">
        <f>SUM((Table16810[[#This Row],[Damage]]*Table16810[[#This Row],[Burst]])/(Table16810[[#This Row],[Ranged Cooldown]]+Table16810[[#This Row],[Warm-up]]+(Table16810[[#This Row],[Burst Time]]*(Table16810[[#This Row],[Burst]]-1))))</f>
        <v>5.2486187845303869</v>
      </c>
      <c r="F22">
        <v>40.9</v>
      </c>
      <c r="G22" s="2">
        <f>SUM((Table16810[[#This Row],[Accuracy (Close)]]+Table16810[[#This Row],[Accuracy (Short)]]+Table16810[[#This Row],[Accuracy (Medium)]]+Table16810[[#This Row],[Accuracy (Long)]])/4)</f>
        <v>0.77249999999999996</v>
      </c>
      <c r="H22">
        <v>19</v>
      </c>
      <c r="I22">
        <v>1.5</v>
      </c>
      <c r="J22">
        <v>29</v>
      </c>
      <c r="K22">
        <v>1</v>
      </c>
      <c r="L22">
        <v>1.72</v>
      </c>
      <c r="M22">
        <v>1.9</v>
      </c>
      <c r="N22">
        <v>0</v>
      </c>
      <c r="O22" s="2">
        <v>1.72</v>
      </c>
      <c r="P22">
        <v>0.59</v>
      </c>
      <c r="Q22">
        <v>0.7</v>
      </c>
      <c r="R22">
        <v>0.94</v>
      </c>
      <c r="S22">
        <v>0.86</v>
      </c>
      <c r="T22">
        <v>88</v>
      </c>
      <c r="V22" t="s">
        <v>98</v>
      </c>
    </row>
    <row r="23" spans="1:22">
      <c r="C23" s="2" t="e">
        <f>SUM(((Table16810[[#This Row],[Avg DPS]]*(Table16810[[#This Row],[Range]]))+(Table16810[[#This Row],[Avg DPS]]*Table16810[[#This Row],[Arm Pen (%)]]))/100)</f>
        <v>#DIV/0!</v>
      </c>
      <c r="D23" s="3" t="e">
        <f>SUM(Table16810[[#This Row],[DPS]]*Table16810[[#This Row],[Avg Accuracy]])</f>
        <v>#DIV/0!</v>
      </c>
      <c r="E2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23" s="2">
        <f>SUM((Table16810[[#This Row],[Accuracy (Close)]]+Table16810[[#This Row],[Accuracy (Short)]]+Table16810[[#This Row],[Accuracy (Medium)]]+Table16810[[#This Row],[Accuracy (Long)]])/4)</f>
        <v>0</v>
      </c>
      <c r="O23" s="2" t="e">
        <f t="shared" ref="O23:O29" si="1">60/N23</f>
        <v>#DIV/0!</v>
      </c>
    </row>
    <row r="24" spans="1:22">
      <c r="C24" s="2" t="e">
        <f>SUM(((Table16810[[#This Row],[Avg DPS]]*(Table16810[[#This Row],[Range]]))+(Table16810[[#This Row],[Avg DPS]]*Table16810[[#This Row],[Arm Pen (%)]]))/100)</f>
        <v>#DIV/0!</v>
      </c>
      <c r="D24" s="3" t="e">
        <f>SUM(Table16810[[#This Row],[DPS]]*Table16810[[#This Row],[Avg Accuracy]])</f>
        <v>#DIV/0!</v>
      </c>
      <c r="E2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24" s="2">
        <f>SUM((Table16810[[#This Row],[Accuracy (Close)]]+Table16810[[#This Row],[Accuracy (Short)]]+Table16810[[#This Row],[Accuracy (Medium)]]+Table16810[[#This Row],[Accuracy (Long)]])/4)</f>
        <v>0</v>
      </c>
      <c r="O24" s="2" t="e">
        <f t="shared" si="1"/>
        <v>#DIV/0!</v>
      </c>
    </row>
    <row r="25" spans="1:22">
      <c r="C25" s="2" t="e">
        <f>SUM(((Table16810[[#This Row],[Avg DPS]]*(Table16810[[#This Row],[Range]]))+(Table16810[[#This Row],[Avg DPS]]*Table16810[[#This Row],[Arm Pen (%)]]))/100)</f>
        <v>#DIV/0!</v>
      </c>
      <c r="D25" s="3" t="e">
        <f>SUM(Table16810[[#This Row],[DPS]]*Table16810[[#This Row],[Avg Accuracy]])</f>
        <v>#DIV/0!</v>
      </c>
      <c r="E2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25" s="2">
        <f>SUM((Table16810[[#This Row],[Accuracy (Close)]]+Table16810[[#This Row],[Accuracy (Short)]]+Table16810[[#This Row],[Accuracy (Medium)]]+Table16810[[#This Row],[Accuracy (Long)]])/4)</f>
        <v>0</v>
      </c>
      <c r="O25" s="2" t="e">
        <f t="shared" si="1"/>
        <v>#DIV/0!</v>
      </c>
    </row>
    <row r="26" spans="1:22">
      <c r="C26" s="2" t="e">
        <f>SUM(((Table16810[[#This Row],[Avg DPS]]*(Table16810[[#This Row],[Range]]))+(Table16810[[#This Row],[Avg DPS]]*Table16810[[#This Row],[Arm Pen (%)]]))/100)</f>
        <v>#DIV/0!</v>
      </c>
      <c r="D26" s="3" t="e">
        <f>SUM(Table16810[[#This Row],[DPS]]*Table16810[[#This Row],[Avg Accuracy]])</f>
        <v>#DIV/0!</v>
      </c>
      <c r="E2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26" s="2">
        <f>SUM((Table16810[[#This Row],[Accuracy (Close)]]+Table16810[[#This Row],[Accuracy (Short)]]+Table16810[[#This Row],[Accuracy (Medium)]]+Table16810[[#This Row],[Accuracy (Long)]])/4)</f>
        <v>0</v>
      </c>
      <c r="O26" s="2" t="e">
        <f t="shared" si="1"/>
        <v>#DIV/0!</v>
      </c>
    </row>
    <row r="27" spans="1:22">
      <c r="C27" s="2" t="e">
        <f>SUM(((Table16810[[#This Row],[Avg DPS]]*(Table16810[[#This Row],[Range]]))+(Table16810[[#This Row],[Avg DPS]]*Table16810[[#This Row],[Arm Pen (%)]]))/100)</f>
        <v>#DIV/0!</v>
      </c>
      <c r="D27" s="3" t="e">
        <f>SUM(Table16810[[#This Row],[DPS]]*Table16810[[#This Row],[Avg Accuracy]])</f>
        <v>#DIV/0!</v>
      </c>
      <c r="E2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27" s="2">
        <f>SUM((Table16810[[#This Row],[Accuracy (Close)]]+Table16810[[#This Row],[Accuracy (Short)]]+Table16810[[#This Row],[Accuracy (Medium)]]+Table16810[[#This Row],[Accuracy (Long)]])/4)</f>
        <v>0</v>
      </c>
      <c r="O27" s="2" t="e">
        <f t="shared" si="1"/>
        <v>#DIV/0!</v>
      </c>
    </row>
    <row r="28" spans="1:22">
      <c r="C28" s="2" t="e">
        <f>SUM(((Table16810[[#This Row],[Avg DPS]]*(Table16810[[#This Row],[Range]]))+(Table16810[[#This Row],[Avg DPS]]*Table16810[[#This Row],[Arm Pen (%)]]))/100)</f>
        <v>#DIV/0!</v>
      </c>
      <c r="D28" s="3" t="e">
        <f>SUM(Table16810[[#This Row],[DPS]]*Table16810[[#This Row],[Avg Accuracy]])</f>
        <v>#DIV/0!</v>
      </c>
      <c r="E2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28" s="2">
        <f>SUM((Table16810[[#This Row],[Accuracy (Close)]]+Table16810[[#This Row],[Accuracy (Short)]]+Table16810[[#This Row],[Accuracy (Medium)]]+Table16810[[#This Row],[Accuracy (Long)]])/4)</f>
        <v>0</v>
      </c>
      <c r="O28" s="2" t="e">
        <f t="shared" si="1"/>
        <v>#DIV/0!</v>
      </c>
    </row>
    <row r="29" spans="1:22">
      <c r="A29" s="7"/>
      <c r="B29" s="7"/>
      <c r="C29" s="8" t="e">
        <f>SUM(((Table16810[[#This Row],[Avg DPS]]*(Table16810[[#This Row],[Range]]))+(Table16810[[#This Row],[Avg DPS]]*Table16810[[#This Row],[Arm Pen (%)]]))/100)</f>
        <v>#DIV/0!</v>
      </c>
      <c r="D29" s="9" t="e">
        <f>SUM(Table16810[[#This Row],[DPS]]*Table16810[[#This Row],[Avg Accuracy]])</f>
        <v>#DIV/0!</v>
      </c>
      <c r="E29" s="8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F29" s="7"/>
      <c r="G29" s="8">
        <f>SUM((Table16810[[#This Row],[Accuracy (Close)]]+Table16810[[#This Row],[Accuracy (Short)]]+Table16810[[#This Row],[Accuracy (Medium)]]+Table16810[[#This Row],[Accuracy (Long)]])/4)</f>
        <v>0</v>
      </c>
      <c r="H29" s="7"/>
      <c r="I29" s="7"/>
      <c r="J29" s="7"/>
      <c r="K29" s="7"/>
      <c r="L29" s="7"/>
      <c r="M29" s="7"/>
      <c r="N29" s="7"/>
      <c r="O29" s="8" t="e">
        <f t="shared" si="1"/>
        <v>#DIV/0!</v>
      </c>
      <c r="P29" s="7"/>
      <c r="Q29" s="7"/>
      <c r="R29" s="7"/>
      <c r="S29" s="7"/>
      <c r="T29" s="7"/>
      <c r="U29" s="7"/>
      <c r="V29" s="7"/>
    </row>
  </sheetData>
  <conditionalFormatting sqref="C4:C998">
    <cfRule type="cellIs" dxfId="45" priority="1" operator="greaterThan">
      <formula>3.2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V19"/>
  <sheetViews>
    <sheetView topLeftCell="C1" workbookViewId="0">
      <selection activeCell="U8" sqref="U8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9.42578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2">
      <c r="A1" s="1" t="s">
        <v>0</v>
      </c>
      <c r="C1" t="s">
        <v>24</v>
      </c>
      <c r="F1" s="1" t="s">
        <v>77</v>
      </c>
    </row>
    <row r="2" spans="1:22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</row>
    <row r="3" spans="1:22" ht="15.75" thickBot="1">
      <c r="A3" t="s">
        <v>1</v>
      </c>
      <c r="B3" t="s">
        <v>40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83</v>
      </c>
      <c r="U3" s="16" t="s">
        <v>84</v>
      </c>
      <c r="V3" s="21" t="s">
        <v>96</v>
      </c>
    </row>
    <row r="4" spans="1:22" ht="15.75" thickTop="1">
      <c r="A4" s="6" t="s">
        <v>47</v>
      </c>
      <c r="B4" s="11" t="s">
        <v>41</v>
      </c>
      <c r="C4" s="2">
        <f>SUM(((Table1681011[[#This Row],[Avg DPS]]*(Table1681011[[#This Row],[Range]]))+(Table1681011[[#This Row],[Avg DPS]]*Table1681011[[#This Row],[Arm Pen (%)]]))/100)</f>
        <v>2.6295258620689657</v>
      </c>
      <c r="D4" s="3">
        <f>SUM(Table1681011[[#This Row],[DPS]]*Table1681011[[#This Row],[Avg Accuracy]])</f>
        <v>3.1681034482758621</v>
      </c>
      <c r="E4" s="2">
        <f>SUM((Table1681011[[#This Row],[Damage]]*Table1681011[[#This Row],[Burst]])/(Table1681011[[#This Row],[Ranged Cooldown]]+Table1681011[[#This Row],[Warm-up]]+(Table1681011[[#This Row],[Burst Time]]*(Table1681011[[#This Row],[Burst]]-1))))</f>
        <v>4.3103448275862073</v>
      </c>
      <c r="F4">
        <v>45</v>
      </c>
      <c r="G4" s="2">
        <f>SUM((Table1681011[[#This Row],[Accuracy (Close)]]+Table1681011[[#This Row],[Accuracy (Short)]]+Table1681011[[#This Row],[Accuracy (Medium)]]+Table1681011[[#This Row],[Accuracy (Long)]])/4)</f>
        <v>0.73499999999999999</v>
      </c>
      <c r="H4">
        <v>25</v>
      </c>
      <c r="I4">
        <v>1.5</v>
      </c>
      <c r="J4">
        <v>38</v>
      </c>
      <c r="K4">
        <v>1</v>
      </c>
      <c r="L4">
        <v>2.2999999999999998</v>
      </c>
      <c r="M4">
        <v>3.5</v>
      </c>
      <c r="N4">
        <v>0</v>
      </c>
      <c r="O4" s="2">
        <v>2.2999999999999998</v>
      </c>
      <c r="P4">
        <v>0.5</v>
      </c>
      <c r="Q4">
        <v>0.7</v>
      </c>
      <c r="R4">
        <v>0.86</v>
      </c>
      <c r="S4">
        <v>0.88</v>
      </c>
      <c r="T4" s="17">
        <v>100</v>
      </c>
      <c r="U4" s="18"/>
      <c r="V4" s="24" t="s">
        <v>97</v>
      </c>
    </row>
    <row r="5" spans="1:22">
      <c r="A5" s="4" t="s">
        <v>155</v>
      </c>
      <c r="B5" s="4">
        <v>2</v>
      </c>
      <c r="C5" s="2">
        <f>SUM(((Table1681011[[#This Row],[Avg DPS]]*(Table1681011[[#This Row],[Range]]))+(Table1681011[[#This Row],[Avg DPS]]*Table1681011[[#This Row],[Arm Pen (%)]]))/100)</f>
        <v>3.0802499999999999</v>
      </c>
      <c r="D5" s="3">
        <f>SUM(Table1681011[[#This Row],[DPS]]*Table1681011[[#This Row],[Avg Accuracy]])</f>
        <v>3.083333333333333</v>
      </c>
      <c r="E5" s="2">
        <f>SUM((Table1681011[[#This Row],[Damage]]*Table1681011[[#This Row],[Burst]])/(Table1681011[[#This Row],[Ranged Cooldown]]+Table1681011[[#This Row],[Warm-up]]+(Table1681011[[#This Row],[Burst Time]]*(Table1681011[[#This Row],[Burst]]-1))))</f>
        <v>4.1666666666666661</v>
      </c>
      <c r="F5">
        <v>52.9</v>
      </c>
      <c r="G5" s="2">
        <f>SUM((Table1681011[[#This Row],[Accuracy (Close)]]+Table1681011[[#This Row],[Accuracy (Short)]]+Table1681011[[#This Row],[Accuracy (Medium)]]+Table1681011[[#This Row],[Accuracy (Long)]])/4)</f>
        <v>0.74</v>
      </c>
      <c r="H5">
        <v>35</v>
      </c>
      <c r="I5">
        <v>1.5</v>
      </c>
      <c r="J5">
        <v>47</v>
      </c>
      <c r="K5">
        <v>1</v>
      </c>
      <c r="L5">
        <v>3.1</v>
      </c>
      <c r="M5">
        <v>5.3</v>
      </c>
      <c r="N5">
        <v>0</v>
      </c>
      <c r="O5" s="2">
        <v>3.5</v>
      </c>
      <c r="P5">
        <v>0.4</v>
      </c>
      <c r="Q5">
        <v>0.72</v>
      </c>
      <c r="R5">
        <v>0.94</v>
      </c>
      <c r="S5">
        <v>0.9</v>
      </c>
      <c r="T5" s="19"/>
      <c r="U5" s="20"/>
      <c r="V5" s="25" t="s">
        <v>98</v>
      </c>
    </row>
    <row r="6" spans="1:22">
      <c r="A6" s="14" t="s">
        <v>73</v>
      </c>
      <c r="B6" s="4">
        <v>1</v>
      </c>
      <c r="C6" s="2">
        <f>SUM(((Table1681011[[#This Row],[Avg DPS]]*(Table1681011[[#This Row],[Range]]))+(Table1681011[[#This Row],[Avg DPS]]*Table1681011[[#This Row],[Arm Pen (%)]]))/100)</f>
        <v>2.5494545454545454</v>
      </c>
      <c r="D6" s="3">
        <f>SUM(Table1681011[[#This Row],[DPS]]*Table1681011[[#This Row],[Avg Accuracy]])</f>
        <v>3.2727272727272729</v>
      </c>
      <c r="E6" s="2">
        <f>SUM((Table1681011[[#This Row],[Damage]]*Table1681011[[#This Row],[Burst]])/(Table1681011[[#This Row],[Ranged Cooldown]]+Table1681011[[#This Row],[Warm-up]]+(Table1681011[[#This Row],[Burst Time]]*(Table1681011[[#This Row],[Burst]]-1))))</f>
        <v>4.5454545454545459</v>
      </c>
      <c r="F6">
        <v>42.9</v>
      </c>
      <c r="G6" s="2">
        <f>SUM((Table1681011[[#This Row],[Accuracy (Close)]]+Table1681011[[#This Row],[Accuracy (Short)]]+Table1681011[[#This Row],[Accuracy (Medium)]]+Table1681011[[#This Row],[Accuracy (Long)]])/4)</f>
        <v>0.72</v>
      </c>
      <c r="H6">
        <v>25</v>
      </c>
      <c r="I6">
        <v>1.5</v>
      </c>
      <c r="J6">
        <v>35</v>
      </c>
      <c r="K6">
        <v>1</v>
      </c>
      <c r="L6">
        <v>2</v>
      </c>
      <c r="M6">
        <v>3.5</v>
      </c>
      <c r="N6">
        <v>0</v>
      </c>
      <c r="O6" s="2">
        <v>2</v>
      </c>
      <c r="P6">
        <v>0.4</v>
      </c>
      <c r="Q6">
        <v>0.71</v>
      </c>
      <c r="R6">
        <v>0.9</v>
      </c>
      <c r="S6">
        <v>0.87</v>
      </c>
      <c r="T6" s="17"/>
      <c r="U6" s="18"/>
      <c r="V6" s="24" t="s">
        <v>97</v>
      </c>
    </row>
    <row r="7" spans="1:22">
      <c r="A7" t="s">
        <v>156</v>
      </c>
      <c r="B7" s="4">
        <v>1</v>
      </c>
      <c r="C7" s="2">
        <f>SUM(((Table1681011[[#This Row],[Avg DPS]]*(Table1681011[[#This Row],[Range]]))+(Table1681011[[#This Row],[Avg DPS]]*Table1681011[[#This Row],[Arm Pen (%)]]))/100)</f>
        <v>2.757509615384615</v>
      </c>
      <c r="D7" s="3">
        <f>SUM(Table1681011[[#This Row],[DPS]]*Table1681011[[#This Row],[Avg Accuracy]])</f>
        <v>3.0673076923076925</v>
      </c>
      <c r="E7" s="2">
        <f>SUM((Table1681011[[#This Row],[Damage]]*Table1681011[[#This Row],[Burst]])/(Table1681011[[#This Row],[Ranged Cooldown]]+Table1681011[[#This Row],[Warm-up]]+(Table1681011[[#This Row],[Burst Time]]*(Table1681011[[#This Row],[Burst]]-1))))</f>
        <v>4.4615384615384617</v>
      </c>
      <c r="F7">
        <v>47.9</v>
      </c>
      <c r="G7" s="2">
        <f>SUM((Table1681011[[#This Row],[Accuracy (Close)]]+Table1681011[[#This Row],[Accuracy (Short)]]+Table1681011[[#This Row],[Accuracy (Medium)]]+Table1681011[[#This Row],[Accuracy (Long)]])/4)</f>
        <v>0.6875</v>
      </c>
      <c r="H7">
        <v>29</v>
      </c>
      <c r="I7">
        <v>1.5</v>
      </c>
      <c r="J7">
        <v>42</v>
      </c>
      <c r="K7">
        <v>1</v>
      </c>
      <c r="L7">
        <v>2.6</v>
      </c>
      <c r="M7">
        <v>3.9</v>
      </c>
      <c r="N7">
        <v>0</v>
      </c>
      <c r="O7" s="2">
        <v>2.6</v>
      </c>
      <c r="P7">
        <v>0.4</v>
      </c>
      <c r="Q7">
        <v>0.68</v>
      </c>
      <c r="R7">
        <v>0.82</v>
      </c>
      <c r="S7">
        <v>0.85</v>
      </c>
      <c r="T7" s="19">
        <v>120</v>
      </c>
      <c r="U7" s="20">
        <v>7.54</v>
      </c>
      <c r="V7" s="25" t="s">
        <v>98</v>
      </c>
    </row>
    <row r="8" spans="1:22">
      <c r="A8" t="s">
        <v>168</v>
      </c>
      <c r="B8" s="4">
        <v>1</v>
      </c>
      <c r="C8" s="2" t="e">
        <f>SUM(((Table1681011[[#This Row],[Avg DPS]]*(Table1681011[[#This Row],[Range]]))+(Table1681011[[#This Row],[Avg DPS]]*Table1681011[[#This Row],[Arm Pen (%)]]))/100)</f>
        <v>#DIV/0!</v>
      </c>
      <c r="D8" s="3" t="e">
        <f>SUM(Table1681011[[#This Row],[DPS]]*Table1681011[[#This Row],[Avg Accuracy]])</f>
        <v>#DIV/0!</v>
      </c>
      <c r="E8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8" s="2">
        <f>SUM((Table1681011[[#This Row],[Accuracy (Close)]]+Table1681011[[#This Row],[Accuracy (Short)]]+Table1681011[[#This Row],[Accuracy (Medium)]]+Table1681011[[#This Row],[Accuracy (Long)]])/4)</f>
        <v>0</v>
      </c>
      <c r="O8" s="2" t="e">
        <f t="shared" ref="O8:O16" si="0">60/N8</f>
        <v>#DIV/0!</v>
      </c>
      <c r="T8" s="17"/>
      <c r="U8" s="18"/>
      <c r="V8" s="24" t="s">
        <v>98</v>
      </c>
    </row>
    <row r="9" spans="1:22">
      <c r="B9" s="4"/>
      <c r="C9" s="2" t="e">
        <f>SUM(((Table1681011[[#This Row],[Avg DPS]]*(Table1681011[[#This Row],[Range]]))+(Table1681011[[#This Row],[Avg DPS]]*Table1681011[[#This Row],[Arm Pen (%)]]))/100)</f>
        <v>#DIV/0!</v>
      </c>
      <c r="D9" s="3" t="e">
        <f>SUM(Table1681011[[#This Row],[DPS]]*Table1681011[[#This Row],[Avg Accuracy]])</f>
        <v>#DIV/0!</v>
      </c>
      <c r="E9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9" s="2">
        <f>SUM((Table1681011[[#This Row],[Accuracy (Close)]]+Table1681011[[#This Row],[Accuracy (Short)]]+Table1681011[[#This Row],[Accuracy (Medium)]]+Table1681011[[#This Row],[Accuracy (Long)]])/4)</f>
        <v>0</v>
      </c>
      <c r="O9" s="2" t="e">
        <f t="shared" si="0"/>
        <v>#DIV/0!</v>
      </c>
      <c r="T9" s="19"/>
      <c r="U9" s="20"/>
      <c r="V9" s="23"/>
    </row>
    <row r="10" spans="1:22">
      <c r="B10" s="4"/>
      <c r="C10" s="2" t="e">
        <f>SUM(((Table1681011[[#This Row],[Avg DPS]]*(Table1681011[[#This Row],[Range]]))+(Table1681011[[#This Row],[Avg DPS]]*Table1681011[[#This Row],[Arm Pen (%)]]))/100)</f>
        <v>#DIV/0!</v>
      </c>
      <c r="D10" s="3" t="e">
        <f>SUM(Table1681011[[#This Row],[DPS]]*Table1681011[[#This Row],[Avg Accuracy]])</f>
        <v>#DIV/0!</v>
      </c>
      <c r="E10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0" s="2">
        <f>SUM((Table1681011[[#This Row],[Accuracy (Close)]]+Table1681011[[#This Row],[Accuracy (Short)]]+Table1681011[[#This Row],[Accuracy (Medium)]]+Table1681011[[#This Row],[Accuracy (Long)]])/4)</f>
        <v>0</v>
      </c>
      <c r="O10" s="2" t="e">
        <f t="shared" si="0"/>
        <v>#DIV/0!</v>
      </c>
      <c r="T10" s="17"/>
      <c r="U10" s="18"/>
      <c r="V10" s="22"/>
    </row>
    <row r="11" spans="1:22">
      <c r="A11" s="4"/>
      <c r="B11" s="4"/>
      <c r="C11" s="2" t="e">
        <f>SUM(((Table1681011[[#This Row],[Avg DPS]]*(Table1681011[[#This Row],[Range]]))+(Table1681011[[#This Row],[Avg DPS]]*Table1681011[[#This Row],[Arm Pen (%)]]))/100)</f>
        <v>#DIV/0!</v>
      </c>
      <c r="D11" s="3" t="e">
        <f>SUM(Table1681011[[#This Row],[DPS]]*Table1681011[[#This Row],[Avg Accuracy]])</f>
        <v>#DIV/0!</v>
      </c>
      <c r="E11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1" s="2">
        <f>SUM((Table1681011[[#This Row],[Accuracy (Close)]]+Table1681011[[#This Row],[Accuracy (Short)]]+Table1681011[[#This Row],[Accuracy (Medium)]]+Table1681011[[#This Row],[Accuracy (Long)]])/4)</f>
        <v>0</v>
      </c>
      <c r="O11" s="2" t="e">
        <f t="shared" si="0"/>
        <v>#DIV/0!</v>
      </c>
      <c r="T11" s="19"/>
      <c r="U11" s="20"/>
      <c r="V11" s="23"/>
    </row>
    <row r="12" spans="1:22">
      <c r="A12" s="4"/>
      <c r="B12" s="4"/>
      <c r="C12" s="2" t="e">
        <f>SUM(((Table1681011[[#This Row],[Avg DPS]]*(Table1681011[[#This Row],[Range]]))+(Table1681011[[#This Row],[Avg DPS]]*Table1681011[[#This Row],[Arm Pen (%)]]))/100)</f>
        <v>#DIV/0!</v>
      </c>
      <c r="D12" s="3" t="e">
        <f>SUM(Table1681011[[#This Row],[DPS]]*Table1681011[[#This Row],[Avg Accuracy]])</f>
        <v>#DIV/0!</v>
      </c>
      <c r="E12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2" s="2">
        <f>SUM((Table1681011[[#This Row],[Accuracy (Close)]]+Table1681011[[#This Row],[Accuracy (Short)]]+Table1681011[[#This Row],[Accuracy (Medium)]]+Table1681011[[#This Row],[Accuracy (Long)]])/4)</f>
        <v>0</v>
      </c>
      <c r="O12" s="2" t="e">
        <f t="shared" si="0"/>
        <v>#DIV/0!</v>
      </c>
      <c r="T12" s="17"/>
      <c r="U12" s="18"/>
      <c r="V12" s="22"/>
    </row>
    <row r="13" spans="1:22">
      <c r="C13" s="2" t="e">
        <f>SUM(((Table1681011[[#This Row],[Avg DPS]]*(Table1681011[[#This Row],[Range]]))+(Table1681011[[#This Row],[Avg DPS]]*Table1681011[[#This Row],[Arm Pen (%)]]))/100)</f>
        <v>#DIV/0!</v>
      </c>
      <c r="D13" s="3" t="e">
        <f>SUM(Table1681011[[#This Row],[DPS]]*Table1681011[[#This Row],[Avg Accuracy]])</f>
        <v>#DIV/0!</v>
      </c>
      <c r="E13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3" s="2">
        <f>SUM((Table1681011[[#This Row],[Accuracy (Close)]]+Table1681011[[#This Row],[Accuracy (Short)]]+Table1681011[[#This Row],[Accuracy (Medium)]]+Table1681011[[#This Row],[Accuracy (Long)]])/4)</f>
        <v>0</v>
      </c>
      <c r="O13" s="2" t="e">
        <f t="shared" si="0"/>
        <v>#DIV/0!</v>
      </c>
      <c r="T13" s="19"/>
      <c r="U13" s="20"/>
      <c r="V13" s="23"/>
    </row>
    <row r="14" spans="1:22">
      <c r="C14" s="2" t="e">
        <f>SUM(((Table1681011[[#This Row],[Avg DPS]]*(Table1681011[[#This Row],[Range]]))+(Table1681011[[#This Row],[Avg DPS]]*Table1681011[[#This Row],[Arm Pen (%)]]))/100)</f>
        <v>#DIV/0!</v>
      </c>
      <c r="D14" s="3" t="e">
        <f>SUM(Table1681011[[#This Row],[DPS]]*Table1681011[[#This Row],[Avg Accuracy]])</f>
        <v>#DIV/0!</v>
      </c>
      <c r="E14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4" s="2">
        <f>SUM((Table1681011[[#This Row],[Accuracy (Close)]]+Table1681011[[#This Row],[Accuracy (Short)]]+Table1681011[[#This Row],[Accuracy (Medium)]]+Table1681011[[#This Row],[Accuracy (Long)]])/4)</f>
        <v>0</v>
      </c>
      <c r="O14" s="2" t="e">
        <f t="shared" si="0"/>
        <v>#DIV/0!</v>
      </c>
      <c r="T14" s="17"/>
      <c r="U14" s="18"/>
      <c r="V14" s="22"/>
    </row>
    <row r="15" spans="1:22">
      <c r="C15" s="2" t="e">
        <f>SUM(((Table1681011[[#This Row],[Avg DPS]]*(Table1681011[[#This Row],[Range]]))+(Table1681011[[#This Row],[Avg DPS]]*Table1681011[[#This Row],[Arm Pen (%)]]))/100)</f>
        <v>#DIV/0!</v>
      </c>
      <c r="D15" s="3" t="e">
        <f>SUM(Table1681011[[#This Row],[DPS]]*Table1681011[[#This Row],[Avg Accuracy]])</f>
        <v>#DIV/0!</v>
      </c>
      <c r="E15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5" s="2">
        <f>SUM((Table1681011[[#This Row],[Accuracy (Close)]]+Table1681011[[#This Row],[Accuracy (Short)]]+Table1681011[[#This Row],[Accuracy (Medium)]]+Table1681011[[#This Row],[Accuracy (Long)]])/4)</f>
        <v>0</v>
      </c>
      <c r="O15" s="2" t="e">
        <f t="shared" si="0"/>
        <v>#DIV/0!</v>
      </c>
      <c r="T15" s="19"/>
      <c r="U15" s="20"/>
      <c r="V15" s="23"/>
    </row>
    <row r="16" spans="1:22">
      <c r="C16" s="2" t="e">
        <f>SUM(((Table1681011[[#This Row],[Avg DPS]]*(Table1681011[[#This Row],[Range]]))+(Table1681011[[#This Row],[Avg DPS]]*Table1681011[[#This Row],[Arm Pen (%)]]))/100)</f>
        <v>#DIV/0!</v>
      </c>
      <c r="D16" s="3" t="e">
        <f>SUM(Table1681011[[#This Row],[DPS]]*Table1681011[[#This Row],[Avg Accuracy]])</f>
        <v>#DIV/0!</v>
      </c>
      <c r="E16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6" s="2">
        <f>SUM((Table1681011[[#This Row],[Accuracy (Close)]]+Table1681011[[#This Row],[Accuracy (Short)]]+Table1681011[[#This Row],[Accuracy (Medium)]]+Table1681011[[#This Row],[Accuracy (Long)]])/4)</f>
        <v>0</v>
      </c>
      <c r="O16" s="2" t="e">
        <f t="shared" si="0"/>
        <v>#DIV/0!</v>
      </c>
      <c r="T16" s="17"/>
      <c r="U16" s="18"/>
      <c r="V16" s="22"/>
    </row>
    <row r="17" spans="1:22" s="4" customFormat="1">
      <c r="A17"/>
      <c r="B17"/>
      <c r="C17" s="2" t="e">
        <f>SUM(((Table1681011[[#This Row],[Avg DPS]]*(Table1681011[[#This Row],[Range]]))+(Table1681011[[#This Row],[Avg DPS]]*Table1681011[[#This Row],[Arm Pen (%)]]))/100)</f>
        <v>#DIV/0!</v>
      </c>
      <c r="D17" s="3" t="e">
        <f>SUM(Table1681011[[#This Row],[DPS]]*Table1681011[[#This Row],[Avg Accuracy]])</f>
        <v>#DIV/0!</v>
      </c>
      <c r="E17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17"/>
      <c r="G17" s="2">
        <f>SUM((Table1681011[[#This Row],[Accuracy (Close)]]+Table1681011[[#This Row],[Accuracy (Short)]]+Table1681011[[#This Row],[Accuracy (Medium)]]+Table1681011[[#This Row],[Accuracy (Long)]])/4)</f>
        <v>0</v>
      </c>
      <c r="H17"/>
      <c r="I17"/>
      <c r="J17"/>
      <c r="K17"/>
      <c r="L17"/>
      <c r="M17"/>
      <c r="N17"/>
      <c r="O17" s="2" t="e">
        <f t="shared" ref="O17:O19" si="1">60/N17</f>
        <v>#DIV/0!</v>
      </c>
      <c r="P17"/>
      <c r="Q17"/>
      <c r="R17"/>
      <c r="S17"/>
      <c r="T17" s="19"/>
      <c r="U17" s="20"/>
      <c r="V17" s="23"/>
    </row>
    <row r="18" spans="1:22">
      <c r="C18" s="2" t="e">
        <f>SUM(((Table1681011[[#This Row],[Avg DPS]]*(Table1681011[[#This Row],[Range]]))+(Table1681011[[#This Row],[Avg DPS]]*Table1681011[[#This Row],[Arm Pen (%)]]))/100)</f>
        <v>#DIV/0!</v>
      </c>
      <c r="D18" s="3" t="e">
        <f>SUM(Table1681011[[#This Row],[DPS]]*Table1681011[[#This Row],[Avg Accuracy]])</f>
        <v>#DIV/0!</v>
      </c>
      <c r="E18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8" s="2">
        <f>SUM((Table1681011[[#This Row],[Accuracy (Close)]]+Table1681011[[#This Row],[Accuracy (Short)]]+Table1681011[[#This Row],[Accuracy (Medium)]]+Table1681011[[#This Row],[Accuracy (Long)]])/4)</f>
        <v>0</v>
      </c>
      <c r="O18" s="2" t="e">
        <f t="shared" si="1"/>
        <v>#DIV/0!</v>
      </c>
      <c r="T18" s="17"/>
      <c r="U18" s="18"/>
      <c r="V18" s="22"/>
    </row>
    <row r="19" spans="1:22">
      <c r="A19" s="7"/>
      <c r="B19" s="7"/>
      <c r="C19" s="2" t="e">
        <f>SUM(((Table1681011[[#This Row],[Avg DPS]]*(Table1681011[[#This Row],[Range]]))+(Table1681011[[#This Row],[Avg DPS]]*Table1681011[[#This Row],[Arm Pen (%)]]))/100)</f>
        <v>#DIV/0!</v>
      </c>
      <c r="D19" s="3" t="e">
        <f>SUM(Table1681011[[#This Row],[DPS]]*Table1681011[[#This Row],[Avg Accuracy]])</f>
        <v>#DIV/0!</v>
      </c>
      <c r="E19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19" s="7"/>
      <c r="G19" s="2">
        <f>SUM((Table1681011[[#This Row],[Accuracy (Close)]]+Table1681011[[#This Row],[Accuracy (Short)]]+Table1681011[[#This Row],[Accuracy (Medium)]]+Table1681011[[#This Row],[Accuracy (Long)]])/4)</f>
        <v>0</v>
      </c>
      <c r="H19" s="7"/>
      <c r="I19" s="7"/>
      <c r="J19" s="7"/>
      <c r="K19" s="7"/>
      <c r="L19" s="7"/>
      <c r="M19" s="7"/>
      <c r="N19" s="7"/>
      <c r="O19" s="2" t="e">
        <f t="shared" si="1"/>
        <v>#DIV/0!</v>
      </c>
      <c r="P19" s="7"/>
      <c r="Q19" s="7"/>
      <c r="R19" s="7"/>
      <c r="S19" s="7"/>
      <c r="T19" s="19"/>
      <c r="U19" s="20"/>
      <c r="V19" s="23"/>
    </row>
  </sheetData>
  <conditionalFormatting sqref="C4:C19">
    <cfRule type="cellIs" dxfId="39" priority="1" operator="greaterThan">
      <formula>2.639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V32"/>
  <sheetViews>
    <sheetView workbookViewId="0">
      <selection activeCell="V7" sqref="V7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9.42578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2">
      <c r="A1" s="1" t="s">
        <v>0</v>
      </c>
      <c r="C1" t="s">
        <v>24</v>
      </c>
      <c r="F1" s="1" t="s">
        <v>75</v>
      </c>
    </row>
    <row r="2" spans="1:22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</row>
    <row r="3" spans="1:22">
      <c r="A3" t="s">
        <v>1</v>
      </c>
      <c r="B3" t="s">
        <v>40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83</v>
      </c>
      <c r="U3" t="s">
        <v>84</v>
      </c>
      <c r="V3" t="s">
        <v>96</v>
      </c>
    </row>
    <row r="4" spans="1:22">
      <c r="A4" s="6" t="s">
        <v>45</v>
      </c>
      <c r="B4" s="11" t="s">
        <v>41</v>
      </c>
      <c r="C4" s="2">
        <f>SUM(((Table1681015[[#This Row],[Avg DPS]]*(Table1681015[[#This Row],[Range]]))+(Table1681015[[#This Row],[Avg DPS]]*Table1681015[[#This Row],[Arm Pen (%)]]))/100)</f>
        <v>4.4202573529411771</v>
      </c>
      <c r="D4" s="3">
        <f>SUM(Table1681015[[#This Row],[DPS]]*Table1681015[[#This Row],[Avg Accuracy]])</f>
        <v>7.2463235294117654</v>
      </c>
      <c r="E4" s="2">
        <f>SUM((Table1681015[[#This Row],[Damage]]*Table1681015[[#This Row],[Burst]])/(Table1681015[[#This Row],[Ranged Cooldown]]+Table1681015[[#This Row],[Warm-up]]+(Table1681015[[#This Row],[Burst Time]]*(Table1681015[[#This Row],[Burst]]-1))))</f>
        <v>13.23529411764706</v>
      </c>
      <c r="F4">
        <v>26</v>
      </c>
      <c r="G4" s="2">
        <f>SUM((Table1681015[[#This Row],[Accuracy (Close)]]+Table1681015[[#This Row],[Accuracy (Short)]]+Table1681015[[#This Row],[Accuracy (Medium)]]+Table1681015[[#This Row],[Accuracy (Long)]])/4)</f>
        <v>0.54749999999999999</v>
      </c>
      <c r="H4">
        <v>15</v>
      </c>
      <c r="I4">
        <v>0.5</v>
      </c>
      <c r="J4">
        <v>35</v>
      </c>
      <c r="K4">
        <v>3</v>
      </c>
      <c r="L4">
        <v>2</v>
      </c>
      <c r="M4">
        <v>1</v>
      </c>
      <c r="N4">
        <v>300</v>
      </c>
      <c r="O4" s="2">
        <f t="shared" ref="O4:O11" si="0">60/N4</f>
        <v>0.2</v>
      </c>
      <c r="P4">
        <v>0.55000000000000004</v>
      </c>
      <c r="Q4">
        <v>0.64</v>
      </c>
      <c r="R4">
        <v>0.55000000000000004</v>
      </c>
      <c r="S4">
        <v>0.45</v>
      </c>
    </row>
    <row r="5" spans="1:22">
      <c r="C5" s="2" t="e">
        <f>SUM(((Table1681015[[#This Row],[Avg DPS]]*(Table1681015[[#This Row],[Range]]))+(Table1681015[[#This Row],[Avg DPS]]*Table1681015[[#This Row],[Arm Pen (%)]]))/100)</f>
        <v>#DIV/0!</v>
      </c>
      <c r="D5" s="3" t="e">
        <f>SUM(Table1681015[[#This Row],[DPS]]*Table1681015[[#This Row],[Avg Accuracy]])</f>
        <v>#DIV/0!</v>
      </c>
      <c r="E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5" s="2">
        <f>SUM((Table1681015[[#This Row],[Accuracy (Close)]]+Table1681015[[#This Row],[Accuracy (Short)]]+Table1681015[[#This Row],[Accuracy (Medium)]]+Table1681015[[#This Row],[Accuracy (Long)]])/4)</f>
        <v>0</v>
      </c>
      <c r="O5" s="2" t="e">
        <f t="shared" si="0"/>
        <v>#DIV/0!</v>
      </c>
    </row>
    <row r="6" spans="1:22">
      <c r="C6" s="2" t="e">
        <f>SUM(((Table1681015[[#This Row],[Avg DPS]]*(Table1681015[[#This Row],[Range]]))+(Table1681015[[#This Row],[Avg DPS]]*Table1681015[[#This Row],[Arm Pen (%)]]))/100)</f>
        <v>#DIV/0!</v>
      </c>
      <c r="D6" s="3" t="e">
        <f>SUM(Table1681015[[#This Row],[DPS]]*Table1681015[[#This Row],[Avg Accuracy]])</f>
        <v>#DIV/0!</v>
      </c>
      <c r="E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6" s="2">
        <f>SUM((Table1681015[[#This Row],[Accuracy (Close)]]+Table1681015[[#This Row],[Accuracy (Short)]]+Table1681015[[#This Row],[Accuracy (Medium)]]+Table1681015[[#This Row],[Accuracy (Long)]])/4)</f>
        <v>0</v>
      </c>
      <c r="O6" s="2" t="e">
        <f t="shared" si="0"/>
        <v>#DIV/0!</v>
      </c>
    </row>
    <row r="7" spans="1:22">
      <c r="C7" s="2" t="e">
        <f>SUM(((Table1681015[[#This Row],[Avg DPS]]*(Table1681015[[#This Row],[Range]]))+(Table1681015[[#This Row],[Avg DPS]]*Table1681015[[#This Row],[Arm Pen (%)]]))/100)</f>
        <v>#DIV/0!</v>
      </c>
      <c r="D7" s="3" t="e">
        <f>SUM(Table1681015[[#This Row],[DPS]]*Table1681015[[#This Row],[Avg Accuracy]])</f>
        <v>#DIV/0!</v>
      </c>
      <c r="E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7" s="2">
        <f>SUM((Table1681015[[#This Row],[Accuracy (Close)]]+Table1681015[[#This Row],[Accuracy (Short)]]+Table1681015[[#This Row],[Accuracy (Medium)]]+Table1681015[[#This Row],[Accuracy (Long)]])/4)</f>
        <v>0</v>
      </c>
      <c r="O7" s="2" t="e">
        <f t="shared" si="0"/>
        <v>#DIV/0!</v>
      </c>
    </row>
    <row r="8" spans="1:22" s="4" customFormat="1">
      <c r="A8"/>
      <c r="B8"/>
      <c r="C8" s="2" t="e">
        <f>SUM(((Table1681015[[#This Row],[Avg DPS]]*(Table1681015[[#This Row],[Range]]))+(Table1681015[[#This Row],[Avg DPS]]*Table1681015[[#This Row],[Arm Pen (%)]]))/100)</f>
        <v>#DIV/0!</v>
      </c>
      <c r="D8" s="3" t="e">
        <f>SUM(Table1681015[[#This Row],[DPS]]*Table1681015[[#This Row],[Avg Accuracy]])</f>
        <v>#DIV/0!</v>
      </c>
      <c r="E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8"/>
      <c r="G8" s="2">
        <f>SUM((Table1681015[[#This Row],[Accuracy (Close)]]+Table1681015[[#This Row],[Accuracy (Short)]]+Table1681015[[#This Row],[Accuracy (Medium)]]+Table1681015[[#This Row],[Accuracy (Long)]])/4)</f>
        <v>0</v>
      </c>
      <c r="H8"/>
      <c r="I8"/>
      <c r="J8"/>
      <c r="K8"/>
      <c r="L8"/>
      <c r="M8"/>
      <c r="N8"/>
      <c r="O8" s="2" t="e">
        <f t="shared" si="0"/>
        <v>#DIV/0!</v>
      </c>
      <c r="P8"/>
      <c r="Q8"/>
      <c r="R8"/>
      <c r="S8"/>
      <c r="T8"/>
      <c r="U8"/>
      <c r="V8"/>
    </row>
    <row r="9" spans="1:22">
      <c r="C9" s="2" t="e">
        <f>SUM(((Table1681015[[#This Row],[Avg DPS]]*(Table1681015[[#This Row],[Range]]))+(Table1681015[[#This Row],[Avg DPS]]*Table1681015[[#This Row],[Arm Pen (%)]]))/100)</f>
        <v>#DIV/0!</v>
      </c>
      <c r="D9" s="3" t="e">
        <f>SUM(Table1681015[[#This Row],[DPS]]*Table1681015[[#This Row],[Avg Accuracy]])</f>
        <v>#DIV/0!</v>
      </c>
      <c r="E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9" s="2">
        <f>SUM((Table1681015[[#This Row],[Accuracy (Close)]]+Table1681015[[#This Row],[Accuracy (Short)]]+Table1681015[[#This Row],[Accuracy (Medium)]]+Table1681015[[#This Row],[Accuracy (Long)]])/4)</f>
        <v>0</v>
      </c>
      <c r="O9" s="2" t="e">
        <f t="shared" si="0"/>
        <v>#DIV/0!</v>
      </c>
    </row>
    <row r="10" spans="1:22">
      <c r="C10" s="2" t="e">
        <f>SUM(((Table1681015[[#This Row],[Avg DPS]]*(Table1681015[[#This Row],[Range]]))+(Table1681015[[#This Row],[Avg DPS]]*Table1681015[[#This Row],[Arm Pen (%)]]))/100)</f>
        <v>#DIV/0!</v>
      </c>
      <c r="D10" s="3" t="e">
        <f>SUM(Table1681015[[#This Row],[DPS]]*Table1681015[[#This Row],[Avg Accuracy]])</f>
        <v>#DIV/0!</v>
      </c>
      <c r="E1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0" s="2">
        <f>SUM((Table1681015[[#This Row],[Accuracy (Close)]]+Table1681015[[#This Row],[Accuracy (Short)]]+Table1681015[[#This Row],[Accuracy (Medium)]]+Table1681015[[#This Row],[Accuracy (Long)]])/4)</f>
        <v>0</v>
      </c>
      <c r="O10" s="2" t="e">
        <f t="shared" si="0"/>
        <v>#DIV/0!</v>
      </c>
    </row>
    <row r="11" spans="1:22">
      <c r="A11" s="7"/>
      <c r="B11" s="7"/>
      <c r="C11" s="2" t="e">
        <f>SUM(((Table1681015[[#This Row],[Avg DPS]]*(Table1681015[[#This Row],[Range]]))+(Table1681015[[#This Row],[Avg DPS]]*Table1681015[[#This Row],[Arm Pen (%)]]))/100)</f>
        <v>#DIV/0!</v>
      </c>
      <c r="D11" s="3" t="e">
        <f>SUM(Table1681015[[#This Row],[DPS]]*Table1681015[[#This Row],[Avg Accuracy]])</f>
        <v>#DIV/0!</v>
      </c>
      <c r="E1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11" s="7"/>
      <c r="G11" s="2">
        <f>SUM((Table1681015[[#This Row],[Accuracy (Close)]]+Table1681015[[#This Row],[Accuracy (Short)]]+Table1681015[[#This Row],[Accuracy (Medium)]]+Table1681015[[#This Row],[Accuracy (Long)]])/4)</f>
        <v>0</v>
      </c>
      <c r="H11" s="7"/>
      <c r="I11" s="7"/>
      <c r="J11" s="7"/>
      <c r="K11" s="7"/>
      <c r="L11" s="7"/>
      <c r="M11" s="7"/>
      <c r="N11" s="7"/>
      <c r="O11" s="2" t="e">
        <f t="shared" si="0"/>
        <v>#DIV/0!</v>
      </c>
      <c r="P11" s="7"/>
      <c r="Q11" s="7"/>
      <c r="R11" s="7"/>
      <c r="S11" s="7"/>
      <c r="T11" s="7"/>
      <c r="U11" s="7"/>
      <c r="V11" s="7"/>
    </row>
    <row r="12" spans="1:22">
      <c r="C12" s="2" t="e">
        <f>SUM(((Table1681015[[#This Row],[Avg DPS]]*(Table1681015[[#This Row],[Range]]))+(Table1681015[[#This Row],[Avg DPS]]*Table1681015[[#This Row],[Arm Pen (%)]]))/100)</f>
        <v>#DIV/0!</v>
      </c>
      <c r="D12" s="3" t="e">
        <f>SUM(Table1681015[[#This Row],[DPS]]*Table1681015[[#This Row],[Avg Accuracy]])</f>
        <v>#DIV/0!</v>
      </c>
      <c r="E1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2" s="2">
        <f>SUM((Table1681015[[#This Row],[Accuracy (Close)]]+Table1681015[[#This Row],[Accuracy (Short)]]+Table1681015[[#This Row],[Accuracy (Medium)]]+Table1681015[[#This Row],[Accuracy (Long)]])/4)</f>
        <v>0</v>
      </c>
      <c r="O12" s="2" t="e">
        <f t="shared" ref="O12:O32" si="1">60/N12</f>
        <v>#DIV/0!</v>
      </c>
    </row>
    <row r="13" spans="1:22">
      <c r="C13" s="2" t="e">
        <f>SUM(((Table1681015[[#This Row],[Avg DPS]]*(Table1681015[[#This Row],[Range]]))+(Table1681015[[#This Row],[Avg DPS]]*Table1681015[[#This Row],[Arm Pen (%)]]))/100)</f>
        <v>#DIV/0!</v>
      </c>
      <c r="D13" s="3" t="e">
        <f>SUM(Table1681015[[#This Row],[DPS]]*Table1681015[[#This Row],[Avg Accuracy]])</f>
        <v>#DIV/0!</v>
      </c>
      <c r="E1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3" s="2">
        <f>SUM((Table1681015[[#This Row],[Accuracy (Close)]]+Table1681015[[#This Row],[Accuracy (Short)]]+Table1681015[[#This Row],[Accuracy (Medium)]]+Table1681015[[#This Row],[Accuracy (Long)]])/4)</f>
        <v>0</v>
      </c>
      <c r="O13" s="2" t="e">
        <f t="shared" si="1"/>
        <v>#DIV/0!</v>
      </c>
    </row>
    <row r="14" spans="1:22">
      <c r="C14" s="2" t="e">
        <f>SUM(((Table1681015[[#This Row],[Avg DPS]]*(Table1681015[[#This Row],[Range]]))+(Table1681015[[#This Row],[Avg DPS]]*Table1681015[[#This Row],[Arm Pen (%)]]))/100)</f>
        <v>#DIV/0!</v>
      </c>
      <c r="D14" s="3" t="e">
        <f>SUM(Table1681015[[#This Row],[DPS]]*Table1681015[[#This Row],[Avg Accuracy]])</f>
        <v>#DIV/0!</v>
      </c>
      <c r="E1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4" s="2">
        <f>SUM((Table1681015[[#This Row],[Accuracy (Close)]]+Table1681015[[#This Row],[Accuracy (Short)]]+Table1681015[[#This Row],[Accuracy (Medium)]]+Table1681015[[#This Row],[Accuracy (Long)]])/4)</f>
        <v>0</v>
      </c>
      <c r="O14" s="2" t="e">
        <f t="shared" si="1"/>
        <v>#DIV/0!</v>
      </c>
    </row>
    <row r="15" spans="1:22">
      <c r="C15" s="2" t="e">
        <f>SUM(((Table1681015[[#This Row],[Avg DPS]]*(Table1681015[[#This Row],[Range]]))+(Table1681015[[#This Row],[Avg DPS]]*Table1681015[[#This Row],[Arm Pen (%)]]))/100)</f>
        <v>#DIV/0!</v>
      </c>
      <c r="D15" s="3" t="e">
        <f>SUM(Table1681015[[#This Row],[DPS]]*Table1681015[[#This Row],[Avg Accuracy]])</f>
        <v>#DIV/0!</v>
      </c>
      <c r="E1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5" s="2">
        <f>SUM((Table1681015[[#This Row],[Accuracy (Close)]]+Table1681015[[#This Row],[Accuracy (Short)]]+Table1681015[[#This Row],[Accuracy (Medium)]]+Table1681015[[#This Row],[Accuracy (Long)]])/4)</f>
        <v>0</v>
      </c>
      <c r="O15" s="2" t="e">
        <f t="shared" si="1"/>
        <v>#DIV/0!</v>
      </c>
    </row>
    <row r="16" spans="1:22">
      <c r="C16" s="2" t="e">
        <f>SUM(((Table1681015[[#This Row],[Avg DPS]]*(Table1681015[[#This Row],[Range]]))+(Table1681015[[#This Row],[Avg DPS]]*Table1681015[[#This Row],[Arm Pen (%)]]))/100)</f>
        <v>#DIV/0!</v>
      </c>
      <c r="D16" s="3" t="e">
        <f>SUM(Table1681015[[#This Row],[DPS]]*Table1681015[[#This Row],[Avg Accuracy]])</f>
        <v>#DIV/0!</v>
      </c>
      <c r="E1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6" s="2">
        <f>SUM((Table1681015[[#This Row],[Accuracy (Close)]]+Table1681015[[#This Row],[Accuracy (Short)]]+Table1681015[[#This Row],[Accuracy (Medium)]]+Table1681015[[#This Row],[Accuracy (Long)]])/4)</f>
        <v>0</v>
      </c>
      <c r="O16" s="2" t="e">
        <f t="shared" si="1"/>
        <v>#DIV/0!</v>
      </c>
    </row>
    <row r="17" spans="1:22">
      <c r="C17" s="2" t="e">
        <f>SUM(((Table1681015[[#This Row],[Avg DPS]]*(Table1681015[[#This Row],[Range]]))+(Table1681015[[#This Row],[Avg DPS]]*Table1681015[[#This Row],[Arm Pen (%)]]))/100)</f>
        <v>#DIV/0!</v>
      </c>
      <c r="D17" s="3" t="e">
        <f>SUM(Table1681015[[#This Row],[DPS]]*Table1681015[[#This Row],[Avg Accuracy]])</f>
        <v>#DIV/0!</v>
      </c>
      <c r="E1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7" s="2">
        <f>SUM((Table1681015[[#This Row],[Accuracy (Close)]]+Table1681015[[#This Row],[Accuracy (Short)]]+Table1681015[[#This Row],[Accuracy (Medium)]]+Table1681015[[#This Row],[Accuracy (Long)]])/4)</f>
        <v>0</v>
      </c>
      <c r="O17" s="2" t="e">
        <f t="shared" si="1"/>
        <v>#DIV/0!</v>
      </c>
    </row>
    <row r="18" spans="1:22">
      <c r="C18" s="2" t="e">
        <f>SUM(((Table1681015[[#This Row],[Avg DPS]]*(Table1681015[[#This Row],[Range]]))+(Table1681015[[#This Row],[Avg DPS]]*Table1681015[[#This Row],[Arm Pen (%)]]))/100)</f>
        <v>#DIV/0!</v>
      </c>
      <c r="D18" s="3" t="e">
        <f>SUM(Table1681015[[#This Row],[DPS]]*Table1681015[[#This Row],[Avg Accuracy]])</f>
        <v>#DIV/0!</v>
      </c>
      <c r="E1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8" s="2">
        <f>SUM((Table1681015[[#This Row],[Accuracy (Close)]]+Table1681015[[#This Row],[Accuracy (Short)]]+Table1681015[[#This Row],[Accuracy (Medium)]]+Table1681015[[#This Row],[Accuracy (Long)]])/4)</f>
        <v>0</v>
      </c>
      <c r="O18" s="2" t="e">
        <f t="shared" si="1"/>
        <v>#DIV/0!</v>
      </c>
    </row>
    <row r="19" spans="1:22">
      <c r="C19" s="2" t="e">
        <f>SUM(((Table1681015[[#This Row],[Avg DPS]]*(Table1681015[[#This Row],[Range]]))+(Table1681015[[#This Row],[Avg DPS]]*Table1681015[[#This Row],[Arm Pen (%)]]))/100)</f>
        <v>#DIV/0!</v>
      </c>
      <c r="D19" s="3" t="e">
        <f>SUM(Table1681015[[#This Row],[DPS]]*Table1681015[[#This Row],[Avg Accuracy]])</f>
        <v>#DIV/0!</v>
      </c>
      <c r="E1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9" s="2">
        <f>SUM((Table1681015[[#This Row],[Accuracy (Close)]]+Table1681015[[#This Row],[Accuracy (Short)]]+Table1681015[[#This Row],[Accuracy (Medium)]]+Table1681015[[#This Row],[Accuracy (Long)]])/4)</f>
        <v>0</v>
      </c>
      <c r="O19" s="2" t="e">
        <f t="shared" si="1"/>
        <v>#DIV/0!</v>
      </c>
    </row>
    <row r="20" spans="1:22">
      <c r="C20" s="2" t="e">
        <f>SUM(((Table1681015[[#This Row],[Avg DPS]]*(Table1681015[[#This Row],[Range]]))+(Table1681015[[#This Row],[Avg DPS]]*Table1681015[[#This Row],[Arm Pen (%)]]))/100)</f>
        <v>#DIV/0!</v>
      </c>
      <c r="D20" s="3" t="e">
        <f>SUM(Table1681015[[#This Row],[DPS]]*Table1681015[[#This Row],[Avg Accuracy]])</f>
        <v>#DIV/0!</v>
      </c>
      <c r="E2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0" s="2">
        <f>SUM((Table1681015[[#This Row],[Accuracy (Close)]]+Table1681015[[#This Row],[Accuracy (Short)]]+Table1681015[[#This Row],[Accuracy (Medium)]]+Table1681015[[#This Row],[Accuracy (Long)]])/4)</f>
        <v>0</v>
      </c>
      <c r="O20" s="2" t="e">
        <f t="shared" si="1"/>
        <v>#DIV/0!</v>
      </c>
    </row>
    <row r="21" spans="1:22">
      <c r="C21" s="2" t="e">
        <f>SUM(((Table1681015[[#This Row],[Avg DPS]]*(Table1681015[[#This Row],[Range]]))+(Table1681015[[#This Row],[Avg DPS]]*Table1681015[[#This Row],[Arm Pen (%)]]))/100)</f>
        <v>#DIV/0!</v>
      </c>
      <c r="D21" s="3" t="e">
        <f>SUM(Table1681015[[#This Row],[DPS]]*Table1681015[[#This Row],[Avg Accuracy]])</f>
        <v>#DIV/0!</v>
      </c>
      <c r="E2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1" s="2">
        <f>SUM((Table1681015[[#This Row],[Accuracy (Close)]]+Table1681015[[#This Row],[Accuracy (Short)]]+Table1681015[[#This Row],[Accuracy (Medium)]]+Table1681015[[#This Row],[Accuracy (Long)]])/4)</f>
        <v>0</v>
      </c>
      <c r="O21" s="2" t="e">
        <f t="shared" si="1"/>
        <v>#DIV/0!</v>
      </c>
    </row>
    <row r="22" spans="1:22">
      <c r="C22" s="2" t="e">
        <f>SUM(((Table1681015[[#This Row],[Avg DPS]]*(Table1681015[[#This Row],[Range]]))+(Table1681015[[#This Row],[Avg DPS]]*Table1681015[[#This Row],[Arm Pen (%)]]))/100)</f>
        <v>#DIV/0!</v>
      </c>
      <c r="D22" s="3" t="e">
        <f>SUM(Table1681015[[#This Row],[DPS]]*Table1681015[[#This Row],[Avg Accuracy]])</f>
        <v>#DIV/0!</v>
      </c>
      <c r="E2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2" s="2">
        <f>SUM((Table1681015[[#This Row],[Accuracy (Close)]]+Table1681015[[#This Row],[Accuracy (Short)]]+Table1681015[[#This Row],[Accuracy (Medium)]]+Table1681015[[#This Row],[Accuracy (Long)]])/4)</f>
        <v>0</v>
      </c>
      <c r="O22" s="2" t="e">
        <f t="shared" si="1"/>
        <v>#DIV/0!</v>
      </c>
    </row>
    <row r="23" spans="1:22">
      <c r="C23" s="2" t="e">
        <f>SUM(((Table1681015[[#This Row],[Avg DPS]]*(Table1681015[[#This Row],[Range]]))+(Table1681015[[#This Row],[Avg DPS]]*Table1681015[[#This Row],[Arm Pen (%)]]))/100)</f>
        <v>#DIV/0!</v>
      </c>
      <c r="D23" s="3" t="e">
        <f>SUM(Table1681015[[#This Row],[DPS]]*Table1681015[[#This Row],[Avg Accuracy]])</f>
        <v>#DIV/0!</v>
      </c>
      <c r="E2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3" s="2">
        <f>SUM((Table1681015[[#This Row],[Accuracy (Close)]]+Table1681015[[#This Row],[Accuracy (Short)]]+Table1681015[[#This Row],[Accuracy (Medium)]]+Table1681015[[#This Row],[Accuracy (Long)]])/4)</f>
        <v>0</v>
      </c>
      <c r="O23" s="2" t="e">
        <f t="shared" si="1"/>
        <v>#DIV/0!</v>
      </c>
    </row>
    <row r="24" spans="1:22">
      <c r="C24" s="2" t="e">
        <f>SUM(((Table1681015[[#This Row],[Avg DPS]]*(Table1681015[[#This Row],[Range]]))+(Table1681015[[#This Row],[Avg DPS]]*Table1681015[[#This Row],[Arm Pen (%)]]))/100)</f>
        <v>#DIV/0!</v>
      </c>
      <c r="D24" s="3" t="e">
        <f>SUM(Table1681015[[#This Row],[DPS]]*Table1681015[[#This Row],[Avg Accuracy]])</f>
        <v>#DIV/0!</v>
      </c>
      <c r="E2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4" s="2">
        <f>SUM((Table1681015[[#This Row],[Accuracy (Close)]]+Table1681015[[#This Row],[Accuracy (Short)]]+Table1681015[[#This Row],[Accuracy (Medium)]]+Table1681015[[#This Row],[Accuracy (Long)]])/4)</f>
        <v>0</v>
      </c>
      <c r="O24" s="2" t="e">
        <f t="shared" si="1"/>
        <v>#DIV/0!</v>
      </c>
    </row>
    <row r="25" spans="1:22">
      <c r="C25" s="2" t="e">
        <f>SUM(((Table1681015[[#This Row],[Avg DPS]]*(Table1681015[[#This Row],[Range]]))+(Table1681015[[#This Row],[Avg DPS]]*Table1681015[[#This Row],[Arm Pen (%)]]))/100)</f>
        <v>#DIV/0!</v>
      </c>
      <c r="D25" s="3" t="e">
        <f>SUM(Table1681015[[#This Row],[DPS]]*Table1681015[[#This Row],[Avg Accuracy]])</f>
        <v>#DIV/0!</v>
      </c>
      <c r="E2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5" s="2">
        <f>SUM((Table1681015[[#This Row],[Accuracy (Close)]]+Table1681015[[#This Row],[Accuracy (Short)]]+Table1681015[[#This Row],[Accuracy (Medium)]]+Table1681015[[#This Row],[Accuracy (Long)]])/4)</f>
        <v>0</v>
      </c>
      <c r="O25" s="2" t="e">
        <f t="shared" si="1"/>
        <v>#DIV/0!</v>
      </c>
    </row>
    <row r="26" spans="1:22">
      <c r="C26" s="2" t="e">
        <f>SUM(((Table1681015[[#This Row],[Avg DPS]]*(Table1681015[[#This Row],[Range]]))+(Table1681015[[#This Row],[Avg DPS]]*Table1681015[[#This Row],[Arm Pen (%)]]))/100)</f>
        <v>#DIV/0!</v>
      </c>
      <c r="D26" s="3" t="e">
        <f>SUM(Table1681015[[#This Row],[DPS]]*Table1681015[[#This Row],[Avg Accuracy]])</f>
        <v>#DIV/0!</v>
      </c>
      <c r="E2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6" s="2">
        <f>SUM((Table1681015[[#This Row],[Accuracy (Close)]]+Table1681015[[#This Row],[Accuracy (Short)]]+Table1681015[[#This Row],[Accuracy (Medium)]]+Table1681015[[#This Row],[Accuracy (Long)]])/4)</f>
        <v>0</v>
      </c>
      <c r="O26" s="2" t="e">
        <f t="shared" si="1"/>
        <v>#DIV/0!</v>
      </c>
    </row>
    <row r="27" spans="1:22">
      <c r="C27" s="2" t="e">
        <f>SUM(((Table1681015[[#This Row],[Avg DPS]]*(Table1681015[[#This Row],[Range]]))+(Table1681015[[#This Row],[Avg DPS]]*Table1681015[[#This Row],[Arm Pen (%)]]))/100)</f>
        <v>#DIV/0!</v>
      </c>
      <c r="D27" s="3" t="e">
        <f>SUM(Table1681015[[#This Row],[DPS]]*Table1681015[[#This Row],[Avg Accuracy]])</f>
        <v>#DIV/0!</v>
      </c>
      <c r="E2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7" s="2">
        <f>SUM((Table1681015[[#This Row],[Accuracy (Close)]]+Table1681015[[#This Row],[Accuracy (Short)]]+Table1681015[[#This Row],[Accuracy (Medium)]]+Table1681015[[#This Row],[Accuracy (Long)]])/4)</f>
        <v>0</v>
      </c>
      <c r="O27" s="2" t="e">
        <f t="shared" si="1"/>
        <v>#DIV/0!</v>
      </c>
    </row>
    <row r="28" spans="1:22">
      <c r="C28" s="2" t="e">
        <f>SUM(((Table1681015[[#This Row],[Avg DPS]]*(Table1681015[[#This Row],[Range]]))+(Table1681015[[#This Row],[Avg DPS]]*Table1681015[[#This Row],[Arm Pen (%)]]))/100)</f>
        <v>#DIV/0!</v>
      </c>
      <c r="D28" s="3" t="e">
        <f>SUM(Table1681015[[#This Row],[DPS]]*Table1681015[[#This Row],[Avg Accuracy]])</f>
        <v>#DIV/0!</v>
      </c>
      <c r="E2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8" s="2">
        <f>SUM((Table1681015[[#This Row],[Accuracy (Close)]]+Table1681015[[#This Row],[Accuracy (Short)]]+Table1681015[[#This Row],[Accuracy (Medium)]]+Table1681015[[#This Row],[Accuracy (Long)]])/4)</f>
        <v>0</v>
      </c>
      <c r="O28" s="2" t="e">
        <f t="shared" si="1"/>
        <v>#DIV/0!</v>
      </c>
    </row>
    <row r="29" spans="1:22">
      <c r="C29" s="2" t="e">
        <f>SUM(((Table1681015[[#This Row],[Avg DPS]]*(Table1681015[[#This Row],[Range]]))+(Table1681015[[#This Row],[Avg DPS]]*Table1681015[[#This Row],[Arm Pen (%)]]))/100)</f>
        <v>#DIV/0!</v>
      </c>
      <c r="D29" s="3" t="e">
        <f>SUM(Table1681015[[#This Row],[DPS]]*Table1681015[[#This Row],[Avg Accuracy]])</f>
        <v>#DIV/0!</v>
      </c>
      <c r="E2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9" s="2">
        <f>SUM((Table1681015[[#This Row],[Accuracy (Close)]]+Table1681015[[#This Row],[Accuracy (Short)]]+Table1681015[[#This Row],[Accuracy (Medium)]]+Table1681015[[#This Row],[Accuracy (Long)]])/4)</f>
        <v>0</v>
      </c>
      <c r="O29" s="2" t="e">
        <f t="shared" si="1"/>
        <v>#DIV/0!</v>
      </c>
    </row>
    <row r="30" spans="1:22">
      <c r="C30" s="2" t="e">
        <f>SUM(((Table1681015[[#This Row],[Avg DPS]]*(Table1681015[[#This Row],[Range]]))+(Table1681015[[#This Row],[Avg DPS]]*Table1681015[[#This Row],[Arm Pen (%)]]))/100)</f>
        <v>#DIV/0!</v>
      </c>
      <c r="D30" s="3" t="e">
        <f>SUM(Table1681015[[#This Row],[DPS]]*Table1681015[[#This Row],[Avg Accuracy]])</f>
        <v>#DIV/0!</v>
      </c>
      <c r="E3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0" s="2">
        <f>SUM((Table1681015[[#This Row],[Accuracy (Close)]]+Table1681015[[#This Row],[Accuracy (Short)]]+Table1681015[[#This Row],[Accuracy (Medium)]]+Table1681015[[#This Row],[Accuracy (Long)]])/4)</f>
        <v>0</v>
      </c>
      <c r="O30" s="2" t="e">
        <f t="shared" si="1"/>
        <v>#DIV/0!</v>
      </c>
    </row>
    <row r="31" spans="1:22">
      <c r="C31" s="2" t="e">
        <f>SUM(((Table1681015[[#This Row],[Avg DPS]]*(Table1681015[[#This Row],[Range]]))+(Table1681015[[#This Row],[Avg DPS]]*Table1681015[[#This Row],[Arm Pen (%)]]))/100)</f>
        <v>#DIV/0!</v>
      </c>
      <c r="D31" s="3" t="e">
        <f>SUM(Table1681015[[#This Row],[DPS]]*Table1681015[[#This Row],[Avg Accuracy]])</f>
        <v>#DIV/0!</v>
      </c>
      <c r="E3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1" s="2">
        <f>SUM((Table1681015[[#This Row],[Accuracy (Close)]]+Table1681015[[#This Row],[Accuracy (Short)]]+Table1681015[[#This Row],[Accuracy (Medium)]]+Table1681015[[#This Row],[Accuracy (Long)]])/4)</f>
        <v>0</v>
      </c>
      <c r="O31" s="2" t="e">
        <f t="shared" si="1"/>
        <v>#DIV/0!</v>
      </c>
    </row>
    <row r="32" spans="1:22">
      <c r="A32" s="7"/>
      <c r="B32" s="7"/>
      <c r="C32" s="8" t="e">
        <f>SUM(((Table1681015[[#This Row],[Avg DPS]]*(Table1681015[[#This Row],[Range]]))+(Table1681015[[#This Row],[Avg DPS]]*Table1681015[[#This Row],[Arm Pen (%)]]))/100)</f>
        <v>#DIV/0!</v>
      </c>
      <c r="D32" s="9" t="e">
        <f>SUM(Table1681015[[#This Row],[DPS]]*Table1681015[[#This Row],[Avg Accuracy]])</f>
        <v>#DIV/0!</v>
      </c>
      <c r="E32" s="8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32" s="7"/>
      <c r="G32" s="8">
        <f>SUM((Table1681015[[#This Row],[Accuracy (Close)]]+Table1681015[[#This Row],[Accuracy (Short)]]+Table1681015[[#This Row],[Accuracy (Medium)]]+Table1681015[[#This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1"/>
        <v>#DIV/0!</v>
      </c>
      <c r="P32" s="7"/>
      <c r="Q32" s="7"/>
      <c r="R32" s="7"/>
      <c r="S32" s="7"/>
      <c r="T32" s="7"/>
      <c r="U32" s="7"/>
      <c r="V32" s="7"/>
    </row>
  </sheetData>
  <conditionalFormatting sqref="C4:C32">
    <cfRule type="cellIs" dxfId="30" priority="1" operator="greaterThan">
      <formula>4.429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V20"/>
  <sheetViews>
    <sheetView workbookViewId="0">
      <selection activeCell="A14" sqref="A14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14.5703125" customWidth="1"/>
    <col min="10" max="11" width="8.5703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  <col min="20" max="20" width="12.42578125" customWidth="1"/>
    <col min="21" max="21" width="8.85546875" customWidth="1"/>
  </cols>
  <sheetData>
    <row r="1" spans="1:22">
      <c r="A1" s="1" t="s">
        <v>0</v>
      </c>
      <c r="C1" t="s">
        <v>24</v>
      </c>
      <c r="F1" s="1" t="s">
        <v>76</v>
      </c>
      <c r="H1" s="1" t="s">
        <v>85</v>
      </c>
    </row>
    <row r="2" spans="1:22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</row>
    <row r="3" spans="1:22">
      <c r="A3" t="s">
        <v>1</v>
      </c>
      <c r="B3" t="s">
        <v>40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83</v>
      </c>
      <c r="U3" t="s">
        <v>84</v>
      </c>
      <c r="V3" t="s">
        <v>96</v>
      </c>
    </row>
    <row r="4" spans="1:22">
      <c r="A4" s="6" t="s">
        <v>48</v>
      </c>
      <c r="B4" s="11" t="s">
        <v>41</v>
      </c>
      <c r="C4" s="2">
        <f>SUM(((Table168101112[[#This Row],[Avg DPS]]*(Table168101112[[#This Row],[Range]]))+(Table168101112[[#This Row],[Avg DPS]]*Table168101112[[#This Row],[Arm Pen (%)]]))/100)</f>
        <v>2.4682976889010355</v>
      </c>
      <c r="D4" s="3">
        <f>SUM(Table168101112[[#This Row],[DPS]]*Table168101112[[#This Row],[Avg Accuracy]])</f>
        <v>5.8768992592881801</v>
      </c>
      <c r="E4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15.776910763189745</v>
      </c>
      <c r="F4">
        <v>26</v>
      </c>
      <c r="G4" s="2">
        <f>SUM((Table168101112[[#This Row],[Accuracy (Close)]]+Table168101112[[#This Row],[Accuracy (Short)]]+Table168101112[[#This Row],[Accuracy (Medium)]]+Table168101112[[#This Row],[Accuracy (Long)]])/4)</f>
        <v>0.3725</v>
      </c>
      <c r="H4">
        <v>11</v>
      </c>
      <c r="I4">
        <v>1</v>
      </c>
      <c r="J4">
        <v>16</v>
      </c>
      <c r="K4">
        <v>6</v>
      </c>
      <c r="L4">
        <v>1.8</v>
      </c>
      <c r="M4">
        <v>1.8</v>
      </c>
      <c r="N4">
        <v>514.29</v>
      </c>
      <c r="O4" s="2">
        <f t="shared" ref="O4:O20" si="0">60/N4</f>
        <v>0.11666569445254624</v>
      </c>
      <c r="P4">
        <v>0.4</v>
      </c>
      <c r="Q4">
        <v>0.48</v>
      </c>
      <c r="R4">
        <v>0.35</v>
      </c>
      <c r="S4">
        <v>0.26</v>
      </c>
      <c r="T4">
        <v>46</v>
      </c>
      <c r="V4" t="s">
        <v>97</v>
      </c>
    </row>
    <row r="5" spans="1:22">
      <c r="A5" s="6" t="s">
        <v>71</v>
      </c>
      <c r="B5" s="11" t="s">
        <v>41</v>
      </c>
      <c r="C5" s="2">
        <f>SUM(((Table168101112[[#This Row],[Avg DPS]]*(Table168101112[[#This Row],[Range]]))+(Table168101112[[#This Row],[Avg DPS]]*Table168101112[[#This Row],[Arm Pen (%)]]))/100)</f>
        <v>3.5015625000000004</v>
      </c>
      <c r="D5" s="3">
        <f>SUM(Table168101112[[#This Row],[DPS]]*Table168101112[[#This Row],[Avg Accuracy]])</f>
        <v>7.6286764705882364</v>
      </c>
      <c r="E5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36.764705882352942</v>
      </c>
      <c r="F5">
        <v>30.9</v>
      </c>
      <c r="G5" s="2">
        <f>SUM((Table168101112[[#This Row],[Accuracy (Close)]]+Table168101112[[#This Row],[Accuracy (Short)]]+Table168101112[[#This Row],[Accuracy (Medium)]]+Table168101112[[#This Row],[Accuracy (Long)]])/4)</f>
        <v>0.20750000000000002</v>
      </c>
      <c r="H5">
        <v>10</v>
      </c>
      <c r="I5">
        <v>0.5</v>
      </c>
      <c r="J5">
        <v>15</v>
      </c>
      <c r="K5">
        <v>25</v>
      </c>
      <c r="L5">
        <v>2.2999999999999998</v>
      </c>
      <c r="M5">
        <v>2.5</v>
      </c>
      <c r="N5">
        <v>720</v>
      </c>
      <c r="O5" s="2">
        <f>60/N5</f>
        <v>8.3333333333333329E-2</v>
      </c>
      <c r="P5">
        <v>0.15</v>
      </c>
      <c r="Q5">
        <v>0.25</v>
      </c>
      <c r="R5">
        <v>0.25</v>
      </c>
      <c r="S5">
        <v>0.18</v>
      </c>
      <c r="T5">
        <v>70</v>
      </c>
      <c r="V5" t="s">
        <v>97</v>
      </c>
    </row>
    <row r="6" spans="1:22">
      <c r="A6" s="14" t="s">
        <v>27</v>
      </c>
      <c r="B6" s="4">
        <v>2</v>
      </c>
      <c r="C6" s="2">
        <f>SUM(((Table168101112[[#This Row],[Avg DPS]]*(Table168101112[[#This Row],[Range]]))+(Table168101112[[#This Row],[Avg DPS]]*Table168101112[[#This Row],[Arm Pen (%)]]))/100)</f>
        <v>2.411733390410959</v>
      </c>
      <c r="D6" s="3">
        <f>SUM(Table168101112[[#This Row],[DPS]]*Table168101112[[#This Row],[Avg Accuracy]])</f>
        <v>6.1998287671232877</v>
      </c>
      <c r="E6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16.643835616438356</v>
      </c>
      <c r="F6">
        <v>25.9</v>
      </c>
      <c r="G6" s="2">
        <f>SUM((Table168101112[[#This Row],[Accuracy (Close)]]+Table168101112[[#This Row],[Accuracy (Short)]]+Table168101112[[#This Row],[Accuracy (Medium)]]+Table168101112[[#This Row],[Accuracy (Long)]])/4)</f>
        <v>0.3725</v>
      </c>
      <c r="H6">
        <v>9</v>
      </c>
      <c r="I6">
        <v>1</v>
      </c>
      <c r="J6">
        <v>13</v>
      </c>
      <c r="K6">
        <v>9</v>
      </c>
      <c r="L6">
        <v>2</v>
      </c>
      <c r="M6">
        <v>2.2000000000000002</v>
      </c>
      <c r="N6">
        <v>720</v>
      </c>
      <c r="O6" s="2">
        <f t="shared" si="0"/>
        <v>8.3333333333333329E-2</v>
      </c>
      <c r="P6">
        <v>0.4</v>
      </c>
      <c r="Q6">
        <v>0.48</v>
      </c>
      <c r="R6">
        <v>0.35</v>
      </c>
      <c r="S6">
        <v>0.26</v>
      </c>
      <c r="T6">
        <v>50</v>
      </c>
      <c r="U6">
        <v>10.199999999999999</v>
      </c>
      <c r="V6" t="s">
        <v>97</v>
      </c>
    </row>
    <row r="7" spans="1:22">
      <c r="A7" s="14" t="s">
        <v>72</v>
      </c>
      <c r="B7" s="4">
        <v>1</v>
      </c>
      <c r="C7" s="2">
        <f>SUM(((Table168101112[[#This Row],[Avg DPS]]*(Table168101112[[#This Row],[Range]]))+(Table168101112[[#This Row],[Avg DPS]]*Table168101112[[#This Row],[Arm Pen (%)]]))/100)</f>
        <v>2.8280842105263155</v>
      </c>
      <c r="D7" s="3">
        <f>SUM(Table168101112[[#This Row],[DPS]]*Table168101112[[#This Row],[Avg Accuracy]])</f>
        <v>6.4421052631578943</v>
      </c>
      <c r="E7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16.842105263157894</v>
      </c>
      <c r="F7">
        <v>30.9</v>
      </c>
      <c r="G7" s="2">
        <f>SUM((Table168101112[[#This Row],[Accuracy (Close)]]+Table168101112[[#This Row],[Accuracy (Short)]]+Table168101112[[#This Row],[Accuracy (Medium)]]+Table168101112[[#This Row],[Accuracy (Long)]])/4)</f>
        <v>0.38250000000000001</v>
      </c>
      <c r="H7">
        <v>10</v>
      </c>
      <c r="I7">
        <v>1</v>
      </c>
      <c r="J7">
        <v>13</v>
      </c>
      <c r="K7">
        <v>8</v>
      </c>
      <c r="L7">
        <v>2</v>
      </c>
      <c r="M7">
        <v>2.4</v>
      </c>
      <c r="N7">
        <v>1200</v>
      </c>
      <c r="O7" s="2">
        <f t="shared" si="0"/>
        <v>0.05</v>
      </c>
      <c r="P7">
        <v>0.4</v>
      </c>
      <c r="Q7">
        <v>0.48</v>
      </c>
      <c r="R7">
        <v>0.38</v>
      </c>
      <c r="S7">
        <v>0.27</v>
      </c>
      <c r="T7">
        <v>55</v>
      </c>
      <c r="V7" t="s">
        <v>97</v>
      </c>
    </row>
    <row r="8" spans="1:22">
      <c r="A8" t="s">
        <v>157</v>
      </c>
      <c r="B8" s="4">
        <v>1</v>
      </c>
      <c r="C8" s="2">
        <f>SUM(((Table168101112[[#This Row],[Avg DPS]]*(Table168101112[[#This Row],[Range]]))+(Table168101112[[#This Row],[Avg DPS]]*Table168101112[[#This Row],[Arm Pen (%)]]))/100)</f>
        <v>2.6009812499999998</v>
      </c>
      <c r="D8" s="3">
        <f>SUM(Table168101112[[#This Row],[DPS]]*Table168101112[[#This Row],[Avg Accuracy]])</f>
        <v>6.5187499999999998</v>
      </c>
      <c r="E8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17.5</v>
      </c>
      <c r="F8">
        <v>25.9</v>
      </c>
      <c r="G8" s="2">
        <f>SUM((Table168101112[[#This Row],[Accuracy (Close)]]+Table168101112[[#This Row],[Accuracy (Short)]]+Table168101112[[#This Row],[Accuracy (Medium)]]+Table168101112[[#This Row],[Accuracy (Long)]])/4)</f>
        <v>0.3725</v>
      </c>
      <c r="H8">
        <v>10</v>
      </c>
      <c r="I8">
        <v>1</v>
      </c>
      <c r="J8">
        <v>14</v>
      </c>
      <c r="K8">
        <v>7</v>
      </c>
      <c r="L8">
        <v>1.6</v>
      </c>
      <c r="M8">
        <v>1.9</v>
      </c>
      <c r="N8">
        <v>720</v>
      </c>
      <c r="O8" s="2">
        <f t="shared" si="0"/>
        <v>8.3333333333333329E-2</v>
      </c>
      <c r="P8">
        <v>0.4</v>
      </c>
      <c r="Q8">
        <v>0.48</v>
      </c>
      <c r="R8">
        <v>0.35</v>
      </c>
      <c r="S8">
        <v>0.26</v>
      </c>
      <c r="T8">
        <v>49</v>
      </c>
      <c r="U8">
        <v>9.6999999999999993</v>
      </c>
      <c r="V8" t="s">
        <v>98</v>
      </c>
    </row>
    <row r="9" spans="1:22">
      <c r="A9" t="s">
        <v>82</v>
      </c>
      <c r="B9" s="4">
        <v>1</v>
      </c>
      <c r="C9" s="2">
        <f>SUM(((Table168101112[[#This Row],[Avg DPS]]*(Table168101112[[#This Row],[Range]]))+(Table168101112[[#This Row],[Avg DPS]]*Table168101112[[#This Row],[Arm Pen (%)]]))/100)</f>
        <v>2.7735312499999996</v>
      </c>
      <c r="D9" s="3">
        <f>SUM(Table168101112[[#This Row],[DPS]]*Table168101112[[#This Row],[Avg Accuracy]])</f>
        <v>6.78125</v>
      </c>
      <c r="E9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17.5</v>
      </c>
      <c r="F9">
        <v>26.9</v>
      </c>
      <c r="G9" s="2">
        <f>SUM((Table168101112[[#This Row],[Accuracy (Close)]]+Table168101112[[#This Row],[Accuracy (Short)]]+Table168101112[[#This Row],[Accuracy (Medium)]]+Table168101112[[#This Row],[Accuracy (Long)]])/4)</f>
        <v>0.38750000000000001</v>
      </c>
      <c r="H9">
        <v>10</v>
      </c>
      <c r="I9">
        <v>1</v>
      </c>
      <c r="J9">
        <v>14</v>
      </c>
      <c r="K9">
        <v>7</v>
      </c>
      <c r="L9">
        <v>1.6</v>
      </c>
      <c r="M9">
        <v>1.9</v>
      </c>
      <c r="N9">
        <v>720</v>
      </c>
      <c r="O9" s="2">
        <f t="shared" si="0"/>
        <v>8.3333333333333329E-2</v>
      </c>
      <c r="P9">
        <v>0.4</v>
      </c>
      <c r="Q9">
        <v>0.49</v>
      </c>
      <c r="R9">
        <v>0.39</v>
      </c>
      <c r="S9">
        <v>0.27</v>
      </c>
      <c r="T9">
        <v>50</v>
      </c>
      <c r="U9">
        <v>10.1</v>
      </c>
      <c r="V9" t="s">
        <v>98</v>
      </c>
    </row>
    <row r="10" spans="1:22">
      <c r="A10" t="s">
        <v>81</v>
      </c>
      <c r="B10" s="4">
        <v>1</v>
      </c>
      <c r="C10" s="2">
        <f>SUM(((Table168101112[[#This Row],[Avg DPS]]*(Table168101112[[#This Row],[Range]]))+(Table168101112[[#This Row],[Avg DPS]]*Table168101112[[#This Row],[Arm Pen (%)]]))/100)</f>
        <v>2.8811144404332127</v>
      </c>
      <c r="D10" s="3">
        <f>SUM(Table168101112[[#This Row],[DPS]]*Table168101112[[#This Row],[Avg Accuracy]])</f>
        <v>6.7158844765342955</v>
      </c>
      <c r="E10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16.895306859205775</v>
      </c>
      <c r="F10">
        <v>25.9</v>
      </c>
      <c r="G10" s="2">
        <f>SUM((Table168101112[[#This Row],[Accuracy (Close)]]+Table168101112[[#This Row],[Accuracy (Short)]]+Table168101112[[#This Row],[Accuracy (Medium)]]+Table168101112[[#This Row],[Accuracy (Long)]])/4)</f>
        <v>0.39750000000000002</v>
      </c>
      <c r="H10">
        <v>13</v>
      </c>
      <c r="I10">
        <v>1</v>
      </c>
      <c r="J10">
        <v>17</v>
      </c>
      <c r="K10">
        <v>6</v>
      </c>
      <c r="L10">
        <v>2.1</v>
      </c>
      <c r="M10">
        <v>2.1</v>
      </c>
      <c r="N10">
        <v>720</v>
      </c>
      <c r="O10" s="2">
        <f t="shared" si="0"/>
        <v>8.3333333333333329E-2</v>
      </c>
      <c r="P10">
        <v>0.41</v>
      </c>
      <c r="Q10">
        <v>0.5</v>
      </c>
      <c r="R10">
        <v>0.4</v>
      </c>
      <c r="S10">
        <v>0.28000000000000003</v>
      </c>
      <c r="T10">
        <v>45</v>
      </c>
      <c r="U10">
        <v>14.4</v>
      </c>
      <c r="V10" t="s">
        <v>98</v>
      </c>
    </row>
    <row r="11" spans="1:22">
      <c r="A11" t="s">
        <v>158</v>
      </c>
      <c r="B11" s="4">
        <v>1</v>
      </c>
      <c r="C11" s="2">
        <f>SUM(((Table168101112[[#This Row],[Avg DPS]]*(Table168101112[[#This Row],[Range]]))+(Table168101112[[#This Row],[Avg DPS]]*Table168101112[[#This Row],[Arm Pen (%)]]))/100)</f>
        <v>2.0225093691118703</v>
      </c>
      <c r="D11" s="3">
        <f>SUM(Table168101112[[#This Row],[DPS]]*Table168101112[[#This Row],[Avg Accuracy]])</f>
        <v>5.9661043336633348</v>
      </c>
      <c r="E11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17.419282726024335</v>
      </c>
      <c r="F11">
        <v>23.9</v>
      </c>
      <c r="G11" s="2">
        <f>SUM((Table168101112[[#This Row],[Accuracy (Close)]]+Table168101112[[#This Row],[Accuracy (Short)]]+Table168101112[[#This Row],[Accuracy (Medium)]]+Table168101112[[#This Row],[Accuracy (Long)]])/4)</f>
        <v>0.34250000000000003</v>
      </c>
      <c r="H11">
        <v>6</v>
      </c>
      <c r="I11">
        <v>0.5</v>
      </c>
      <c r="J11">
        <v>10</v>
      </c>
      <c r="K11">
        <v>15</v>
      </c>
      <c r="L11">
        <v>1.5</v>
      </c>
      <c r="M11">
        <v>1.1000000000000001</v>
      </c>
      <c r="N11">
        <v>327.27</v>
      </c>
      <c r="O11" s="2">
        <f>60/N11</f>
        <v>0.1833348611238427</v>
      </c>
      <c r="P11">
        <v>0.4</v>
      </c>
      <c r="Q11">
        <v>0.45</v>
      </c>
      <c r="R11">
        <v>0.32</v>
      </c>
      <c r="S11">
        <v>0.2</v>
      </c>
      <c r="T11">
        <v>45</v>
      </c>
      <c r="U11">
        <v>8.9</v>
      </c>
      <c r="V11" t="s">
        <v>98</v>
      </c>
    </row>
    <row r="12" spans="1:22">
      <c r="A12" s="4"/>
      <c r="B12" s="4"/>
      <c r="C12" s="2" t="e">
        <f>SUM(((Table168101112[[#This Row],[Avg DPS]]*(Table168101112[[#This Row],[Range]]))+(Table168101112[[#This Row],[Avg DPS]]*Table168101112[[#This Row],[Arm Pen (%)]]))/100)</f>
        <v>#DIV/0!</v>
      </c>
      <c r="D12" s="3" t="e">
        <f>SUM(Table168101112[[#This Row],[DPS]]*Table168101112[[#This Row],[Avg Accuracy]])</f>
        <v>#DIV/0!</v>
      </c>
      <c r="E12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2" s="2">
        <f>SUM((Table168101112[[#This Row],[Accuracy (Close)]]+Table168101112[[#This Row],[Accuracy (Short)]]+Table168101112[[#This Row],[Accuracy (Medium)]]+Table168101112[[#This Row],[Accuracy (Long)]])/4)</f>
        <v>0</v>
      </c>
      <c r="O12" s="2" t="e">
        <f t="shared" si="0"/>
        <v>#DIV/0!</v>
      </c>
    </row>
    <row r="13" spans="1:22">
      <c r="A13" s="4"/>
      <c r="B13" s="4"/>
      <c r="C13" s="2" t="e">
        <f>SUM(((Table168101112[[#This Row],[Avg DPS]]*(Table168101112[[#This Row],[Range]]))+(Table168101112[[#This Row],[Avg DPS]]*Table168101112[[#This Row],[Arm Pen (%)]]))/100)</f>
        <v>#DIV/0!</v>
      </c>
      <c r="D13" s="3" t="e">
        <f>SUM(Table168101112[[#This Row],[DPS]]*Table168101112[[#This Row],[Avg Accuracy]])</f>
        <v>#DIV/0!</v>
      </c>
      <c r="E13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3" s="2">
        <f>SUM((Table168101112[[#This Row],[Accuracy (Close)]]+Table168101112[[#This Row],[Accuracy (Short)]]+Table168101112[[#This Row],[Accuracy (Medium)]]+Table168101112[[#This Row],[Accuracy (Long)]])/4)</f>
        <v>0</v>
      </c>
      <c r="O13" s="2" t="e">
        <f t="shared" si="0"/>
        <v>#DIV/0!</v>
      </c>
    </row>
    <row r="14" spans="1:22">
      <c r="C14" s="2" t="e">
        <f>SUM(((Table168101112[[#This Row],[Avg DPS]]*(Table168101112[[#This Row],[Range]]))+(Table168101112[[#This Row],[Avg DPS]]*Table168101112[[#This Row],[Arm Pen (%)]]))/100)</f>
        <v>#DIV/0!</v>
      </c>
      <c r="D14" s="3" t="e">
        <f>SUM(Table168101112[[#This Row],[DPS]]*Table168101112[[#This Row],[Avg Accuracy]])</f>
        <v>#DIV/0!</v>
      </c>
      <c r="E14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4" s="2">
        <f>SUM((Table168101112[[#This Row],[Accuracy (Close)]]+Table168101112[[#This Row],[Accuracy (Short)]]+Table168101112[[#This Row],[Accuracy (Medium)]]+Table168101112[[#This Row],[Accuracy (Long)]])/4)</f>
        <v>0</v>
      </c>
      <c r="O14" s="2" t="e">
        <f t="shared" si="0"/>
        <v>#DIV/0!</v>
      </c>
    </row>
    <row r="15" spans="1:22">
      <c r="C15" s="2" t="e">
        <f>SUM(((Table168101112[[#This Row],[Avg DPS]]*(Table168101112[[#This Row],[Range]]))+(Table168101112[[#This Row],[Avg DPS]]*Table168101112[[#This Row],[Arm Pen (%)]]))/100)</f>
        <v>#DIV/0!</v>
      </c>
      <c r="D15" s="3" t="e">
        <f>SUM(Table168101112[[#This Row],[DPS]]*Table168101112[[#This Row],[Avg Accuracy]])</f>
        <v>#DIV/0!</v>
      </c>
      <c r="E15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5" s="2">
        <f>SUM((Table168101112[[#This Row],[Accuracy (Close)]]+Table168101112[[#This Row],[Accuracy (Short)]]+Table168101112[[#This Row],[Accuracy (Medium)]]+Table168101112[[#This Row],[Accuracy (Long)]])/4)</f>
        <v>0</v>
      </c>
      <c r="O15" s="2" t="e">
        <f t="shared" si="0"/>
        <v>#DIV/0!</v>
      </c>
    </row>
    <row r="16" spans="1:22">
      <c r="C16" s="2" t="e">
        <f>SUM(((Table168101112[[#This Row],[Avg DPS]]*(Table168101112[[#This Row],[Range]]))+(Table168101112[[#This Row],[Avg DPS]]*Table168101112[[#This Row],[Arm Pen (%)]]))/100)</f>
        <v>#DIV/0!</v>
      </c>
      <c r="D16" s="3" t="e">
        <f>SUM(Table168101112[[#This Row],[DPS]]*Table168101112[[#This Row],[Avg Accuracy]])</f>
        <v>#DIV/0!</v>
      </c>
      <c r="E16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6" s="2">
        <f>SUM((Table168101112[[#This Row],[Accuracy (Close)]]+Table168101112[[#This Row],[Accuracy (Short)]]+Table168101112[[#This Row],[Accuracy (Medium)]]+Table168101112[[#This Row],[Accuracy (Long)]])/4)</f>
        <v>0</v>
      </c>
      <c r="O16" s="2" t="e">
        <f t="shared" si="0"/>
        <v>#DIV/0!</v>
      </c>
    </row>
    <row r="17" spans="1:22">
      <c r="C17" s="2" t="e">
        <f>SUM(((Table168101112[[#This Row],[Avg DPS]]*(Table168101112[[#This Row],[Range]]))+(Table168101112[[#This Row],[Avg DPS]]*Table168101112[[#This Row],[Arm Pen (%)]]))/100)</f>
        <v>#DIV/0!</v>
      </c>
      <c r="D17" s="3" t="e">
        <f>SUM(Table168101112[[#This Row],[DPS]]*Table168101112[[#This Row],[Avg Accuracy]])</f>
        <v>#DIV/0!</v>
      </c>
      <c r="E17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7" s="2">
        <f>SUM((Table168101112[[#This Row],[Accuracy (Close)]]+Table168101112[[#This Row],[Accuracy (Short)]]+Table168101112[[#This Row],[Accuracy (Medium)]]+Table168101112[[#This Row],[Accuracy (Long)]])/4)</f>
        <v>0</v>
      </c>
      <c r="O17" s="2" t="e">
        <f t="shared" si="0"/>
        <v>#DIV/0!</v>
      </c>
    </row>
    <row r="18" spans="1:22" s="4" customFormat="1">
      <c r="A18"/>
      <c r="B18"/>
      <c r="C18" s="2" t="e">
        <f>SUM(((Table168101112[[#This Row],[Avg DPS]]*(Table168101112[[#This Row],[Range]]))+(Table168101112[[#This Row],[Avg DPS]]*Table168101112[[#This Row],[Arm Pen (%)]]))/100)</f>
        <v>#DIV/0!</v>
      </c>
      <c r="D18" s="3" t="e">
        <f>SUM(Table168101112[[#This Row],[DPS]]*Table168101112[[#This Row],[Avg Accuracy]])</f>
        <v>#DIV/0!</v>
      </c>
      <c r="E18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18"/>
      <c r="G18" s="2">
        <f>SUM((Table168101112[[#This Row],[Accuracy (Close)]]+Table168101112[[#This Row],[Accuracy (Short)]]+Table168101112[[#This Row],[Accuracy (Medium)]]+Table168101112[[#This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/>
      <c r="U18"/>
      <c r="V18"/>
    </row>
    <row r="19" spans="1:22">
      <c r="C19" s="2" t="e">
        <f>SUM(((Table168101112[[#This Row],[Avg DPS]]*(Table168101112[[#This Row],[Range]]))+(Table168101112[[#This Row],[Avg DPS]]*Table168101112[[#This Row],[Arm Pen (%)]]))/100)</f>
        <v>#DIV/0!</v>
      </c>
      <c r="D19" s="3" t="e">
        <f>SUM(Table168101112[[#This Row],[DPS]]*Table168101112[[#This Row],[Avg Accuracy]])</f>
        <v>#DIV/0!</v>
      </c>
      <c r="E19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9" s="2">
        <f>SUM((Table168101112[[#This Row],[Accuracy (Close)]]+Table168101112[[#This Row],[Accuracy (Short)]]+Table168101112[[#This Row],[Accuracy (Medium)]]+Table168101112[[#This Row],[Accuracy (Long)]])/4)</f>
        <v>0</v>
      </c>
      <c r="O19" s="2" t="e">
        <f t="shared" si="0"/>
        <v>#DIV/0!</v>
      </c>
    </row>
    <row r="20" spans="1:22">
      <c r="A20" s="7"/>
      <c r="B20" s="7"/>
      <c r="C20" s="2" t="e">
        <f>SUM(((Table168101112[[#This Row],[Avg DPS]]*(Table168101112[[#This Row],[Range]]))+(Table168101112[[#This Row],[Avg DPS]]*Table168101112[[#This Row],[Arm Pen (%)]]))/100)</f>
        <v>#DIV/0!</v>
      </c>
      <c r="D20" s="3" t="e">
        <f>SUM(Table168101112[[#This Row],[DPS]]*Table168101112[[#This Row],[Avg Accuracy]])</f>
        <v>#DIV/0!</v>
      </c>
      <c r="E20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20" s="7"/>
      <c r="G20" s="2">
        <f>SUM((Table168101112[[#This Row],[Accuracy (Close)]]+Table168101112[[#This Row],[Accuracy (Short)]]+Table168101112[[#This Row],[Accuracy (Medium)]]+Table168101112[[#This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  <c r="T20" s="7"/>
      <c r="U20" s="7"/>
      <c r="V20" s="7"/>
    </row>
  </sheetData>
  <conditionalFormatting sqref="C4:C20">
    <cfRule type="cellIs" dxfId="24" priority="1" operator="greaterThan">
      <formula>3.51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V19"/>
  <sheetViews>
    <sheetView topLeftCell="C1" workbookViewId="0">
      <selection activeCell="R14" sqref="R14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8" width="11.5703125" customWidth="1"/>
    <col min="9" max="9" width="14.5703125" customWidth="1"/>
    <col min="10" max="11" width="8.5703125" customWidth="1"/>
    <col min="12" max="12" width="12" customWidth="1"/>
    <col min="13" max="14" width="8.8554687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2">
      <c r="A1" s="1" t="s">
        <v>0</v>
      </c>
      <c r="C1" t="s">
        <v>24</v>
      </c>
      <c r="F1" s="1" t="s">
        <v>78</v>
      </c>
    </row>
    <row r="2" spans="1:22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</row>
    <row r="3" spans="1:22" ht="15.75" thickBot="1">
      <c r="A3" t="s">
        <v>1</v>
      </c>
      <c r="B3" t="s">
        <v>40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83</v>
      </c>
      <c r="U3" s="16" t="s">
        <v>84</v>
      </c>
      <c r="V3" s="21" t="s">
        <v>96</v>
      </c>
    </row>
    <row r="4" spans="1:22" ht="15.75" thickTop="1">
      <c r="A4" s="6" t="s">
        <v>50</v>
      </c>
      <c r="B4" s="11" t="s">
        <v>41</v>
      </c>
      <c r="C4" s="2">
        <f>SUM(((Table16810111213[[#This Row],[Avg DPS]]*(Table16810111213[[#This Row],[Range]]))+(Table16810111213[[#This Row],[Avg DPS]]*Table16810111213[[#This Row],[Arm Pen (%)]]))/100)</f>
        <v>1.9275069767441864</v>
      </c>
      <c r="D4" s="3">
        <f>SUM(Table16810111213[[#This Row],[DPS]]*Table16810111213[[#This Row],[Avg Accuracy]])</f>
        <v>6.4465116279069772</v>
      </c>
      <c r="E4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8.3720930232558146</v>
      </c>
      <c r="F4">
        <v>15.9</v>
      </c>
      <c r="G4" s="2">
        <f>SUM((Table16810111213[[#This Row],[Accuracy (Close)]]+Table16810111213[[#This Row],[Accuracy (Short)]]+Table16810111213[[#This Row],[Accuracy (Medium)]]+Table16810111213[[#This Row],[Accuracy (Long)]])/4)</f>
        <v>0.77</v>
      </c>
      <c r="H4">
        <v>18</v>
      </c>
      <c r="I4">
        <v>3</v>
      </c>
      <c r="J4">
        <v>14</v>
      </c>
      <c r="K4">
        <v>1</v>
      </c>
      <c r="L4">
        <v>1.25</v>
      </c>
      <c r="M4">
        <v>0.9</v>
      </c>
      <c r="N4">
        <v>0</v>
      </c>
      <c r="O4" s="2">
        <v>1.25</v>
      </c>
      <c r="P4">
        <v>0.8</v>
      </c>
      <c r="Q4">
        <v>0.87</v>
      </c>
      <c r="R4">
        <v>0.77</v>
      </c>
      <c r="S4">
        <v>0.64</v>
      </c>
      <c r="T4" s="17">
        <v>55</v>
      </c>
      <c r="U4" s="18"/>
      <c r="V4" s="24" t="s">
        <v>97</v>
      </c>
    </row>
    <row r="5" spans="1:22">
      <c r="A5" s="6" t="s">
        <v>51</v>
      </c>
      <c r="B5" s="11" t="s">
        <v>41</v>
      </c>
      <c r="C5" s="2">
        <f>SUM(((Table16810111213[[#This Row],[Avg DPS]]*(Table16810111213[[#This Row],[Range]]))+(Table16810111213[[#This Row],[Avg DPS]]*Table16810111213[[#This Row],[Arm Pen (%)]]))/100)</f>
        <v>2.7770294117647065</v>
      </c>
      <c r="D5" s="3">
        <f>SUM(Table16810111213[[#This Row],[DPS]]*Table16810111213[[#This Row],[Avg Accuracy]])</f>
        <v>10.323529411764708</v>
      </c>
      <c r="E5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18.68512110726644</v>
      </c>
      <c r="F5">
        <v>12.9</v>
      </c>
      <c r="G5" s="2">
        <f>SUM((Table16810111213[[#This Row],[Accuracy (Close)]]+Table16810111213[[#This Row],[Accuracy (Short)]]+Table16810111213[[#This Row],[Accuracy (Medium)]]+Table16810111213[[#This Row],[Accuracy (Long)]])/4)</f>
        <v>0.55249999999999999</v>
      </c>
      <c r="H5">
        <v>18</v>
      </c>
      <c r="I5">
        <v>3</v>
      </c>
      <c r="J5">
        <v>14</v>
      </c>
      <c r="K5">
        <v>3</v>
      </c>
      <c r="L5">
        <v>1.35</v>
      </c>
      <c r="M5">
        <v>1.2</v>
      </c>
      <c r="N5">
        <v>0</v>
      </c>
      <c r="O5" s="2">
        <v>0.17</v>
      </c>
      <c r="P5">
        <v>0.56999999999999995</v>
      </c>
      <c r="Q5">
        <v>0.64</v>
      </c>
      <c r="R5">
        <v>0.55000000000000004</v>
      </c>
      <c r="S5">
        <v>0.45</v>
      </c>
      <c r="T5" s="19">
        <v>55</v>
      </c>
      <c r="U5" s="20"/>
      <c r="V5" s="25" t="s">
        <v>97</v>
      </c>
    </row>
    <row r="6" spans="1:22">
      <c r="A6" s="14" t="s">
        <v>86</v>
      </c>
      <c r="B6" s="4">
        <v>1</v>
      </c>
      <c r="C6" s="2">
        <f>SUM(((Table16810111213[[#This Row],[Avg DPS]]*(Table16810111213[[#This Row],[Range]]))+(Table16810111213[[#This Row],[Avg DPS]]*Table16810111213[[#This Row],[Arm Pen (%)]]))/100)</f>
        <v>1.8259500000000002</v>
      </c>
      <c r="D6" s="3">
        <f>SUM(Table16810111213[[#This Row],[DPS]]*Table16810111213[[#This Row],[Avg Accuracy]])</f>
        <v>5.5500000000000007</v>
      </c>
      <c r="E6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7.5000000000000009</v>
      </c>
      <c r="F6">
        <v>17.899999999999999</v>
      </c>
      <c r="G6" s="2">
        <f>SUM((Table16810111213[[#This Row],[Accuracy (Close)]]+Table16810111213[[#This Row],[Accuracy (Short)]]+Table16810111213[[#This Row],[Accuracy (Medium)]]+Table16810111213[[#This Row],[Accuracy (Long)]])/4)</f>
        <v>0.74</v>
      </c>
      <c r="H6">
        <v>21</v>
      </c>
      <c r="I6">
        <v>3</v>
      </c>
      <c r="J6">
        <v>15</v>
      </c>
      <c r="K6">
        <v>1</v>
      </c>
      <c r="L6">
        <v>2.1</v>
      </c>
      <c r="M6">
        <v>0.7</v>
      </c>
      <c r="N6">
        <v>0</v>
      </c>
      <c r="O6" s="2">
        <v>2.1</v>
      </c>
      <c r="P6">
        <v>0.85</v>
      </c>
      <c r="Q6">
        <v>0.91</v>
      </c>
      <c r="R6">
        <v>0.79</v>
      </c>
      <c r="S6">
        <v>0.41</v>
      </c>
      <c r="T6" s="17">
        <v>55</v>
      </c>
      <c r="U6" s="18">
        <v>3.4</v>
      </c>
      <c r="V6" s="24" t="s">
        <v>97</v>
      </c>
    </row>
    <row r="7" spans="1:22">
      <c r="B7" s="4"/>
      <c r="C7" s="2" t="e">
        <f>SUM(((Table16810111213[[#This Row],[Avg DPS]]*(Table16810111213[[#This Row],[Range]]))+(Table16810111213[[#This Row],[Avg DPS]]*Table16810111213[[#This Row],[Arm Pen (%)]]))/100)</f>
        <v>#DIV/0!</v>
      </c>
      <c r="D7" s="3" t="e">
        <f>SUM(Table16810111213[[#This Row],[DPS]]*Table16810111213[[#This Row],[Avg Accuracy]])</f>
        <v>#DIV/0!</v>
      </c>
      <c r="E7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7" s="2">
        <f>SUM((Table16810111213[[#This Row],[Accuracy (Close)]]+Table16810111213[[#This Row],[Accuracy (Short)]]+Table16810111213[[#This Row],[Accuracy (Medium)]]+Table16810111213[[#This Row],[Accuracy (Long)]])/4)</f>
        <v>0</v>
      </c>
      <c r="O7" s="2" t="e">
        <f t="shared" ref="O7:O19" si="0">60/N7</f>
        <v>#DIV/0!</v>
      </c>
      <c r="T7" s="19"/>
      <c r="U7" s="20"/>
      <c r="V7" s="23"/>
    </row>
    <row r="8" spans="1:22">
      <c r="B8" s="4"/>
      <c r="C8" s="2" t="e">
        <f>SUM(((Table16810111213[[#This Row],[Avg DPS]]*(Table16810111213[[#This Row],[Range]]))+(Table16810111213[[#This Row],[Avg DPS]]*Table16810111213[[#This Row],[Arm Pen (%)]]))/100)</f>
        <v>#DIV/0!</v>
      </c>
      <c r="D8" s="3" t="e">
        <f>SUM(Table16810111213[[#This Row],[DPS]]*Table16810111213[[#This Row],[Avg Accuracy]])</f>
        <v>#DIV/0!</v>
      </c>
      <c r="E8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8" s="2">
        <f>SUM((Table16810111213[[#This Row],[Accuracy (Close)]]+Table16810111213[[#This Row],[Accuracy (Short)]]+Table16810111213[[#This Row],[Accuracy (Medium)]]+Table16810111213[[#This Row],[Accuracy (Long)]])/4)</f>
        <v>0</v>
      </c>
      <c r="O8" s="2" t="e">
        <f t="shared" si="0"/>
        <v>#DIV/0!</v>
      </c>
      <c r="T8" s="17"/>
      <c r="U8" s="18"/>
      <c r="V8" s="22"/>
    </row>
    <row r="9" spans="1:22">
      <c r="B9" s="4"/>
      <c r="C9" s="2" t="e">
        <f>SUM(((Table16810111213[[#This Row],[Avg DPS]]*(Table16810111213[[#This Row],[Range]]))+(Table16810111213[[#This Row],[Avg DPS]]*Table16810111213[[#This Row],[Arm Pen (%)]]))/100)</f>
        <v>#DIV/0!</v>
      </c>
      <c r="D9" s="3" t="e">
        <f>SUM(Table16810111213[[#This Row],[DPS]]*Table16810111213[[#This Row],[Avg Accuracy]])</f>
        <v>#DIV/0!</v>
      </c>
      <c r="E9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9" s="2">
        <f>SUM((Table16810111213[[#This Row],[Accuracy (Close)]]+Table16810111213[[#This Row],[Accuracy (Short)]]+Table16810111213[[#This Row],[Accuracy (Medium)]]+Table16810111213[[#This Row],[Accuracy (Long)]])/4)</f>
        <v>0</v>
      </c>
      <c r="O9" s="2" t="e">
        <f t="shared" si="0"/>
        <v>#DIV/0!</v>
      </c>
    </row>
    <row r="10" spans="1:22">
      <c r="B10" s="4"/>
      <c r="C10" s="2" t="e">
        <f>SUM(((Table16810111213[[#This Row],[Avg DPS]]*(Table16810111213[[#This Row],[Range]]))+(Table16810111213[[#This Row],[Avg DPS]]*Table16810111213[[#This Row],[Arm Pen (%)]]))/100)</f>
        <v>#DIV/0!</v>
      </c>
      <c r="D10" s="3" t="e">
        <f>SUM(Table16810111213[[#This Row],[DPS]]*Table16810111213[[#This Row],[Avg Accuracy]])</f>
        <v>#DIV/0!</v>
      </c>
      <c r="E10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0" s="2">
        <f>SUM((Table16810111213[[#This Row],[Accuracy (Close)]]+Table16810111213[[#This Row],[Accuracy (Short)]]+Table16810111213[[#This Row],[Accuracy (Medium)]]+Table16810111213[[#This Row],[Accuracy (Long)]])/4)</f>
        <v>0</v>
      </c>
      <c r="O10" s="2" t="e">
        <f t="shared" si="0"/>
        <v>#DIV/0!</v>
      </c>
    </row>
    <row r="11" spans="1:22">
      <c r="A11" s="4"/>
      <c r="B11" s="4"/>
      <c r="C11" s="2" t="e">
        <f>SUM(((Table16810111213[[#This Row],[Avg DPS]]*(Table16810111213[[#This Row],[Range]]))+(Table16810111213[[#This Row],[Avg DPS]]*Table16810111213[[#This Row],[Arm Pen (%)]]))/100)</f>
        <v>#DIV/0!</v>
      </c>
      <c r="D11" s="3" t="e">
        <f>SUM(Table16810111213[[#This Row],[DPS]]*Table16810111213[[#This Row],[Avg Accuracy]])</f>
        <v>#DIV/0!</v>
      </c>
      <c r="E11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1" s="2">
        <f>SUM((Table16810111213[[#This Row],[Accuracy (Close)]]+Table16810111213[[#This Row],[Accuracy (Short)]]+Table16810111213[[#This Row],[Accuracy (Medium)]]+Table16810111213[[#This Row],[Accuracy (Long)]])/4)</f>
        <v>0</v>
      </c>
      <c r="O11" s="2" t="e">
        <f t="shared" si="0"/>
        <v>#DIV/0!</v>
      </c>
    </row>
    <row r="12" spans="1:22">
      <c r="A12" s="4"/>
      <c r="B12" s="4"/>
      <c r="C12" s="2" t="e">
        <f>SUM(((Table16810111213[[#This Row],[Avg DPS]]*(Table16810111213[[#This Row],[Range]]))+(Table16810111213[[#This Row],[Avg DPS]]*Table16810111213[[#This Row],[Arm Pen (%)]]))/100)</f>
        <v>#DIV/0!</v>
      </c>
      <c r="D12" s="3" t="e">
        <f>SUM(Table16810111213[[#This Row],[DPS]]*Table16810111213[[#This Row],[Avg Accuracy]])</f>
        <v>#DIV/0!</v>
      </c>
      <c r="E12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2" s="2">
        <f>SUM((Table16810111213[[#This Row],[Accuracy (Close)]]+Table16810111213[[#This Row],[Accuracy (Short)]]+Table16810111213[[#This Row],[Accuracy (Medium)]]+Table16810111213[[#This Row],[Accuracy (Long)]])/4)</f>
        <v>0</v>
      </c>
      <c r="O12" s="2" t="e">
        <f t="shared" si="0"/>
        <v>#DIV/0!</v>
      </c>
    </row>
    <row r="13" spans="1:22">
      <c r="C13" s="2" t="e">
        <f>SUM(((Table16810111213[[#This Row],[Avg DPS]]*(Table16810111213[[#This Row],[Range]]))+(Table16810111213[[#This Row],[Avg DPS]]*Table16810111213[[#This Row],[Arm Pen (%)]]))/100)</f>
        <v>#DIV/0!</v>
      </c>
      <c r="D13" s="3" t="e">
        <f>SUM(Table16810111213[[#This Row],[DPS]]*Table16810111213[[#This Row],[Avg Accuracy]])</f>
        <v>#DIV/0!</v>
      </c>
      <c r="E13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3" s="2">
        <f>SUM((Table16810111213[[#This Row],[Accuracy (Close)]]+Table16810111213[[#This Row],[Accuracy (Short)]]+Table16810111213[[#This Row],[Accuracy (Medium)]]+Table16810111213[[#This Row],[Accuracy (Long)]])/4)</f>
        <v>0</v>
      </c>
      <c r="O13" s="2" t="e">
        <f t="shared" si="0"/>
        <v>#DIV/0!</v>
      </c>
    </row>
    <row r="14" spans="1:22">
      <c r="C14" s="2" t="e">
        <f>SUM(((Table16810111213[[#This Row],[Avg DPS]]*(Table16810111213[[#This Row],[Range]]))+(Table16810111213[[#This Row],[Avg DPS]]*Table16810111213[[#This Row],[Arm Pen (%)]]))/100)</f>
        <v>#DIV/0!</v>
      </c>
      <c r="D14" s="3" t="e">
        <f>SUM(Table16810111213[[#This Row],[DPS]]*Table16810111213[[#This Row],[Avg Accuracy]])</f>
        <v>#DIV/0!</v>
      </c>
      <c r="E14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4" s="2">
        <f>SUM((Table16810111213[[#This Row],[Accuracy (Close)]]+Table16810111213[[#This Row],[Accuracy (Short)]]+Table16810111213[[#This Row],[Accuracy (Medium)]]+Table16810111213[[#This Row],[Accuracy (Long)]])/4)</f>
        <v>0</v>
      </c>
      <c r="O14" s="2" t="e">
        <f t="shared" si="0"/>
        <v>#DIV/0!</v>
      </c>
    </row>
    <row r="15" spans="1:22">
      <c r="C15" s="2" t="e">
        <f>SUM(((Table16810111213[[#This Row],[Avg DPS]]*(Table16810111213[[#This Row],[Range]]))+(Table16810111213[[#This Row],[Avg DPS]]*Table16810111213[[#This Row],[Arm Pen (%)]]))/100)</f>
        <v>#DIV/0!</v>
      </c>
      <c r="D15" s="3" t="e">
        <f>SUM(Table16810111213[[#This Row],[DPS]]*Table16810111213[[#This Row],[Avg Accuracy]])</f>
        <v>#DIV/0!</v>
      </c>
      <c r="E15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5" s="2">
        <f>SUM((Table16810111213[[#This Row],[Accuracy (Close)]]+Table16810111213[[#This Row],[Accuracy (Short)]]+Table16810111213[[#This Row],[Accuracy (Medium)]]+Table16810111213[[#This Row],[Accuracy (Long)]])/4)</f>
        <v>0</v>
      </c>
      <c r="O15" s="2" t="e">
        <f t="shared" si="0"/>
        <v>#DIV/0!</v>
      </c>
    </row>
    <row r="16" spans="1:22">
      <c r="C16" s="2" t="e">
        <f>SUM(((Table16810111213[[#This Row],[Avg DPS]]*(Table16810111213[[#This Row],[Range]]))+(Table16810111213[[#This Row],[Avg DPS]]*Table16810111213[[#This Row],[Arm Pen (%)]]))/100)</f>
        <v>#DIV/0!</v>
      </c>
      <c r="D16" s="3" t="e">
        <f>SUM(Table16810111213[[#This Row],[DPS]]*Table16810111213[[#This Row],[Avg Accuracy]])</f>
        <v>#DIV/0!</v>
      </c>
      <c r="E16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6" s="2">
        <f>SUM((Table16810111213[[#This Row],[Accuracy (Close)]]+Table16810111213[[#This Row],[Accuracy (Short)]]+Table16810111213[[#This Row],[Accuracy (Medium)]]+Table16810111213[[#This Row],[Accuracy (Long)]])/4)</f>
        <v>0</v>
      </c>
      <c r="O16" s="2" t="e">
        <f t="shared" si="0"/>
        <v>#DIV/0!</v>
      </c>
    </row>
    <row r="17" spans="1:19" s="4" customFormat="1">
      <c r="A17"/>
      <c r="B17"/>
      <c r="C17" s="2" t="e">
        <f>SUM(((Table16810111213[[#This Row],[Avg DPS]]*(Table16810111213[[#This Row],[Range]]))+(Table16810111213[[#This Row],[Avg DPS]]*Table16810111213[[#This Row],[Arm Pen (%)]]))/100)</f>
        <v>#DIV/0!</v>
      </c>
      <c r="D17" s="3" t="e">
        <f>SUM(Table16810111213[[#This Row],[DPS]]*Table16810111213[[#This Row],[Avg Accuracy]])</f>
        <v>#DIV/0!</v>
      </c>
      <c r="E17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7"/>
      <c r="G17" s="2">
        <f>SUM((Table16810111213[[#This Row],[Accuracy (Close)]]+Table16810111213[[#This Row],[Accuracy (Short)]]+Table16810111213[[#This Row],[Accuracy (Medium)]]+Table16810111213[[#This Row],[Accuracy (Long)]])/4)</f>
        <v>0</v>
      </c>
      <c r="H17"/>
      <c r="I17"/>
      <c r="J17"/>
      <c r="K17"/>
      <c r="L17"/>
      <c r="M17"/>
      <c r="N17"/>
      <c r="O17" s="2" t="e">
        <f t="shared" si="0"/>
        <v>#DIV/0!</v>
      </c>
      <c r="P17"/>
      <c r="Q17"/>
      <c r="R17"/>
      <c r="S17"/>
    </row>
    <row r="18" spans="1:19">
      <c r="C18" s="2" t="e">
        <f>SUM(((Table16810111213[[#This Row],[Avg DPS]]*(Table16810111213[[#This Row],[Range]]))+(Table16810111213[[#This Row],[Avg DPS]]*Table16810111213[[#This Row],[Arm Pen (%)]]))/100)</f>
        <v>#DIV/0!</v>
      </c>
      <c r="D18" s="3" t="e">
        <f>SUM(Table16810111213[[#This Row],[DPS]]*Table16810111213[[#This Row],[Avg Accuracy]])</f>
        <v>#DIV/0!</v>
      </c>
      <c r="E18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8" s="2">
        <f>SUM((Table16810111213[[#This Row],[Accuracy (Close)]]+Table16810111213[[#This Row],[Accuracy (Short)]]+Table16810111213[[#This Row],[Accuracy (Medium)]]+Table16810111213[[#This Row],[Accuracy (Long)]])/4)</f>
        <v>0</v>
      </c>
      <c r="O18" s="2" t="e">
        <f t="shared" si="0"/>
        <v>#DIV/0!</v>
      </c>
    </row>
    <row r="19" spans="1:19">
      <c r="A19" s="7"/>
      <c r="B19" s="7"/>
      <c r="C19" s="2" t="e">
        <f>SUM(((Table16810111213[[#This Row],[Avg DPS]]*(Table16810111213[[#This Row],[Range]]))+(Table16810111213[[#This Row],[Avg DPS]]*Table16810111213[[#This Row],[Arm Pen (%)]]))/100)</f>
        <v>#DIV/0!</v>
      </c>
      <c r="D19" s="3" t="e">
        <f>SUM(Table16810111213[[#This Row],[DPS]]*Table16810111213[[#This Row],[Avg Accuracy]])</f>
        <v>#DIV/0!</v>
      </c>
      <c r="E19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9" s="7"/>
      <c r="G19" s="2">
        <f>SUM((Table16810111213[[#This Row],[Accuracy (Close)]]+Table16810111213[[#This Row],[Accuracy (Short)]]+Table16810111213[[#This Row],[Accuracy (Medium)]]+Table16810111213[[#This Row],[Accuracy (Long)]])/4)</f>
        <v>0</v>
      </c>
      <c r="H19" s="7"/>
      <c r="I19" s="7"/>
      <c r="J19" s="7"/>
      <c r="K19" s="7"/>
      <c r="L19" s="7"/>
      <c r="M19" s="7"/>
      <c r="N19" s="7"/>
      <c r="O19" s="2" t="e">
        <f t="shared" si="0"/>
        <v>#DIV/0!</v>
      </c>
      <c r="P19" s="7"/>
      <c r="Q19" s="7"/>
      <c r="R19" s="7"/>
      <c r="S19" s="7"/>
    </row>
  </sheetData>
  <conditionalFormatting sqref="C4:C19">
    <cfRule type="cellIs" dxfId="18" priority="1" operator="greaterThan">
      <formula>2.789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K27" sqref="K27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Handgun</vt:lpstr>
      <vt:lpstr>Revolver</vt:lpstr>
      <vt:lpstr>SMG</vt:lpstr>
      <vt:lpstr>Rifle</vt:lpstr>
      <vt:lpstr>Sniper Rifle</vt:lpstr>
      <vt:lpstr>Spacer Rifle</vt:lpstr>
      <vt:lpstr>LMG</vt:lpstr>
      <vt:lpstr>Shotgun</vt:lpstr>
      <vt:lpstr>Melee</vt:lpstr>
      <vt:lpstr>Misc</vt:lpstr>
      <vt:lpstr>Volumes</vt:lpstr>
      <vt:lpstr>Math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ethanbuik@outlook.com.au</dc:creator>
  <cp:lastModifiedBy>ethanbuik@outlook.com.au</cp:lastModifiedBy>
  <dcterms:created xsi:type="dcterms:W3CDTF">2022-06-01T08:22:19Z</dcterms:created>
  <dcterms:modified xsi:type="dcterms:W3CDTF">2022-10-22T01:15:13Z</dcterms:modified>
</cp:coreProperties>
</file>