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 firstSheet="1" activeTab="5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Spare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E42" i="9"/>
  <c r="G42"/>
  <c r="O42"/>
  <c r="O35" i="24"/>
  <c r="E35" s="1"/>
  <c r="D35" s="1"/>
  <c r="C35" s="1"/>
  <c r="E10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E4" i="22"/>
  <c r="D4" s="1"/>
  <c r="C4" s="1"/>
  <c r="D5"/>
  <c r="C5" s="1"/>
  <c r="E5"/>
  <c r="W9" i="10"/>
  <c r="C6" i="28"/>
  <c r="C7"/>
  <c r="C8"/>
  <c r="C9"/>
  <c r="C10"/>
  <c r="C11"/>
  <c r="C12"/>
  <c r="C13"/>
  <c r="C14"/>
  <c r="C15"/>
  <c r="C16"/>
  <c r="C17"/>
  <c r="C18"/>
  <c r="C19"/>
  <c r="C4"/>
  <c r="C12" i="12"/>
  <c r="C13"/>
  <c r="C14"/>
  <c r="C15"/>
  <c r="C16"/>
  <c r="C17"/>
  <c r="C18"/>
  <c r="C19"/>
  <c r="C5" i="11"/>
  <c r="C6"/>
  <c r="C7"/>
  <c r="C8"/>
  <c r="C9"/>
  <c r="C10"/>
  <c r="C12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6"/>
  <c r="C18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25"/>
  <c r="C6"/>
  <c r="C7"/>
  <c r="C8"/>
  <c r="C9"/>
  <c r="C10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W82" s="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W113" s="1"/>
  <c r="C114"/>
  <c r="C115"/>
  <c r="C116"/>
  <c r="C117"/>
  <c r="C118"/>
  <c r="C119"/>
  <c r="C120"/>
  <c r="C121"/>
  <c r="C122"/>
  <c r="C123"/>
  <c r="C4"/>
  <c r="C5" i="9"/>
  <c r="C6"/>
  <c r="C7"/>
  <c r="C8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5"/>
  <c r="C40"/>
  <c r="C41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W50" i="25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G10"/>
  <c r="E17" i="10"/>
  <c r="G17"/>
  <c r="E19"/>
  <c r="G19"/>
  <c r="E11" i="25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E12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D30" s="1"/>
  <c r="W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W123" s="1"/>
  <c r="G123"/>
  <c r="O122"/>
  <c r="E122" s="1"/>
  <c r="G122"/>
  <c r="O121"/>
  <c r="E121" s="1"/>
  <c r="G121"/>
  <c r="O120"/>
  <c r="E120" s="1"/>
  <c r="G120"/>
  <c r="O119"/>
  <c r="E119" s="1"/>
  <c r="D119" s="1"/>
  <c r="W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D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W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W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C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W27" s="1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42" i="9" l="1"/>
  <c r="D5" i="28"/>
  <c r="C5" s="1"/>
  <c r="W5" s="1"/>
  <c r="D10" i="12"/>
  <c r="C10" s="1"/>
  <c r="W10" s="1"/>
  <c r="D17" i="10"/>
  <c r="C17" s="1"/>
  <c r="W17" s="1"/>
  <c r="D19"/>
  <c r="C19" s="1"/>
  <c r="W19" s="1"/>
  <c r="D39" i="9"/>
  <c r="C39" s="1"/>
  <c r="W39" s="1"/>
  <c r="D38"/>
  <c r="C38" s="1"/>
  <c r="W38" s="1"/>
  <c r="W12" i="28"/>
  <c r="W8"/>
  <c r="W9"/>
  <c r="W107" i="25"/>
  <c r="W21" i="26"/>
  <c r="W43" i="8"/>
  <c r="W12" i="26"/>
  <c r="W4"/>
  <c r="W46" i="8"/>
  <c r="D36" i="9"/>
  <c r="D24" i="24"/>
  <c r="C24" s="1"/>
  <c r="D32" i="10"/>
  <c r="W32" s="1"/>
  <c r="D21"/>
  <c r="W21" s="1"/>
  <c r="D22"/>
  <c r="W22" s="1"/>
  <c r="D23"/>
  <c r="W23" s="1"/>
  <c r="D29" i="25"/>
  <c r="W29" s="1"/>
  <c r="D14"/>
  <c r="W14" s="1"/>
  <c r="D58"/>
  <c r="W58" s="1"/>
  <c r="D106"/>
  <c r="W106" s="1"/>
  <c r="D122"/>
  <c r="W122" s="1"/>
  <c r="D57"/>
  <c r="W57" s="1"/>
  <c r="D53"/>
  <c r="W53" s="1"/>
  <c r="D85"/>
  <c r="W85" s="1"/>
  <c r="D40"/>
  <c r="W40" s="1"/>
  <c r="D24"/>
  <c r="W24" s="1"/>
  <c r="D7"/>
  <c r="W7" s="1"/>
  <c r="D100"/>
  <c r="W100" s="1"/>
  <c r="D116"/>
  <c r="W116" s="1"/>
  <c r="D11"/>
  <c r="D34" i="9"/>
  <c r="D37"/>
  <c r="D6" i="28"/>
  <c r="W6" s="1"/>
  <c r="D10"/>
  <c r="W10" s="1"/>
  <c r="D7"/>
  <c r="W7" s="1"/>
  <c r="D13"/>
  <c r="W13" s="1"/>
  <c r="D35" i="25"/>
  <c r="W35" s="1"/>
  <c r="D19"/>
  <c r="W19" s="1"/>
  <c r="D121"/>
  <c r="W121" s="1"/>
  <c r="D36"/>
  <c r="W36" s="1"/>
  <c r="D20"/>
  <c r="W20" s="1"/>
  <c r="D37"/>
  <c r="W37" s="1"/>
  <c r="D21"/>
  <c r="W21" s="1"/>
  <c r="D41"/>
  <c r="W41" s="1"/>
  <c r="D25"/>
  <c r="W25" s="1"/>
  <c r="D4"/>
  <c r="W4" s="1"/>
  <c r="D26"/>
  <c r="W26" s="1"/>
  <c r="D81"/>
  <c r="W81" s="1"/>
  <c r="D97"/>
  <c r="W97" s="1"/>
  <c r="D80"/>
  <c r="W80" s="1"/>
  <c r="D79"/>
  <c r="W79" s="1"/>
  <c r="D95"/>
  <c r="W95" s="1"/>
  <c r="D32"/>
  <c r="W32" s="1"/>
  <c r="D16"/>
  <c r="W16" s="1"/>
  <c r="D44"/>
  <c r="W44" s="1"/>
  <c r="D60"/>
  <c r="W60" s="1"/>
  <c r="D76"/>
  <c r="W76" s="1"/>
  <c r="D92"/>
  <c r="W92" s="1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W35" s="1"/>
  <c r="D14" i="5"/>
  <c r="W14" s="1"/>
  <c r="D10" i="26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W51" s="1"/>
  <c r="D67"/>
  <c r="W67" s="1"/>
  <c r="D10"/>
  <c r="W10" s="1"/>
  <c r="D112"/>
  <c r="W112" s="1"/>
  <c r="D39"/>
  <c r="W39" s="1"/>
  <c r="D23"/>
  <c r="W23" s="1"/>
  <c r="D46"/>
  <c r="W46" s="1"/>
  <c r="D62"/>
  <c r="W62" s="1"/>
  <c r="D61"/>
  <c r="W61" s="1"/>
  <c r="D31"/>
  <c r="W31" s="1"/>
  <c r="D28"/>
  <c r="W28" s="1"/>
  <c r="D89"/>
  <c r="W89" s="1"/>
  <c r="D15"/>
  <c r="W15" s="1"/>
  <c r="D71"/>
  <c r="W71" s="1"/>
  <c r="D54"/>
  <c r="W54" s="1"/>
  <c r="D70"/>
  <c r="W70" s="1"/>
  <c r="D101"/>
  <c r="W101" s="1"/>
  <c r="D68"/>
  <c r="W68" s="1"/>
  <c r="D87"/>
  <c r="W87" s="1"/>
  <c r="D9"/>
  <c r="W9" s="1"/>
  <c r="D55"/>
  <c r="W55" s="1"/>
  <c r="D102"/>
  <c r="W102" s="1"/>
  <c r="D117"/>
  <c r="W117" s="1"/>
  <c r="D38"/>
  <c r="W38" s="1"/>
  <c r="D22"/>
  <c r="W22" s="1"/>
  <c r="D52"/>
  <c r="W52" s="1"/>
  <c r="D83"/>
  <c r="W83" s="1"/>
  <c r="D99"/>
  <c r="W99" s="1"/>
  <c r="D114"/>
  <c r="W114" s="1"/>
  <c r="D5"/>
  <c r="W5" s="1"/>
  <c r="D66"/>
  <c r="W66" s="1"/>
  <c r="D65"/>
  <c r="W65" s="1"/>
  <c r="D27"/>
  <c r="W27" s="1"/>
  <c r="D94"/>
  <c r="W94" s="1"/>
  <c r="D47"/>
  <c r="W47" s="1"/>
  <c r="D78"/>
  <c r="W78" s="1"/>
  <c r="D108"/>
  <c r="W108" s="1"/>
  <c r="D74"/>
  <c r="W74" s="1"/>
  <c r="D33"/>
  <c r="W33" s="1"/>
  <c r="D73"/>
  <c r="W73" s="1"/>
  <c r="D34"/>
  <c r="W34" s="1"/>
  <c r="D18"/>
  <c r="W18" s="1"/>
  <c r="D42"/>
  <c r="W42" s="1"/>
  <c r="D72"/>
  <c r="W72" s="1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W105" s="1"/>
  <c r="D49"/>
  <c r="W49" s="1"/>
  <c r="D104"/>
  <c r="W104" s="1"/>
  <c r="D88"/>
  <c r="W88" s="1"/>
  <c r="D118"/>
  <c r="W118" s="1"/>
  <c r="D48"/>
  <c r="W48" s="1"/>
  <c r="D75"/>
  <c r="W75" s="1"/>
  <c r="D103"/>
  <c r="W103" s="1"/>
  <c r="D86"/>
  <c r="W86" s="1"/>
  <c r="D115"/>
  <c r="W115" s="1"/>
  <c r="D59"/>
  <c r="W59" s="1"/>
  <c r="D111"/>
  <c r="W111" s="1"/>
  <c r="D110"/>
  <c r="W110" s="1"/>
  <c r="D93"/>
  <c r="W93" s="1"/>
  <c r="D12"/>
  <c r="D64"/>
  <c r="W64" s="1"/>
  <c r="D91"/>
  <c r="W91" s="1"/>
  <c r="D63"/>
  <c r="W63" s="1"/>
  <c r="D90"/>
  <c r="W90" s="1"/>
  <c r="D120"/>
  <c r="W120" s="1"/>
  <c r="D17"/>
  <c r="W17" s="1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D77"/>
  <c r="W77" s="1"/>
  <c r="D8"/>
  <c r="W8" s="1"/>
  <c r="D84"/>
  <c r="W84" s="1"/>
  <c r="D6"/>
  <c r="W6" s="1"/>
  <c r="D56"/>
  <c r="W56" s="1"/>
  <c r="D45"/>
  <c r="W45" s="1"/>
  <c r="D109"/>
  <c r="W109" s="1"/>
  <c r="D69"/>
  <c r="W69" s="1"/>
  <c r="D96"/>
  <c r="W96" s="1"/>
  <c r="D18" i="24"/>
  <c r="C18" s="1"/>
  <c r="D22"/>
  <c r="C22" s="1"/>
  <c r="D23"/>
  <c r="C23" s="1"/>
  <c r="D16"/>
  <c r="C16" s="1"/>
  <c r="D17"/>
  <c r="C17" s="1"/>
  <c r="D25"/>
  <c r="C25" s="1"/>
  <c r="D26"/>
  <c r="C26" s="1"/>
  <c r="D5"/>
  <c r="C5" s="1"/>
  <c r="D14"/>
  <c r="C14" s="1"/>
  <c r="D15"/>
  <c r="C15" s="1"/>
  <c r="D4"/>
  <c r="C4" s="1"/>
  <c r="D9"/>
  <c r="C9" s="1"/>
  <c r="D8"/>
  <c r="C8" s="1"/>
  <c r="D12"/>
  <c r="C12" s="1"/>
  <c r="D21"/>
  <c r="C21" s="1"/>
  <c r="D10"/>
  <c r="C10" s="1"/>
  <c r="D11"/>
  <c r="C11" s="1"/>
  <c r="D6"/>
  <c r="C6" s="1"/>
  <c r="D7"/>
  <c r="C7" s="1"/>
  <c r="D20"/>
  <c r="C20" s="1"/>
  <c r="D19"/>
  <c r="C19" s="1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C7" s="1"/>
  <c r="D11"/>
  <c r="C11" s="1"/>
  <c r="D10"/>
  <c r="C10" s="1"/>
  <c r="D9"/>
  <c r="C9" s="1"/>
  <c r="D8"/>
  <c r="C8" s="1"/>
  <c r="D6"/>
  <c r="C6" s="1"/>
  <c r="D20" i="8"/>
  <c r="D19"/>
  <c r="D18"/>
  <c r="D17"/>
  <c r="D21"/>
  <c r="D10"/>
  <c r="D24" i="5"/>
  <c r="W24" s="1"/>
  <c r="D25"/>
  <c r="W25" s="1"/>
  <c r="D28" i="9"/>
  <c r="W28" s="1"/>
  <c r="D29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W101" s="1"/>
  <c r="E69"/>
  <c r="D69" s="1"/>
  <c r="W69" s="1"/>
  <c r="E102"/>
  <c r="D102" s="1"/>
  <c r="W102" s="1"/>
  <c r="E70"/>
  <c r="D70" s="1"/>
  <c r="W70" s="1"/>
  <c r="E103"/>
  <c r="D103" s="1"/>
  <c r="W103" s="1"/>
  <c r="E71"/>
  <c r="D71" s="1"/>
  <c r="W71" s="1"/>
  <c r="E104"/>
  <c r="D104" s="1"/>
  <c r="W104" s="1"/>
  <c r="E72"/>
  <c r="D72" s="1"/>
  <c r="W72" s="1"/>
  <c r="E105"/>
  <c r="D105" s="1"/>
  <c r="W105" s="1"/>
  <c r="E73"/>
  <c r="D73" s="1"/>
  <c r="W73" s="1"/>
  <c r="E106"/>
  <c r="D106" s="1"/>
  <c r="W106" s="1"/>
  <c r="E74"/>
  <c r="D74" s="1"/>
  <c r="W74" s="1"/>
  <c r="E40"/>
  <c r="D40" s="1"/>
  <c r="W40" s="1"/>
  <c r="E107"/>
  <c r="D107" s="1"/>
  <c r="W107" s="1"/>
  <c r="E75"/>
  <c r="D75" s="1"/>
  <c r="W75" s="1"/>
  <c r="E43"/>
  <c r="D43" s="1"/>
  <c r="E108"/>
  <c r="D108" s="1"/>
  <c r="W108" s="1"/>
  <c r="E76"/>
  <c r="D76" s="1"/>
  <c r="W76" s="1"/>
  <c r="E44"/>
  <c r="D44" s="1"/>
  <c r="W44" s="1"/>
  <c r="E109"/>
  <c r="D109" s="1"/>
  <c r="W109" s="1"/>
  <c r="E77"/>
  <c r="D77" s="1"/>
  <c r="W77" s="1"/>
  <c r="E110"/>
  <c r="D110" s="1"/>
  <c r="W110" s="1"/>
  <c r="E78"/>
  <c r="D78" s="1"/>
  <c r="W78" s="1"/>
  <c r="E111"/>
  <c r="D111" s="1"/>
  <c r="W111" s="1"/>
  <c r="E79"/>
  <c r="D79" s="1"/>
  <c r="W79" s="1"/>
  <c r="E47"/>
  <c r="D47" s="1"/>
  <c r="W47" s="1"/>
  <c r="E112"/>
  <c r="D112" s="1"/>
  <c r="W112" s="1"/>
  <c r="E80"/>
  <c r="D80" s="1"/>
  <c r="W80" s="1"/>
  <c r="E113"/>
  <c r="D113" s="1"/>
  <c r="W113" s="1"/>
  <c r="E81"/>
  <c r="D81" s="1"/>
  <c r="W81" s="1"/>
  <c r="E114"/>
  <c r="D114" s="1"/>
  <c r="W114" s="1"/>
  <c r="E82"/>
  <c r="D82" s="1"/>
  <c r="W82" s="1"/>
  <c r="E115"/>
  <c r="D115" s="1"/>
  <c r="W115" s="1"/>
  <c r="E83"/>
  <c r="D83" s="1"/>
  <c r="W83" s="1"/>
  <c r="E51"/>
  <c r="D51" s="1"/>
  <c r="W51" s="1"/>
  <c r="E116"/>
  <c r="D116" s="1"/>
  <c r="W116" s="1"/>
  <c r="E84"/>
  <c r="D84" s="1"/>
  <c r="W84" s="1"/>
  <c r="E52"/>
  <c r="D52" s="1"/>
  <c r="W52" s="1"/>
  <c r="E117"/>
  <c r="D117" s="1"/>
  <c r="W117" s="1"/>
  <c r="E85"/>
  <c r="D85" s="1"/>
  <c r="W85" s="1"/>
  <c r="E53"/>
  <c r="D53" s="1"/>
  <c r="W53" s="1"/>
  <c r="E118"/>
  <c r="D118" s="1"/>
  <c r="W118" s="1"/>
  <c r="E86"/>
  <c r="D86" s="1"/>
  <c r="W86" s="1"/>
  <c r="E54"/>
  <c r="D54" s="1"/>
  <c r="W54" s="1"/>
  <c r="E120"/>
  <c r="D120" s="1"/>
  <c r="W120" s="1"/>
  <c r="E88"/>
  <c r="D88" s="1"/>
  <c r="W88" s="1"/>
  <c r="E121"/>
  <c r="D121" s="1"/>
  <c r="W121" s="1"/>
  <c r="E89"/>
  <c r="D89" s="1"/>
  <c r="W89" s="1"/>
  <c r="E57"/>
  <c r="D57" s="1"/>
  <c r="W57" s="1"/>
  <c r="E122"/>
  <c r="D122" s="1"/>
  <c r="W122" s="1"/>
  <c r="E90"/>
  <c r="D90" s="1"/>
  <c r="W90" s="1"/>
  <c r="E58"/>
  <c r="D58" s="1"/>
  <c r="W58" s="1"/>
  <c r="E123"/>
  <c r="D123" s="1"/>
  <c r="W123" s="1"/>
  <c r="E91"/>
  <c r="D91" s="1"/>
  <c r="W91" s="1"/>
  <c r="E59"/>
  <c r="D59" s="1"/>
  <c r="W59" s="1"/>
  <c r="E93"/>
  <c r="D93" s="1"/>
  <c r="W93" s="1"/>
  <c r="E61"/>
  <c r="D61" s="1"/>
  <c r="W61" s="1"/>
  <c r="E22"/>
  <c r="D22" s="1"/>
  <c r="E95"/>
  <c r="D95" s="1"/>
  <c r="W95" s="1"/>
  <c r="E63"/>
  <c r="D63" s="1"/>
  <c r="W63" s="1"/>
  <c r="E96"/>
  <c r="D96" s="1"/>
  <c r="W96" s="1"/>
  <c r="E64"/>
  <c r="D64" s="1"/>
  <c r="W64" s="1"/>
  <c r="E97"/>
  <c r="D97" s="1"/>
  <c r="W97" s="1"/>
  <c r="E65"/>
  <c r="D65" s="1"/>
  <c r="W65" s="1"/>
  <c r="E30"/>
  <c r="D30" s="1"/>
  <c r="W30" s="1"/>
  <c r="E98"/>
  <c r="D98" s="1"/>
  <c r="W98" s="1"/>
  <c r="E66"/>
  <c r="D66" s="1"/>
  <c r="W66" s="1"/>
  <c r="E99"/>
  <c r="D99" s="1"/>
  <c r="W99" s="1"/>
  <c r="E67"/>
  <c r="D67" s="1"/>
  <c r="W67" s="1"/>
  <c r="E32"/>
  <c r="D32" s="1"/>
  <c r="W32" s="1"/>
  <c r="E100"/>
  <c r="D100" s="1"/>
  <c r="W100" s="1"/>
  <c r="E68"/>
  <c r="D68" s="1"/>
  <c r="W68" s="1"/>
  <c r="E33"/>
  <c r="D33" s="1"/>
  <c r="W33" s="1"/>
  <c r="D56"/>
  <c r="W56" s="1"/>
  <c r="D92"/>
  <c r="W92" s="1"/>
  <c r="D60"/>
  <c r="W60" s="1"/>
  <c r="D94"/>
  <c r="W94" s="1"/>
  <c r="D62"/>
  <c r="W62" s="1"/>
  <c r="D27"/>
  <c r="W27" s="1"/>
  <c r="D31"/>
  <c r="W31" s="1"/>
  <c r="D23"/>
  <c r="W23" s="1"/>
  <c r="D24"/>
  <c r="W24" s="1"/>
  <c r="D25"/>
  <c r="W25" s="1"/>
  <c r="D26"/>
  <c r="D45"/>
  <c r="W45" s="1"/>
  <c r="D46"/>
  <c r="W46" s="1"/>
  <c r="D48"/>
  <c r="W48" s="1"/>
  <c r="D49"/>
  <c r="W49" s="1"/>
  <c r="D50"/>
  <c r="W50" s="1"/>
  <c r="D119"/>
  <c r="W119" s="1"/>
  <c r="D87"/>
  <c r="W87" s="1"/>
  <c r="D55"/>
  <c r="W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C43" i="9" l="1"/>
  <c r="W43" s="1"/>
  <c r="C42"/>
  <c r="W42" s="1"/>
  <c r="C10" i="26"/>
  <c r="W10" s="1"/>
  <c r="C11" i="25"/>
  <c r="W11" s="1"/>
  <c r="C12"/>
  <c r="W12" s="1"/>
  <c r="C37" i="9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E11"/>
  <c r="G11"/>
  <c r="E8"/>
  <c r="G8"/>
  <c r="E7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E15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1" i="12" l="1"/>
  <c r="C11" s="1"/>
  <c r="W11" s="1"/>
  <c r="D7"/>
  <c r="C7" s="1"/>
  <c r="W7" s="1"/>
  <c r="D17" i="11"/>
  <c r="W17" s="1"/>
  <c r="D6" i="12"/>
  <c r="D14" i="10"/>
  <c r="W14" s="1"/>
  <c r="D5" i="14"/>
  <c r="D13" i="10"/>
  <c r="W13" s="1"/>
  <c r="D12" i="12"/>
  <c r="W12" s="1"/>
  <c r="D28" i="14"/>
  <c r="D29"/>
  <c r="D30"/>
  <c r="D10" i="10"/>
  <c r="W10" s="1"/>
  <c r="D15"/>
  <c r="J5" i="20"/>
  <c r="N5" s="1"/>
  <c r="I5"/>
  <c r="M5" s="1"/>
  <c r="D5" i="10"/>
  <c r="W5" s="1"/>
  <c r="D18" i="12"/>
  <c r="W18" s="1"/>
  <c r="D15"/>
  <c r="W15" s="1"/>
  <c r="D8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W6" s="1"/>
  <c r="D9" i="8"/>
  <c r="D19" i="9"/>
  <c r="D21"/>
  <c r="C21" s="1"/>
  <c r="D20"/>
  <c r="D19" i="12"/>
  <c r="W19" s="1"/>
  <c r="D17"/>
  <c r="W17" s="1"/>
  <c r="D7" i="9"/>
  <c r="W7" s="1"/>
  <c r="D18"/>
  <c r="W18" s="1"/>
  <c r="D17"/>
  <c r="W17" s="1"/>
  <c r="D14"/>
  <c r="D4" i="12"/>
  <c r="D8" i="11"/>
  <c r="W8" s="1"/>
  <c r="D15"/>
  <c r="D7"/>
  <c r="W7" s="1"/>
  <c r="D19"/>
  <c r="W19" s="1"/>
  <c r="D5"/>
  <c r="W5" s="1"/>
  <c r="D9"/>
  <c r="W9" s="1"/>
  <c r="D12" i="9"/>
  <c r="W12" s="1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C9" s="1"/>
  <c r="D13"/>
  <c r="W13" s="1"/>
  <c r="D8" i="7"/>
  <c r="D5" i="12"/>
  <c r="D5" i="5"/>
  <c r="W5" s="1"/>
  <c r="D16" i="8"/>
  <c r="D14" i="11"/>
  <c r="D11"/>
  <c r="C11" s="1"/>
  <c r="D13"/>
  <c r="D10"/>
  <c r="W10" s="1"/>
  <c r="D6"/>
  <c r="W6" s="1"/>
  <c r="D16" i="10"/>
  <c r="W16" s="1"/>
  <c r="D12"/>
  <c r="W12" s="1"/>
  <c r="D11"/>
  <c r="W11" s="1"/>
  <c r="D9" i="9"/>
  <c r="D4"/>
  <c r="W4" s="1"/>
  <c r="D8"/>
  <c r="W8" s="1"/>
  <c r="D4" i="8"/>
  <c r="W4" s="1"/>
  <c r="D15" i="9"/>
  <c r="D10"/>
  <c r="W10" s="1"/>
  <c r="D7" i="8"/>
  <c r="W7" s="1"/>
  <c r="D8"/>
  <c r="W8" s="1"/>
  <c r="D6"/>
  <c r="W6" s="1"/>
  <c r="D5"/>
  <c r="W5" s="1"/>
  <c r="D41" i="9"/>
  <c r="D11"/>
  <c r="W11" s="1"/>
  <c r="D16"/>
  <c r="W16" s="1"/>
  <c r="D13"/>
  <c r="D5"/>
  <c r="W5" s="1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C15" i="11" l="1"/>
  <c r="W15" s="1"/>
  <c r="C6" i="12"/>
  <c r="W6" s="1"/>
  <c r="C5"/>
  <c r="W5" s="1"/>
  <c r="C4"/>
  <c r="W4" s="1"/>
  <c r="C8"/>
  <c r="W8" s="1"/>
  <c r="C14" i="11"/>
  <c r="W14" s="1"/>
  <c r="C13"/>
  <c r="W13" s="1"/>
  <c r="C15" i="10"/>
  <c r="W15" s="1"/>
  <c r="C9" i="9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<sst xmlns="http://schemas.openxmlformats.org/spreadsheetml/2006/main" count="1377" uniqueCount="479">
  <si>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</si>
  <si>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</si>
  <si>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</si>
  <si>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</si>
  <si>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</si>
  <si>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</si>
  <si>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</si>
  <si>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</si>
  <si>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</si>
  <si>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</si>
  <si>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</si>
  <si>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</si>
  <si>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</si>
  <si>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</si>
  <si>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</si>
  <si>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</si>
  <si>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</si>
  <si>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</si>
  <si>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</si>
  <si>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</si>
  <si>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</si>
  <si>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</si>
  <si>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</si>
  <si>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</si>
  <si>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</si>
  <si>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</si>
  <si>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</si>
  <si>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</si>
  <si>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</si>
  <si>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</si>
  <si>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</si>
  <si>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</si>
  <si>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</si>
  <si>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</si>
  <si>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</si>
  <si>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</si>
  <si>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</si>
  <si>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</si>
  <si>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</si>
  <si>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</si>
  <si>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</si>
  <si>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</si>
  <si>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</si>
  <si>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</si>
  <si>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</si>
  <si>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</si>
  <si>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</si>
  <si>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</si>
  <si>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</si>
  <si>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</si>
  <si>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</si>
  <si>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</si>
  <si>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</si>
  <si>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</si>
  <si>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</si>
  <si>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</si>
  <si>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</si>
  <si>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</si>
  <si>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</si>
  <si>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</si>
  <si>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</si>
  <si>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</si>
  <si>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</si>
  <si>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</si>
  <si>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</si>
  <si>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</si>
  <si>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</si>
  <si>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</si>
  <si>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</si>
  <si>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</si>
  <si>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</si>
  <si>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</si>
  <si>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</si>
  <si>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</si>
  <si>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</si>
  <si>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</si>
  <si>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</si>
  <si>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</si>
  <si>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</si>
  <si>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</si>
  <si>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</si>
  <si>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</si>
  <si>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</si>
  <si>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</si>
  <si>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</si>
  <si>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</si>
  <si>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</si>
  <si>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</si>
  <si>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</si>
  <si>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</si>
  <si>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</si>
  <si>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</si>
  <si>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</si>
  <si>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</si>
  <si>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</si>
  <si>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</si>
  <si>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</si>
  <si>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</si>
  <si>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</si>
  <si>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</si>
  <si>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</si>
  <si>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</si>
  <si>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</si>
  <si>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</si>
  <si>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</si>
  <si>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</si>
  <si>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</si>
  <si>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</si>
  <si>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</si>
  <si>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</si>
  <si>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</si>
  <si>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</si>
  <si>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</si>
  <si>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</si>
  <si>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</si>
  <si>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</si>
  <si>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</si>
  <si>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</si>
  <si>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</si>
  <si>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</si>
  <si>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</si>
  <si>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</si>
  <si>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</si>
  <si>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</si>
  <si>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</si>
  <si>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</si>
  <si>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</si>
  <si>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</si>
  <si>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</si>
  <si>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</si>
  <si>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</si>
  <si>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</si>
  <si>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</si>
  <si>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</si>
  <si>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</si>
  <si>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</si>
  <si>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</si>
  <si>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</si>
  <si>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</si>
  <si>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</si>
  <si>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</si>
  <si>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</si>
  <si>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</si>
  <si>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</si>
  <si>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</si>
  <si>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</si>
  <si>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</si>
  <si>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</si>
  <si>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</si>
  <si>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</si>
  <si>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</si>
  <si>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</si>
  <si>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</si>
  <si>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</si>
  <si>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</si>
  <si>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</si>
  <si>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</si>
  <si>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</si>
  <si>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</si>
  <si>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</si>
  <si>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</si>
  <si>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</si>
  <si>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</si>
  <si>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</si>
  <si>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</si>
  <si>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</si>
  <si>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</si>
  <si>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</si>
  <si>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</si>
  <si>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</si>
  <si>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</si>
  <si>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</si>
  <si>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</si>
  <si>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</si>
  <si>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</si>
  <si>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</si>
  <si>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</si>
  <si>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</si>
  <si>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</si>
  <si>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</si>
  <si>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</si>
  <si>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</si>
  <si>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</si>
  <si>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</si>
  <si>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</si>
  <si>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</si>
  <si>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</si>
  <si>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</si>
  <si>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</si>
  <si>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</si>
  <si>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</si>
  <si>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</si>
  <si>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</si>
  <si>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</si>
  <si>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</si>
  <si>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</si>
  <si>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</si>
  <si>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</si>
  <si>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</si>
  <si>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</si>
  <si>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</si>
  <si>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</si>
  <si>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</si>
  <si>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</si>
  <si>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</si>
  <si>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</si>
  <si>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</si>
  <si>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</si>
  <si>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</si>
  <si>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</si>
  <si>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</si>
  <si>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</si>
  <si>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</si>
  <si>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</si>
  <si>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</si>
  <si>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</si>
  <si>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</si>
  <si>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</si>
  <si>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</si>
  <si>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</si>
  <si>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</si>
  <si>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</si>
  <si>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</si>
  <si>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</si>
  <si>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</si>
  <si>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</si>
  <si>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</si>
  <si>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</si>
  <si>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</si>
  <si>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</si>
  <si>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</si>
  <si>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</si>
  <si>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</si>
  <si>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</si>
  <si>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</si>
  <si>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</si>
  <si>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</si>
  <si>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</si>
  <si>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</si>
  <si>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</si>
  <si>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</si>
  <si>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</si>
  <si>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</si>
  <si>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</si>
  <si>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</si>
  <si>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</si>
  <si>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</si>
  <si>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</si>
  <si>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</si>
  <si>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HMG MAX RANGE: 35.9</t>
  </si>
  <si>
    <t>Min Weight 19KG (+10 for Mount)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</si>
  <si>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</si>
  <si>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</si>
  <si>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</si>
  <si>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</si>
  <si>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</si>
  <si>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</si>
  <si>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</si>
  <si>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</si>
  <si>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</si>
  <si>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</si>
  <si>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</si>
  <si>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</si>
  <si>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</si>
  <si>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</si>
  <si>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</si>
  <si>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</si>
  <si>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</si>
  <si>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</si>
  <si>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</si>
  <si>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</si>
  <si>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</si>
  <si>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</si>
  <si>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</si>
  <si>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</si>
  <si>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</si>
  <si>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</si>
  <si>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</si>
  <si>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</si>
  <si>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</si>
  <si>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</si>
  <si>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</si>
  <si>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</si>
  <si>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</si>
  <si>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</si>
  <si>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</si>
  <si>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</si>
  <si>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</si>
  <si>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</si>
  <si>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</si>
  <si>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</si>
  <si>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</si>
  <si>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</si>
  <si>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</si>
  <si>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</si>
  <si>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</si>
  <si>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</si>
  <si>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</si>
  <si>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</si>
  <si>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</si>
  <si>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</si>
  <si>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</si>
  <si>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</si>
  <si>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</si>
  <si>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</si>
  <si>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</si>
  <si>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</si>
  <si>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</si>
  <si>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</si>
  <si>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</si>
  <si>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</si>
  <si>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</si>
  <si>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</si>
  <si>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</si>
  <si>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</si>
  <si>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</si>
  <si>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</si>
  <si>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</si>
  <si>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</si>
  <si>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</si>
  <si>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</si>
  <si>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</si>
  <si>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</si>
  <si>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</si>
  <si>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</si>
  <si>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</si>
  <si>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</si>
  <si>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</si>
  <si>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</si>
  <si>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</si>
  <si>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</si>
  <si>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</si>
  <si>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</si>
  <si>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</si>
  <si>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</si>
  <si>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</si>
  <si>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</si>
  <si>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</si>
  <si>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</si>
  <si>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</si>
  <si>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</si>
  <si>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AA12</t>
  </si>
  <si>
    <t>M60E6</t>
  </si>
  <si>
    <t>M240LW</t>
  </si>
  <si>
    <t>M1 GARAND</t>
  </si>
  <si>
    <t>CMR30*</t>
  </si>
  <si>
    <t>M3 Grease Gun*</t>
  </si>
  <si>
    <t>Vector*</t>
  </si>
  <si>
    <t>AR57*</t>
  </si>
  <si>
    <t>DPMSGII 308 AR*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</si>
  <si>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</si>
  <si>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</si>
  <si>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</si>
  <si>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</si>
  <si>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</si>
  <si>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</si>
  <si>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</si>
  <si>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</si>
  <si>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</si>
  <si>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</si>
  <si>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</si>
  <si>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</si>
  <si>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</si>
  <si>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</si>
  <si>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</si>
  <si>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</si>
  <si>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</si>
  <si>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</si>
  <si>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</si>
  <si>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</si>
  <si>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</si>
  <si>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</si>
  <si>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</si>
  <si>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</si>
  <si>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</si>
  <si>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</si>
  <si>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</si>
  <si>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</si>
  <si>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</si>
  <si>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</si>
  <si>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</si>
  <si>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</si>
  <si>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</si>
  <si>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</si>
  <si>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</si>
  <si>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</si>
  <si>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</si>
  <si>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</si>
  <si>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</si>
  <si>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</si>
  <si>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</si>
  <si>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</si>
  <si>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</si>
  <si>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</si>
  <si>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</si>
  <si>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</si>
  <si>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</si>
  <si>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</si>
  <si>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</si>
  <si>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</si>
  <si>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</si>
  <si>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</si>
  <si>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</si>
  <si>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</si>
  <si>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</si>
  <si>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</si>
  <si>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</si>
  <si>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</si>
  <si>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</si>
  <si>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</si>
  <si>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</si>
  <si>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</si>
  <si>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</si>
  <si>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</si>
  <si>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</si>
  <si>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</si>
  <si>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</si>
  <si>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</si>
  <si>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</si>
  <si>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</si>
  <si>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</si>
  <si>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</si>
  <si>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</si>
  <si>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</si>
  <si>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</si>
  <si>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</si>
  <si>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</si>
  <si>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</si>
  <si>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</si>
  <si>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</si>
  <si>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</si>
  <si>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</si>
  <si>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</si>
  <si>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</si>
  <si>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</si>
  <si>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</si>
  <si>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</si>
  <si>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</si>
  <si>
    <t>Spare</t>
  </si>
  <si>
    <t>Spare Factor</t>
  </si>
  <si>
    <t>76mm Cannon</t>
  </si>
  <si>
    <t>76mm RF Cannon</t>
  </si>
  <si>
    <t>105mm Cannon</t>
  </si>
  <si>
    <t>127mm Cannon</t>
  </si>
  <si>
    <t>155mm Cannon</t>
  </si>
  <si>
    <t>203mm Cannon</t>
  </si>
  <si>
    <t>305mm Cannon</t>
  </si>
  <si>
    <t>460mm Cannon</t>
  </si>
  <si>
    <t>40mm Turret</t>
  </si>
  <si>
    <t>40mm Quad Turret</t>
  </si>
  <si>
    <t>Crewed</t>
  </si>
  <si>
    <t>Uncrewed</t>
  </si>
  <si>
    <t>76mm Sentry Cannon</t>
  </si>
  <si>
    <t>105mm Sentry Cannon</t>
  </si>
  <si>
    <t>155mm Sentry Cannon</t>
  </si>
  <si>
    <t>40mm Sentry Turret</t>
  </si>
  <si>
    <t>40mm Quad Sentry Turret</t>
  </si>
  <si>
    <t>M4A1 CQBR</t>
  </si>
  <si>
    <t>M1A*</t>
  </si>
  <si>
    <t>DT HTI*</t>
  </si>
  <si>
    <t>M99*</t>
  </si>
  <si>
    <t>M870 Breacher*</t>
  </si>
  <si>
    <t>MIROKU MK70*</t>
  </si>
  <si>
    <t>DP-12*</t>
  </si>
  <si>
    <t>KS7*</t>
  </si>
  <si>
    <t>40mm Tac 1440LL*</t>
  </si>
  <si>
    <t>L2D M203*</t>
  </si>
  <si>
    <t>APC 9K</t>
  </si>
  <si>
    <t>M7</t>
  </si>
  <si>
    <t>M250</t>
  </si>
  <si>
    <t>M1866</t>
  </si>
  <si>
    <t xml:space="preserve">Touch </t>
  </si>
  <si>
    <t>3 Tiles</t>
  </si>
  <si>
    <t>Short</t>
  </si>
  <si>
    <t>Medium</t>
  </si>
  <si>
    <t>Long</t>
  </si>
  <si>
    <t>12 Tiles</t>
  </si>
  <si>
    <t>25 Tiles</t>
  </si>
  <si>
    <t>40 Tiles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</si>
</sst>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</cellXfs>
  <cellStyles count="2">
    <cellStyle name="Normal" xfId="0" builtinId="0"/>
    <cellStyle name="Note" xfId="1" builtinId="10"/>
  </cellStyles>
  <dxfs count="394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76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75">
      <calculatedColumnFormula>SUM(Table1689[[#This Row],[DPS]]*Table1689[[#This Row],[Avg Accuracy]])</calculatedColumnFormula>
    </tableColumn>
    <tableColumn id="15" name="DPS" dataDxfId="37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7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7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64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63">
      <calculatedColumnFormula>SUM(Table1681011124[[#This Row],[DPS]]*Table1681011124[[#This Row],[Avg Accuracy]])</calculatedColumnFormula>
    </tableColumn>
    <tableColumn id="15" name="DPS" dataDxfId="162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61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6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45" totalsRowShown="0">
  <autoFilter ref="A3:AH45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59"/>
    <tableColumn id="22" name="Balance" dataDxfId="158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57">
      <calculatedColumnFormula>SUM(Table16810111245[[#This Row],[DPS]]*Table16810111245[[#This Row],[Avg Accuracy]])</calculatedColumnFormula>
    </tableColumn>
    <tableColumn id="15" name="DPS" dataDxfId="156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55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53"/>
    <tableColumn id="28" name="Ammo"/>
    <tableColumn id="31" name="Bursts"/>
    <tableColumn id="32" name="A.P.C."/>
    <tableColumn id="23" name="COG"/>
    <tableColumn id="25" name="Materials"/>
    <tableColumn id="27" name="Minify?" dataDxfId="152"/>
    <tableColumn id="30" name="Power" dataDxfId="151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27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26"/>
    <tableColumn id="12" name="Vol." dataDxfId="125"/>
    <tableColumn id="22" name="Balance" dataDxfId="124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23">
      <calculatedColumnFormula>SUM(Table16810111213[[#This Row],[DPS]]*Table16810111213[[#This Row],[Avg Accuracy]])</calculatedColumnFormula>
    </tableColumn>
    <tableColumn id="15" name="DPS" dataDxfId="122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21"/>
    <tableColumn id="17" name="Avg Accuracy" dataDxfId="120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19"/>
    <tableColumn id="18" name="Stopping Pwr" dataDxfId="118"/>
    <tableColumn id="19" name="Arm Pen (%)" dataDxfId="117"/>
    <tableColumn id="3" name="Burst" dataDxfId="116"/>
    <tableColumn id="4" name="Ranged Cooldown" dataDxfId="115"/>
    <tableColumn id="5" name="Warm-up" dataDxfId="114"/>
    <tableColumn id="6" name="RPM" dataDxfId="113"/>
    <tableColumn id="7" name="Burst Time" dataDxfId="112">
      <calculatedColumnFormula>60/N4</calculatedColumnFormula>
    </tableColumn>
    <tableColumn id="8" name="Accuracy (Close)" dataDxfId="111"/>
    <tableColumn id="9" name="Accuracy (Short)" dataDxfId="110"/>
    <tableColumn id="10" name="Accuracy (Medium)" dataDxfId="109"/>
    <tableColumn id="11" name="Accuracy (Long)" dataDxfId="108"/>
    <tableColumn id="13" name="Bullet Speed" dataDxfId="107"/>
    <tableColumn id="14" name="Weight" dataDxfId="106"/>
    <tableColumn id="21" name="Craftable" dataDxfId="105"/>
    <tableColumn id="23" name="Value" dataDxfId="104">
      <calculatedColumnFormula>Table16810111213[[#This Row],[Balance]]*$W$1</calculatedColumnFormula>
    </tableColumn>
    <tableColumn id="24" name="SoundShoot" dataDxfId="103"/>
    <tableColumn id="25" name="SoundInteract" dataDxfId="10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82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81"/>
    <tableColumn id="12" name="Vol." dataDxfId="80"/>
    <tableColumn id="22" name="Balance" dataDxfId="79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78">
      <calculatedColumnFormula>SUM(Table1681011121317[[#This Row],[DPS]]*Table1681011121317[[#This Row],[Avg Accuracy]])</calculatedColumnFormula>
    </tableColumn>
    <tableColumn id="15" name="DPS" dataDxfId="77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76"/>
    <tableColumn id="17" name="Avg Accuracy" dataDxfId="75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74"/>
    <tableColumn id="18" name="Stopping Pwr" dataDxfId="73"/>
    <tableColumn id="19" name="Arm Pen (%)" dataDxfId="72"/>
    <tableColumn id="3" name="Burst" dataDxfId="71"/>
    <tableColumn id="4" name="Ranged Cooldown" dataDxfId="70"/>
    <tableColumn id="5" name="Warm-up" dataDxfId="69"/>
    <tableColumn id="6" name="RPM" dataDxfId="68"/>
    <tableColumn id="7" name="Burst Time" dataDxfId="67">
      <calculatedColumnFormula>60/N4</calculatedColumnFormula>
    </tableColumn>
    <tableColumn id="8" name="Accuracy (Close)" dataDxfId="66"/>
    <tableColumn id="9" name="Accuracy (Short)" dataDxfId="65"/>
    <tableColumn id="10" name="Accuracy (Medium)" dataDxfId="64"/>
    <tableColumn id="11" name="Accuracy (Long)" dataDxfId="63"/>
    <tableColumn id="13" name="Bullet Speed" dataDxfId="62"/>
    <tableColumn id="14" name="Weight" dataDxfId="61"/>
    <tableColumn id="21" name="Craftable" dataDxfId="60"/>
    <tableColumn id="23" name="Value" dataDxfId="59">
      <calculatedColumnFormula>Table1681011121317[[#This Row],[Balance]]*$W$1</calculatedColumnFormula>
    </tableColumn>
    <tableColumn id="24" name="SoundShoot" dataDxfId="58"/>
    <tableColumn id="25" name="SoundInteract" dataDxfId="57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55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54">
      <calculatedColumnFormula>SUM(Table168101112133[[#This Row],[Avg DAM]]*Table168101112133[[#This Row],[HPS]])</calculatedColumnFormula>
    </tableColumn>
    <tableColumn id="3" name="Avg DAM" dataDxfId="53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52"/>
    <tableColumn id="33" name="ExtraDamFactor" dataDxfId="51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50">
      <calculatedColumnFormula>Formulas!AP5</calculatedColumnFormula>
    </tableColumn>
    <tableColumn id="6" name="HPM" dataDxfId="49">
      <calculatedColumnFormula>SUM(60/Table168101112133[[#This Row],[Avg Cooldown]])</calculatedColumnFormula>
    </tableColumn>
    <tableColumn id="7" name="HPS" dataDxfId="48">
      <calculatedColumnFormula>SUM(Table168101112133[[#This Row],[HPM]]/60)</calculatedColumnFormula>
    </tableColumn>
    <tableColumn id="14" name="Weight" dataDxfId="47"/>
    <tableColumn id="21" name="Craftable"/>
    <tableColumn id="5" name="Value" dataDxfId="46"/>
    <tableColumn id="8" name="SoundShoot" dataDxfId="45"/>
    <tableColumn id="9" name="SoundInteract" dataDxfId="4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43"/>
    <tableColumn id="4" name="Damage" dataDxfId="42"/>
    <tableColumn id="5" name="AP" dataDxfId="41"/>
    <tableColumn id="6" name="Stopping Power" dataDxfId="40"/>
    <tableColumn id="15" name="ForcedMiss" dataDxfId="39"/>
    <tableColumn id="11" name="DetDelay" dataDxfId="38"/>
    <tableColumn id="10" name="Blast Range" dataDxfId="37"/>
    <tableColumn id="8" name="Warm-Up" dataDxfId="36"/>
    <tableColumn id="9" name="Cooldown" dataDxfId="35"/>
    <tableColumn id="20" name="Burst" dataDxfId="34"/>
    <tableColumn id="13" name="Bullet Speed" dataDxfId="33"/>
    <tableColumn id="14" name="Weight" dataDxfId="32"/>
    <tableColumn id="7" name="Single Use" dataDxfId="31"/>
    <tableColumn id="21" name="Craftable" dataDxfId="30"/>
    <tableColumn id="2" name="Accuracy" dataDxfId="29"/>
    <tableColumn id="19" name="SoundAim" dataDxfId="28"/>
    <tableColumn id="18" name="SoundShoot" dataDxfId="27"/>
    <tableColumn id="16" name="SoundDamage" dataDxfId="26"/>
    <tableColumn id="17" name="SoundInteract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54"/>
    <tableColumn id="22" name="Balance" dataDxfId="353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52">
      <calculatedColumnFormula>SUM(Table168[[#This Row],[DPS]]*Table168[[#This Row],[Avg Accuracy]])</calculatedColumnFormula>
    </tableColumn>
    <tableColumn id="15" name="DPS" dataDxfId="351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50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48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28"/>
    <tableColumn id="22" name="Balance" dataDxfId="327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26">
      <calculatedColumnFormula>SUM(Table1614[[#This Row],[DPS]]*Table1614[[#This Row],[Avg Accuracy]])</calculatedColumnFormula>
    </tableColumn>
    <tableColumn id="15" name="DPS" dataDxfId="325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24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22"/>
    <tableColumn id="23" name="Value" dataDxfId="321"/>
    <tableColumn id="24" name="SoundShoot" dataDxfId="320"/>
    <tableColumn id="25" name="SoundInteract" dataDxfId="31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301"/>
    <tableColumn id="22" name="Balance" dataDxfId="300">
      <calculatedColumnFormula>SUM(((Table16[[#This Row],[AC/DPS]]*(Table16[[#This Row],[Range]]))+(Table16[[#This Row],[AC/DPS]]*(Table16[[#This Row],[Arm Pen (%)]]/4)))/100)</calculatedColumnFormula>
    </tableColumn>
    <tableColumn id="20" name="AC/DPS" dataDxfId="299">
      <calculatedColumnFormula>SUM(Table16[[#This Row],[DPS]]*Table16[[#This Row],[Avg Accuracy]])</calculatedColumnFormula>
    </tableColumn>
    <tableColumn id="15" name="DPS" dataDxfId="298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97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9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95"/>
    <tableColumn id="23" name="Value" dataDxfId="294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73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72">
      <calculatedColumnFormula>SUM(Table16810[[#This Row],[DPS]]*Table16810[[#This Row],[Avg Accuracy]])</calculatedColumnFormula>
    </tableColumn>
    <tableColumn id="15" name="DPS" dataDxfId="271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70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69"/>
    <tableColumn id="5" name="Warm-up" dataDxfId="268"/>
    <tableColumn id="6" name="RPM"/>
    <tableColumn id="7" name="Burst Time" dataDxfId="2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66"/>
    <tableColumn id="21" name="Craftable" dataDxfId="265"/>
    <tableColumn id="23" name="Value"/>
    <tableColumn id="24" name="Special" dataDxfId="264"/>
    <tableColumn id="28" name="S. Damage" dataDxfId="263"/>
    <tableColumn id="25" name="S. Ammo" dataDxfId="262"/>
    <tableColumn id="26" name="S. Range" dataDxfId="261"/>
    <tableColumn id="29" name="S. Cost" dataDxfId="260"/>
    <tableColumn id="27" name="SoundShoot" dataDxfId="259"/>
    <tableColumn id="30" name="SoundInteract" dataDxfId="25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37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36">
      <calculatedColumnFormula>SUM(Table168107[[#This Row],[DPS]]*Table168107[[#This Row],[Avg Accuracy]])</calculatedColumnFormula>
    </tableColumn>
    <tableColumn id="15" name="DPS" dataDxfId="235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34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33"/>
    <tableColumn id="5" name="Warm-up" dataDxfId="232"/>
    <tableColumn id="6" name="RPM"/>
    <tableColumn id="7" name="Burst Time" dataDxfId="23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30"/>
    <tableColumn id="21" name="Craftable" dataDxfId="229"/>
    <tableColumn id="23" name="Value"/>
    <tableColumn id="24" name="Special" dataDxfId="228"/>
    <tableColumn id="28" name="S. Damage" dataDxfId="227"/>
    <tableColumn id="25" name="S. Ammo" dataDxfId="226"/>
    <tableColumn id="26" name="S. Range" dataDxfId="225"/>
    <tableColumn id="29" name="S. Cost" dataDxfId="224"/>
    <tableColumn id="27" name="SoundShoot" dataDxfId="223"/>
    <tableColumn id="30" name="SoundInteract" dataDxfId="22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201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200">
      <calculatedColumnFormula>SUM(Table1681011[[#This Row],[DPS]]*Table1681011[[#This Row],[Avg Accuracy]])</calculatedColumnFormula>
    </tableColumn>
    <tableColumn id="15" name="DPS" dataDxfId="199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98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96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194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193">
      <calculatedColumnFormula>SUM(Table1681015[[#This Row],[DPS]]*Table1681015[[#This Row],[Avg Accuracy]])</calculatedColumnFormula>
    </tableColumn>
    <tableColumn id="15" name="DPS" dataDxfId="192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91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170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169">
      <calculatedColumnFormula>SUM(Table168101112[[#This Row],[DPS]]*Table168101112[[#This Row],[Avg Accuracy]])</calculatedColumnFormula>
    </tableColumn>
    <tableColumn id="15" name="DPS" dataDxfId="168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67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A27" sqref="A27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368</v>
      </c>
      <c r="Y4" s="43" t="s">
        <v>367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362</v>
      </c>
      <c r="Y5" s="43" t="s">
        <v>361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362</v>
      </c>
      <c r="Y6" s="43" t="s">
        <v>361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364</v>
      </c>
      <c r="Y7" s="43" t="s">
        <v>363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366</v>
      </c>
      <c r="Y8" s="43" t="s">
        <v>365</v>
      </c>
    </row>
    <row r="9" spans="1:25">
      <c r="A9" s="55" t="s">
        <v>206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369</v>
      </c>
      <c r="Y9" s="43" t="s">
        <v>367</v>
      </c>
    </row>
    <row r="10" spans="1:25">
      <c r="A10" s="49" t="s">
        <v>215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369</v>
      </c>
      <c r="Y10" s="43" t="s">
        <v>367</v>
      </c>
    </row>
    <row r="11" spans="1:25">
      <c r="A11" s="59" t="s">
        <v>214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369</v>
      </c>
      <c r="Y11" s="43" t="s">
        <v>367</v>
      </c>
    </row>
    <row r="12" spans="1:25">
      <c r="A12" s="49" t="s">
        <v>216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369</v>
      </c>
      <c r="Y12" s="43" t="s">
        <v>367</v>
      </c>
    </row>
    <row r="13" spans="1:25">
      <c r="A13" s="49" t="s">
        <v>217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369</v>
      </c>
      <c r="Y13" s="43" t="s">
        <v>367</v>
      </c>
    </row>
    <row r="14" spans="1:25" s="4" customFormat="1">
      <c r="A14" s="49" t="s">
        <v>218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369</v>
      </c>
      <c r="Y14" s="43" t="s">
        <v>367</v>
      </c>
    </row>
    <row r="15" spans="1:25">
      <c r="A15" s="30" t="s">
        <v>219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369</v>
      </c>
      <c r="Y15" s="43" t="s">
        <v>367</v>
      </c>
    </row>
    <row r="16" spans="1:25">
      <c r="A16" s="49" t="s">
        <v>220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369</v>
      </c>
      <c r="Y16" s="43" t="s">
        <v>367</v>
      </c>
    </row>
    <row r="17" spans="1:25">
      <c r="A17" s="49" t="s">
        <v>221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369</v>
      </c>
      <c r="Y17" s="43" t="s">
        <v>367</v>
      </c>
    </row>
    <row r="18" spans="1:25">
      <c r="A18" s="49" t="s">
        <v>222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369</v>
      </c>
      <c r="Y18" s="43" t="s">
        <v>367</v>
      </c>
    </row>
    <row r="19" spans="1:25">
      <c r="A19" s="49" t="s">
        <v>224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368</v>
      </c>
      <c r="Y19" s="43" t="s">
        <v>365</v>
      </c>
    </row>
    <row r="20" spans="1:25">
      <c r="A20" s="49" t="s">
        <v>223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368</v>
      </c>
      <c r="Y20" s="43" t="s">
        <v>365</v>
      </c>
    </row>
    <row r="21" spans="1:25">
      <c r="A21" s="49" t="s">
        <v>235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369</v>
      </c>
      <c r="Y21" s="43" t="s">
        <v>367</v>
      </c>
    </row>
    <row r="22" spans="1:25">
      <c r="A22" t="s">
        <v>274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/>
      <c r="Y22" s="43"/>
    </row>
    <row r="23" spans="1:25">
      <c r="A23" t="s">
        <v>270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/>
      <c r="Y23" s="43"/>
    </row>
    <row r="24" spans="1:25">
      <c r="A24" s="1" t="s">
        <v>276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/>
      <c r="Y24" s="43"/>
    </row>
    <row r="25" spans="1:25">
      <c r="A25" s="7" t="s">
        <v>275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/>
      <c r="Y25" s="43"/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/>
      <c r="B27" s="4"/>
      <c r="C27" s="2" t="e">
        <f>SUM(((Table1689[[#This Row],[Avg DPS]]*(Table1689[[#This Row],[Range]]))+(Table1689[[#This Row],[Avg DPS]]*(Table1689[[#This Row],[Arm Pen (%)]]/4)))/100)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  <c r="W27" t="e">
        <f>Table1689[[#This Row],[Balance]]*$W$2</f>
        <v>#DIV/0!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93" priority="17" operator="greaterThan">
      <formula>1.259</formula>
    </cfRule>
  </conditionalFormatting>
  <conditionalFormatting sqref="O1:O1048576">
    <cfRule type="cellIs" dxfId="392" priority="16" operator="equal">
      <formula>0</formula>
    </cfRule>
  </conditionalFormatting>
  <conditionalFormatting sqref="G4:G500">
    <cfRule type="cellIs" dxfId="391" priority="4" stopIfTrue="1" operator="between">
      <formula>0.47</formula>
      <formula>0.01</formula>
    </cfRule>
    <cfRule type="cellIs" dxfId="390" priority="5" stopIfTrue="1" operator="between">
      <formula>0.5</formula>
      <formula>0.01</formula>
    </cfRule>
    <cfRule type="cellIs" dxfId="389" priority="6" operator="between">
      <formula>0.52</formula>
      <formula>0.01</formula>
    </cfRule>
    <cfRule type="cellIs" dxfId="388" priority="10" stopIfTrue="1" operator="greaterThanOrEqual">
      <formula>0.63</formula>
    </cfRule>
    <cfRule type="cellIs" dxfId="387" priority="11" stopIfTrue="1" operator="greaterThanOrEqual">
      <formula>0.6</formula>
    </cfRule>
    <cfRule type="cellIs" dxfId="386" priority="12" operator="greaterThanOrEqual">
      <formula>0.57</formula>
    </cfRule>
  </conditionalFormatting>
  <conditionalFormatting sqref="F4:F500">
    <cfRule type="cellIs" dxfId="385" priority="9" operator="between">
      <formula>24.5</formula>
      <formula>0.01</formula>
    </cfRule>
  </conditionalFormatting>
  <conditionalFormatting sqref="F3:F500">
    <cfRule type="cellIs" dxfId="384" priority="7" stopIfTrue="1" operator="between">
      <formula>22.5</formula>
      <formula>0.01</formula>
    </cfRule>
    <cfRule type="cellIs" dxfId="383" priority="8" stopIfTrue="1" operator="between">
      <formula>23.5</formula>
      <formula>0.01</formula>
    </cfRule>
  </conditionalFormatting>
  <conditionalFormatting sqref="E4:E500">
    <cfRule type="cellIs" dxfId="382" priority="1" stopIfTrue="1" operator="between">
      <formula>6.69</formula>
      <formula>0.01</formula>
    </cfRule>
    <cfRule type="cellIs" dxfId="381" priority="2" stopIfTrue="1" operator="between">
      <formula>6.99</formula>
      <formula>0.01</formula>
    </cfRule>
    <cfRule type="cellIs" dxfId="380" priority="3" operator="between">
      <formula>7.32</formula>
      <formula>0.01</formula>
    </cfRule>
    <cfRule type="cellIs" dxfId="379" priority="13" stopIfTrue="1" operator="greaterThanOrEqual">
      <formula>8.84</formula>
    </cfRule>
    <cfRule type="cellIs" dxfId="378" priority="14" stopIfTrue="1" operator="greaterThanOrEqual">
      <formula>8.46</formula>
    </cfRule>
    <cfRule type="cellIs" dxfId="377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J33" sqref="J33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/>
      <c r="H1" s="1"/>
      <c r="V1" s="35" t="s">
        <v>439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241</v>
      </c>
      <c r="Y3" t="s">
        <v>240</v>
      </c>
      <c r="Z3" t="s">
        <v>247</v>
      </c>
      <c r="AA3" s="17" t="s">
        <v>359</v>
      </c>
      <c r="AB3" s="17" t="s">
        <v>356</v>
      </c>
    </row>
    <row r="4" spans="1:28">
      <c r="A4" s="4"/>
      <c r="B4" s="12"/>
      <c r="C4" s="2" t="e">
        <f>SUM(((Table1681011124[[#This Row],[Avg DPS]]*(Table1681011124[[#This Row],[Range]]))+(Table1681011124[[#This Row],[Avg DPS]]*(Table1681011124[[#This Row],[Arm Pen (%)]]/4)))/100)</f>
        <v>#DIV/0!</v>
      </c>
      <c r="D4" s="3" t="e">
        <f>SUM(Table1681011124[[#This Row],[DPS]]*Table1681011124[[#This Row],[Avg Accuracy]])</f>
        <v>#DIV/0!</v>
      </c>
      <c r="E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4" s="2"/>
      <c r="O4" s="2"/>
      <c r="Y4" s="46"/>
    </row>
    <row r="5" spans="1:28">
      <c r="A5" s="4"/>
      <c r="B5" s="12"/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/>
      <c r="O5" s="2"/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ref="O6:O11" si="0">60/N6</f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65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45"/>
  <sheetViews>
    <sheetView workbookViewId="0">
      <selection activeCell="I32" sqref="I32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249</v>
      </c>
      <c r="H1" s="1" t="s">
        <v>245</v>
      </c>
      <c r="J1" t="s">
        <v>246</v>
      </c>
      <c r="M1" t="s">
        <v>248</v>
      </c>
      <c r="S1" t="s">
        <v>250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296</v>
      </c>
      <c r="U3" t="s">
        <v>72</v>
      </c>
      <c r="V3" t="s">
        <v>73</v>
      </c>
      <c r="W3" t="s">
        <v>300</v>
      </c>
      <c r="X3" s="35" t="s">
        <v>306</v>
      </c>
      <c r="Y3" t="s">
        <v>309</v>
      </c>
      <c r="Z3" t="s">
        <v>301</v>
      </c>
      <c r="AA3" t="s">
        <v>310</v>
      </c>
      <c r="AB3" t="s">
        <v>292</v>
      </c>
      <c r="AC3" t="s">
        <v>240</v>
      </c>
      <c r="AD3" t="s">
        <v>294</v>
      </c>
      <c r="AE3" t="s">
        <v>297</v>
      </c>
      <c r="AF3" t="s">
        <v>247</v>
      </c>
      <c r="AG3" s="17" t="s">
        <v>359</v>
      </c>
      <c r="AH3" s="17" t="s">
        <v>356</v>
      </c>
    </row>
    <row r="4" spans="1:34">
      <c r="A4" t="s">
        <v>317</v>
      </c>
      <c r="B4" s="35" t="s">
        <v>290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307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332</v>
      </c>
      <c r="AD4" s="46" t="s">
        <v>87</v>
      </c>
      <c r="AE4" s="46">
        <v>0</v>
      </c>
      <c r="AF4" t="s">
        <v>450</v>
      </c>
    </row>
    <row r="5" spans="1:34">
      <c r="A5" t="s">
        <v>318</v>
      </c>
      <c r="B5" s="35" t="s">
        <v>290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308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333</v>
      </c>
      <c r="AD5" s="46" t="s">
        <v>87</v>
      </c>
      <c r="AE5" s="46">
        <v>0</v>
      </c>
      <c r="AF5" t="s">
        <v>450</v>
      </c>
    </row>
    <row r="6" spans="1:34">
      <c r="A6" s="14" t="s">
        <v>315</v>
      </c>
      <c r="B6" s="12" t="s">
        <v>290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307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327</v>
      </c>
      <c r="AD6" s="46" t="s">
        <v>86</v>
      </c>
      <c r="AE6" s="46">
        <v>0</v>
      </c>
      <c r="AF6" t="s">
        <v>450</v>
      </c>
      <c r="AG6" t="s">
        <v>435</v>
      </c>
    </row>
    <row r="7" spans="1:34">
      <c r="A7" s="14" t="s">
        <v>316</v>
      </c>
      <c r="B7" s="12" t="s">
        <v>290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307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325</v>
      </c>
      <c r="AD7" s="46" t="s">
        <v>86</v>
      </c>
      <c r="AE7" s="46">
        <v>0</v>
      </c>
      <c r="AF7" t="s">
        <v>450</v>
      </c>
      <c r="AG7" t="s">
        <v>434</v>
      </c>
    </row>
    <row r="8" spans="1:34">
      <c r="A8" s="4" t="s">
        <v>302</v>
      </c>
      <c r="B8" s="12" t="s">
        <v>290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307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326</v>
      </c>
      <c r="AD8" s="46" t="s">
        <v>86</v>
      </c>
      <c r="AE8" s="46">
        <v>0</v>
      </c>
      <c r="AF8" t="s">
        <v>450</v>
      </c>
    </row>
    <row r="9" spans="1:34">
      <c r="A9" t="s">
        <v>304</v>
      </c>
      <c r="B9" s="35" t="s">
        <v>290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307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331</v>
      </c>
      <c r="AD9" s="46" t="s">
        <v>87</v>
      </c>
      <c r="AE9" s="46">
        <v>-150</v>
      </c>
      <c r="AF9" t="s">
        <v>451</v>
      </c>
    </row>
    <row r="10" spans="1:34" s="53" customFormat="1">
      <c r="A10" s="7" t="s">
        <v>303</v>
      </c>
      <c r="B10" s="35" t="s">
        <v>290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307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305</v>
      </c>
      <c r="AD10" s="54" t="s">
        <v>87</v>
      </c>
      <c r="AE10" s="54">
        <v>-200</v>
      </c>
      <c r="AF10" t="s">
        <v>451</v>
      </c>
    </row>
    <row r="11" spans="1:34">
      <c r="A11" s="1" t="s">
        <v>319</v>
      </c>
      <c r="B11" s="35" t="s">
        <v>290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307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329</v>
      </c>
      <c r="AD11" s="46" t="s">
        <v>87</v>
      </c>
      <c r="AE11" s="46">
        <v>-100</v>
      </c>
      <c r="AF11" t="s">
        <v>451</v>
      </c>
      <c r="AG11" t="s">
        <v>435</v>
      </c>
    </row>
    <row r="12" spans="1:34">
      <c r="A12" s="14" t="s">
        <v>320</v>
      </c>
      <c r="B12" s="12" t="s">
        <v>290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307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328</v>
      </c>
      <c r="AD12" s="46" t="s">
        <v>87</v>
      </c>
      <c r="AE12" s="46">
        <v>-100</v>
      </c>
      <c r="AF12" t="s">
        <v>451</v>
      </c>
      <c r="AG12" t="s">
        <v>435</v>
      </c>
    </row>
    <row r="13" spans="1:34">
      <c r="A13" t="s">
        <v>312</v>
      </c>
      <c r="B13" s="35" t="s">
        <v>290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307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314</v>
      </c>
      <c r="AD13" s="46" t="s">
        <v>86</v>
      </c>
      <c r="AE13" s="46">
        <v>0</v>
      </c>
      <c r="AF13" t="s">
        <v>450</v>
      </c>
      <c r="AG13" s="4"/>
      <c r="AH13" s="4"/>
    </row>
    <row r="14" spans="1:34">
      <c r="A14" s="7" t="s">
        <v>324</v>
      </c>
      <c r="B14" s="35" t="s">
        <v>290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307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313</v>
      </c>
      <c r="AD14" s="46" t="s">
        <v>86</v>
      </c>
      <c r="AE14" s="46">
        <v>0</v>
      </c>
      <c r="AF14" t="s">
        <v>450</v>
      </c>
    </row>
    <row r="15" spans="1:34">
      <c r="A15" t="s">
        <v>321</v>
      </c>
      <c r="B15" s="35" t="s">
        <v>290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307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330</v>
      </c>
      <c r="AD15" s="46" t="s">
        <v>87</v>
      </c>
      <c r="AE15" s="46">
        <v>-200</v>
      </c>
      <c r="AF15" t="s">
        <v>451</v>
      </c>
      <c r="AG15" t="s">
        <v>436</v>
      </c>
    </row>
    <row r="16" spans="1:34" s="4" customFormat="1">
      <c r="A16" t="s">
        <v>322</v>
      </c>
      <c r="B16" s="35" t="s">
        <v>290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323</v>
      </c>
      <c r="AD16" s="46" t="s">
        <v>86</v>
      </c>
      <c r="AE16" s="46">
        <v>-200</v>
      </c>
      <c r="AF16" t="s">
        <v>451</v>
      </c>
      <c r="AG16"/>
      <c r="AH16"/>
    </row>
    <row r="17" spans="1:32">
      <c r="A17" t="s">
        <v>339</v>
      </c>
      <c r="B17" s="35" t="s">
        <v>290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340</v>
      </c>
      <c r="AD17" s="46" t="s">
        <v>86</v>
      </c>
      <c r="AE17" s="46">
        <v>0</v>
      </c>
      <c r="AF17" t="s">
        <v>451</v>
      </c>
    </row>
    <row r="18" spans="1:32">
      <c r="A18" t="s">
        <v>338</v>
      </c>
      <c r="B18" s="35" t="s">
        <v>290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340</v>
      </c>
      <c r="AD18" s="46" t="s">
        <v>86</v>
      </c>
      <c r="AE18" s="46">
        <v>0</v>
      </c>
      <c r="AF18" t="s">
        <v>451</v>
      </c>
    </row>
    <row r="19" spans="1:32" s="72" customFormat="1">
      <c r="A19" s="72" t="s">
        <v>293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307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295</v>
      </c>
      <c r="AD19" s="81" t="s">
        <v>87</v>
      </c>
      <c r="AE19" s="81">
        <v>-150</v>
      </c>
      <c r="AF19" s="72" t="s">
        <v>451</v>
      </c>
    </row>
    <row r="20" spans="1:32" s="72" customFormat="1">
      <c r="A20" s="72" t="s">
        <v>291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307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311</v>
      </c>
      <c r="AD20" s="81" t="s">
        <v>86</v>
      </c>
      <c r="AE20" s="81">
        <v>-80</v>
      </c>
      <c r="AF20" s="72" t="s">
        <v>451</v>
      </c>
    </row>
    <row r="21" spans="1:32" s="72" customFormat="1">
      <c r="A21" s="72" t="s">
        <v>298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334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299</v>
      </c>
      <c r="AD21" s="81" t="s">
        <v>87</v>
      </c>
      <c r="AE21" s="81">
        <v>-150</v>
      </c>
      <c r="AF21" s="72" t="s">
        <v>451</v>
      </c>
    </row>
    <row r="22" spans="1:32">
      <c r="A22" t="s">
        <v>440</v>
      </c>
      <c r="B22" s="35" t="s">
        <v>290</v>
      </c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2" s="7">
        <v>46.9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H22">
        <v>43</v>
      </c>
      <c r="O22" s="2" t="e">
        <f t="shared" ref="O22:O45" si="0">60/N22</f>
        <v>#DIV/0!</v>
      </c>
      <c r="AC22" s="46"/>
      <c r="AD22" s="46"/>
      <c r="AE22" s="46"/>
      <c r="AF22" t="s">
        <v>450</v>
      </c>
    </row>
    <row r="23" spans="1:32">
      <c r="A23" t="s">
        <v>441</v>
      </c>
      <c r="B23" s="35" t="s">
        <v>290</v>
      </c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3" s="7">
        <v>46.9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H23">
        <v>41</v>
      </c>
      <c r="O23" s="2" t="e">
        <f t="shared" si="0"/>
        <v>#DIV/0!</v>
      </c>
      <c r="AD23" s="46"/>
      <c r="AE23" s="46"/>
      <c r="AF23" t="s">
        <v>450</v>
      </c>
    </row>
    <row r="24" spans="1:32">
      <c r="A24" t="s">
        <v>442</v>
      </c>
      <c r="B24" s="35" t="s">
        <v>290</v>
      </c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4">
        <v>48.9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H24">
        <v>50</v>
      </c>
      <c r="O24" s="2" t="e">
        <f t="shared" si="0"/>
        <v>#DIV/0!</v>
      </c>
      <c r="AD24" s="46"/>
      <c r="AE24" s="46"/>
      <c r="AF24" t="s">
        <v>450</v>
      </c>
    </row>
    <row r="25" spans="1:32">
      <c r="A25" t="s">
        <v>443</v>
      </c>
      <c r="B25" s="35" t="s">
        <v>290</v>
      </c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5">
        <v>49.9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H25">
        <v>52</v>
      </c>
      <c r="O25" s="2" t="e">
        <f t="shared" si="0"/>
        <v>#DIV/0!</v>
      </c>
      <c r="AD25" s="46"/>
      <c r="AE25" s="46"/>
      <c r="AF25" t="s">
        <v>450</v>
      </c>
    </row>
    <row r="26" spans="1:32">
      <c r="A26" s="7" t="s">
        <v>444</v>
      </c>
      <c r="B26" s="35" t="s">
        <v>290</v>
      </c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>
        <v>50.9</v>
      </c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>
        <v>54</v>
      </c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t="s">
        <v>450</v>
      </c>
    </row>
    <row r="27" spans="1:32">
      <c r="A27" t="s">
        <v>445</v>
      </c>
      <c r="B27" s="35" t="s">
        <v>290</v>
      </c>
      <c r="C27" s="2" t="e">
        <f>SUM(((Table16810111245[[#This Row],[Avg DPS]]*(Table16810111245[[#This Row],[Range]]))+(Table16810111245[[#This Row],[Avg DPS]]*(Table16810111245[[#This Row],[Arm Pen (%)]]/4)))/100)</f>
        <v>#DIV/0!</v>
      </c>
      <c r="D27" s="3" t="e">
        <f>SUM(Table16810111245[[#This Row],[DPS]]*Table16810111245[[#This Row],[Avg Accuracy]])</f>
        <v>#DIV/0!</v>
      </c>
      <c r="E2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>
        <v>51.9</v>
      </c>
      <c r="G27" s="2">
        <f>SUM((Table16810111245[[#This Row],[Accuracy (Close)]]+Table16810111245[[#This Row],[Accuracy (Short)]]+Table16810111245[[#This Row],[Accuracy (Medium)]]+Table16810111245[[#This Row],[Accuracy (Long)]])/4)</f>
        <v>0</v>
      </c>
      <c r="H27">
        <v>57</v>
      </c>
      <c r="O27" s="2" t="e">
        <f t="shared" si="0"/>
        <v>#DIV/0!</v>
      </c>
      <c r="AD27" s="46"/>
      <c r="AE27" s="46"/>
      <c r="AF27" t="s">
        <v>450</v>
      </c>
    </row>
    <row r="28" spans="1:32">
      <c r="A28" t="s">
        <v>446</v>
      </c>
      <c r="B28" s="35" t="s">
        <v>290</v>
      </c>
      <c r="C28" s="2" t="e">
        <f>SUM(((Table16810111245[[#This Row],[Avg DPS]]*(Table16810111245[[#This Row],[Range]]))+(Table16810111245[[#This Row],[Avg DPS]]*(Table16810111245[[#This Row],[Arm Pen (%)]]/4)))/100)</f>
        <v>#DIV/0!</v>
      </c>
      <c r="D28" s="3" t="e">
        <f>SUM(Table16810111245[[#This Row],[DPS]]*Table16810111245[[#This Row],[Avg Accuracy]])</f>
        <v>#DIV/0!</v>
      </c>
      <c r="E2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8">
        <v>53.9</v>
      </c>
      <c r="G28" s="2">
        <f>SUM((Table16810111245[[#This Row],[Accuracy (Close)]]+Table16810111245[[#This Row],[Accuracy (Short)]]+Table16810111245[[#This Row],[Accuracy (Medium)]]+Table16810111245[[#This Row],[Accuracy (Long)]])/4)</f>
        <v>0</v>
      </c>
      <c r="H28">
        <v>60</v>
      </c>
      <c r="O28" s="2" t="e">
        <f t="shared" si="0"/>
        <v>#DIV/0!</v>
      </c>
      <c r="AD28" s="46"/>
      <c r="AE28" s="46"/>
      <c r="AF28" t="s">
        <v>450</v>
      </c>
    </row>
    <row r="29" spans="1:32">
      <c r="A29" t="s">
        <v>447</v>
      </c>
      <c r="B29" s="35" t="s">
        <v>290</v>
      </c>
      <c r="C29" s="2" t="e">
        <f>SUM(((Table16810111245[[#This Row],[Avg DPS]]*(Table16810111245[[#This Row],[Range]]))+(Table16810111245[[#This Row],[Avg DPS]]*(Table16810111245[[#This Row],[Arm Pen (%)]]/4)))/100)</f>
        <v>#DIV/0!</v>
      </c>
      <c r="D29" s="3" t="e">
        <f>SUM(Table16810111245[[#This Row],[DPS]]*Table16810111245[[#This Row],[Avg Accuracy]])</f>
        <v>#DIV/0!</v>
      </c>
      <c r="E2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9">
        <v>54.9</v>
      </c>
      <c r="G29" s="2">
        <f>SUM((Table16810111245[[#This Row],[Accuracy (Close)]]+Table16810111245[[#This Row],[Accuracy (Short)]]+Table16810111245[[#This Row],[Accuracy (Medium)]]+Table16810111245[[#This Row],[Accuracy (Long)]])/4)</f>
        <v>0</v>
      </c>
      <c r="H29">
        <v>70</v>
      </c>
      <c r="O29" s="2" t="e">
        <f t="shared" si="0"/>
        <v>#DIV/0!</v>
      </c>
      <c r="AD29" s="46"/>
      <c r="AE29" s="46"/>
      <c r="AF29" t="s">
        <v>450</v>
      </c>
    </row>
    <row r="30" spans="1:32">
      <c r="A30" t="s">
        <v>448</v>
      </c>
      <c r="B30" s="35" t="s">
        <v>290</v>
      </c>
      <c r="C30" s="2" t="e">
        <f>SUM(((Table16810111245[[#This Row],[Avg DPS]]*(Table16810111245[[#This Row],[Range]]))+(Table16810111245[[#This Row],[Avg DPS]]*(Table16810111245[[#This Row],[Arm Pen (%)]]/4)))/100)</f>
        <v>#DIV/0!</v>
      </c>
      <c r="D30" s="3" t="e">
        <f>SUM(Table16810111245[[#This Row],[DPS]]*Table16810111245[[#This Row],[Avg Accuracy]])</f>
        <v>#DIV/0!</v>
      </c>
      <c r="E3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0">
        <v>45.9</v>
      </c>
      <c r="G30" s="2">
        <f>SUM((Table16810111245[[#This Row],[Accuracy (Close)]]+Table16810111245[[#This Row],[Accuracy (Short)]]+Table16810111245[[#This Row],[Accuracy (Medium)]]+Table16810111245[[#This Row],[Accuracy (Long)]])/4)</f>
        <v>0</v>
      </c>
      <c r="H30">
        <v>40</v>
      </c>
      <c r="O30" s="2" t="e">
        <f t="shared" si="0"/>
        <v>#DIV/0!</v>
      </c>
      <c r="AD30" s="46"/>
      <c r="AE30" s="46"/>
      <c r="AF30" t="s">
        <v>450</v>
      </c>
    </row>
    <row r="31" spans="1:32">
      <c r="A31" t="s">
        <v>449</v>
      </c>
      <c r="B31" s="35" t="s">
        <v>290</v>
      </c>
      <c r="C31" s="2" t="e">
        <f>SUM(((Table16810111245[[#This Row],[Avg DPS]]*(Table16810111245[[#This Row],[Range]]))+(Table16810111245[[#This Row],[Avg DPS]]*(Table16810111245[[#This Row],[Arm Pen (%)]]/4)))/100)</f>
        <v>#DIV/0!</v>
      </c>
      <c r="D31" s="3" t="e">
        <f>SUM(Table16810111245[[#This Row],[DPS]]*Table16810111245[[#This Row],[Avg Accuracy]])</f>
        <v>#DIV/0!</v>
      </c>
      <c r="E3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1">
        <v>41.9</v>
      </c>
      <c r="G31" s="2">
        <f>SUM((Table16810111245[[#This Row],[Accuracy (Close)]]+Table16810111245[[#This Row],[Accuracy (Short)]]+Table16810111245[[#This Row],[Accuracy (Medium)]]+Table16810111245[[#This Row],[Accuracy (Long)]])/4)</f>
        <v>0</v>
      </c>
      <c r="H31">
        <v>40</v>
      </c>
      <c r="O31" s="2" t="e">
        <f t="shared" si="0"/>
        <v>#DIV/0!</v>
      </c>
      <c r="AD31" s="46"/>
      <c r="AE31" s="46"/>
      <c r="AF31" t="s">
        <v>450</v>
      </c>
    </row>
    <row r="32" spans="1:32">
      <c r="A32" t="s">
        <v>452</v>
      </c>
      <c r="B32" s="35"/>
      <c r="C32" s="2" t="e">
        <f>SUM(((Table16810111245[[#This Row],[Avg DPS]]*(Table16810111245[[#This Row],[Range]]))+(Table16810111245[[#This Row],[Avg DPS]]*(Table16810111245[[#This Row],[Arm Pen (%)]]/4)))/100)</f>
        <v>#DIV/0!</v>
      </c>
      <c r="D32" s="3" t="e">
        <f>SUM(Table16810111245[[#This Row],[DPS]]*Table16810111245[[#This Row],[Avg Accuracy]])</f>
        <v>#DIV/0!</v>
      </c>
      <c r="E3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2">
        <v>45.9</v>
      </c>
      <c r="G32" s="2">
        <f>SUM((Table16810111245[[#This Row],[Accuracy (Close)]]+Table16810111245[[#This Row],[Accuracy (Short)]]+Table16810111245[[#This Row],[Accuracy (Medium)]]+Table16810111245[[#This Row],[Accuracy (Long)]])/4)</f>
        <v>0</v>
      </c>
      <c r="H32">
        <v>43</v>
      </c>
      <c r="O32" s="2" t="e">
        <f t="shared" si="0"/>
        <v>#DIV/0!</v>
      </c>
      <c r="AD32" s="46"/>
      <c r="AE32" s="46"/>
      <c r="AF32" t="s">
        <v>451</v>
      </c>
    </row>
    <row r="33" spans="1:34">
      <c r="A33" t="s">
        <v>453</v>
      </c>
      <c r="B33" s="35"/>
      <c r="C33" s="2" t="e">
        <f>SUM(((Table16810111245[[#This Row],[Avg DPS]]*(Table16810111245[[#This Row],[Range]]))+(Table16810111245[[#This Row],[Avg DPS]]*(Table16810111245[[#This Row],[Arm Pen (%)]]/4)))/100)</f>
        <v>#DIV/0!</v>
      </c>
      <c r="D33" s="3" t="e">
        <f>SUM(Table16810111245[[#This Row],[DPS]]*Table16810111245[[#This Row],[Avg Accuracy]])</f>
        <v>#DIV/0!</v>
      </c>
      <c r="E3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3">
        <v>47.9</v>
      </c>
      <c r="G33" s="2">
        <f>SUM((Table16810111245[[#This Row],[Accuracy (Close)]]+Table16810111245[[#This Row],[Accuracy (Short)]]+Table16810111245[[#This Row],[Accuracy (Medium)]]+Table16810111245[[#This Row],[Accuracy (Long)]])/4)</f>
        <v>0</v>
      </c>
      <c r="H33">
        <v>50</v>
      </c>
      <c r="O33" s="2" t="e">
        <f t="shared" si="0"/>
        <v>#DIV/0!</v>
      </c>
      <c r="AD33" s="46"/>
      <c r="AE33" s="46"/>
      <c r="AF33" t="s">
        <v>451</v>
      </c>
    </row>
    <row r="34" spans="1:34">
      <c r="A34" t="s">
        <v>454</v>
      </c>
      <c r="B34" s="35"/>
      <c r="C34" s="2" t="e">
        <f>SUM(((Table16810111245[[#This Row],[Avg DPS]]*(Table16810111245[[#This Row],[Range]]))+(Table16810111245[[#This Row],[Avg DPS]]*(Table16810111245[[#This Row],[Arm Pen (%)]]/4)))/100)</f>
        <v>#DIV/0!</v>
      </c>
      <c r="D34" s="3" t="e">
        <f>SUM(Table16810111245[[#This Row],[DPS]]*Table16810111245[[#This Row],[Avg Accuracy]])</f>
        <v>#DIV/0!</v>
      </c>
      <c r="E3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4">
        <v>49.9</v>
      </c>
      <c r="G34" s="2">
        <f>SUM((Table16810111245[[#This Row],[Accuracy (Close)]]+Table16810111245[[#This Row],[Accuracy (Short)]]+Table16810111245[[#This Row],[Accuracy (Medium)]]+Table16810111245[[#This Row],[Accuracy (Long)]])/4)</f>
        <v>0</v>
      </c>
      <c r="H34">
        <v>54</v>
      </c>
      <c r="O34" s="2" t="e">
        <f t="shared" si="0"/>
        <v>#DIV/0!</v>
      </c>
      <c r="AD34" s="46"/>
      <c r="AE34" s="46"/>
    </row>
    <row r="35" spans="1:34">
      <c r="A35" t="s">
        <v>455</v>
      </c>
      <c r="B35" s="35"/>
      <c r="C35" s="2" t="e">
        <f>SUM(((Table16810111245[[#This Row],[Avg DPS]]*(Table16810111245[[#This Row],[Range]]))+(Table16810111245[[#This Row],[Avg DPS]]*(Table16810111245[[#This Row],[Arm Pen (%)]]/4)))/100)</f>
        <v>#DIV/0!</v>
      </c>
      <c r="D35" s="3" t="e">
        <f>SUM(Table16810111245[[#This Row],[DPS]]*Table16810111245[[#This Row],[Avg Accuracy]])</f>
        <v>#DIV/0!</v>
      </c>
      <c r="E3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5">
        <v>42.9</v>
      </c>
      <c r="G35" s="2">
        <f>SUM((Table16810111245[[#This Row],[Accuracy (Close)]]+Table16810111245[[#This Row],[Accuracy (Short)]]+Table16810111245[[#This Row],[Accuracy (Medium)]]+Table16810111245[[#This Row],[Accuracy (Long)]])/4)</f>
        <v>0</v>
      </c>
      <c r="H35">
        <v>40</v>
      </c>
      <c r="O35" s="2" t="e">
        <f t="shared" si="0"/>
        <v>#DIV/0!</v>
      </c>
      <c r="AD35" s="46"/>
      <c r="AE35" s="46"/>
    </row>
    <row r="36" spans="1:34">
      <c r="A36" t="s">
        <v>456</v>
      </c>
      <c r="B36" s="35"/>
      <c r="C36" s="2" t="e">
        <f>SUM(((Table16810111245[[#This Row],[Avg DPS]]*(Table16810111245[[#This Row],[Range]]))+(Table16810111245[[#This Row],[Avg DPS]]*(Table16810111245[[#This Row],[Arm Pen (%)]]/4)))/100)</f>
        <v>#DIV/0!</v>
      </c>
      <c r="D36" s="3" t="e">
        <f>SUM(Table16810111245[[#This Row],[DPS]]*Table16810111245[[#This Row],[Avg Accuracy]])</f>
        <v>#DIV/0!</v>
      </c>
      <c r="E3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6">
        <v>38.9</v>
      </c>
      <c r="G36" s="2">
        <f>SUM((Table16810111245[[#This Row],[Accuracy (Close)]]+Table16810111245[[#This Row],[Accuracy (Short)]]+Table16810111245[[#This Row],[Accuracy (Medium)]]+Table16810111245[[#This Row],[Accuracy (Long)]])/4)</f>
        <v>0</v>
      </c>
      <c r="H36">
        <v>40</v>
      </c>
      <c r="O36" s="2" t="e">
        <f t="shared" si="0"/>
        <v>#DIV/0!</v>
      </c>
      <c r="AD36" s="46"/>
      <c r="AE36" s="46"/>
    </row>
    <row r="37" spans="1:34">
      <c r="B37" s="35"/>
      <c r="C37" s="2" t="e">
        <f>SUM(((Table16810111245[[#This Row],[Avg DPS]]*(Table16810111245[[#This Row],[Range]]))+(Table16810111245[[#This Row],[Avg DPS]]*(Table16810111245[[#This Row],[Arm Pen (%)]]/4)))/100)</f>
        <v>#DIV/0!</v>
      </c>
      <c r="D37" s="3" t="e">
        <f>SUM(Table16810111245[[#This Row],[DPS]]*Table16810111245[[#This Row],[Avg Accuracy]])</f>
        <v>#DIV/0!</v>
      </c>
      <c r="E3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7" s="2">
        <f>SUM((Table16810111245[[#This Row],[Accuracy (Close)]]+Table16810111245[[#This Row],[Accuracy (Short)]]+Table16810111245[[#This Row],[Accuracy (Medium)]]+Table16810111245[[#This Row],[Accuracy (Long)]])/4)</f>
        <v>0</v>
      </c>
      <c r="O37" s="2" t="e">
        <f t="shared" si="0"/>
        <v>#DIV/0!</v>
      </c>
      <c r="AD37" s="46"/>
      <c r="AE37" s="46"/>
    </row>
    <row r="38" spans="1:34">
      <c r="B38" s="35"/>
      <c r="C38" s="2" t="e">
        <f>SUM(((Table16810111245[[#This Row],[Avg DPS]]*(Table16810111245[[#This Row],[Range]]))+(Table16810111245[[#This Row],[Avg DPS]]*(Table16810111245[[#This Row],[Arm Pen (%)]]/4)))/100)</f>
        <v>#DIV/0!</v>
      </c>
      <c r="D38" s="3" t="e">
        <f>SUM(Table16810111245[[#This Row],[DPS]]*Table16810111245[[#This Row],[Avg Accuracy]])</f>
        <v>#DIV/0!</v>
      </c>
      <c r="E3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8" s="2">
        <f>SUM((Table16810111245[[#This Row],[Accuracy (Close)]]+Table16810111245[[#This Row],[Accuracy (Short)]]+Table16810111245[[#This Row],[Accuracy (Medium)]]+Table16810111245[[#This Row],[Accuracy (Long)]])/4)</f>
        <v>0</v>
      </c>
      <c r="O38" s="2" t="e">
        <f t="shared" si="0"/>
        <v>#DIV/0!</v>
      </c>
      <c r="AD38" s="46"/>
      <c r="AE38" s="46"/>
    </row>
    <row r="39" spans="1:34">
      <c r="B39" s="35"/>
      <c r="C39" s="2" t="e">
        <f>SUM(((Table16810111245[[#This Row],[Avg DPS]]*(Table16810111245[[#This Row],[Range]]))+(Table16810111245[[#This Row],[Avg DPS]]*(Table16810111245[[#This Row],[Arm Pen (%)]]/4)))/100)</f>
        <v>#DIV/0!</v>
      </c>
      <c r="D39" s="3" t="e">
        <f>SUM(Table16810111245[[#This Row],[DPS]]*Table16810111245[[#This Row],[Avg Accuracy]])</f>
        <v>#DIV/0!</v>
      </c>
      <c r="E3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9" s="2">
        <f>SUM((Table16810111245[[#This Row],[Accuracy (Close)]]+Table16810111245[[#This Row],[Accuracy (Short)]]+Table16810111245[[#This Row],[Accuracy (Medium)]]+Table16810111245[[#This Row],[Accuracy (Long)]])/4)</f>
        <v>0</v>
      </c>
      <c r="O39" s="2" t="e">
        <f t="shared" si="0"/>
        <v>#DIV/0!</v>
      </c>
      <c r="AD39" s="46"/>
      <c r="AE39" s="46"/>
    </row>
    <row r="40" spans="1:34">
      <c r="B40" s="35"/>
      <c r="C40" s="2" t="e">
        <f>SUM(((Table16810111245[[#This Row],[Avg DPS]]*(Table16810111245[[#This Row],[Range]]))+(Table16810111245[[#This Row],[Avg DPS]]*(Table16810111245[[#This Row],[Arm Pen (%)]]/4)))/100)</f>
        <v>#DIV/0!</v>
      </c>
      <c r="D40" s="3" t="e">
        <f>SUM(Table16810111245[[#This Row],[DPS]]*Table16810111245[[#This Row],[Avg Accuracy]])</f>
        <v>#DIV/0!</v>
      </c>
      <c r="E4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0" s="2">
        <f>SUM((Table16810111245[[#This Row],[Accuracy (Close)]]+Table16810111245[[#This Row],[Accuracy (Short)]]+Table16810111245[[#This Row],[Accuracy (Medium)]]+Table16810111245[[#This Row],[Accuracy (Long)]])/4)</f>
        <v>0</v>
      </c>
      <c r="O40" s="2" t="e">
        <f t="shared" si="0"/>
        <v>#DIV/0!</v>
      </c>
      <c r="AD40" s="46"/>
      <c r="AE40" s="46"/>
    </row>
    <row r="41" spans="1:34">
      <c r="B41" s="35"/>
      <c r="C41" s="2" t="e">
        <f>SUM(((Table16810111245[[#This Row],[Avg DPS]]*(Table16810111245[[#This Row],[Range]]))+(Table16810111245[[#This Row],[Avg DPS]]*(Table16810111245[[#This Row],[Arm Pen (%)]]/4)))/100)</f>
        <v>#DIV/0!</v>
      </c>
      <c r="D41" s="3" t="e">
        <f>SUM(Table16810111245[[#This Row],[DPS]]*Table16810111245[[#This Row],[Avg Accuracy]])</f>
        <v>#DIV/0!</v>
      </c>
      <c r="E4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1" s="2">
        <f>SUM((Table16810111245[[#This Row],[Accuracy (Close)]]+Table16810111245[[#This Row],[Accuracy (Short)]]+Table16810111245[[#This Row],[Accuracy (Medium)]]+Table16810111245[[#This Row],[Accuracy (Long)]])/4)</f>
        <v>0</v>
      </c>
      <c r="O41" s="2" t="e">
        <f t="shared" si="0"/>
        <v>#DIV/0!</v>
      </c>
      <c r="AD41" s="46"/>
      <c r="AE41" s="46"/>
    </row>
    <row r="42" spans="1:34">
      <c r="B42" s="35"/>
      <c r="C42" s="2" t="e">
        <f>SUM(((Table16810111245[[#This Row],[Avg DPS]]*(Table16810111245[[#This Row],[Range]]))+(Table16810111245[[#This Row],[Avg DPS]]*(Table16810111245[[#This Row],[Arm Pen (%)]]/4)))/100)</f>
        <v>#DIV/0!</v>
      </c>
      <c r="D42" s="3" t="e">
        <f>SUM(Table16810111245[[#This Row],[DPS]]*Table16810111245[[#This Row],[Avg Accuracy]])</f>
        <v>#DIV/0!</v>
      </c>
      <c r="E4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2" s="2">
        <f>SUM((Table16810111245[[#This Row],[Accuracy (Close)]]+Table16810111245[[#This Row],[Accuracy (Short)]]+Table16810111245[[#This Row],[Accuracy (Medium)]]+Table16810111245[[#This Row],[Accuracy (Long)]])/4)</f>
        <v>0</v>
      </c>
      <c r="O42" s="2" t="e">
        <f t="shared" si="0"/>
        <v>#DIV/0!</v>
      </c>
      <c r="AD42" s="46"/>
      <c r="AE42" s="46"/>
    </row>
    <row r="43" spans="1:34">
      <c r="B43" s="35"/>
      <c r="C43" s="2" t="e">
        <f>SUM(((Table16810111245[[#This Row],[Avg DPS]]*(Table16810111245[[#This Row],[Range]]))+(Table16810111245[[#This Row],[Avg DPS]]*(Table16810111245[[#This Row],[Arm Pen (%)]]/4)))/100)</f>
        <v>#DIV/0!</v>
      </c>
      <c r="D43" s="3" t="e">
        <f>SUM(Table16810111245[[#This Row],[DPS]]*Table16810111245[[#This Row],[Avg Accuracy]])</f>
        <v>#DIV/0!</v>
      </c>
      <c r="E4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3" s="2">
        <f>SUM((Table16810111245[[#This Row],[Accuracy (Close)]]+Table16810111245[[#This Row],[Accuracy (Short)]]+Table16810111245[[#This Row],[Accuracy (Medium)]]+Table16810111245[[#This Row],[Accuracy (Long)]])/4)</f>
        <v>0</v>
      </c>
      <c r="O43" s="2" t="e">
        <f t="shared" si="0"/>
        <v>#DIV/0!</v>
      </c>
      <c r="AD43" s="46"/>
      <c r="AE43" s="46"/>
    </row>
    <row r="44" spans="1:34">
      <c r="B44" s="35"/>
      <c r="C44" s="2" t="e">
        <f>SUM(((Table16810111245[[#This Row],[Avg DPS]]*(Table16810111245[[#This Row],[Range]]))+(Table16810111245[[#This Row],[Avg DPS]]*(Table16810111245[[#This Row],[Arm Pen (%)]]/4)))/100)</f>
        <v>#DIV/0!</v>
      </c>
      <c r="D44" s="3" t="e">
        <f>SUM(Table16810111245[[#This Row],[DPS]]*Table16810111245[[#This Row],[Avg Accuracy]])</f>
        <v>#DIV/0!</v>
      </c>
      <c r="E4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4" s="2">
        <f>SUM((Table16810111245[[#This Row],[Accuracy (Close)]]+Table16810111245[[#This Row],[Accuracy (Short)]]+Table16810111245[[#This Row],[Accuracy (Medium)]]+Table16810111245[[#This Row],[Accuracy (Long)]])/4)</f>
        <v>0</v>
      </c>
      <c r="O44" s="2" t="e">
        <f t="shared" si="0"/>
        <v>#DIV/0!</v>
      </c>
      <c r="AD44" s="46"/>
      <c r="AE44" s="46"/>
    </row>
    <row r="45" spans="1:34">
      <c r="A45" s="7"/>
      <c r="B45" s="39"/>
      <c r="C45" s="8" t="e">
        <f>SUM(((Table16810111245[[#This Row],[Avg DPS]]*(Table16810111245[[#This Row],[Range]]))+(Table16810111245[[#This Row],[Avg DPS]]*(Table16810111245[[#This Row],[Arm Pen (%)]]/4)))/100)</f>
        <v>#DIV/0!</v>
      </c>
      <c r="D45" s="9" t="e">
        <f>SUM(Table16810111245[[#This Row],[DPS]]*Table16810111245[[#This Row],[Avg Accuracy]])</f>
        <v>#DIV/0!</v>
      </c>
      <c r="E45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45" s="7"/>
      <c r="G45" s="8">
        <f>SUM((Table16810111245[[#This Row],[Accuracy (Close)]]+Table16810111245[[#This Row],[Accuracy (Short)]]+Table16810111245[[#This Row],[Accuracy (Medium)]]+Table16810111245[[#This Row],[Accuracy (Long)]])/4)</f>
        <v>0</v>
      </c>
      <c r="H45" s="7"/>
      <c r="I45" s="7"/>
      <c r="J45" s="7"/>
      <c r="K45" s="7"/>
      <c r="L45" s="7"/>
      <c r="M45" s="7"/>
      <c r="N45" s="7"/>
      <c r="O45" s="8" t="e">
        <f t="shared" si="0"/>
        <v>#DIV/0!</v>
      </c>
      <c r="P45" s="7"/>
      <c r="Q45" s="7"/>
      <c r="R45" s="7"/>
      <c r="S45" s="7"/>
      <c r="T45" s="7"/>
      <c r="U45" s="7"/>
      <c r="V45" s="7"/>
      <c r="W45" s="7"/>
      <c r="X45" s="39"/>
      <c r="Y45" s="7"/>
      <c r="Z45" s="7"/>
      <c r="AA45" s="7"/>
      <c r="AB45" s="7"/>
      <c r="AC45" s="7"/>
      <c r="AD45" s="54"/>
      <c r="AE45" s="54"/>
      <c r="AF45" s="7"/>
      <c r="AG45" s="7"/>
      <c r="A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13" sqref="A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2">
        <v>0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404</v>
      </c>
      <c r="Y4" s="49" t="s">
        <v>403</v>
      </c>
    </row>
    <row r="5" spans="1:25">
      <c r="A5" s="59" t="s">
        <v>269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2">
        <v>0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404</v>
      </c>
      <c r="Y5" s="49" t="s">
        <v>403</v>
      </c>
    </row>
    <row r="6" spans="1:25">
      <c r="A6" s="49" t="s">
        <v>462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2">
        <v>0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404</v>
      </c>
      <c r="Y6" s="49" t="s">
        <v>403</v>
      </c>
    </row>
    <row r="7" spans="1:25">
      <c r="A7" s="59" t="s">
        <v>279</v>
      </c>
      <c r="B7" s="56">
        <v>4</v>
      </c>
      <c r="C7" s="57">
        <f>SUM(((Table16810111213[[#This Row],[Avg DPS]]*(Table16810111213[[#This Row],[Range]]))+(Table16810111213[[#This Row],[Avg DPS]]*(Table16810111213[[#This Row],[Arm Pen (%)]]/4)))/100)</f>
        <v>1.288278409090909</v>
      </c>
      <c r="D7" s="58">
        <f>SUM(Table16810111213[[#This Row],[DPS]]*Table16810111213[[#This Row],[Avg Accuracy]])</f>
        <v>6.2386363636363633</v>
      </c>
      <c r="E7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8.1818181818181817</v>
      </c>
      <c r="F7" s="49">
        <v>16.899999999999999</v>
      </c>
      <c r="G7" s="57">
        <f>SUM((Table16810111213[[#This Row],[Accuracy (Close)]]+Table16810111213[[#This Row],[Accuracy (Short)]]+Table16810111213[[#This Row],[Accuracy (Medium)]]+Table16810111213[[#This Row],[Accuracy (Long)]])/4)</f>
        <v>0.76249999999999996</v>
      </c>
      <c r="H7" s="49">
        <v>18</v>
      </c>
      <c r="I7" s="49">
        <v>3</v>
      </c>
      <c r="J7" s="49">
        <v>15</v>
      </c>
      <c r="K7" s="49">
        <v>1</v>
      </c>
      <c r="L7" s="49">
        <v>1.2</v>
      </c>
      <c r="M7" s="49">
        <v>1</v>
      </c>
      <c r="N7" s="49">
        <v>0</v>
      </c>
      <c r="O7" s="2">
        <v>0</v>
      </c>
      <c r="P7" s="49">
        <v>0.85</v>
      </c>
      <c r="Q7" s="49">
        <v>0.85</v>
      </c>
      <c r="R7" s="49">
        <v>0.74</v>
      </c>
      <c r="S7" s="49">
        <v>0.61</v>
      </c>
      <c r="T7" s="61">
        <v>55</v>
      </c>
      <c r="U7" s="62">
        <v>3.4</v>
      </c>
      <c r="V7" s="49" t="s">
        <v>86</v>
      </c>
      <c r="W7" s="47">
        <f>Table16810111213[[#This Row],[Balance]]*$W$1</f>
        <v>262.80879545454542</v>
      </c>
      <c r="X7" s="49"/>
      <c r="Y7" s="49"/>
    </row>
    <row r="8" spans="1:25">
      <c r="A8" s="49" t="s">
        <v>461</v>
      </c>
      <c r="B8" s="56">
        <v>4</v>
      </c>
      <c r="C8" s="57">
        <f>SUM(((Table16810111213[[#This Row],[Avg DPS]]*(Table16810111213[[#This Row],[Range]]))+(Table16810111213[[#This Row],[Avg DPS]]*(Table16810111213[[#This Row],[Arm Pen (%)]]/4)))/100)</f>
        <v>1.3370684210526318</v>
      </c>
      <c r="D8" s="58">
        <f>SUM(Table16810111213[[#This Row],[DPS]]*Table16810111213[[#This Row],[Avg Accuracy]])</f>
        <v>6.8921052631578954</v>
      </c>
      <c r="E8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9.4736842105263168</v>
      </c>
      <c r="F8" s="49">
        <v>14.9</v>
      </c>
      <c r="G8" s="57">
        <f>SUM((Table16810111213[[#This Row],[Accuracy (Close)]]+Table16810111213[[#This Row],[Accuracy (Short)]]+Table16810111213[[#This Row],[Accuracy (Medium)]]+Table16810111213[[#This Row],[Accuracy (Long)]])/4)</f>
        <v>0.72750000000000004</v>
      </c>
      <c r="H8" s="49">
        <v>18</v>
      </c>
      <c r="I8" s="49">
        <v>3</v>
      </c>
      <c r="J8" s="49">
        <v>18</v>
      </c>
      <c r="K8" s="49">
        <v>1</v>
      </c>
      <c r="L8" s="49">
        <v>1.05</v>
      </c>
      <c r="M8" s="49">
        <v>0.85</v>
      </c>
      <c r="N8" s="49">
        <v>0</v>
      </c>
      <c r="O8" s="2">
        <v>0</v>
      </c>
      <c r="P8" s="49">
        <v>0.78</v>
      </c>
      <c r="Q8" s="49">
        <v>0.82</v>
      </c>
      <c r="R8" s="49">
        <v>0.72</v>
      </c>
      <c r="S8" s="49">
        <v>0.59</v>
      </c>
      <c r="T8" s="61">
        <v>55</v>
      </c>
      <c r="U8" s="62">
        <v>3</v>
      </c>
      <c r="V8" s="49" t="s">
        <v>87</v>
      </c>
      <c r="W8" s="47">
        <f>Table16810111213[[#This Row],[Balance]]*$W$1</f>
        <v>272.7619578947369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0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U9" s="72">
        <v>3.4</v>
      </c>
      <c r="V9" s="75" t="s">
        <v>86</v>
      </c>
      <c r="W9" s="78">
        <v>255</v>
      </c>
    </row>
    <row r="10" spans="1:25">
      <c r="A10" s="56" t="s">
        <v>463</v>
      </c>
      <c r="B10" s="66">
        <v>4</v>
      </c>
      <c r="C10" s="57">
        <f>SUM(((Table16810111213[[#This Row],[Avg DPS]]*(Table16810111213[[#This Row],[Range]]))+(Table16810111213[[#This Row],[Avg DPS]]*(Table16810111213[[#This Row],[Arm Pen (%)]]/4)))/100)</f>
        <v>1.2523486486486486</v>
      </c>
      <c r="D10" s="58">
        <f>SUM(Table16810111213[[#This Row],[DPS]]*Table16810111213[[#This Row],[Avg Accuracy]])</f>
        <v>6.4554054054054051</v>
      </c>
      <c r="E10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9.1891891891891895</v>
      </c>
      <c r="F10" s="49">
        <v>15.9</v>
      </c>
      <c r="G10" s="57">
        <f>SUM((Table16810111213[[#This Row],[Accuracy (Close)]]+Table16810111213[[#This Row],[Accuracy (Short)]]+Table16810111213[[#This Row],[Accuracy (Medium)]]+Table16810111213[[#This Row],[Accuracy (Long)]])/4)</f>
        <v>0.7024999999999999</v>
      </c>
      <c r="H10" s="49">
        <v>17</v>
      </c>
      <c r="I10" s="49">
        <v>3</v>
      </c>
      <c r="J10" s="49">
        <v>14</v>
      </c>
      <c r="K10" s="49">
        <v>1</v>
      </c>
      <c r="L10" s="49">
        <v>1.1499999999999999</v>
      </c>
      <c r="M10" s="49">
        <v>0.7</v>
      </c>
      <c r="N10" s="49">
        <v>0</v>
      </c>
      <c r="O10" s="2">
        <v>0</v>
      </c>
      <c r="P10" s="49">
        <v>0.75</v>
      </c>
      <c r="Q10" s="49">
        <v>0.79</v>
      </c>
      <c r="R10" s="49">
        <v>0.72</v>
      </c>
      <c r="S10" s="49">
        <v>0.55000000000000004</v>
      </c>
      <c r="T10" s="41">
        <v>55</v>
      </c>
      <c r="U10" s="41">
        <v>4.0999999999999996</v>
      </c>
      <c r="V10" s="30" t="s">
        <v>87</v>
      </c>
      <c r="W10" s="47">
        <f>Table16810111213[[#This Row],[Balance]]*$W$1</f>
        <v>255.47912432432432</v>
      </c>
      <c r="X10" s="49"/>
      <c r="Y10" s="49"/>
    </row>
    <row r="11" spans="1:25">
      <c r="A11" s="56" t="s">
        <v>464</v>
      </c>
      <c r="B11" s="56">
        <v>4</v>
      </c>
      <c r="C11" s="57">
        <f>SUM(((Table16810111213[[#This Row],[Avg DPS]]*(Table16810111213[[#This Row],[Range]]))+(Table16810111213[[#This Row],[Avg DPS]]*(Table16810111213[[#This Row],[Arm Pen (%)]]/4)))/100)</f>
        <v>1.1338999999999999</v>
      </c>
      <c r="D11" s="58">
        <f>SUM(Table16810111213[[#This Row],[DPS]]*Table16810111213[[#This Row],[Avg Accuracy]])</f>
        <v>6.1624999999999996</v>
      </c>
      <c r="E11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8.5</v>
      </c>
      <c r="F11" s="49">
        <v>14.9</v>
      </c>
      <c r="G11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11" s="49">
        <v>17</v>
      </c>
      <c r="I11" s="49">
        <v>3</v>
      </c>
      <c r="J11" s="49">
        <v>14</v>
      </c>
      <c r="K11" s="49">
        <v>1</v>
      </c>
      <c r="L11" s="49">
        <v>1.2</v>
      </c>
      <c r="M11" s="49">
        <v>0.8</v>
      </c>
      <c r="N11" s="49">
        <v>0</v>
      </c>
      <c r="O11" s="2">
        <v>0</v>
      </c>
      <c r="P11" s="49">
        <v>0.75</v>
      </c>
      <c r="Q11" s="49">
        <v>0.8</v>
      </c>
      <c r="R11" s="49">
        <v>0.75</v>
      </c>
      <c r="S11" s="49">
        <v>0.6</v>
      </c>
      <c r="T11" s="49">
        <v>55</v>
      </c>
      <c r="U11" s="49">
        <v>2.7</v>
      </c>
      <c r="V11" s="49" t="s">
        <v>87</v>
      </c>
      <c r="W11" s="47">
        <f>Table16810111213[[#This Row],[Balance]]*$W$1</f>
        <v>231.31559999999999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ref="O12:O19" si="0">60/N12</f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50" priority="23" operator="greaterThan">
      <formula>1.259</formula>
    </cfRule>
  </conditionalFormatting>
  <conditionalFormatting sqref="E4:E500">
    <cfRule type="cellIs" dxfId="149" priority="20" stopIfTrue="1" operator="greaterThanOrEqual">
      <formula>9.63</formula>
    </cfRule>
    <cfRule type="cellIs" dxfId="148" priority="21" stopIfTrue="1" operator="greaterThanOrEqual">
      <formula>9.21</formula>
    </cfRule>
    <cfRule type="cellIs" dxfId="147" priority="22" operator="greaterThanOrEqual">
      <formula>8.79</formula>
    </cfRule>
    <cfRule type="cellIs" dxfId="146" priority="17" stopIfTrue="1" operator="between">
      <formula>7.28</formula>
      <formula>0.01</formula>
    </cfRule>
    <cfRule type="cellIs" dxfId="145" priority="18" stopIfTrue="1" operator="between">
      <formula>7.61</formula>
      <formula>0.01</formula>
    </cfRule>
    <cfRule type="cellIs" dxfId="144" priority="19" operator="between">
      <formula>7.97</formula>
      <formula>0.01</formula>
    </cfRule>
  </conditionalFormatting>
  <conditionalFormatting sqref="F4:F500">
    <cfRule type="cellIs" dxfId="143" priority="14" stopIfTrue="1" operator="greaterThanOrEqual">
      <formula>20.9</formula>
    </cfRule>
    <cfRule type="cellIs" dxfId="142" priority="15" stopIfTrue="1" operator="greaterThanOrEqual">
      <formula>19.9</formula>
    </cfRule>
    <cfRule type="cellIs" dxfId="141" priority="16" operator="greaterThanOrEqual">
      <formula>17.9</formula>
    </cfRule>
    <cfRule type="cellIs" dxfId="140" priority="11" stopIfTrue="1" operator="between">
      <formula>9.9</formula>
      <formula>0.01</formula>
    </cfRule>
    <cfRule type="cellIs" dxfId="139" priority="12" stopIfTrue="1" operator="between">
      <formula>11.9</formula>
      <formula>0.01</formula>
    </cfRule>
    <cfRule type="cellIs" dxfId="138" priority="13" operator="between">
      <formula>13.9</formula>
      <formula>0.01</formula>
    </cfRule>
  </conditionalFormatting>
  <conditionalFormatting sqref="G4:G500">
    <cfRule type="cellIs" dxfId="137" priority="8" stopIfTrue="1" operator="greaterThanOrEqual">
      <formula>0.89</formula>
    </cfRule>
    <cfRule type="cellIs" dxfId="136" priority="9" stopIfTrue="1" operator="greaterThanOrEqual">
      <formula>0.85</formula>
    </cfRule>
    <cfRule type="cellIs" dxfId="135" priority="10" operator="greaterThanOrEqual">
      <formula>0.81</formula>
    </cfRule>
    <cfRule type="cellIs" dxfId="134" priority="5" stopIfTrue="1" operator="between">
      <formula>0.67</formula>
      <formula>0.01</formula>
    </cfRule>
    <cfRule type="cellIs" dxfId="133" priority="6" stopIfTrue="1" operator="between">
      <formula>0.7</formula>
      <formula>0.01</formula>
    </cfRule>
    <cfRule type="cellIs" dxfId="132" priority="7" operator="between">
      <formula>0.73</formula>
      <formula>0.01</formula>
    </cfRule>
  </conditionalFormatting>
  <conditionalFormatting sqref="O4:O7">
    <cfRule type="cellIs" dxfId="131" priority="4" operator="equal">
      <formula>0</formula>
    </cfRule>
  </conditionalFormatting>
  <conditionalFormatting sqref="O10">
    <cfRule type="cellIs" dxfId="130" priority="3" operator="equal">
      <formula>0</formula>
    </cfRule>
  </conditionalFormatting>
  <conditionalFormatting sqref="O11">
    <cfRule type="cellIs" dxfId="129" priority="2" operator="equal">
      <formula>0</formula>
    </cfRule>
  </conditionalFormatting>
  <conditionalFormatting sqref="O8">
    <cfRule type="cellIs" dxfId="12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360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>
        <v>4.5</v>
      </c>
      <c r="V4" s="75" t="s">
        <v>86</v>
      </c>
      <c r="W4" s="75">
        <v>405</v>
      </c>
    </row>
    <row r="5" spans="1:25">
      <c r="A5" s="59" t="s">
        <v>341</v>
      </c>
      <c r="B5" s="56">
        <v>4</v>
      </c>
      <c r="C5" s="57">
        <f>SUM(((Table1681011121317[[#This Row],[Avg DPS]]*(Table1681011121317[[#This Row],[Range]]))+(Table1681011121317[[#This Row],[Avg DPS]]*(Table1681011121317[[#This Row],[Arm Pen (%)]]/4)))/100)</f>
        <v>1.5656741379310344</v>
      </c>
      <c r="D5" s="58">
        <f>SUM(Table1681011121317[[#This Row],[DPS]]*Table1681011121317[[#This Row],[Avg Accuracy]])</f>
        <v>9.4034482758620683</v>
      </c>
      <c r="E5" s="57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18.620689655172413</v>
      </c>
      <c r="F5" s="49">
        <v>12.9</v>
      </c>
      <c r="G5" s="57">
        <f>SUM((Table1681011121317[[#This Row],[Accuracy (Close)]]+Table1681011121317[[#This Row],[Accuracy (Short)]]+Table1681011121317[[#This Row],[Accuracy (Medium)]]+Table1681011121317[[#This Row],[Accuracy (Long)]])/4)</f>
        <v>0.505</v>
      </c>
      <c r="H5" s="49">
        <v>18</v>
      </c>
      <c r="I5" s="49">
        <v>3</v>
      </c>
      <c r="J5" s="49">
        <v>15</v>
      </c>
      <c r="K5" s="49">
        <v>3</v>
      </c>
      <c r="L5" s="49">
        <v>1.4</v>
      </c>
      <c r="M5" s="49">
        <v>1.1000000000000001</v>
      </c>
      <c r="N5" s="49">
        <v>300</v>
      </c>
      <c r="O5" s="57">
        <f t="shared" ref="O5:O9" si="0">60/N5</f>
        <v>0.2</v>
      </c>
      <c r="P5" s="49">
        <v>0.52</v>
      </c>
      <c r="Q5" s="49">
        <v>0.6</v>
      </c>
      <c r="R5" s="49">
        <v>0.5</v>
      </c>
      <c r="S5" s="49">
        <v>0.4</v>
      </c>
      <c r="T5" s="41">
        <v>55</v>
      </c>
      <c r="U5" s="41">
        <v>5.2</v>
      </c>
      <c r="V5" s="30" t="s">
        <v>86</v>
      </c>
      <c r="W5" s="47">
        <f>Table1681011121317[[#This Row],[Balance]]*$W$1</f>
        <v>375.19815041379303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101" priority="21" operator="greaterThan">
      <formula>1.7</formula>
    </cfRule>
  </conditionalFormatting>
  <conditionalFormatting sqref="E4:E500">
    <cfRule type="cellIs" dxfId="100" priority="15" stopIfTrue="1" operator="between">
      <formula>16.25</formula>
      <formula>0.01</formula>
    </cfRule>
    <cfRule type="cellIs" dxfId="99" priority="16" stopIfTrue="1" operator="between">
      <formula>16.99</formula>
      <formula>0.01</formula>
    </cfRule>
    <cfRule type="cellIs" dxfId="98" priority="17" operator="between">
      <formula>17.8</formula>
      <formula>0.01</formula>
    </cfRule>
    <cfRule type="cellIs" dxfId="97" priority="18" stopIfTrue="1" operator="greaterThanOrEqual">
      <formula>21.49</formula>
    </cfRule>
    <cfRule type="cellIs" dxfId="96" priority="19" stopIfTrue="1" operator="greaterThanOrEqual">
      <formula>20.56</formula>
    </cfRule>
    <cfRule type="cellIs" dxfId="95" priority="20" operator="greaterThanOrEqual">
      <formula>19.62</formula>
    </cfRule>
  </conditionalFormatting>
  <conditionalFormatting sqref="F4:F500">
    <cfRule type="cellIs" dxfId="94" priority="9" stopIfTrue="1" operator="between">
      <formula>6.9</formula>
      <formula>0.01</formula>
    </cfRule>
    <cfRule type="cellIs" dxfId="93" priority="10" stopIfTrue="1" operator="between">
      <formula>8.9</formula>
      <formula>0.01</formula>
    </cfRule>
    <cfRule type="cellIs" dxfId="92" priority="11" operator="between">
      <formula>10.9</formula>
      <formula>0.01</formula>
    </cfRule>
    <cfRule type="cellIs" dxfId="91" priority="12" stopIfTrue="1" operator="greaterThanOrEqual">
      <formula>18.9</formula>
    </cfRule>
    <cfRule type="cellIs" dxfId="90" priority="13" stopIfTrue="1" operator="greaterThanOrEqual">
      <formula>16.9</formula>
    </cfRule>
    <cfRule type="cellIs" dxfId="89" priority="14" operator="greaterThanOrEqual">
      <formula>14.9</formula>
    </cfRule>
  </conditionalFormatting>
  <conditionalFormatting sqref="G4:G500">
    <cfRule type="cellIs" dxfId="88" priority="3" stopIfTrue="1" operator="between">
      <formula>0.48</formula>
      <formula>0.01</formula>
    </cfRule>
    <cfRule type="cellIs" dxfId="87" priority="4" stopIfTrue="1" operator="between">
      <formula>0.5</formula>
      <formula>0.01</formula>
    </cfRule>
    <cfRule type="cellIs" dxfId="86" priority="5" operator="between">
      <formula>0.52</formula>
      <formula>0.01</formula>
    </cfRule>
    <cfRule type="cellIs" dxfId="85" priority="6" stopIfTrue="1" operator="greaterThanOrEqual">
      <formula>0.63</formula>
    </cfRule>
    <cfRule type="cellIs" dxfId="84" priority="7" stopIfTrue="1" operator="greaterThanOrEqual">
      <formula>0.61</formula>
    </cfRule>
    <cfRule type="cellIs" dxfId="83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265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56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D21" sqref="D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204</v>
      </c>
      <c r="R3" s="17" t="s">
        <v>383</v>
      </c>
      <c r="S3" s="17" t="s">
        <v>359</v>
      </c>
      <c r="T3" s="17" t="s">
        <v>355</v>
      </c>
      <c r="U3" s="17" t="s">
        <v>356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415</v>
      </c>
      <c r="T4" s="68" t="s">
        <v>416</v>
      </c>
      <c r="U4" s="30" t="s">
        <v>414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388</v>
      </c>
      <c r="T5" s="68" t="s">
        <v>354</v>
      </c>
      <c r="U5" s="30" t="s">
        <v>357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387</v>
      </c>
      <c r="T6" s="68" t="s">
        <v>354</v>
      </c>
      <c r="U6" s="30" t="s">
        <v>357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389</v>
      </c>
      <c r="T7" s="69" t="s">
        <v>360</v>
      </c>
      <c r="U7" s="30" t="s">
        <v>357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358</v>
      </c>
      <c r="T8" s="68" t="s">
        <v>354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415</v>
      </c>
      <c r="T9" s="68" t="s">
        <v>354</v>
      </c>
      <c r="U9" s="30" t="s">
        <v>414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205</v>
      </c>
      <c r="R10" s="30"/>
      <c r="S10" s="30"/>
      <c r="T10" s="68"/>
      <c r="U10" s="30" t="s">
        <v>417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415</v>
      </c>
      <c r="T11" s="68" t="s">
        <v>354</v>
      </c>
      <c r="U11" s="30" t="s">
        <v>414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415</v>
      </c>
      <c r="T12" s="68" t="s">
        <v>354</v>
      </c>
      <c r="U12" s="30" t="s">
        <v>414</v>
      </c>
    </row>
    <row r="13" spans="1:21">
      <c r="A13" s="7" t="s">
        <v>234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387</v>
      </c>
      <c r="T13" s="68" t="s">
        <v>354</v>
      </c>
      <c r="U13" s="33" t="s">
        <v>357</v>
      </c>
    </row>
    <row r="14" spans="1:21" s="4" customFormat="1">
      <c r="A14" t="s">
        <v>465</v>
      </c>
      <c r="B14" s="10">
        <v>4</v>
      </c>
      <c r="C14" s="10">
        <v>25.9</v>
      </c>
      <c r="D14" s="10">
        <v>8</v>
      </c>
      <c r="E14" s="22">
        <v>0.4</v>
      </c>
      <c r="F14" s="10">
        <v>1.5</v>
      </c>
      <c r="G14" s="10">
        <v>0</v>
      </c>
      <c r="H14" s="13" t="s">
        <v>103</v>
      </c>
      <c r="I14" s="10">
        <v>0</v>
      </c>
      <c r="J14" s="10">
        <v>1.5</v>
      </c>
      <c r="K14" s="10">
        <v>1.5</v>
      </c>
      <c r="L14" s="23">
        <v>1</v>
      </c>
      <c r="M14" s="28">
        <v>75</v>
      </c>
      <c r="N14" s="29">
        <v>4</v>
      </c>
      <c r="O14" s="30" t="s">
        <v>87</v>
      </c>
      <c r="P14" s="30" t="s">
        <v>87</v>
      </c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385</v>
      </c>
      <c r="S15" s="27" t="s">
        <v>384</v>
      </c>
      <c r="T15" s="68" t="s">
        <v>360</v>
      </c>
      <c r="U15" s="27" t="s">
        <v>386</v>
      </c>
    </row>
    <row r="16" spans="1:21">
      <c r="A16" t="s">
        <v>466</v>
      </c>
      <c r="B16">
        <v>4</v>
      </c>
      <c r="C16" s="4">
        <v>25.9</v>
      </c>
      <c r="D16" s="4">
        <v>25</v>
      </c>
      <c r="E16" s="21">
        <v>0.1</v>
      </c>
      <c r="F16" s="4">
        <v>0.5</v>
      </c>
      <c r="G16" s="4">
        <v>1.5</v>
      </c>
      <c r="H16" s="4">
        <v>0</v>
      </c>
      <c r="I16" s="4">
        <v>1.9</v>
      </c>
      <c r="J16" s="4">
        <v>3.5</v>
      </c>
      <c r="K16" s="4">
        <v>3.5</v>
      </c>
      <c r="L16" s="4">
        <v>1</v>
      </c>
      <c r="M16" s="28">
        <v>45</v>
      </c>
      <c r="N16" s="29">
        <v>2</v>
      </c>
      <c r="O16" s="49" t="s">
        <v>87</v>
      </c>
      <c r="P16" s="49" t="s">
        <v>87</v>
      </c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/>
      <c r="B20" s="4"/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/>
      <c r="P20" s="30"/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workbookViewId="0">
      <selection activeCell="G30" sqref="G30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252</v>
      </c>
      <c r="C1" t="s">
        <v>257</v>
      </c>
      <c r="D1" t="s">
        <v>253</v>
      </c>
      <c r="E1" t="s">
        <v>254</v>
      </c>
      <c r="F1" t="s">
        <v>255</v>
      </c>
    </row>
    <row r="2" spans="1:12">
      <c r="A2" s="1" t="s">
        <v>50</v>
      </c>
      <c r="B2" s="1" t="s">
        <v>51</v>
      </c>
      <c r="C2" s="1" t="s">
        <v>258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335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1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9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5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4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4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t="s">
        <v>438</v>
      </c>
      <c r="B15">
        <f>COUNTIF(Spare!B:B, 1)</f>
        <v>0</v>
      </c>
      <c r="C15">
        <f>COUNTIF(Spare!B:B, "1B")</f>
        <v>0</v>
      </c>
      <c r="D15">
        <f>COUNTIF(Spare!B:B, 2)</f>
        <v>0</v>
      </c>
      <c r="E15">
        <f>COUNTIF(Spare!B:B, 3)</f>
        <v>0</v>
      </c>
      <c r="F15">
        <f>COUNTIF(Spare!B:B, 4)</f>
        <v>0</v>
      </c>
      <c r="G15">
        <f>COUNTIF(Spare!B:B, 5)</f>
        <v>0</v>
      </c>
      <c r="H15">
        <f>COUNTIF(Spare!B:B, 6)</f>
        <v>0</v>
      </c>
      <c r="I15">
        <f>COUNTIF(Spare!B:B, 7)</f>
        <v>0</v>
      </c>
      <c r="J15">
        <f>COUNTIF(Spare!B:B, 8)</f>
        <v>0</v>
      </c>
    </row>
    <row r="16" spans="1:12">
      <c r="A16" s="34"/>
    </row>
    <row r="17" spans="1:18">
      <c r="A17" s="33" t="s">
        <v>256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0</v>
      </c>
      <c r="D19">
        <f t="shared" ref="D19:J19" si="0">SUM(D3:D15)</f>
        <v>20</v>
      </c>
      <c r="E19">
        <f t="shared" si="0"/>
        <v>30</v>
      </c>
      <c r="F19">
        <f t="shared" si="0"/>
        <v>39</v>
      </c>
      <c r="G19">
        <f t="shared" si="0"/>
        <v>0</v>
      </c>
      <c r="H19">
        <f t="shared" si="0"/>
        <v>0</v>
      </c>
      <c r="I19">
        <f t="shared" si="0"/>
        <v>1</v>
      </c>
      <c r="J19">
        <f t="shared" si="0"/>
        <v>0</v>
      </c>
      <c r="Q19" t="s">
        <v>236</v>
      </c>
      <c r="R19">
        <f>SUM(B19:P19)</f>
        <v>137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251</v>
      </c>
    </row>
    <row r="24" spans="1:18">
      <c r="A24" s="1"/>
      <c r="B24" s="1"/>
    </row>
    <row r="25" spans="1:18">
      <c r="A25" s="1" t="s">
        <v>337</v>
      </c>
      <c r="B25" s="1"/>
      <c r="D25" t="s">
        <v>437</v>
      </c>
    </row>
    <row r="26" spans="1:18">
      <c r="A26" s="60" t="s">
        <v>4</v>
      </c>
      <c r="B26" s="60">
        <v>5</v>
      </c>
      <c r="D26" s="1" t="s">
        <v>11</v>
      </c>
    </row>
    <row r="27" spans="1:18">
      <c r="A27">
        <v>-3</v>
      </c>
      <c r="B27" s="2">
        <f>B26/1.15</f>
        <v>4.3478260869565224</v>
      </c>
      <c r="D27" s="1" t="s">
        <v>471</v>
      </c>
      <c r="E27" t="s">
        <v>472</v>
      </c>
    </row>
    <row r="28" spans="1:18">
      <c r="A28">
        <v>-2</v>
      </c>
      <c r="B28" s="2">
        <f>B26/1.1</f>
        <v>4.545454545454545</v>
      </c>
      <c r="D28" s="1" t="s">
        <v>473</v>
      </c>
      <c r="E28" t="s">
        <v>476</v>
      </c>
    </row>
    <row r="29" spans="1:18">
      <c r="A29">
        <v>-1</v>
      </c>
      <c r="B29" s="2">
        <f>B26/1.05</f>
        <v>4.7619047619047619</v>
      </c>
      <c r="D29" s="1" t="s">
        <v>474</v>
      </c>
      <c r="E29" t="s">
        <v>477</v>
      </c>
    </row>
    <row r="30" spans="1:18">
      <c r="A30">
        <v>1</v>
      </c>
      <c r="B30" s="2">
        <f>B26*1.05</f>
        <v>5.25</v>
      </c>
      <c r="D30" s="1" t="s">
        <v>475</v>
      </c>
      <c r="E30" t="s">
        <v>478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336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24" priority="7" stopIfTrue="1" operator="greaterThanOrEqual">
      <formula>18.15</formula>
    </cfRule>
    <cfRule type="cellIs" dxfId="23" priority="8" stopIfTrue="1" operator="greaterThanOrEqual">
      <formula>17.36</formula>
    </cfRule>
    <cfRule type="cellIs" dxfId="22" priority="9" operator="greaterThanOrEqual">
      <formula>16.57</formula>
    </cfRule>
    <cfRule type="cellIs" dxfId="21" priority="10" stopIfTrue="1" operator="between">
      <formula>13.72</formula>
      <formula>0.01</formula>
    </cfRule>
    <cfRule type="cellIs" dxfId="20" priority="11" stopIfTrue="1" operator="between">
      <formula>14.35</formula>
      <formula>0.01</formula>
    </cfRule>
    <cfRule type="cellIs" dxfId="19" priority="12" operator="between">
      <formula>15.03</formula>
      <formula>0.01</formula>
    </cfRule>
  </conditionalFormatting>
  <conditionalFormatting sqref="E33">
    <cfRule type="cellIs" dxfId="18" priority="1" stopIfTrue="1" operator="greaterThanOrEqual">
      <formula>0.43</formula>
    </cfRule>
    <cfRule type="cellIs" dxfId="17" priority="2" stopIfTrue="1" operator="greaterThanOrEqual">
      <formula>0.41</formula>
    </cfRule>
    <cfRule type="cellIs" dxfId="16" priority="3" operator="greaterThanOrEqual">
      <formula>0.39</formula>
    </cfRule>
    <cfRule type="cellIs" dxfId="15" priority="4" stopIfTrue="1" operator="between">
      <formula>0.32</formula>
      <formula>0.01</formula>
    </cfRule>
    <cfRule type="cellIs" dxfId="14" priority="5" stopIfTrue="1" operator="between">
      <formula>0.34</formula>
      <formula>0.01</formula>
    </cfRule>
    <cfRule type="cellIs" dxfId="13" priority="6" operator="between">
      <formula>0.35</formula>
      <formula>0.01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271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272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273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281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71" priority="17" operator="greaterThan">
      <formula>1.209</formula>
    </cfRule>
  </conditionalFormatting>
  <conditionalFormatting sqref="O1:O1048576">
    <cfRule type="cellIs" dxfId="370" priority="16" operator="equal">
      <formula>0</formula>
    </cfRule>
  </conditionalFormatting>
  <conditionalFormatting sqref="E4:E500">
    <cfRule type="cellIs" dxfId="369" priority="15" operator="greaterThanOrEqual">
      <formula>6.64</formula>
    </cfRule>
    <cfRule type="cellIs" dxfId="368" priority="13" stopIfTrue="1" operator="greaterThanOrEqual">
      <formula>7.27</formula>
    </cfRule>
    <cfRule type="cellIs" dxfId="367" priority="14" stopIfTrue="1" operator="greaterThanOrEqual">
      <formula>6.95</formula>
    </cfRule>
    <cfRule type="cellIs" dxfId="366" priority="7" stopIfTrue="1" operator="between">
      <formula>5.5</formula>
      <formula>0.01</formula>
    </cfRule>
    <cfRule type="cellIs" dxfId="365" priority="8" stopIfTrue="1" operator="between">
      <formula>5.75</formula>
      <formula>0.01</formula>
    </cfRule>
    <cfRule type="cellIs" dxfId="364" priority="9" operator="between">
      <formula>6.02</formula>
      <formula>0.01</formula>
    </cfRule>
  </conditionalFormatting>
  <conditionalFormatting sqref="G4:G500">
    <cfRule type="cellIs" dxfId="363" priority="10" stopIfTrue="1" operator="greaterThanOrEqual">
      <formula>0.72</formula>
    </cfRule>
    <cfRule type="cellIs" dxfId="362" priority="11" stopIfTrue="1" operator="greaterThanOrEqual">
      <formula>0.69</formula>
    </cfRule>
    <cfRule type="cellIs" dxfId="361" priority="12" operator="greaterThanOrEqual">
      <formula>0.66</formula>
    </cfRule>
    <cfRule type="cellIs" dxfId="360" priority="1" stopIfTrue="1" operator="between">
      <formula>0.55</formula>
      <formula>0.01</formula>
    </cfRule>
    <cfRule type="cellIs" dxfId="359" priority="2" stopIfTrue="1" operator="between">
      <formula>0.57</formula>
      <formula>0.01</formula>
    </cfRule>
    <cfRule type="cellIs" dxfId="358" priority="3" operator="between">
      <formula>0.6</formula>
      <formula>0.01</formula>
    </cfRule>
  </conditionalFormatting>
  <conditionalFormatting sqref="F4:F500">
    <cfRule type="cellIs" dxfId="357" priority="6" operator="between">
      <formula>23.9</formula>
      <formula>0.01</formula>
    </cfRule>
    <cfRule type="cellIs" dxfId="356" priority="4" stopIfTrue="1" operator="between">
      <formula>19.9</formula>
      <formula>0.01</formula>
    </cfRule>
    <cfRule type="cellIs" dxfId="355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V14" sqref="V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371</v>
      </c>
      <c r="Y4" s="47" t="s">
        <v>373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371</v>
      </c>
      <c r="Y5" s="47" t="s">
        <v>373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371</v>
      </c>
      <c r="Y6" s="47" t="s">
        <v>373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371</v>
      </c>
      <c r="Y7" s="47" t="s">
        <v>373</v>
      </c>
    </row>
    <row r="8" spans="1:25">
      <c r="A8" s="4" t="s">
        <v>345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A10" s="4" t="s">
        <v>467</v>
      </c>
      <c r="B10" s="12">
        <v>7</v>
      </c>
      <c r="C10" s="2">
        <f>SUM(((Table1614[[#This Row],[Avg DPS]]*(Table1614[[#This Row],[Range]]))+(Table1614[[#This Row],[Avg DPS]]*(Table1614[[#This Row],[Arm Pen (%)]]/4)))/100)</f>
        <v>1.3878797468354429</v>
      </c>
      <c r="D10" s="3">
        <f>SUM(Table1614[[#This Row],[DPS]]*Table1614[[#This Row],[Avg Accuracy]])</f>
        <v>6.2658227848101271</v>
      </c>
      <c r="E10" s="2">
        <f>SUM((Table1614[[#This Row],[Damage]]*Table1614[[#This Row],[Burst]])/(Table1614[[#This Row],[Ranged Cooldown]]+Table1614[[#This Row],[Warm-up]]+(Table1614[[#This Row],[Burst Time]]*(Table1614[[#This Row],[Burst]]-1))))</f>
        <v>11.39240506329114</v>
      </c>
      <c r="F10">
        <v>19.899999999999999</v>
      </c>
      <c r="G10" s="2">
        <f>SUM((Table1614[[#This Row],[Accuracy (Close)]]+Table1614[[#This Row],[Accuracy (Short)]]+Table1614[[#This Row],[Accuracy (Medium)]]+Table1614[[#This Row],[Accuracy (Long)]])/4)</f>
        <v>0.55000000000000004</v>
      </c>
      <c r="H10">
        <v>7</v>
      </c>
      <c r="I10">
        <v>0.5</v>
      </c>
      <c r="J10">
        <v>9</v>
      </c>
      <c r="K10">
        <v>3</v>
      </c>
      <c r="L10">
        <v>1</v>
      </c>
      <c r="M10">
        <v>0.71</v>
      </c>
      <c r="N10">
        <v>900</v>
      </c>
      <c r="O10" s="2">
        <f t="shared" si="0"/>
        <v>6.6666666666666666E-2</v>
      </c>
      <c r="P10">
        <v>0.9</v>
      </c>
      <c r="Q10">
        <v>0.75</v>
      </c>
      <c r="R10">
        <v>0.45</v>
      </c>
      <c r="S10">
        <v>0.1</v>
      </c>
      <c r="T10">
        <v>48</v>
      </c>
      <c r="U10">
        <v>2.5</v>
      </c>
      <c r="V10" s="49" t="s">
        <v>87</v>
      </c>
      <c r="W10" s="70">
        <f>Table1614[[#This Row],[Balance]]*$W$2</f>
        <v>244.26683544303796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47" priority="19" operator="greaterThan">
      <formula>1.259</formula>
    </cfRule>
  </conditionalFormatting>
  <conditionalFormatting sqref="O1:O1048576">
    <cfRule type="cellIs" dxfId="346" priority="18" operator="equal">
      <formula>0</formula>
    </cfRule>
  </conditionalFormatting>
  <conditionalFormatting sqref="E4:E500">
    <cfRule type="cellIs" dxfId="345" priority="12" stopIfTrue="1" operator="between">
      <formula>9.57</formula>
      <formula>0.01</formula>
    </cfRule>
    <cfRule type="cellIs" dxfId="344" priority="13" stopIfTrue="1" operator="between">
      <formula>10.01</formula>
      <formula>0.01</formula>
    </cfRule>
    <cfRule type="cellIs" dxfId="343" priority="14" operator="between">
      <formula>10.49</formula>
      <formula>0.01</formula>
    </cfRule>
    <cfRule type="cellIs" dxfId="342" priority="15" stopIfTrue="1" operator="greaterThanOrEqual">
      <formula>12.66</formula>
    </cfRule>
    <cfRule type="cellIs" dxfId="341" priority="16" stopIfTrue="1" operator="greaterThanOrEqual">
      <formula>12.11</formula>
    </cfRule>
    <cfRule type="cellIs" dxfId="340" priority="17" operator="greaterThanOrEqual">
      <formula>11.56</formula>
    </cfRule>
  </conditionalFormatting>
  <conditionalFormatting sqref="F4:F500">
    <cfRule type="cellIs" dxfId="339" priority="7" stopIfTrue="1" operator="between">
      <formula>13.9</formula>
      <formula>0.01</formula>
    </cfRule>
    <cfRule type="cellIs" dxfId="338" priority="8" stopIfTrue="1" operator="between">
      <formula>15.9</formula>
      <formula>0.01</formula>
    </cfRule>
    <cfRule type="cellIs" dxfId="337" priority="9" operator="between">
      <formula>17.9</formula>
      <formula>0.01</formula>
    </cfRule>
    <cfRule type="cellIs" dxfId="336" priority="10" stopIfTrue="1" operator="greaterThanOrEqual">
      <formula>22.9</formula>
    </cfRule>
    <cfRule type="cellIs" dxfId="335" priority="11" operator="greaterThanOrEqual">
      <formula>21.9</formula>
    </cfRule>
  </conditionalFormatting>
  <conditionalFormatting sqref="G4:G500">
    <cfRule type="cellIs" dxfId="334" priority="1" stopIfTrue="1" operator="between">
      <formula>0.44</formula>
      <formula>0.01</formula>
    </cfRule>
    <cfRule type="cellIs" dxfId="333" priority="2" stopIfTrue="1" operator="between">
      <formula>0.46</formula>
      <formula>0.01</formula>
    </cfRule>
    <cfRule type="cellIs" dxfId="332" priority="3" operator="between">
      <formula>0.49</formula>
      <formula>0.01</formula>
    </cfRule>
    <cfRule type="cellIs" dxfId="331" priority="4" stopIfTrue="1" operator="greaterThanOrEqual">
      <formula>0.59</formula>
    </cfRule>
    <cfRule type="cellIs" dxfId="330" priority="5" stopIfTrue="1" operator="greaterThanOrEqual">
      <formula>0.56</formula>
    </cfRule>
    <cfRule type="cellIs" dxfId="32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280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371</v>
      </c>
      <c r="Y4" t="s">
        <v>370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372</v>
      </c>
      <c r="Y5" t="s">
        <v>370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371</v>
      </c>
      <c r="Y6" t="s">
        <v>370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405</v>
      </c>
      <c r="Y7" t="s">
        <v>396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371</v>
      </c>
      <c r="Y8" t="s">
        <v>370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411</v>
      </c>
      <c r="Y9" t="s">
        <v>410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426</v>
      </c>
      <c r="Y10" s="4" t="s">
        <v>425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427</v>
      </c>
      <c r="Y11" t="s">
        <v>425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427</v>
      </c>
      <c r="Y12" t="s">
        <v>425</v>
      </c>
    </row>
    <row r="13" spans="1:25">
      <c r="A13" s="1" t="s">
        <v>277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347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346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3">
      <c r="A17" s="4"/>
      <c r="B17" s="12"/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/>
      <c r="W17" s="47" t="e">
        <f>Table16[[#This Row],[Balance]]*$W$1</f>
        <v>#DIV/0!</v>
      </c>
    </row>
    <row r="18" spans="1:23">
      <c r="A18" s="14"/>
      <c r="B18" s="12"/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/>
      <c r="W18" s="47" t="e">
        <f>Table16[[#This Row],[Balance]]*$W$1</f>
        <v>#DIV/0!</v>
      </c>
    </row>
    <row r="19" spans="1:23">
      <c r="A19" s="4"/>
      <c r="B19" s="12"/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/>
      <c r="W19" s="47" t="e">
        <f>Table16[[#This Row],[Balance]]*$W$1</f>
        <v>#DIV/0!</v>
      </c>
    </row>
    <row r="20" spans="1:23">
      <c r="A20" s="4"/>
      <c r="B20" s="4"/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W20" s="47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W21" s="47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3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18" priority="17" operator="greaterThan">
      <formula>1.739</formula>
    </cfRule>
  </conditionalFormatting>
  <conditionalFormatting sqref="O1:O1048576">
    <cfRule type="cellIs" dxfId="317" priority="16" operator="equal">
      <formula>0</formula>
    </cfRule>
  </conditionalFormatting>
  <conditionalFormatting sqref="E4:E500">
    <cfRule type="cellIs" dxfId="316" priority="13" stopIfTrue="1" operator="between">
      <formula>10.73</formula>
      <formula>0.01</formula>
    </cfRule>
    <cfRule type="cellIs" dxfId="315" priority="14" stopIfTrue="1" operator="between">
      <formula>11.22</formula>
      <formula>0.01</formula>
    </cfRule>
    <cfRule type="cellIs" dxfId="314" priority="15" operator="between">
      <formula>11.75</formula>
      <formula>0.01</formula>
    </cfRule>
    <cfRule type="cellIs" dxfId="313" priority="10" stopIfTrue="1" operator="greaterThanOrEqual">
      <formula>14.19</formula>
    </cfRule>
    <cfRule type="cellIs" dxfId="312" priority="11" stopIfTrue="1" operator="greaterThanOrEqual">
      <formula>13.57</formula>
    </cfRule>
    <cfRule type="cellIs" dxfId="311" priority="12" operator="greaterThanOrEqual">
      <formula>12.96</formula>
    </cfRule>
  </conditionalFormatting>
  <conditionalFormatting sqref="F4:F500">
    <cfRule type="cellIs" dxfId="310" priority="7" stopIfTrue="1" operator="between">
      <formula>16.9</formula>
      <formula>0.01</formula>
    </cfRule>
    <cfRule type="cellIs" dxfId="309" priority="8" stopIfTrue="1" operator="between">
      <formula>18.9</formula>
      <formula>0.01</formula>
    </cfRule>
    <cfRule type="cellIs" dxfId="308" priority="9" operator="between">
      <formula>20.9</formula>
      <formula>0.01</formula>
    </cfRule>
  </conditionalFormatting>
  <conditionalFormatting sqref="G4:G500">
    <cfRule type="cellIs" dxfId="307" priority="1" stopIfTrue="1" operator="between">
      <formula>0.44</formula>
      <formula>0.01</formula>
    </cfRule>
    <cfRule type="cellIs" dxfId="306" priority="2" stopIfTrue="1" operator="between">
      <formula>0.46</formula>
      <formula>0.01</formula>
    </cfRule>
    <cfRule type="cellIs" dxfId="305" priority="3" operator="between">
      <formula>0.49</formula>
      <formula>0.01</formula>
    </cfRule>
    <cfRule type="cellIs" dxfId="304" priority="4" stopIfTrue="1" operator="greaterThanOrEqual">
      <formula>0.59</formula>
    </cfRule>
    <cfRule type="cellIs" dxfId="303" priority="5" stopIfTrue="1" operator="greaterThanOrEqual">
      <formula>0.56</formula>
    </cfRule>
    <cfRule type="cellIs" dxfId="302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opLeftCell="A13" workbookViewId="0">
      <selection activeCell="L47" sqref="L4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0.42578125" customWidth="1"/>
    <col min="30" max="30" width="22.285156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283</v>
      </c>
      <c r="Y3" t="s">
        <v>287</v>
      </c>
      <c r="Z3" t="s">
        <v>285</v>
      </c>
      <c r="AA3" t="s">
        <v>286</v>
      </c>
      <c r="AB3" t="s">
        <v>288</v>
      </c>
      <c r="AC3" s="17" t="s">
        <v>359</v>
      </c>
      <c r="AD3" s="17" t="s">
        <v>356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52"/>
      <c r="Y4" s="52"/>
      <c r="Z4" s="52"/>
      <c r="AA4" s="52"/>
      <c r="AB4" s="52"/>
      <c r="AC4" s="36" t="s">
        <v>399</v>
      </c>
      <c r="AD4" s="36" t="s">
        <v>398</v>
      </c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52"/>
      <c r="Y5" s="52"/>
      <c r="Z5" s="52"/>
      <c r="AA5" s="52"/>
      <c r="AB5" s="52"/>
      <c r="AC5" s="36" t="s">
        <v>400</v>
      </c>
      <c r="AD5" s="36" t="s">
        <v>398</v>
      </c>
    </row>
    <row r="6" spans="1:30">
      <c r="A6" t="s">
        <v>259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52"/>
      <c r="Y6" s="52"/>
      <c r="Z6" s="52"/>
      <c r="AA6" s="52"/>
      <c r="AB6" s="52"/>
      <c r="AC6" s="36" t="s">
        <v>399</v>
      </c>
      <c r="AD6" s="36" t="s">
        <v>398</v>
      </c>
    </row>
    <row r="7" spans="1:30">
      <c r="A7" t="s">
        <v>260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52"/>
      <c r="Y7" s="52"/>
      <c r="Z7" s="52"/>
      <c r="AA7" s="52"/>
      <c r="AB7" s="52"/>
      <c r="AC7" s="36" t="s">
        <v>399</v>
      </c>
      <c r="AD7" s="36" t="s">
        <v>398</v>
      </c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52"/>
      <c r="Y8" s="52"/>
      <c r="Z8" s="52"/>
      <c r="AA8" s="52"/>
      <c r="AB8" s="52"/>
      <c r="AC8" s="36" t="s">
        <v>399</v>
      </c>
      <c r="AD8" s="36" t="s">
        <v>398</v>
      </c>
    </row>
    <row r="9" spans="1:30">
      <c r="A9" t="s">
        <v>261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52"/>
      <c r="Y9" s="52"/>
      <c r="Z9" s="52"/>
      <c r="AA9" s="52"/>
      <c r="AB9" s="52"/>
      <c r="AC9" s="36" t="s">
        <v>399</v>
      </c>
      <c r="AD9" s="36" t="s">
        <v>398</v>
      </c>
    </row>
    <row r="10" spans="1:30">
      <c r="A10" s="4" t="s">
        <v>262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52"/>
      <c r="Y10" s="52"/>
      <c r="Z10" s="52"/>
      <c r="AA10" s="52"/>
      <c r="AB10" s="52"/>
      <c r="AC10" s="36" t="s">
        <v>400</v>
      </c>
      <c r="AD10" s="36" t="s">
        <v>398</v>
      </c>
    </row>
    <row r="11" spans="1:30">
      <c r="A11" s="4" t="s">
        <v>263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52"/>
      <c r="Y11" s="52"/>
      <c r="Z11" s="52"/>
      <c r="AA11" s="52"/>
      <c r="AB11" s="52"/>
      <c r="AC11" s="36" t="s">
        <v>400</v>
      </c>
      <c r="AD11" s="36" t="s">
        <v>398</v>
      </c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52"/>
      <c r="Y12" s="52"/>
      <c r="Z12" s="52"/>
      <c r="AA12" s="52"/>
      <c r="AB12" s="52"/>
      <c r="AC12" s="36" t="s">
        <v>401</v>
      </c>
      <c r="AD12" s="36" t="s">
        <v>390</v>
      </c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5"/>
      <c r="Y13" s="35"/>
      <c r="Z13" s="35"/>
      <c r="AA13" s="35"/>
      <c r="AB13" s="35"/>
      <c r="AC13" s="36" t="s">
        <v>391</v>
      </c>
      <c r="AD13" s="36" t="s">
        <v>390</v>
      </c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5"/>
      <c r="Y14" s="35"/>
      <c r="Z14" s="35"/>
      <c r="AA14" s="35"/>
      <c r="AB14" s="35"/>
      <c r="AC14" s="36" t="s">
        <v>393</v>
      </c>
      <c r="AD14" s="36" t="s">
        <v>392</v>
      </c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5"/>
      <c r="Y15" s="35"/>
      <c r="Z15" s="35"/>
      <c r="AA15" s="35"/>
      <c r="AB15" s="35"/>
      <c r="AC15" s="36" t="s">
        <v>393</v>
      </c>
      <c r="AD15" s="36" t="s">
        <v>392</v>
      </c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52"/>
      <c r="Y16" s="52"/>
      <c r="Z16" s="52"/>
      <c r="AA16" s="52"/>
      <c r="AB16" s="52"/>
      <c r="AC16" s="36" t="s">
        <v>397</v>
      </c>
      <c r="AD16" s="36" t="s">
        <v>396</v>
      </c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52"/>
      <c r="Y17" s="52"/>
      <c r="Z17" s="52"/>
      <c r="AA17" s="52"/>
      <c r="AB17" s="52"/>
      <c r="AC17" s="71" t="s">
        <v>402</v>
      </c>
      <c r="AD17" s="71" t="s">
        <v>390</v>
      </c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52"/>
      <c r="Y18" s="52"/>
      <c r="Z18" s="52"/>
      <c r="AA18" s="52"/>
      <c r="AB18" s="52"/>
      <c r="AC18" s="36" t="s">
        <v>395</v>
      </c>
      <c r="AD18" s="36" t="s">
        <v>394</v>
      </c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5"/>
      <c r="Y19" s="35"/>
      <c r="Z19" s="35"/>
      <c r="AA19" s="35"/>
      <c r="AB19" s="35"/>
      <c r="AC19" s="36" t="s">
        <v>419</v>
      </c>
      <c r="AD19" s="36" t="s">
        <v>418</v>
      </c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5"/>
      <c r="Y20" s="35"/>
      <c r="Z20" s="35"/>
      <c r="AA20" s="35"/>
      <c r="AB20" s="35"/>
      <c r="AC20" s="36" t="s">
        <v>422</v>
      </c>
      <c r="AD20" s="36" t="s">
        <v>418</v>
      </c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5"/>
      <c r="Y21" s="35"/>
      <c r="Z21" s="35"/>
      <c r="AA21" s="35"/>
      <c r="AB21" s="35"/>
      <c r="AC21" s="36" t="s">
        <v>397</v>
      </c>
      <c r="AD21" s="36" t="s">
        <v>420</v>
      </c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5"/>
      <c r="Y22" s="35"/>
      <c r="Z22" s="35"/>
      <c r="AA22" s="35"/>
      <c r="AB22" s="35"/>
      <c r="AC22" s="36" t="s">
        <v>424</v>
      </c>
      <c r="AD22" s="36" t="s">
        <v>398</v>
      </c>
    </row>
    <row r="23" spans="1:30">
      <c r="A23" s="1" t="s">
        <v>266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52"/>
      <c r="Y23" s="52"/>
      <c r="Z23" s="52"/>
      <c r="AA23" s="52"/>
      <c r="AB23" s="52"/>
      <c r="AC23" s="36" t="s">
        <v>395</v>
      </c>
      <c r="AD23" s="36" t="s">
        <v>398</v>
      </c>
    </row>
    <row r="24" spans="1:30">
      <c r="A24" t="s">
        <v>267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52"/>
      <c r="Y24" s="52"/>
      <c r="Z24" s="52"/>
      <c r="AA24" s="52"/>
      <c r="AB24" s="52"/>
      <c r="AC24" s="36" t="s">
        <v>393</v>
      </c>
      <c r="AD24" s="36" t="s">
        <v>398</v>
      </c>
    </row>
    <row r="25" spans="1:30">
      <c r="A25" t="s">
        <v>268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52"/>
      <c r="Y25" s="52"/>
      <c r="Z25" s="52"/>
      <c r="AA25" s="52"/>
      <c r="AB25" s="52"/>
      <c r="AC25" s="36" t="s">
        <v>393</v>
      </c>
      <c r="AD25" s="36" t="s">
        <v>398</v>
      </c>
    </row>
    <row r="26" spans="1:30">
      <c r="A26" t="s">
        <v>282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5" t="s">
        <v>284</v>
      </c>
      <c r="Y26" s="35">
        <v>30</v>
      </c>
      <c r="Z26" s="35">
        <v>1</v>
      </c>
      <c r="AA26" s="35">
        <v>12.9</v>
      </c>
      <c r="AB26" s="35" t="s">
        <v>289</v>
      </c>
      <c r="AC26" s="36" t="s">
        <v>422</v>
      </c>
      <c r="AD26" s="36" t="s">
        <v>418</v>
      </c>
    </row>
    <row r="27" spans="1:30">
      <c r="A27" t="s">
        <v>208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52"/>
      <c r="Y27" s="52"/>
      <c r="Z27" s="52"/>
      <c r="AA27" s="52"/>
      <c r="AB27" s="52"/>
      <c r="AC27" s="36" t="s">
        <v>422</v>
      </c>
      <c r="AD27" s="36" t="s">
        <v>418</v>
      </c>
    </row>
    <row r="28" spans="1:30">
      <c r="A28" s="1" t="s">
        <v>207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52"/>
      <c r="Y28" s="52"/>
      <c r="Z28" s="52"/>
      <c r="AA28" s="52"/>
      <c r="AB28" s="52"/>
      <c r="AC28" s="36" t="s">
        <v>419</v>
      </c>
      <c r="AD28" s="36" t="s">
        <v>418</v>
      </c>
    </row>
    <row r="29" spans="1:30">
      <c r="A29" t="s">
        <v>209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52"/>
      <c r="Y29" s="52"/>
      <c r="Z29" s="52"/>
      <c r="AA29" s="52"/>
      <c r="AB29" s="52"/>
      <c r="AC29" s="36" t="s">
        <v>402</v>
      </c>
      <c r="AD29" s="36" t="s">
        <v>418</v>
      </c>
    </row>
    <row r="30" spans="1:30">
      <c r="A30" t="s">
        <v>210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52"/>
      <c r="Y30" s="52"/>
      <c r="Z30" s="52"/>
      <c r="AA30" s="52"/>
      <c r="AB30" s="52"/>
      <c r="AC30" s="36" t="s">
        <v>429</v>
      </c>
      <c r="AD30" s="36" t="s">
        <v>418</v>
      </c>
    </row>
    <row r="31" spans="1:30">
      <c r="A31" s="1" t="s">
        <v>211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52"/>
      <c r="Y31" s="52"/>
      <c r="Z31" s="52"/>
      <c r="AA31" s="52"/>
      <c r="AB31" s="52"/>
      <c r="AC31" s="36" t="s">
        <v>430</v>
      </c>
      <c r="AD31" s="36" t="s">
        <v>398</v>
      </c>
    </row>
    <row r="32" spans="1:30">
      <c r="A32" t="s">
        <v>212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52"/>
      <c r="Y32" s="52"/>
      <c r="Z32" s="52"/>
      <c r="AA32" s="52"/>
      <c r="AB32" s="52"/>
      <c r="AC32" s="36" t="s">
        <v>424</v>
      </c>
      <c r="AD32" s="36" t="s">
        <v>398</v>
      </c>
    </row>
    <row r="33" spans="1:30">
      <c r="A33" t="s">
        <v>213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52"/>
      <c r="Y33" s="52"/>
      <c r="Z33" s="52"/>
      <c r="AA33" s="52"/>
      <c r="AB33" s="52"/>
      <c r="AC33" s="36" t="s">
        <v>423</v>
      </c>
      <c r="AD33" s="36" t="s">
        <v>398</v>
      </c>
    </row>
    <row r="34" spans="1:30">
      <c r="A34" s="4" t="s">
        <v>348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5"/>
      <c r="Y34" s="35"/>
      <c r="Z34" s="35"/>
      <c r="AA34" s="35"/>
      <c r="AB34" s="35"/>
      <c r="AC34" s="36"/>
      <c r="AD34" s="36"/>
    </row>
    <row r="35" spans="1:30">
      <c r="A35" s="4" t="s">
        <v>349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52"/>
      <c r="Y35" s="52"/>
      <c r="Z35" s="52"/>
      <c r="AA35" s="52"/>
      <c r="AB35" s="52"/>
      <c r="AC35" s="36"/>
      <c r="AD35" s="36"/>
    </row>
    <row r="36" spans="1:30">
      <c r="A36" s="14" t="s">
        <v>457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86</v>
      </c>
      <c r="W36" s="43">
        <f t="shared" si="3"/>
        <v>461.94384610650894</v>
      </c>
      <c r="X36" s="52"/>
      <c r="Y36" s="52"/>
      <c r="Z36" s="52"/>
      <c r="AA36" s="52"/>
      <c r="AB36" s="52"/>
      <c r="AC36" s="36"/>
      <c r="AD36" s="36"/>
    </row>
    <row r="37" spans="1:30">
      <c r="A37" s="4" t="s">
        <v>350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5"/>
      <c r="Y37" s="35"/>
      <c r="Z37" s="35"/>
      <c r="AA37" s="35"/>
      <c r="AB37" s="35"/>
      <c r="AC37" s="36"/>
      <c r="AD37" s="36"/>
    </row>
    <row r="38" spans="1:30">
      <c r="A38" s="4" t="s">
        <v>351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5"/>
      <c r="Y38" s="35"/>
      <c r="Z38" s="35"/>
      <c r="AA38" s="35"/>
      <c r="AB38" s="35"/>
      <c r="AC38" s="36"/>
      <c r="AD38" s="36"/>
    </row>
    <row r="39" spans="1:30">
      <c r="A39" s="4" t="s">
        <v>352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5"/>
      <c r="Y39" s="35"/>
      <c r="Z39" s="35"/>
      <c r="AA39" s="35"/>
      <c r="AB39" s="35"/>
      <c r="AC39" s="36"/>
      <c r="AD39" s="36"/>
    </row>
    <row r="40" spans="1:30">
      <c r="A40" s="4" t="s">
        <v>353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5"/>
      <c r="Y40" s="35"/>
      <c r="Z40" s="35"/>
      <c r="AA40" s="35"/>
      <c r="AB40" s="35"/>
      <c r="AC40" s="36"/>
      <c r="AD40" s="36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73"/>
      <c r="Y41" s="73"/>
      <c r="Z41" s="73"/>
      <c r="AA41" s="73"/>
      <c r="AB41" s="73"/>
      <c r="AC41" s="80"/>
      <c r="AD41" s="80"/>
    </row>
    <row r="42" spans="1:30">
      <c r="A42" t="s">
        <v>468</v>
      </c>
      <c r="B42">
        <v>4</v>
      </c>
      <c r="C42" s="2">
        <f>SUM(((Table16810[[#This Row],[Avg DPS]]*(Table16810[[#This Row],[Range]]))+(Table16810[[#This Row],[Avg DPS]]*(Table16810[[#This Row],[Arm Pen (%)]]/4)))/100)</f>
        <v>2.4656210526315787</v>
      </c>
      <c r="D42" s="3">
        <f>SUM(Table16810[[#This Row],[DPS]]*Table16810[[#This Row],[Avg Accuracy]])</f>
        <v>6.7736842105263158</v>
      </c>
      <c r="E42" s="2">
        <f>SUM((Table16810[[#This Row],[Damage]]*Table16810[[#This Row],[Burst]])/(Table16810[[#This Row],[Ranged Cooldown]]+Table16810[[#This Row],[Warm-up]]+(Table16810[[#This Row],[Burst Time]]*(Table16810[[#This Row],[Burst]]-1))))</f>
        <v>10.421052631578949</v>
      </c>
      <c r="F42">
        <v>31.9</v>
      </c>
      <c r="G42" s="2">
        <f>SUM((Table16810[[#This Row],[Accuracy (Close)]]+Table16810[[#This Row],[Accuracy (Short)]]+Table16810[[#This Row],[Accuracy (Medium)]]+Table16810[[#This Row],[Accuracy (Long)]])/4)</f>
        <v>0.64999999999999991</v>
      </c>
      <c r="H42">
        <v>11</v>
      </c>
      <c r="I42">
        <v>0.5</v>
      </c>
      <c r="J42">
        <v>18</v>
      </c>
      <c r="K42">
        <v>3</v>
      </c>
      <c r="L42" s="2">
        <v>1.9</v>
      </c>
      <c r="M42" s="2">
        <v>1.1000000000000001</v>
      </c>
      <c r="N42">
        <v>720</v>
      </c>
      <c r="O42" s="2">
        <f t="shared" ref="O42:O74" si="5">60/N42</f>
        <v>8.3333333333333329E-2</v>
      </c>
      <c r="P42">
        <v>0.6</v>
      </c>
      <c r="Q42">
        <v>0.7</v>
      </c>
      <c r="R42">
        <v>0.71</v>
      </c>
      <c r="S42">
        <v>0.59</v>
      </c>
      <c r="T42">
        <v>70</v>
      </c>
      <c r="U42" s="2">
        <v>4.46</v>
      </c>
      <c r="V42" s="35" t="s">
        <v>87</v>
      </c>
      <c r="W42" s="43">
        <f t="shared" si="3"/>
        <v>499.36223178947364</v>
      </c>
      <c r="X42" s="52"/>
      <c r="Y42" s="52"/>
      <c r="Z42" s="52"/>
      <c r="AA42" s="52"/>
      <c r="AB42" s="52"/>
      <c r="AC42" s="36"/>
      <c r="AD42" s="36"/>
    </row>
    <row r="43" spans="1:30">
      <c r="A43" s="4" t="s">
        <v>470</v>
      </c>
      <c r="B43">
        <v>4</v>
      </c>
      <c r="C43" s="2">
        <f>SUM(((Table16810[[#This Row],[Avg DPS]]*(Table16810[[#This Row],[Range]]))+(Table16810[[#This Row],[Avg DPS]]*(Table16810[[#This Row],[Arm Pen (%)]]/4)))/100)</f>
        <v>1.7260645161290324</v>
      </c>
      <c r="D43" s="3">
        <f>SUM(Table16810[[#This Row],[DPS]]*Table16810[[#This Row],[Avg Accuracy]])</f>
        <v>5.8709677419354849</v>
      </c>
      <c r="E43" s="2">
        <f>SUM((Table16810[[#This Row],[Damage]]*Table16810[[#This Row],[Burst]])/(Table16810[[#This Row],[Ranged Cooldown]]+Table16810[[#This Row],[Warm-up]]+(Table16810[[#This Row],[Burst Time]]*(Table16810[[#This Row],[Burst]]-1))))</f>
        <v>9.0322580645161299</v>
      </c>
      <c r="F43">
        <v>25.9</v>
      </c>
      <c r="G43" s="2">
        <f>SUM((Table16810[[#This Row],[Accuracy (Close)]]+Table16810[[#This Row],[Accuracy (Short)]]+Table16810[[#This Row],[Accuracy (Medium)]]+Table16810[[#This Row],[Accuracy (Long)]])/4)</f>
        <v>0.65</v>
      </c>
      <c r="H43">
        <v>14</v>
      </c>
      <c r="I43">
        <v>0.5</v>
      </c>
      <c r="J43">
        <v>14</v>
      </c>
      <c r="K43">
        <v>1</v>
      </c>
      <c r="L43" s="2">
        <v>0.7</v>
      </c>
      <c r="M43" s="2">
        <v>0.85</v>
      </c>
      <c r="N43">
        <v>0</v>
      </c>
      <c r="O43" s="2">
        <v>0</v>
      </c>
      <c r="P43">
        <v>0.6</v>
      </c>
      <c r="Q43">
        <v>0.8</v>
      </c>
      <c r="R43">
        <v>0.75</v>
      </c>
      <c r="S43">
        <v>0.45</v>
      </c>
      <c r="T43">
        <v>65</v>
      </c>
      <c r="U43" s="2">
        <v>4.3</v>
      </c>
      <c r="V43" s="35" t="s">
        <v>87</v>
      </c>
      <c r="W43" s="43">
        <f t="shared" si="3"/>
        <v>349.57984645161292</v>
      </c>
      <c r="X43" s="35"/>
      <c r="Y43" s="35"/>
      <c r="Z43" s="35"/>
      <c r="AA43" s="35"/>
      <c r="AB43" s="35"/>
      <c r="AC43" s="36"/>
      <c r="AD43" s="36"/>
    </row>
    <row r="44" spans="1:30">
      <c r="A44" s="4"/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W44" s="43" t="e">
        <f t="shared" si="3"/>
        <v>#DIV/0!</v>
      </c>
      <c r="X44" s="35"/>
      <c r="Y44" s="35"/>
      <c r="Z44" s="35"/>
      <c r="AA44" s="35"/>
      <c r="AB44" s="35"/>
      <c r="AC44" s="36"/>
      <c r="AD44" s="36"/>
    </row>
    <row r="45" spans="1:30">
      <c r="A45" s="4"/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W45" s="43" t="e">
        <f t="shared" si="3"/>
        <v>#DIV/0!</v>
      </c>
      <c r="X45" s="35"/>
      <c r="Y45" s="35"/>
      <c r="Z45" s="35"/>
      <c r="AA45" s="35"/>
      <c r="AB45" s="35"/>
      <c r="AC45" s="36"/>
      <c r="AD45" s="36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5"/>
      <c r="Y46" s="35"/>
      <c r="Z46" s="35"/>
      <c r="AA46" s="35"/>
      <c r="AB46" s="35"/>
      <c r="AC46" s="36"/>
      <c r="AD46" s="36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5"/>
      <c r="Y47" s="35"/>
      <c r="Z47" s="35"/>
      <c r="AA47" s="35"/>
      <c r="AB47" s="35"/>
      <c r="AC47" s="36"/>
      <c r="AD47" s="36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5"/>
      <c r="Y48" s="35"/>
      <c r="Z48" s="35"/>
      <c r="AA48" s="35"/>
      <c r="AB48" s="35"/>
      <c r="AC48" s="36"/>
      <c r="AD48" s="36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5"/>
      <c r="Y49" s="35"/>
      <c r="Z49" s="35"/>
      <c r="AA49" s="35"/>
      <c r="AB49" s="35"/>
      <c r="AC49" s="36"/>
      <c r="AD49" s="36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5"/>
      <c r="Y50" s="35"/>
      <c r="Z50" s="35"/>
      <c r="AA50" s="35"/>
      <c r="AB50" s="35"/>
      <c r="AC50" s="36"/>
      <c r="AD50" s="36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5"/>
      <c r="Y51" s="35"/>
      <c r="Z51" s="35"/>
      <c r="AA51" s="35"/>
      <c r="AB51" s="35"/>
      <c r="AC51" s="36"/>
      <c r="AD51" s="36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5"/>
      <c r="Y52" s="35"/>
      <c r="Z52" s="35"/>
      <c r="AA52" s="35"/>
      <c r="AB52" s="35"/>
      <c r="AC52" s="36"/>
      <c r="AD52" s="36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5"/>
      <c r="Y53" s="35"/>
      <c r="Z53" s="35"/>
      <c r="AA53" s="35"/>
      <c r="AB53" s="35"/>
      <c r="AC53" s="36"/>
      <c r="AD53" s="36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5"/>
      <c r="Y54" s="35"/>
      <c r="Z54" s="35"/>
      <c r="AA54" s="35"/>
      <c r="AB54" s="35"/>
      <c r="AC54" s="36"/>
      <c r="AD54" s="36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5"/>
      <c r="Y55" s="35"/>
      <c r="Z55" s="35"/>
      <c r="AA55" s="35"/>
      <c r="AB55" s="35"/>
      <c r="AC55" s="36"/>
      <c r="AD55" s="36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5"/>
      <c r="Y56" s="35"/>
      <c r="Z56" s="35"/>
      <c r="AA56" s="35"/>
      <c r="AB56" s="35"/>
      <c r="AC56" s="36"/>
      <c r="AD56" s="36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5"/>
      <c r="Y57" s="35"/>
      <c r="Z57" s="35"/>
      <c r="AA57" s="35"/>
      <c r="AB57" s="35"/>
      <c r="AC57" s="36"/>
      <c r="AD57" s="36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5"/>
      <c r="Y58" s="35"/>
      <c r="Z58" s="35"/>
      <c r="AA58" s="35"/>
      <c r="AB58" s="35"/>
      <c r="AC58" s="36"/>
      <c r="AD58" s="36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5"/>
      <c r="Y59" s="35"/>
      <c r="Z59" s="35"/>
      <c r="AA59" s="35"/>
      <c r="AB59" s="35"/>
      <c r="AC59" s="36"/>
      <c r="AD59" s="36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5"/>
      <c r="Y60" s="35"/>
      <c r="Z60" s="35"/>
      <c r="AA60" s="35"/>
      <c r="AB60" s="35"/>
      <c r="AC60" s="36"/>
      <c r="AD60" s="36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5"/>
      <c r="Y61" s="35"/>
      <c r="Z61" s="35"/>
      <c r="AA61" s="35"/>
      <c r="AB61" s="35"/>
      <c r="AC61" s="36"/>
      <c r="AD61" s="36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5"/>
      <c r="Y62" s="35"/>
      <c r="Z62" s="35"/>
      <c r="AA62" s="35"/>
      <c r="AB62" s="35"/>
      <c r="AC62" s="36"/>
      <c r="AD62" s="36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5"/>
      <c r="Y63" s="35"/>
      <c r="Z63" s="35"/>
      <c r="AA63" s="35"/>
      <c r="AB63" s="35"/>
      <c r="AC63" s="36"/>
      <c r="AD63" s="36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5"/>
      <c r="Y64" s="35"/>
      <c r="Z64" s="35"/>
      <c r="AA64" s="35"/>
      <c r="AB64" s="35"/>
      <c r="AC64" s="36"/>
      <c r="AD64" s="36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5"/>
      <c r="Y65" s="35"/>
      <c r="Z65" s="35"/>
      <c r="AA65" s="35"/>
      <c r="AB65" s="35"/>
      <c r="AC65" s="36"/>
      <c r="AD65" s="36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5"/>
      <c r="Y66" s="35"/>
      <c r="Z66" s="35"/>
      <c r="AA66" s="35"/>
      <c r="AB66" s="35"/>
      <c r="AC66" s="36"/>
      <c r="AD66" s="36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5"/>
      <c r="Y67" s="35"/>
      <c r="Z67" s="35"/>
      <c r="AA67" s="35"/>
      <c r="AB67" s="35"/>
      <c r="AC67" s="36"/>
      <c r="AD67" s="36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5"/>
      <c r="Y68" s="35"/>
      <c r="Z68" s="35"/>
      <c r="AA68" s="35"/>
      <c r="AB68" s="35"/>
      <c r="AC68" s="36"/>
      <c r="AD68" s="36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5"/>
      <c r="Y69" s="35"/>
      <c r="Z69" s="35"/>
      <c r="AA69" s="35"/>
      <c r="AB69" s="35"/>
      <c r="AC69" s="36"/>
      <c r="AD69" s="36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5"/>
      <c r="Y70" s="35"/>
      <c r="Z70" s="35"/>
      <c r="AA70" s="35"/>
      <c r="AB70" s="35"/>
      <c r="AC70" s="36"/>
      <c r="AD70" s="36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5"/>
      <c r="Y71" s="35"/>
      <c r="Z71" s="35"/>
      <c r="AA71" s="35"/>
      <c r="AB71" s="35"/>
      <c r="AC71" s="36"/>
      <c r="AD71" s="36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5"/>
      <c r="Y72" s="35"/>
      <c r="Z72" s="35"/>
      <c r="AA72" s="35"/>
      <c r="AB72" s="35"/>
      <c r="AC72" s="36"/>
      <c r="AD72" s="36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5"/>
      <c r="Y73" s="35"/>
      <c r="Z73" s="35"/>
      <c r="AA73" s="35"/>
      <c r="AB73" s="35"/>
      <c r="AC73" s="36"/>
      <c r="AD73" s="36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5"/>
      <c r="Y74" s="35"/>
      <c r="Z74" s="35"/>
      <c r="AA74" s="35"/>
      <c r="AB74" s="35"/>
      <c r="AC74" s="36"/>
      <c r="AD74" s="36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5"/>
      <c r="Y75" s="35"/>
      <c r="Z75" s="35"/>
      <c r="AA75" s="35"/>
      <c r="AB75" s="35"/>
      <c r="AC75" s="36"/>
      <c r="AD75" s="36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5"/>
      <c r="Y76" s="35"/>
      <c r="Z76" s="35"/>
      <c r="AA76" s="35"/>
      <c r="AB76" s="35"/>
      <c r="AC76" s="36"/>
      <c r="AD76" s="36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5"/>
      <c r="Y77" s="35"/>
      <c r="Z77" s="35"/>
      <c r="AA77" s="35"/>
      <c r="AB77" s="35"/>
      <c r="AC77" s="36"/>
      <c r="AD77" s="36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5"/>
      <c r="Y78" s="35"/>
      <c r="Z78" s="35"/>
      <c r="AA78" s="35"/>
      <c r="AB78" s="35"/>
      <c r="AC78" s="36"/>
      <c r="AD78" s="36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93" priority="20" operator="greaterThan">
      <formula>2.419</formula>
    </cfRule>
  </conditionalFormatting>
  <conditionalFormatting sqref="O4:O500">
    <cfRule type="cellIs" dxfId="292" priority="19" operator="equal">
      <formula>0</formula>
    </cfRule>
  </conditionalFormatting>
  <conditionalFormatting sqref="F4:F500">
    <cfRule type="cellIs" dxfId="291" priority="7" stopIfTrue="1" operator="greaterThanOrEqual">
      <formula>36.5</formula>
    </cfRule>
    <cfRule type="cellIs" dxfId="290" priority="8" stopIfTrue="1" operator="greaterThanOrEqual">
      <formula>34.5</formula>
    </cfRule>
    <cfRule type="cellIs" dxfId="289" priority="9" operator="greaterThanOrEqual">
      <formula>32.5</formula>
    </cfRule>
    <cfRule type="cellIs" dxfId="288" priority="10" stopIfTrue="1" operator="between">
      <formula>24.5</formula>
      <formula>0.01</formula>
    </cfRule>
    <cfRule type="cellIs" dxfId="287" priority="11" stopIfTrue="1" operator="between">
      <formula>26.5</formula>
      <formula>0.01</formula>
    </cfRule>
    <cfRule type="cellIs" dxfId="286" priority="12" operator="between">
      <formula>28.5</formula>
      <formula>0.01</formula>
    </cfRule>
  </conditionalFormatting>
  <conditionalFormatting sqref="G4:G500">
    <cfRule type="cellIs" dxfId="285" priority="1" stopIfTrue="1" operator="greaterThanOrEqual">
      <formula>0.72</formula>
    </cfRule>
    <cfRule type="cellIs" dxfId="284" priority="2" stopIfTrue="1" operator="greaterThanOrEqual">
      <formula>0.69</formula>
    </cfRule>
    <cfRule type="cellIs" dxfId="283" priority="3" operator="greaterThanOrEqual">
      <formula>0.66</formula>
    </cfRule>
    <cfRule type="cellIs" dxfId="282" priority="4" stopIfTrue="1" operator="between">
      <formula>0.54</formula>
      <formula>0.01</formula>
    </cfRule>
    <cfRule type="cellIs" dxfId="281" priority="5" stopIfTrue="1" operator="between">
      <formula>0.57</formula>
      <formula>0.01</formula>
    </cfRule>
    <cfRule type="cellIs" dxfId="280" priority="6" operator="between">
      <formula>0.6</formula>
      <formula>0.01</formula>
    </cfRule>
  </conditionalFormatting>
  <conditionalFormatting sqref="E4:E500">
    <cfRule type="cellIs" dxfId="279" priority="13" stopIfTrue="1" operator="greaterThanOrEqual">
      <formula>12.51</formula>
    </cfRule>
    <cfRule type="cellIs" dxfId="278" priority="14" stopIfTrue="1" operator="greaterThanOrEqual">
      <formula>11.97</formula>
    </cfRule>
    <cfRule type="cellIs" dxfId="277" priority="15" operator="greaterThanOrEqual">
      <formula>11.42</formula>
    </cfRule>
    <cfRule type="cellIs" dxfId="276" priority="16" stopIfTrue="1" operator="between">
      <formula>9.46</formula>
      <formula>0.01</formula>
    </cfRule>
    <cfRule type="cellIs" dxfId="275" priority="17" stopIfTrue="1" operator="between">
      <formula>9.89</formula>
      <formula>0.01</formula>
    </cfRule>
    <cfRule type="cellIs" dxfId="274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tabSelected="1" workbookViewId="0">
      <selection activeCell="A17" sqref="A1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3.28515625" customWidth="1"/>
    <col min="30" max="30" width="20.8554687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283</v>
      </c>
      <c r="Y3" t="s">
        <v>287</v>
      </c>
      <c r="Z3" t="s">
        <v>285</v>
      </c>
      <c r="AA3" t="s">
        <v>286</v>
      </c>
      <c r="AB3" t="s">
        <v>288</v>
      </c>
      <c r="AC3" s="17" t="s">
        <v>359</v>
      </c>
      <c r="AD3" s="17" t="s">
        <v>356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52"/>
      <c r="Y4" s="52"/>
      <c r="Z4" s="52"/>
      <c r="AA4" s="52"/>
      <c r="AB4" s="52"/>
      <c r="AC4" s="36" t="s">
        <v>413</v>
      </c>
      <c r="AD4" s="36" t="s">
        <v>412</v>
      </c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52"/>
      <c r="Y5" s="52"/>
      <c r="Z5" s="52"/>
      <c r="AA5" s="52"/>
      <c r="AB5" s="52"/>
      <c r="AC5" s="36" t="s">
        <v>413</v>
      </c>
      <c r="AD5" s="36" t="s">
        <v>412</v>
      </c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5"/>
      <c r="Y6" s="35"/>
      <c r="Z6" s="35"/>
      <c r="AA6" s="35"/>
      <c r="AB6" s="35"/>
      <c r="AC6" s="36" t="s">
        <v>421</v>
      </c>
      <c r="AD6" s="36" t="s">
        <v>410</v>
      </c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5"/>
      <c r="Y7" s="35"/>
      <c r="Z7" s="35"/>
      <c r="AA7" s="35"/>
      <c r="AB7" s="35"/>
      <c r="AC7" s="36" t="s">
        <v>421</v>
      </c>
      <c r="AD7" s="36" t="s">
        <v>398</v>
      </c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5"/>
      <c r="Y8" s="35"/>
      <c r="Z8" s="35"/>
      <c r="AA8" s="35"/>
      <c r="AB8" s="35"/>
      <c r="AC8" s="36" t="s">
        <v>423</v>
      </c>
      <c r="AD8" s="36" t="s">
        <v>410</v>
      </c>
    </row>
    <row r="9" spans="1:30">
      <c r="A9" s="14" t="s">
        <v>225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5"/>
      <c r="Y9" s="35"/>
      <c r="Z9" s="35"/>
      <c r="AA9" s="35"/>
      <c r="AB9" s="35"/>
      <c r="AC9" s="36" t="s">
        <v>428</v>
      </c>
      <c r="AD9" s="36" t="s">
        <v>410</v>
      </c>
    </row>
    <row r="10" spans="1:30">
      <c r="A10" s="4" t="s">
        <v>230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52"/>
      <c r="Y10" s="52"/>
      <c r="Z10" s="52"/>
      <c r="AA10" s="52"/>
      <c r="AB10" s="52"/>
      <c r="AC10" s="36" t="s">
        <v>428</v>
      </c>
      <c r="AD10" s="36" t="s">
        <v>410</v>
      </c>
    </row>
    <row r="11" spans="1:30">
      <c r="A11" s="4" t="s">
        <v>458</v>
      </c>
      <c r="B11" s="4">
        <v>4</v>
      </c>
      <c r="C11" s="2">
        <f>SUM(((Table168107[[#This Row],[Avg DPS]]*(Table168107[[#This Row],[Range]]))+(Table168107[[#This Row],[Avg DPS]]*(Table168107[[#This Row],[Arm Pen (%)]]/4)))/100)</f>
        <v>1.9270799999999999</v>
      </c>
      <c r="D11" s="3">
        <f>SUM(Table168107[[#This Row],[DPS]]*Table168107[[#This Row],[Avg Accuracy]])</f>
        <v>4.5449999999999999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6</v>
      </c>
      <c r="F11">
        <v>34.9</v>
      </c>
      <c r="G11" s="2">
        <f>SUM((Table168107[[#This Row],[Accuracy (Close)]]+Table168107[[#This Row],[Accuracy (Short)]]+Table168107[[#This Row],[Accuracy (Medium)]]+Table168107[[#This Row],[Accuracy (Long)]])/4)</f>
        <v>0.75750000000000006</v>
      </c>
      <c r="H11">
        <v>18</v>
      </c>
      <c r="I11">
        <v>1.5</v>
      </c>
      <c r="J11">
        <v>30</v>
      </c>
      <c r="K11">
        <v>1</v>
      </c>
      <c r="L11" s="2">
        <v>1.3</v>
      </c>
      <c r="M11" s="2">
        <v>1.7</v>
      </c>
      <c r="N11">
        <v>0</v>
      </c>
      <c r="O11" s="2">
        <v>0</v>
      </c>
      <c r="P11">
        <v>0.65</v>
      </c>
      <c r="Q11">
        <v>0.78</v>
      </c>
      <c r="R11">
        <v>0.85</v>
      </c>
      <c r="S11">
        <v>0.75</v>
      </c>
      <c r="T11">
        <v>70</v>
      </c>
      <c r="U11" s="2">
        <v>3.99</v>
      </c>
      <c r="V11" s="35" t="s">
        <v>87</v>
      </c>
      <c r="W11" s="43">
        <f t="shared" si="0"/>
        <v>254.60580959999999</v>
      </c>
      <c r="X11" s="52"/>
      <c r="Y11" s="52"/>
      <c r="Z11" s="52"/>
      <c r="AA11" s="52"/>
      <c r="AB11" s="52"/>
      <c r="AC11" s="36"/>
      <c r="AD11" s="36"/>
    </row>
    <row r="12" spans="1:30">
      <c r="A12" s="1" t="s">
        <v>344</v>
      </c>
      <c r="B12" s="4">
        <v>4</v>
      </c>
      <c r="C12" s="2">
        <f>SUM(((Table168107[[#This Row],[Avg DPS]]*(Table168107[[#This Row],[Range]]))+(Table168107[[#This Row],[Avg DPS]]*(Table168107[[#This Row],[Arm Pen (%)]]/4)))/100)</f>
        <v>1.8945762711864407</v>
      </c>
      <c r="D12" s="3">
        <f>SUM(Table168107[[#This Row],[DPS]]*Table168107[[#This Row],[Avg Accuracy]])</f>
        <v>4.5762711864406782</v>
      </c>
      <c r="E12" s="2">
        <f>SUM((Table168107[[#This Row],[Damage]]*Table168107[[#This Row],[Burst]])/(Table168107[[#This Row],[Ranged Cooldown]]+Table168107[[#This Row],[Warm-up]]+(Table168107[[#This Row],[Burst Time]]*(Table168107[[#This Row],[Burst]]-1))))</f>
        <v>6.101694915254237</v>
      </c>
      <c r="F12">
        <v>33.9</v>
      </c>
      <c r="G12" s="2">
        <f>SUM((Table168107[[#This Row],[Accuracy (Close)]]+Table168107[[#This Row],[Accuracy (Short)]]+Table168107[[#This Row],[Accuracy (Medium)]]+Table168107[[#This Row],[Accuracy (Long)]])/4)</f>
        <v>0.75</v>
      </c>
      <c r="H12">
        <v>18</v>
      </c>
      <c r="I12">
        <v>1.5</v>
      </c>
      <c r="J12">
        <v>30</v>
      </c>
      <c r="K12">
        <v>1</v>
      </c>
      <c r="L12" s="2">
        <v>1.45</v>
      </c>
      <c r="M12" s="2">
        <v>1.5</v>
      </c>
      <c r="N12">
        <v>0</v>
      </c>
      <c r="O12" s="2">
        <v>0</v>
      </c>
      <c r="P12">
        <v>0.65</v>
      </c>
      <c r="Q12">
        <v>0.75</v>
      </c>
      <c r="R12">
        <v>0.85</v>
      </c>
      <c r="S12">
        <v>0.75</v>
      </c>
      <c r="T12">
        <v>70</v>
      </c>
      <c r="U12" s="2">
        <v>4.3</v>
      </c>
      <c r="V12" s="35" t="s">
        <v>86</v>
      </c>
      <c r="W12" s="43">
        <f t="shared" si="0"/>
        <v>250.31141694915254</v>
      </c>
      <c r="X12" s="52"/>
      <c r="Y12" s="52"/>
      <c r="Z12" s="52"/>
      <c r="AA12" s="52"/>
      <c r="AB12" s="52"/>
      <c r="AC12" s="36"/>
      <c r="AD12" s="36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73"/>
      <c r="Y13" s="73"/>
      <c r="Z13" s="73"/>
      <c r="AA13" s="73"/>
      <c r="AB13" s="73"/>
      <c r="AC13" s="80"/>
      <c r="AD13" s="80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52"/>
      <c r="Y14" s="52"/>
      <c r="Z14" s="52"/>
      <c r="AA14" s="52"/>
      <c r="AB14" s="52"/>
      <c r="AC14" s="36"/>
      <c r="AD14" s="36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52"/>
      <c r="Y15" s="52"/>
      <c r="Z15" s="52"/>
      <c r="AA15" s="52"/>
      <c r="AB15" s="52"/>
      <c r="AC15" s="36"/>
      <c r="AD15" s="36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52"/>
      <c r="Y16" s="52"/>
      <c r="Z16" s="52"/>
      <c r="AA16" s="52"/>
      <c r="AB16" s="52"/>
      <c r="AC16" s="36"/>
      <c r="AD16" s="36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52"/>
      <c r="Y17" s="52"/>
      <c r="Z17" s="52"/>
      <c r="AA17" s="52"/>
      <c r="AB17" s="52"/>
      <c r="AC17" s="71"/>
      <c r="AD17" s="71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52"/>
      <c r="Y18" s="52"/>
      <c r="Z18" s="52"/>
      <c r="AA18" s="52"/>
      <c r="AB18" s="52"/>
      <c r="AC18" s="36"/>
      <c r="AD18" s="36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52"/>
      <c r="Y19" s="52"/>
      <c r="Z19" s="52"/>
      <c r="AA19" s="52"/>
      <c r="AB19" s="52"/>
      <c r="AC19" s="36"/>
      <c r="AD19" s="36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5"/>
      <c r="Y20" s="35"/>
      <c r="Z20" s="35"/>
      <c r="AA20" s="35"/>
      <c r="AB20" s="35"/>
      <c r="AC20" s="36"/>
      <c r="AD20" s="36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5"/>
      <c r="Y21" s="35"/>
      <c r="Z21" s="35"/>
      <c r="AA21" s="35"/>
      <c r="AB21" s="35"/>
      <c r="AC21" s="36"/>
      <c r="AD21" s="36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5"/>
      <c r="Y22" s="35"/>
      <c r="Z22" s="35"/>
      <c r="AA22" s="35"/>
      <c r="AB22" s="35"/>
      <c r="AC22" s="36"/>
      <c r="AD22" s="36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52"/>
      <c r="Y23" s="52"/>
      <c r="Z23" s="52"/>
      <c r="AA23" s="52"/>
      <c r="AB23" s="52"/>
      <c r="AC23" s="36"/>
      <c r="AD23" s="36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52"/>
      <c r="Y24" s="52"/>
      <c r="Z24" s="52"/>
      <c r="AA24" s="52"/>
      <c r="AB24" s="52"/>
      <c r="AC24" s="36"/>
      <c r="AD24" s="36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52"/>
      <c r="Y25" s="52"/>
      <c r="Z25" s="52"/>
      <c r="AA25" s="52"/>
      <c r="AB25" s="52"/>
      <c r="AC25" s="36"/>
      <c r="AD25" s="36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5"/>
      <c r="Y26" s="35"/>
      <c r="Z26" s="35"/>
      <c r="AA26" s="35"/>
      <c r="AB26" s="35"/>
      <c r="AC26" s="36"/>
      <c r="AD26" s="36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5"/>
      <c r="Y27" s="35"/>
      <c r="Z27" s="35"/>
      <c r="AA27" s="35"/>
      <c r="AB27" s="35"/>
      <c r="AC27" s="36"/>
      <c r="AD27" s="36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5"/>
      <c r="Y28" s="35"/>
      <c r="Z28" s="35"/>
      <c r="AA28" s="35"/>
      <c r="AB28" s="35"/>
      <c r="AC28" s="36"/>
      <c r="AD28" s="36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5"/>
      <c r="Y29" s="35"/>
      <c r="Z29" s="35"/>
      <c r="AA29" s="35"/>
      <c r="AB29" s="35"/>
      <c r="AC29" s="36"/>
      <c r="AD29" s="36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52"/>
      <c r="Y30" s="52"/>
      <c r="Z30" s="52"/>
      <c r="AA30" s="52"/>
      <c r="AB30" s="52"/>
      <c r="AC30" s="36"/>
      <c r="AD30" s="36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52"/>
      <c r="Y31" s="52"/>
      <c r="Z31" s="52"/>
      <c r="AA31" s="52"/>
      <c r="AB31" s="52"/>
      <c r="AC31" s="36"/>
      <c r="AD31" s="36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52"/>
      <c r="Y32" s="52"/>
      <c r="Z32" s="52"/>
      <c r="AA32" s="52"/>
      <c r="AB32" s="52"/>
      <c r="AC32" s="36"/>
      <c r="AD32" s="36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5"/>
      <c r="Y33" s="35"/>
      <c r="Z33" s="35"/>
      <c r="AA33" s="35"/>
      <c r="AB33" s="35"/>
      <c r="AC33" s="36"/>
      <c r="AD33" s="36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52"/>
      <c r="Y34" s="52"/>
      <c r="Z34" s="52"/>
      <c r="AA34" s="52"/>
      <c r="AB34" s="52"/>
      <c r="AC34" s="36"/>
      <c r="AD34" s="36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52"/>
      <c r="Y35" s="52"/>
      <c r="Z35" s="52"/>
      <c r="AA35" s="52"/>
      <c r="AB35" s="52"/>
      <c r="AC35" s="36"/>
      <c r="AD35" s="36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52"/>
      <c r="Y36" s="52"/>
      <c r="Z36" s="52"/>
      <c r="AA36" s="52"/>
      <c r="AB36" s="52"/>
      <c r="AC36" s="36"/>
      <c r="AD36" s="36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52"/>
      <c r="Y37" s="52"/>
      <c r="Z37" s="52"/>
      <c r="AA37" s="52"/>
      <c r="AB37" s="52"/>
      <c r="AC37" s="36"/>
      <c r="AD37" s="36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52"/>
      <c r="Y38" s="52"/>
      <c r="Z38" s="52"/>
      <c r="AA38" s="52"/>
      <c r="AB38" s="52"/>
      <c r="AC38" s="36"/>
      <c r="AD38" s="36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52"/>
      <c r="Y39" s="52"/>
      <c r="Z39" s="52"/>
      <c r="AA39" s="52"/>
      <c r="AB39" s="52"/>
      <c r="AC39" s="36"/>
      <c r="AD39" s="36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52"/>
      <c r="Y40" s="52"/>
      <c r="Z40" s="52"/>
      <c r="AA40" s="52"/>
      <c r="AB40" s="52"/>
      <c r="AC40" s="36"/>
      <c r="AD40" s="36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52"/>
      <c r="Y41" s="52"/>
      <c r="Z41" s="52"/>
      <c r="AA41" s="52"/>
      <c r="AB41" s="52"/>
      <c r="AC41" s="36"/>
      <c r="AD41" s="36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5"/>
      <c r="Y42" s="35"/>
      <c r="Z42" s="35"/>
      <c r="AA42" s="35"/>
      <c r="AB42" s="35"/>
      <c r="AC42" s="36"/>
      <c r="AD42" s="36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5"/>
      <c r="Y43" s="35"/>
      <c r="Z43" s="35"/>
      <c r="AA43" s="35"/>
      <c r="AB43" s="35"/>
      <c r="AC43" s="36"/>
      <c r="AD43" s="36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5"/>
      <c r="Y44" s="35"/>
      <c r="Z44" s="35"/>
      <c r="AA44" s="35"/>
      <c r="AB44" s="35"/>
      <c r="AC44" s="36"/>
      <c r="AD44" s="36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5"/>
      <c r="Y45" s="35"/>
      <c r="Z45" s="35"/>
      <c r="AA45" s="35"/>
      <c r="AB45" s="35"/>
      <c r="AC45" s="36"/>
      <c r="AD45" s="36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5"/>
      <c r="Y46" s="35"/>
      <c r="Z46" s="35"/>
      <c r="AA46" s="35"/>
      <c r="AB46" s="35"/>
      <c r="AC46" s="36"/>
      <c r="AD46" s="36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5"/>
      <c r="Y47" s="35"/>
      <c r="Z47" s="35"/>
      <c r="AA47" s="35"/>
      <c r="AB47" s="35"/>
      <c r="AC47" s="36"/>
      <c r="AD47" s="36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5"/>
      <c r="Y48" s="35"/>
      <c r="Z48" s="35"/>
      <c r="AA48" s="35"/>
      <c r="AB48" s="35"/>
      <c r="AC48" s="36"/>
      <c r="AD48" s="36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5"/>
      <c r="Y49" s="35"/>
      <c r="Z49" s="35"/>
      <c r="AA49" s="35"/>
      <c r="AB49" s="35"/>
      <c r="AC49" s="36"/>
      <c r="AD49" s="36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5"/>
      <c r="Y50" s="35"/>
      <c r="Z50" s="35"/>
      <c r="AA50" s="35"/>
      <c r="AB50" s="35"/>
      <c r="AC50" s="36"/>
      <c r="AD50" s="36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5"/>
      <c r="Y51" s="35"/>
      <c r="Z51" s="35"/>
      <c r="AA51" s="35"/>
      <c r="AB51" s="35"/>
      <c r="AC51" s="36"/>
      <c r="AD51" s="36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5"/>
      <c r="Y52" s="35"/>
      <c r="Z52" s="35"/>
      <c r="AA52" s="35"/>
      <c r="AB52" s="35"/>
      <c r="AC52" s="36"/>
      <c r="AD52" s="36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5"/>
      <c r="Y53" s="35"/>
      <c r="Z53" s="35"/>
      <c r="AA53" s="35"/>
      <c r="AB53" s="35"/>
      <c r="AC53" s="36"/>
      <c r="AD53" s="36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5"/>
      <c r="Y54" s="35"/>
      <c r="Z54" s="35"/>
      <c r="AA54" s="35"/>
      <c r="AB54" s="35"/>
      <c r="AC54" s="36"/>
      <c r="AD54" s="36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5"/>
      <c r="Y55" s="35"/>
      <c r="Z55" s="35"/>
      <c r="AA55" s="35"/>
      <c r="AB55" s="35"/>
      <c r="AC55" s="36"/>
      <c r="AD55" s="36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5"/>
      <c r="Y56" s="35"/>
      <c r="Z56" s="35"/>
      <c r="AA56" s="35"/>
      <c r="AB56" s="35"/>
      <c r="AC56" s="36"/>
      <c r="AD56" s="36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5"/>
      <c r="Y57" s="35"/>
      <c r="Z57" s="35"/>
      <c r="AA57" s="35"/>
      <c r="AB57" s="35"/>
      <c r="AC57" s="36"/>
      <c r="AD57" s="36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5"/>
      <c r="Y58" s="35"/>
      <c r="Z58" s="35"/>
      <c r="AA58" s="35"/>
      <c r="AB58" s="35"/>
      <c r="AC58" s="36"/>
      <c r="AD58" s="36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5"/>
      <c r="Y59" s="35"/>
      <c r="Z59" s="35"/>
      <c r="AA59" s="35"/>
      <c r="AB59" s="35"/>
      <c r="AC59" s="36"/>
      <c r="AD59" s="36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5"/>
      <c r="Y60" s="35"/>
      <c r="Z60" s="35"/>
      <c r="AA60" s="35"/>
      <c r="AB60" s="35"/>
      <c r="AC60" s="36"/>
      <c r="AD60" s="36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5"/>
      <c r="Y61" s="35"/>
      <c r="Z61" s="35"/>
      <c r="AA61" s="35"/>
      <c r="AB61" s="35"/>
      <c r="AC61" s="36"/>
      <c r="AD61" s="36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5"/>
      <c r="Y62" s="35"/>
      <c r="Z62" s="35"/>
      <c r="AA62" s="35"/>
      <c r="AB62" s="35"/>
      <c r="AC62" s="36"/>
      <c r="AD62" s="36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5"/>
      <c r="Y63" s="35"/>
      <c r="Z63" s="35"/>
      <c r="AA63" s="35"/>
      <c r="AB63" s="35"/>
      <c r="AC63" s="36"/>
      <c r="AD63" s="36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5"/>
      <c r="Y64" s="35"/>
      <c r="Z64" s="35"/>
      <c r="AA64" s="35"/>
      <c r="AB64" s="35"/>
      <c r="AC64" s="36"/>
      <c r="AD64" s="36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5"/>
      <c r="Y65" s="35"/>
      <c r="Z65" s="35"/>
      <c r="AA65" s="35"/>
      <c r="AB65" s="35"/>
      <c r="AC65" s="36"/>
      <c r="AD65" s="36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5"/>
      <c r="Y66" s="35"/>
      <c r="Z66" s="35"/>
      <c r="AA66" s="35"/>
      <c r="AB66" s="35"/>
      <c r="AC66" s="36"/>
      <c r="AD66" s="36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5"/>
      <c r="Y67" s="35"/>
      <c r="Z67" s="35"/>
      <c r="AA67" s="35"/>
      <c r="AB67" s="35"/>
      <c r="AC67" s="36"/>
      <c r="AD67" s="36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5"/>
      <c r="Y68" s="35"/>
      <c r="Z68" s="35"/>
      <c r="AA68" s="35"/>
      <c r="AB68" s="35"/>
      <c r="AC68" s="36"/>
      <c r="AD68" s="36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5"/>
      <c r="Y69" s="35"/>
      <c r="Z69" s="35"/>
      <c r="AA69" s="35"/>
      <c r="AB69" s="35"/>
      <c r="AC69" s="36"/>
      <c r="AD69" s="36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5"/>
      <c r="Y70" s="35"/>
      <c r="Z70" s="35"/>
      <c r="AA70" s="35"/>
      <c r="AB70" s="35"/>
      <c r="AC70" s="36"/>
      <c r="AD70" s="36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5"/>
      <c r="Y71" s="35"/>
      <c r="Z71" s="35"/>
      <c r="AA71" s="35"/>
      <c r="AB71" s="35"/>
      <c r="AC71" s="36"/>
      <c r="AD71" s="36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5"/>
      <c r="Y72" s="35"/>
      <c r="Z72" s="35"/>
      <c r="AA72" s="35"/>
      <c r="AB72" s="35"/>
      <c r="AC72" s="36"/>
      <c r="AD72" s="36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5"/>
      <c r="Y73" s="35"/>
      <c r="Z73" s="35"/>
      <c r="AA73" s="35"/>
      <c r="AB73" s="35"/>
      <c r="AC73" s="36"/>
      <c r="AD73" s="36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5"/>
      <c r="Y74" s="35"/>
      <c r="Z74" s="35"/>
      <c r="AA74" s="35"/>
      <c r="AB74" s="35"/>
      <c r="AC74" s="36"/>
      <c r="AD74" s="36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5"/>
      <c r="Y75" s="35"/>
      <c r="Z75" s="35"/>
      <c r="AA75" s="35"/>
      <c r="AB75" s="35"/>
      <c r="AC75" s="36"/>
      <c r="AD75" s="36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5"/>
      <c r="Y76" s="35"/>
      <c r="Z76" s="35"/>
      <c r="AA76" s="35"/>
      <c r="AB76" s="35"/>
      <c r="AC76" s="36"/>
      <c r="AD76" s="36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5"/>
      <c r="Y77" s="35"/>
      <c r="Z77" s="35"/>
      <c r="AA77" s="35"/>
      <c r="AB77" s="35"/>
      <c r="AC77" s="36"/>
      <c r="AD77" s="36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5"/>
      <c r="Y78" s="35"/>
      <c r="Z78" s="35"/>
      <c r="AA78" s="35"/>
      <c r="AB78" s="35"/>
      <c r="AC78" s="36"/>
      <c r="AD78" s="36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57" priority="21" operator="greaterThan">
      <formula>1.939</formula>
    </cfRule>
  </conditionalFormatting>
  <conditionalFormatting sqref="O4:O500">
    <cfRule type="cellIs" dxfId="256" priority="20" operator="equal">
      <formula>0</formula>
    </cfRule>
  </conditionalFormatting>
  <conditionalFormatting sqref="E4:E500">
    <cfRule type="cellIs" dxfId="255" priority="14" stopIfTrue="1" operator="greaterThanOrEqual">
      <formula>6.47</formula>
    </cfRule>
    <cfRule type="cellIs" dxfId="254" priority="15" stopIfTrue="1" operator="greaterThanOrEqual">
      <formula>6.19</formula>
    </cfRule>
    <cfRule type="cellIs" dxfId="253" priority="16" operator="greaterThanOrEqual">
      <formula>5.91</formula>
    </cfRule>
    <cfRule type="cellIs" dxfId="252" priority="17" stopIfTrue="1" operator="between">
      <formula>4.9</formula>
      <formula>0.01</formula>
    </cfRule>
    <cfRule type="cellIs" dxfId="251" priority="18" stopIfTrue="1" operator="between">
      <formula>5.12</formula>
      <formula>0.01</formula>
    </cfRule>
    <cfRule type="cellIs" dxfId="250" priority="19" operator="between">
      <formula>5.36</formula>
      <formula>0.01</formula>
    </cfRule>
  </conditionalFormatting>
  <conditionalFormatting sqref="F4:F500">
    <cfRule type="cellIs" dxfId="249" priority="8" stopIfTrue="1" operator="greaterThanOrEqual">
      <formula>42.9</formula>
    </cfRule>
    <cfRule type="cellIs" dxfId="248" priority="9" stopIfTrue="1" operator="greaterThanOrEqual">
      <formula>40.9</formula>
    </cfRule>
    <cfRule type="cellIs" dxfId="247" priority="10" operator="greaterThanOrEqual">
      <formula>38.9</formula>
    </cfRule>
    <cfRule type="cellIs" dxfId="246" priority="11" stopIfTrue="1" operator="between">
      <formula>30.9</formula>
      <formula>0.01</formula>
    </cfRule>
    <cfRule type="cellIs" dxfId="245" priority="12" stopIfTrue="1" operator="between">
      <formula>32.9</formula>
      <formula>0.01</formula>
    </cfRule>
    <cfRule type="cellIs" dxfId="244" priority="13" operator="between">
      <formula>34.9</formula>
      <formula>0.01</formula>
    </cfRule>
  </conditionalFormatting>
  <conditionalFormatting sqref="G4:G500">
    <cfRule type="cellIs" dxfId="243" priority="1" stopIfTrue="1" operator="greaterThanOrEqual">
      <formula>0.91</formula>
    </cfRule>
    <cfRule type="cellIs" dxfId="242" priority="3" stopIfTrue="1" operator="greaterThanOrEqual">
      <formula>0.87</formula>
    </cfRule>
    <cfRule type="cellIs" dxfId="241" priority="4" operator="greaterThanOrEqual">
      <formula>0.83</formula>
    </cfRule>
    <cfRule type="cellIs" dxfId="240" priority="5" stopIfTrue="1" operator="between">
      <formula>0.69</formula>
      <formula>0.01</formula>
    </cfRule>
    <cfRule type="cellIs" dxfId="239" priority="6" stopIfTrue="1" operator="between">
      <formula>0.72</formula>
      <formula>0.01</formula>
    </cfRule>
    <cfRule type="cellIs" dxfId="238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B21" sqref="B2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239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408</v>
      </c>
      <c r="Y4" t="s">
        <v>406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407</v>
      </c>
      <c r="Y5" t="s">
        <v>406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409</v>
      </c>
      <c r="Y6" t="s">
        <v>406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409</v>
      </c>
      <c r="Y7" t="s">
        <v>410</v>
      </c>
    </row>
    <row r="8" spans="1:25">
      <c r="A8" t="s">
        <v>232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431</v>
      </c>
      <c r="Y8" t="s">
        <v>412</v>
      </c>
    </row>
    <row r="9" spans="1:25">
      <c r="A9" s="4" t="s">
        <v>231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432</v>
      </c>
      <c r="Y9" t="s">
        <v>412</v>
      </c>
    </row>
    <row r="10" spans="1:25">
      <c r="A10" t="s">
        <v>227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431</v>
      </c>
      <c r="Y10" t="s">
        <v>412</v>
      </c>
    </row>
    <row r="11" spans="1:25">
      <c r="A11" t="s">
        <v>228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433</v>
      </c>
      <c r="Y11" t="s">
        <v>410</v>
      </c>
    </row>
    <row r="12" spans="1:25">
      <c r="A12" s="1" t="s">
        <v>226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433</v>
      </c>
      <c r="Y12" t="s">
        <v>410</v>
      </c>
    </row>
    <row r="13" spans="1:25">
      <c r="A13" t="s">
        <v>229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431</v>
      </c>
      <c r="Y13" t="s">
        <v>412</v>
      </c>
    </row>
    <row r="14" spans="1:25">
      <c r="A14" t="s">
        <v>238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2.4423882352941173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60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637.65872047058815</v>
      </c>
      <c r="X14" t="s">
        <v>382</v>
      </c>
      <c r="Y14" t="s">
        <v>380</v>
      </c>
    </row>
    <row r="15" spans="1:25">
      <c r="A15" s="40" t="s">
        <v>278</v>
      </c>
      <c r="B15" s="7">
        <v>4</v>
      </c>
      <c r="C15" s="2">
        <f>SUM(((Table1681011[[#This Row],[Avg DPS]]*(Table1681011[[#This Row],[Range]]))+(Table1681011[[#This Row],[Avg DPS]]*(Table1681011[[#This Row],[Arm Pen (%)]]/4)))/100)</f>
        <v>2.0805771028037383</v>
      </c>
      <c r="D15" s="3">
        <f>SUM(Table1681011[[#This Row],[DPS]]*Table1681011[[#This Row],[Avg Accuracy]])</f>
        <v>3.7219626168224296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5.0467289719626169</v>
      </c>
      <c r="F15" s="7">
        <v>45.9</v>
      </c>
      <c r="G15" s="2">
        <f>SUM((Table1681011[[#This Row],[Accuracy (Close)]]+Table1681011[[#This Row],[Accuracy (Short)]]+Table1681011[[#This Row],[Accuracy (Medium)]]+Table1681011[[#This Row],[Accuracy (Long)]])/4)</f>
        <v>0.73749999999999993</v>
      </c>
      <c r="H15" s="7">
        <v>27</v>
      </c>
      <c r="I15" s="7">
        <v>1.5</v>
      </c>
      <c r="J15" s="7">
        <v>40</v>
      </c>
      <c r="K15" s="7">
        <v>1</v>
      </c>
      <c r="L15" s="7">
        <v>1.75</v>
      </c>
      <c r="M15" s="7">
        <v>3.6</v>
      </c>
      <c r="N15" s="7">
        <v>0</v>
      </c>
      <c r="O15" s="2">
        <v>0</v>
      </c>
      <c r="P15" s="7">
        <v>0.5</v>
      </c>
      <c r="Q15" s="7">
        <v>0.7</v>
      </c>
      <c r="R15" s="7">
        <v>0.85</v>
      </c>
      <c r="S15">
        <v>0.9</v>
      </c>
      <c r="T15">
        <v>100</v>
      </c>
      <c r="U15">
        <v>14</v>
      </c>
      <c r="V15" t="s">
        <v>86</v>
      </c>
      <c r="W15" s="43">
        <f>Table1681011[[#This Row],[Balance]]*$W$2</f>
        <v>543.19706999999994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2.30076875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45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8</v>
      </c>
      <c r="V16" t="s">
        <v>87</v>
      </c>
      <c r="W16" s="43">
        <f>Table1681011[[#This Row],[Balance]]*$W$2</f>
        <v>600.68470524999998</v>
      </c>
      <c r="X16" t="s">
        <v>381</v>
      </c>
      <c r="Y16" t="s">
        <v>380</v>
      </c>
    </row>
    <row r="17" spans="1:25" s="4" customFormat="1">
      <c r="A17" s="4" t="s">
        <v>460</v>
      </c>
      <c r="B17" s="4">
        <v>4</v>
      </c>
      <c r="C17" s="2">
        <f>SUM(((Table1681011[[#This Row],[Avg DPS]]*(Table1681011[[#This Row],[Range]]))+(Table1681011[[#This Row],[Avg DPS]]*(Table1681011[[#This Row],[Arm Pen (%)]]/4)))/100)</f>
        <v>2.266113461538461</v>
      </c>
      <c r="D17" s="3">
        <f>SUM(Table1681011[[#This Row],[DPS]]*Table1681011[[#This Row],[Avg Accuracy]])</f>
        <v>3.5884615384615381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4.615384615384615</v>
      </c>
      <c r="F17">
        <v>51.9</v>
      </c>
      <c r="G17" s="2">
        <f>SUM((Table1681011[[#This Row],[Accuracy (Close)]]+Table1681011[[#This Row],[Accuracy (Short)]]+Table1681011[[#This Row],[Accuracy (Medium)]]+Table1681011[[#This Row],[Accuracy (Long)]])/4)</f>
        <v>0.77749999999999997</v>
      </c>
      <c r="H17">
        <v>30</v>
      </c>
      <c r="I17">
        <v>2.5</v>
      </c>
      <c r="J17">
        <v>45</v>
      </c>
      <c r="K17">
        <v>1</v>
      </c>
      <c r="L17">
        <v>2.4</v>
      </c>
      <c r="M17">
        <v>4.0999999999999996</v>
      </c>
      <c r="N17">
        <v>0</v>
      </c>
      <c r="O17" s="2">
        <v>0</v>
      </c>
      <c r="P17">
        <v>0.4</v>
      </c>
      <c r="Q17">
        <v>0.77</v>
      </c>
      <c r="R17">
        <v>0.98</v>
      </c>
      <c r="S17">
        <v>0.96</v>
      </c>
      <c r="T17">
        <v>120</v>
      </c>
      <c r="U17">
        <v>10</v>
      </c>
      <c r="V17" t="s">
        <v>87</v>
      </c>
      <c r="W17" s="43">
        <f>Table1681011[[#This Row],[Balance]]*$W$2</f>
        <v>591.63690253846141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U18" s="72">
        <v>4</v>
      </c>
      <c r="V18" s="72" t="s">
        <v>86</v>
      </c>
      <c r="W18" s="79">
        <v>530</v>
      </c>
    </row>
    <row r="19" spans="1:25">
      <c r="A19" t="s">
        <v>459</v>
      </c>
      <c r="B19">
        <v>4</v>
      </c>
      <c r="C19" s="2">
        <f>SUM(((Table1681011[[#This Row],[Avg DPS]]*(Table1681011[[#This Row],[Range]]))+(Table1681011[[#This Row],[Avg DPS]]*(Table1681011[[#This Row],[Arm Pen (%)]]/4)))/100)</f>
        <v>2.203073863636364</v>
      </c>
      <c r="D19" s="3">
        <f>SUM(Table1681011[[#This Row],[DPS]]*Table1681011[[#This Row],[Avg Accuracy]])</f>
        <v>3.4886363636363642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9">
        <v>51.9</v>
      </c>
      <c r="G19" s="2">
        <f>SUM((Table1681011[[#This Row],[Accuracy (Close)]]+Table1681011[[#This Row],[Accuracy (Short)]]+Table1681011[[#This Row],[Accuracy (Medium)]]+Table1681011[[#This Row],[Accuracy (Long)]])/4)</f>
        <v>0.76750000000000007</v>
      </c>
      <c r="H19">
        <v>30</v>
      </c>
      <c r="I19">
        <v>2.5</v>
      </c>
      <c r="J19">
        <v>45</v>
      </c>
      <c r="K19">
        <v>1</v>
      </c>
      <c r="L19">
        <v>2.7</v>
      </c>
      <c r="M19">
        <v>3.9</v>
      </c>
      <c r="N19">
        <v>0</v>
      </c>
      <c r="O19" s="2">
        <v>0</v>
      </c>
      <c r="P19">
        <v>0.4</v>
      </c>
      <c r="Q19">
        <v>0.75</v>
      </c>
      <c r="R19">
        <v>0.97</v>
      </c>
      <c r="S19">
        <v>0.95</v>
      </c>
      <c r="T19">
        <v>120</v>
      </c>
      <c r="U19">
        <v>14</v>
      </c>
      <c r="V19" t="s">
        <v>87</v>
      </c>
      <c r="W19" s="43">
        <f>Table1681011[[#This Row],[Balance]]*$W$2</f>
        <v>575.17852431818187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21" priority="20" operator="greaterThan">
      <formula>2.1</formula>
    </cfRule>
  </conditionalFormatting>
  <conditionalFormatting sqref="O1:O1048576">
    <cfRule type="cellIs" dxfId="220" priority="19" operator="equal">
      <formula>0</formula>
    </cfRule>
  </conditionalFormatting>
  <conditionalFormatting sqref="E4:E500">
    <cfRule type="cellIs" dxfId="219" priority="13" stopIfTrue="1" operator="greaterThanOrEqual">
      <formula>5.75</formula>
    </cfRule>
    <cfRule type="cellIs" dxfId="218" priority="14" stopIfTrue="1" operator="greaterThanOrEqual">
      <formula>5.5</formula>
    </cfRule>
    <cfRule type="cellIs" dxfId="217" priority="15" operator="greaterThanOrEqual">
      <formula>5.25</formula>
    </cfRule>
    <cfRule type="cellIs" dxfId="216" priority="16" stopIfTrue="1" operator="between">
      <formula>4.35</formula>
      <formula>0.01</formula>
    </cfRule>
    <cfRule type="cellIs" dxfId="215" priority="17" stopIfTrue="1" operator="between">
      <formula>4.55</formula>
      <formula>0.01</formula>
    </cfRule>
    <cfRule type="cellIs" dxfId="214" priority="18" operator="between">
      <formula>4.76</formula>
      <formula>0.01</formula>
    </cfRule>
  </conditionalFormatting>
  <conditionalFormatting sqref="F4:F500">
    <cfRule type="cellIs" dxfId="213" priority="7" stopIfTrue="1" operator="greaterThanOrEqual">
      <formula>50.9</formula>
    </cfRule>
    <cfRule type="cellIs" dxfId="212" priority="8" stopIfTrue="1" operator="greaterThanOrEqual">
      <formula>48.9</formula>
    </cfRule>
    <cfRule type="cellIs" dxfId="211" priority="9" operator="greaterThanOrEqual">
      <formula>46.9</formula>
    </cfRule>
    <cfRule type="cellIs" dxfId="210" priority="10" stopIfTrue="1" operator="between">
      <formula>38.9</formula>
      <formula>0.01</formula>
    </cfRule>
    <cfRule type="cellIs" dxfId="209" priority="11" stopIfTrue="1" operator="between">
      <formula>40.9</formula>
      <formula>0.01</formula>
    </cfRule>
    <cfRule type="cellIs" dxfId="208" priority="12" operator="between">
      <formula>42.9</formula>
      <formula>0.01</formula>
    </cfRule>
  </conditionalFormatting>
  <conditionalFormatting sqref="G4:G500">
    <cfRule type="cellIs" dxfId="207" priority="4" stopIfTrue="1" operator="between">
      <formula>0.65</formula>
      <formula>0.01</formula>
    </cfRule>
    <cfRule type="cellIs" dxfId="206" priority="5" stopIfTrue="1" operator="between">
      <formula>0.68</formula>
      <formula>0.01</formula>
    </cfRule>
    <cfRule type="cellIs" dxfId="205" priority="6" operator="between">
      <formula>0.71</formula>
      <formula>0.01</formula>
    </cfRule>
    <cfRule type="cellIs" dxfId="204" priority="3" operator="greaterThanOrEqual">
      <formula>0.79</formula>
    </cfRule>
    <cfRule type="cellIs" dxfId="203" priority="2" stopIfTrue="1" operator="greaterThanOrEqual">
      <formula>0.83</formula>
    </cfRule>
    <cfRule type="cellIs" dxfId="202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237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95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H26" sqref="H2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242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202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375</v>
      </c>
      <c r="Y4" t="s">
        <v>374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376</v>
      </c>
      <c r="Y5" t="s">
        <v>374</v>
      </c>
    </row>
    <row r="6" spans="1:25">
      <c r="A6" t="s">
        <v>264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376</v>
      </c>
      <c r="Y6" t="s">
        <v>374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376</v>
      </c>
      <c r="Y7" t="s">
        <v>374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377</v>
      </c>
      <c r="Y8" t="s">
        <v>374</v>
      </c>
    </row>
    <row r="9" spans="1:25">
      <c r="A9" s="14" t="s">
        <v>233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375</v>
      </c>
      <c r="Y9" t="s">
        <v>374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379</v>
      </c>
      <c r="Y10" t="s">
        <v>378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2.0120354053754896</v>
      </c>
      <c r="D11" s="74">
        <f>SUM(Table168101112[[#This Row],[DPS]]*Table168101112[[#This Row],[Avg Accuracy]])</f>
        <v>6.7292154025936108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18.065007792197612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512.29</v>
      </c>
      <c r="O11" s="74">
        <f t="shared" si="0"/>
        <v>0.11712116184192548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342</v>
      </c>
      <c r="B13" s="4">
        <v>4</v>
      </c>
      <c r="C13" s="2">
        <f>SUM(((Table168101112[[#This Row],[Avg DPS]]*(Table168101112[[#This Row],[Range]]))+(Table168101112[[#This Row],[Avg DPS]]*(Table168101112[[#This Row],[Arm Pen (%)]]/4)))/100)</f>
        <v>2.4139879518072287</v>
      </c>
      <c r="D13" s="3">
        <f>SUM(Table168101112[[#This Row],[DPS]]*Table168101112[[#This Row],[Avg Accuracy]])</f>
        <v>7.3373493975903621</v>
      </c>
      <c r="E13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20.240963855421686</v>
      </c>
      <c r="F13">
        <v>27.9</v>
      </c>
      <c r="G13" s="2">
        <f>SUM((Table168101112[[#This Row],[Accuracy (Close)]]+Table168101112[[#This Row],[Accuracy (Short)]]+Table168101112[[#This Row],[Accuracy (Medium)]]+Table168101112[[#This Row],[Accuracy (Long)]])/4)</f>
        <v>0.36250000000000004</v>
      </c>
      <c r="H13">
        <v>14</v>
      </c>
      <c r="I13">
        <v>1</v>
      </c>
      <c r="J13">
        <v>20</v>
      </c>
      <c r="K13">
        <v>6</v>
      </c>
      <c r="L13">
        <v>1.65</v>
      </c>
      <c r="M13">
        <v>2</v>
      </c>
      <c r="N13">
        <v>600</v>
      </c>
      <c r="O13" s="2">
        <f t="shared" si="0"/>
        <v>0.1</v>
      </c>
      <c r="P13">
        <v>0.4</v>
      </c>
      <c r="Q13">
        <v>0.45</v>
      </c>
      <c r="R13">
        <v>0.34</v>
      </c>
      <c r="S13">
        <v>0.26</v>
      </c>
      <c r="T13">
        <v>50</v>
      </c>
      <c r="U13">
        <v>9.17</v>
      </c>
      <c r="V13" t="s">
        <v>87</v>
      </c>
      <c r="W13" s="43">
        <f>Table168101112[[#This Row],[Balance]]*$W$1</f>
        <v>510.41361253012042</v>
      </c>
    </row>
    <row r="14" spans="1:25">
      <c r="A14" t="s">
        <v>343</v>
      </c>
      <c r="B14">
        <v>4</v>
      </c>
      <c r="C14" s="2">
        <f>SUM(((Table168101112[[#This Row],[Avg DPS]]*(Table168101112[[#This Row],[Range]]))+(Table168101112[[#This Row],[Avg DPS]]*(Table168101112[[#This Row],[Arm Pen (%)]]/4)))/100)</f>
        <v>2.5029000000000003</v>
      </c>
      <c r="D14" s="3">
        <f>SUM(Table168101112[[#This Row],[DPS]]*Table168101112[[#This Row],[Avg Accuracy]])</f>
        <v>8.1000000000000014</v>
      </c>
      <c r="E1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</v>
      </c>
      <c r="F14">
        <v>25.9</v>
      </c>
      <c r="G14" s="2">
        <f>SUM((Table168101112[[#This Row],[Accuracy (Close)]]+Table168101112[[#This Row],[Accuracy (Short)]]+Table168101112[[#This Row],[Accuracy (Medium)]]+Table168101112[[#This Row],[Accuracy (Long)]])/4)</f>
        <v>0.40500000000000003</v>
      </c>
      <c r="H14">
        <v>14</v>
      </c>
      <c r="I14">
        <v>1</v>
      </c>
      <c r="J14">
        <v>20</v>
      </c>
      <c r="K14">
        <v>6</v>
      </c>
      <c r="L14">
        <v>1.7</v>
      </c>
      <c r="M14">
        <v>2</v>
      </c>
      <c r="N14">
        <v>600</v>
      </c>
      <c r="O14" s="2">
        <f t="shared" si="0"/>
        <v>0.1</v>
      </c>
      <c r="P14">
        <v>0.4</v>
      </c>
      <c r="Q14">
        <v>0.51</v>
      </c>
      <c r="R14">
        <v>0.42</v>
      </c>
      <c r="S14">
        <v>0.28999999999999998</v>
      </c>
      <c r="T14">
        <v>50</v>
      </c>
      <c r="U14">
        <v>9.4</v>
      </c>
      <c r="V14" t="s">
        <v>87</v>
      </c>
      <c r="W14" s="43">
        <f>Table168101112[[#This Row],[Balance]]*$W$1</f>
        <v>529.21317600000009</v>
      </c>
    </row>
    <row r="15" spans="1:25">
      <c r="A15" t="s">
        <v>469</v>
      </c>
      <c r="B15">
        <v>4</v>
      </c>
      <c r="C15" s="2">
        <f>SUM(((Table168101112[[#This Row],[Avg DPS]]*(Table168101112[[#This Row],[Range]]))+(Table168101112[[#This Row],[Avg DPS]]*(Table168101112[[#This Row],[Arm Pen (%)]]/4)))/100)</f>
        <v>2.3512090909090908</v>
      </c>
      <c r="D15" s="3">
        <f>SUM(Table168101112[[#This Row],[DPS]]*Table168101112[[#This Row],[Avg Accuracy]])</f>
        <v>7.6090909090909093</v>
      </c>
      <c r="E1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19.636363636363637</v>
      </c>
      <c r="F15">
        <v>26.9</v>
      </c>
      <c r="G15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15">
        <v>12</v>
      </c>
      <c r="I15">
        <v>1</v>
      </c>
      <c r="J15">
        <v>16</v>
      </c>
      <c r="K15">
        <v>6</v>
      </c>
      <c r="L15">
        <v>1.5</v>
      </c>
      <c r="M15">
        <v>1.75</v>
      </c>
      <c r="N15">
        <v>720</v>
      </c>
      <c r="O15" s="2">
        <f t="shared" si="0"/>
        <v>8.3333333333333329E-2</v>
      </c>
      <c r="P15">
        <v>0.4</v>
      </c>
      <c r="Q15">
        <v>0.5</v>
      </c>
      <c r="R15">
        <v>0.37</v>
      </c>
      <c r="S15">
        <v>0.28000000000000003</v>
      </c>
      <c r="T15">
        <v>50</v>
      </c>
      <c r="U15">
        <v>6.6</v>
      </c>
      <c r="V15" t="s">
        <v>87</v>
      </c>
      <c r="W15" s="43">
        <f>Table168101112[[#This Row],[Balance]]*$W$1</f>
        <v>497.13965018181813</v>
      </c>
    </row>
    <row r="16" spans="1:25"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189" priority="19" operator="greaterThan">
      <formula>3.189</formula>
    </cfRule>
  </conditionalFormatting>
  <conditionalFormatting sqref="E4:E500">
    <cfRule type="cellIs" dxfId="188" priority="13" stopIfTrue="1" operator="greaterThanOrEqual">
      <formula>20.79</formula>
    </cfRule>
    <cfRule type="cellIs" dxfId="187" priority="14" stopIfTrue="1" operator="greaterThanOrEqual">
      <formula>19.89</formula>
    </cfRule>
    <cfRule type="cellIs" dxfId="186" priority="15" operator="greaterThanOrEqual">
      <formula>18.98</formula>
    </cfRule>
    <cfRule type="cellIs" dxfId="185" priority="16" stopIfTrue="1" operator="between">
      <formula>15.72</formula>
      <formula>0.01</formula>
    </cfRule>
    <cfRule type="cellIs" dxfId="184" priority="17" stopIfTrue="1" operator="between">
      <formula>16.44</formula>
      <formula>0.01</formula>
    </cfRule>
    <cfRule type="cellIs" dxfId="183" priority="18" operator="between">
      <formula>17.22</formula>
      <formula>0.01</formula>
    </cfRule>
  </conditionalFormatting>
  <conditionalFormatting sqref="F4:F500">
    <cfRule type="cellIs" dxfId="182" priority="7" stopIfTrue="1" operator="greaterThanOrEqual">
      <formula>31.9</formula>
    </cfRule>
    <cfRule type="cellIs" dxfId="181" priority="8" stopIfTrue="1" operator="greaterThanOrEqual">
      <formula>29.9</formula>
    </cfRule>
    <cfRule type="cellIs" dxfId="180" priority="9" operator="greaterThanOrEqual">
      <formula>27.9</formula>
    </cfRule>
    <cfRule type="cellIs" dxfId="179" priority="10" stopIfTrue="1" operator="between">
      <formula>19.9</formula>
      <formula>0.01</formula>
    </cfRule>
    <cfRule type="cellIs" dxfId="178" priority="11" stopIfTrue="1" operator="between">
      <formula>21.9</formula>
      <formula>0.01</formula>
    </cfRule>
    <cfRule type="cellIs" dxfId="177" priority="12" operator="between">
      <formula>23.9</formula>
      <formula>0.01</formula>
    </cfRule>
  </conditionalFormatting>
  <conditionalFormatting sqref="G4:G500">
    <cfRule type="cellIs" dxfId="176" priority="1" stopIfTrue="1" operator="greaterThanOrEqual">
      <formula>0.43</formula>
    </cfRule>
    <cfRule type="cellIs" dxfId="175" priority="2" stopIfTrue="1" operator="greaterThanOrEqual">
      <formula>0.41</formula>
    </cfRule>
    <cfRule type="cellIs" dxfId="174" priority="3" operator="greaterThanOrEqual">
      <formula>0.39</formula>
    </cfRule>
    <cfRule type="cellIs" dxfId="173" priority="4" stopIfTrue="1" operator="between">
      <formula>0.32</formula>
      <formula>0.01</formula>
    </cfRule>
    <cfRule type="cellIs" dxfId="172" priority="5" stopIfTrue="1" operator="between">
      <formula>0.34</formula>
      <formula>0.01</formula>
    </cfRule>
    <cfRule type="cellIs" dxfId="171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Spare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2025-08-24T07:13:41Z</dcterms:modified>
</cp:coreProperties>
</file>