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7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Shotgun" sheetId="12" r:id="rId8"/>
    <sheet name="Melee" sheetId="17" r:id="rId9"/>
    <sheet name="Volumes" sheetId="15" r:id="rId10"/>
  </sheets>
  <calcPr calcId="124519"/>
</workbook>
</file>

<file path=xl/calcChain.xml><?xml version="1.0" encoding="utf-8"?>
<calcChain xmlns="http://schemas.openxmlformats.org/spreadsheetml/2006/main">
  <c r="G21" i="9"/>
  <c r="G22"/>
  <c r="G23"/>
  <c r="G24"/>
  <c r="G25"/>
  <c r="G26"/>
  <c r="G27"/>
  <c r="G28"/>
  <c r="G29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11" i="11"/>
  <c r="O14" i="9"/>
  <c r="E14" s="1"/>
  <c r="G14"/>
  <c r="E5" i="11"/>
  <c r="G5"/>
  <c r="O5"/>
  <c r="O11" i="5"/>
  <c r="E11" s="1"/>
  <c r="G11"/>
  <c r="H13" i="15"/>
  <c r="I13"/>
  <c r="J13"/>
  <c r="K13"/>
  <c r="F13"/>
  <c r="G13"/>
  <c r="E9"/>
  <c r="E8"/>
  <c r="E7"/>
  <c r="E6"/>
  <c r="E5"/>
  <c r="E4"/>
  <c r="E3"/>
  <c r="E2"/>
  <c r="E4" i="8"/>
  <c r="G4"/>
  <c r="D9" i="15"/>
  <c r="D8"/>
  <c r="D7"/>
  <c r="D6"/>
  <c r="D5"/>
  <c r="D4"/>
  <c r="D3"/>
  <c r="D2"/>
  <c r="C9"/>
  <c r="C8"/>
  <c r="C7"/>
  <c r="C6"/>
  <c r="C5"/>
  <c r="C4"/>
  <c r="C3"/>
  <c r="C2"/>
  <c r="B9"/>
  <c r="B8"/>
  <c r="B7"/>
  <c r="B6"/>
  <c r="B5"/>
  <c r="B4"/>
  <c r="B3"/>
  <c r="B2"/>
  <c r="D23" i="14"/>
  <c r="C23" s="1"/>
  <c r="E12"/>
  <c r="D12" s="1"/>
  <c r="C12" s="1"/>
  <c r="E13"/>
  <c r="D13" s="1"/>
  <c r="C13" s="1"/>
  <c r="E14"/>
  <c r="D14" s="1"/>
  <c r="C14" s="1"/>
  <c r="E15"/>
  <c r="D15" s="1"/>
  <c r="C15" s="1"/>
  <c r="E16"/>
  <c r="D16" s="1"/>
  <c r="C16" s="1"/>
  <c r="E17"/>
  <c r="D17" s="1"/>
  <c r="C17" s="1"/>
  <c r="E18"/>
  <c r="D18" s="1"/>
  <c r="C18" s="1"/>
  <c r="E19"/>
  <c r="D19" s="1"/>
  <c r="C19" s="1"/>
  <c r="E20"/>
  <c r="D20" s="1"/>
  <c r="C20" s="1"/>
  <c r="E21"/>
  <c r="D21" s="1"/>
  <c r="C21" s="1"/>
  <c r="E22"/>
  <c r="D22" s="1"/>
  <c r="C22" s="1"/>
  <c r="E23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O13"/>
  <c r="O14"/>
  <c r="O15"/>
  <c r="O16"/>
  <c r="O17"/>
  <c r="O18"/>
  <c r="O19"/>
  <c r="O20"/>
  <c r="O21"/>
  <c r="O22"/>
  <c r="O23"/>
  <c r="O24"/>
  <c r="E24" s="1"/>
  <c r="D24" s="1"/>
  <c r="C24" s="1"/>
  <c r="O25"/>
  <c r="E25" s="1"/>
  <c r="D25" s="1"/>
  <c r="C25" s="1"/>
  <c r="O26"/>
  <c r="E26" s="1"/>
  <c r="D26" s="1"/>
  <c r="C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O5"/>
  <c r="E5" s="1"/>
  <c r="D5" s="1"/>
  <c r="C5" s="1"/>
  <c r="G5"/>
  <c r="O4"/>
  <c r="E4" s="1"/>
  <c r="G4"/>
  <c r="O19" i="12"/>
  <c r="E19" s="1"/>
  <c r="G19"/>
  <c r="O18"/>
  <c r="E18" s="1"/>
  <c r="D18" s="1"/>
  <c r="C18" s="1"/>
  <c r="G18"/>
  <c r="O17"/>
  <c r="E17" s="1"/>
  <c r="G17"/>
  <c r="O16"/>
  <c r="E16" s="1"/>
  <c r="D16" s="1"/>
  <c r="C16" s="1"/>
  <c r="G16"/>
  <c r="O15"/>
  <c r="G15"/>
  <c r="E15"/>
  <c r="D15" s="1"/>
  <c r="C15" s="1"/>
  <c r="O14"/>
  <c r="E14" s="1"/>
  <c r="D14" s="1"/>
  <c r="C14" s="1"/>
  <c r="G14"/>
  <c r="O13"/>
  <c r="E13" s="1"/>
  <c r="G13"/>
  <c r="O12"/>
  <c r="E12" s="1"/>
  <c r="D12" s="1"/>
  <c r="C12" s="1"/>
  <c r="G12"/>
  <c r="O11"/>
  <c r="E11" s="1"/>
  <c r="D11" s="1"/>
  <c r="C11" s="1"/>
  <c r="G11"/>
  <c r="O10"/>
  <c r="E10" s="1"/>
  <c r="D10" s="1"/>
  <c r="C10" s="1"/>
  <c r="G10"/>
  <c r="O9"/>
  <c r="E9" s="1"/>
  <c r="D9" s="1"/>
  <c r="C9" s="1"/>
  <c r="G9"/>
  <c r="O8"/>
  <c r="E8" s="1"/>
  <c r="D8" s="1"/>
  <c r="C8" s="1"/>
  <c r="G8"/>
  <c r="O7"/>
  <c r="E7" s="1"/>
  <c r="G7"/>
  <c r="E6"/>
  <c r="G6"/>
  <c r="E5"/>
  <c r="G5"/>
  <c r="E4"/>
  <c r="G4"/>
  <c r="E5" i="8"/>
  <c r="D5" s="1"/>
  <c r="C5" s="1"/>
  <c r="G5"/>
  <c r="E7" i="5"/>
  <c r="G7"/>
  <c r="O7"/>
  <c r="O4" i="11"/>
  <c r="O6"/>
  <c r="E6" s="1"/>
  <c r="O20"/>
  <c r="E20" s="1"/>
  <c r="D20" s="1"/>
  <c r="C20" s="1"/>
  <c r="G20"/>
  <c r="O19"/>
  <c r="E19" s="1"/>
  <c r="G19"/>
  <c r="O18"/>
  <c r="E18" s="1"/>
  <c r="D18" s="1"/>
  <c r="C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12"/>
  <c r="E12" s="1"/>
  <c r="G12"/>
  <c r="E11"/>
  <c r="G11"/>
  <c r="O10"/>
  <c r="E10" s="1"/>
  <c r="G10"/>
  <c r="O9"/>
  <c r="E9" s="1"/>
  <c r="G9"/>
  <c r="O8"/>
  <c r="E8" s="1"/>
  <c r="G8"/>
  <c r="O7"/>
  <c r="E7" s="1"/>
  <c r="G7"/>
  <c r="G6"/>
  <c r="G4"/>
  <c r="E4"/>
  <c r="E5" i="10"/>
  <c r="G5"/>
  <c r="E6"/>
  <c r="G6"/>
  <c r="E7"/>
  <c r="G7"/>
  <c r="E8"/>
  <c r="D8" s="1"/>
  <c r="C8" s="1"/>
  <c r="G8"/>
  <c r="O8"/>
  <c r="E9"/>
  <c r="G9"/>
  <c r="O9"/>
  <c r="E10"/>
  <c r="D10" s="1"/>
  <c r="C10" s="1"/>
  <c r="G10"/>
  <c r="O10"/>
  <c r="G11"/>
  <c r="O11"/>
  <c r="E11" s="1"/>
  <c r="E12"/>
  <c r="G12"/>
  <c r="O12"/>
  <c r="E13"/>
  <c r="D13" s="1"/>
  <c r="C13" s="1"/>
  <c r="G13"/>
  <c r="O13"/>
  <c r="E14"/>
  <c r="D14" s="1"/>
  <c r="C14" s="1"/>
  <c r="G14"/>
  <c r="O14"/>
  <c r="E15"/>
  <c r="G15"/>
  <c r="O15"/>
  <c r="G16"/>
  <c r="O16"/>
  <c r="E16" s="1"/>
  <c r="G5" i="9"/>
  <c r="E5"/>
  <c r="O19" i="10"/>
  <c r="E19" s="1"/>
  <c r="D19" s="1"/>
  <c r="C19" s="1"/>
  <c r="G19"/>
  <c r="O18"/>
  <c r="E18" s="1"/>
  <c r="D18" s="1"/>
  <c r="C18" s="1"/>
  <c r="G18"/>
  <c r="O17"/>
  <c r="E17" s="1"/>
  <c r="D17" s="1"/>
  <c r="C17" s="1"/>
  <c r="G17"/>
  <c r="E4"/>
  <c r="D4" s="1"/>
  <c r="C4" s="1"/>
  <c r="G4"/>
  <c r="O4" i="9"/>
  <c r="E4" s="1"/>
  <c r="G17" i="8"/>
  <c r="O17"/>
  <c r="E17" s="1"/>
  <c r="G5" i="5"/>
  <c r="O5"/>
  <c r="E5" s="1"/>
  <c r="O20" i="9"/>
  <c r="E20" s="1"/>
  <c r="G20"/>
  <c r="O19"/>
  <c r="E19" s="1"/>
  <c r="G19"/>
  <c r="E18"/>
  <c r="G18"/>
  <c r="O17"/>
  <c r="E17" s="1"/>
  <c r="G17"/>
  <c r="O16"/>
  <c r="E16" s="1"/>
  <c r="G16"/>
  <c r="O15"/>
  <c r="E15" s="1"/>
  <c r="G15"/>
  <c r="O13"/>
  <c r="E13" s="1"/>
  <c r="G13"/>
  <c r="O12"/>
  <c r="E12" s="1"/>
  <c r="G12"/>
  <c r="O11"/>
  <c r="E11" s="1"/>
  <c r="G11"/>
  <c r="O10"/>
  <c r="E10" s="1"/>
  <c r="G10"/>
  <c r="O9"/>
  <c r="E9" s="1"/>
  <c r="G9"/>
  <c r="O8"/>
  <c r="E8" s="1"/>
  <c r="D8" s="1"/>
  <c r="C8" s="1"/>
  <c r="G8"/>
  <c r="O7"/>
  <c r="E7" s="1"/>
  <c r="G7"/>
  <c r="O6"/>
  <c r="E6" s="1"/>
  <c r="G6"/>
  <c r="G4"/>
  <c r="G6" i="8"/>
  <c r="G7"/>
  <c r="G8"/>
  <c r="G9"/>
  <c r="G10"/>
  <c r="G11"/>
  <c r="G12"/>
  <c r="G13"/>
  <c r="G14"/>
  <c r="G15"/>
  <c r="G16"/>
  <c r="G4" i="5"/>
  <c r="O4"/>
  <c r="E4" s="1"/>
  <c r="O16" i="8"/>
  <c r="E16" s="1"/>
  <c r="O15"/>
  <c r="E15" s="1"/>
  <c r="O14"/>
  <c r="E14" s="1"/>
  <c r="O13"/>
  <c r="E13" s="1"/>
  <c r="O12"/>
  <c r="E12" s="1"/>
  <c r="O11"/>
  <c r="E11" s="1"/>
  <c r="O10"/>
  <c r="E10" s="1"/>
  <c r="O9"/>
  <c r="E9" s="1"/>
  <c r="O8"/>
  <c r="E8" s="1"/>
  <c r="O7"/>
  <c r="E7" s="1"/>
  <c r="E6"/>
  <c r="O5" i="7"/>
  <c r="E5" s="1"/>
  <c r="O6"/>
  <c r="E6" s="1"/>
  <c r="O7"/>
  <c r="E7" s="1"/>
  <c r="O8"/>
  <c r="O9"/>
  <c r="E9" s="1"/>
  <c r="O10"/>
  <c r="O11"/>
  <c r="O12"/>
  <c r="O13"/>
  <c r="E13" s="1"/>
  <c r="O14"/>
  <c r="E14" s="1"/>
  <c r="O15"/>
  <c r="O16"/>
  <c r="E16" s="1"/>
  <c r="O17"/>
  <c r="O18"/>
  <c r="O19"/>
  <c r="O20"/>
  <c r="G5"/>
  <c r="G6"/>
  <c r="G7"/>
  <c r="G8"/>
  <c r="G9"/>
  <c r="G10"/>
  <c r="G11"/>
  <c r="G12"/>
  <c r="G13"/>
  <c r="G14"/>
  <c r="G15"/>
  <c r="G16"/>
  <c r="G17"/>
  <c r="G18"/>
  <c r="G19"/>
  <c r="G20"/>
  <c r="E8"/>
  <c r="E10"/>
  <c r="E11"/>
  <c r="E12"/>
  <c r="E15"/>
  <c r="E17"/>
  <c r="E18"/>
  <c r="E19"/>
  <c r="E20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29" i="9" l="1"/>
  <c r="C29" s="1"/>
  <c r="D22"/>
  <c r="C22" s="1"/>
  <c r="D21"/>
  <c r="C21" s="1"/>
  <c r="D25"/>
  <c r="C25" s="1"/>
  <c r="D23"/>
  <c r="C23" s="1"/>
  <c r="D24"/>
  <c r="C24" s="1"/>
  <c r="D27"/>
  <c r="C27" s="1"/>
  <c r="D28"/>
  <c r="C28" s="1"/>
  <c r="D26"/>
  <c r="C26" s="1"/>
  <c r="D19" i="12"/>
  <c r="C19" s="1"/>
  <c r="D17"/>
  <c r="C17" s="1"/>
  <c r="D9" i="9"/>
  <c r="C9" s="1"/>
  <c r="D20"/>
  <c r="C20" s="1"/>
  <c r="D19"/>
  <c r="C19" s="1"/>
  <c r="D16"/>
  <c r="C16" s="1"/>
  <c r="D6" i="12"/>
  <c r="C6" s="1"/>
  <c r="D11" i="11"/>
  <c r="C11" s="1"/>
  <c r="D15"/>
  <c r="C15" s="1"/>
  <c r="D10"/>
  <c r="C10" s="1"/>
  <c r="D19"/>
  <c r="C19" s="1"/>
  <c r="D8"/>
  <c r="C8" s="1"/>
  <c r="D12"/>
  <c r="C12" s="1"/>
  <c r="D14" i="9"/>
  <c r="C14" s="1"/>
  <c r="D11" i="5"/>
  <c r="C11" s="1"/>
  <c r="D9" i="10"/>
  <c r="C9" s="1"/>
  <c r="D6"/>
  <c r="C6" s="1"/>
  <c r="D7" i="11"/>
  <c r="C7" s="1"/>
  <c r="D5"/>
  <c r="C5" s="1"/>
  <c r="E13" i="15"/>
  <c r="D4" i="8"/>
  <c r="C4" s="1"/>
  <c r="D13" i="15"/>
  <c r="B13"/>
  <c r="C13"/>
  <c r="D11" i="10"/>
  <c r="C11" s="1"/>
  <c r="D10" i="14"/>
  <c r="C10" s="1"/>
  <c r="D7" i="10"/>
  <c r="C7" s="1"/>
  <c r="D12"/>
  <c r="C12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D5"/>
  <c r="C5" s="1"/>
  <c r="D7" i="5"/>
  <c r="C7" s="1"/>
  <c r="D17" i="8"/>
  <c r="C17" s="1"/>
  <c r="D14" i="11"/>
  <c r="C14" s="1"/>
  <c r="D4"/>
  <c r="C4" s="1"/>
  <c r="D13"/>
  <c r="C13" s="1"/>
  <c r="D6"/>
  <c r="C6" s="1"/>
  <c r="D9"/>
  <c r="C9" s="1"/>
  <c r="D9" i="5"/>
  <c r="C9" s="1"/>
  <c r="D5" i="10"/>
  <c r="C5" s="1"/>
  <c r="D16"/>
  <c r="C16" s="1"/>
  <c r="D15"/>
  <c r="C15" s="1"/>
  <c r="D5" i="9"/>
  <c r="C5" s="1"/>
  <c r="D11"/>
  <c r="C11" s="1"/>
  <c r="D6"/>
  <c r="C6" s="1"/>
  <c r="D10"/>
  <c r="C10" s="1"/>
  <c r="D6" i="8"/>
  <c r="C6" s="1"/>
  <c r="D17" i="9"/>
  <c r="C17" s="1"/>
  <c r="D12"/>
  <c r="C12" s="1"/>
  <c r="D9" i="8"/>
  <c r="C9" s="1"/>
  <c r="D10"/>
  <c r="C10" s="1"/>
  <c r="D8"/>
  <c r="C8" s="1"/>
  <c r="D11"/>
  <c r="C11" s="1"/>
  <c r="D7"/>
  <c r="C7" s="1"/>
  <c r="D5" i="5"/>
  <c r="C5" s="1"/>
  <c r="D4" i="9"/>
  <c r="C4" s="1"/>
  <c r="D13"/>
  <c r="C13" s="1"/>
  <c r="D18"/>
  <c r="C18" s="1"/>
  <c r="D15"/>
  <c r="C15" s="1"/>
  <c r="D7"/>
  <c r="C7" s="1"/>
  <c r="D15" i="8"/>
  <c r="C15" s="1"/>
  <c r="D14"/>
  <c r="C14" s="1"/>
  <c r="D16"/>
  <c r="C16" s="1"/>
  <c r="D12"/>
  <c r="C12" s="1"/>
  <c r="D13"/>
  <c r="C13" s="1"/>
  <c r="D4" i="5"/>
  <c r="C4" s="1"/>
  <c r="D16"/>
  <c r="C16" s="1"/>
  <c r="D18"/>
  <c r="C18" s="1"/>
  <c r="D6"/>
  <c r="C6" s="1"/>
  <c r="D17"/>
  <c r="C17" s="1"/>
  <c r="D7" i="7"/>
  <c r="C7" s="1"/>
  <c r="D16"/>
  <c r="C16" s="1"/>
  <c r="D17"/>
  <c r="C17" s="1"/>
  <c r="D18"/>
  <c r="C18" s="1"/>
  <c r="D5"/>
  <c r="C5" s="1"/>
  <c r="D6"/>
  <c r="C6" s="1"/>
  <c r="D8"/>
  <c r="C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</calcChain>
</file>

<file path=xl/sharedStrings.xml><?xml version="1.0" encoding="utf-8"?>
<sst xmlns="http://schemas.openxmlformats.org/spreadsheetml/2006/main" count="321" uniqueCount="105">
  <si>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</si>
  <si>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</si>
  <si>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</si>
  <si>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</si>
  <si>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</si>
  <si>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</si>
  <si>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</si>
  <si>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</si>
  <si>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</si>
  <si>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</si>
  <si>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</si>
  <si>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</si>
  <si>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</si>
  <si>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</si>
  <si>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</si>
  <si>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</si>
  <si>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</si>
  <si>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</si>
  <si>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</si>
  <si>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</si>
  <si>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</si>
  <si>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</si>
  <si>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</si>
  <si>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</si>
  <si>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</si>
  <si>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</si>
  <si>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</t>
  </si>
  <si>
    <t>MP5K STK*</t>
  </si>
  <si>
    <t>M249</t>
  </si>
  <si>
    <t>Machine Pistol (Stock)</t>
  </si>
  <si>
    <t>HK416 L*</t>
  </si>
  <si>
    <t>HK416 L ACOG*</t>
  </si>
  <si>
    <t>HK416 DMR</t>
  </si>
  <si>
    <t>0.4 Lowest</t>
  </si>
  <si>
    <t>HK416 DMR ACOG*</t>
  </si>
  <si>
    <t>HK416 DMR SCOPE*</t>
  </si>
  <si>
    <t>0.98 Highest</t>
  </si>
  <si>
    <t>Aim for:</t>
  </si>
  <si>
    <t>HK416 CQB*</t>
  </si>
  <si>
    <t>HK416</t>
  </si>
  <si>
    <t>HK416 ACOG*</t>
  </si>
  <si>
    <t>M82A1 CQ 50BMG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</si>
  <si>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</si>
  <si>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</si>
  <si>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</si>
  <si>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</si>
  <si>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</si>
  <si>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</si>
  <si>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</si>
  <si>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</si>
  <si>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</si>
  <si>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Glock 17 (Grey)</t>
  </si>
  <si>
    <t>Pump Shotgun</t>
  </si>
  <si>
    <t>Chain Shotgun</t>
  </si>
  <si>
    <t>Handgun</t>
  </si>
  <si>
    <t>SMG</t>
  </si>
  <si>
    <t>Rifle</t>
  </si>
  <si>
    <t>Space Rifle</t>
  </si>
  <si>
    <t>Shotgun</t>
  </si>
  <si>
    <t>Misc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</si>
  <si>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</si>
  <si>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</si>
  <si>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</si>
  <si>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</si>
  <si>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</si>
  <si>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</si>
  <si>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</si>
  <si>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</si>
  <si>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</si>
  <si>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</si>
  <si>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</si>
  <si>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</si>
  <si>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</si>
  <si>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</si>
  <si>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</si>
  <si>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</si>
  <si>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</si>
  <si>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</si>
  <si>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</si>
  <si>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</si>
  <si>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SNIPER MAX RANGE: 64.9</t>
  </si>
  <si>
    <t>SHOTGUN MAX RANGE: 20.9</t>
  </si>
  <si>
    <t>REVOLVER MAX RANGE: 25.9</t>
  </si>
  <si>
    <t>HANDGUN MAX RANGE: 25.9</t>
  </si>
  <si>
    <t>MG5*</t>
  </si>
  <si>
    <t>HK21 E</t>
  </si>
  <si>
    <t>MG4 KE</t>
  </si>
  <si>
    <t>MG4 E*</t>
  </si>
  <si>
    <t>Bullet Speed</t>
  </si>
  <si>
    <t>Weight</t>
  </si>
  <si>
    <t>LMG MIN RANGE: 23.9</t>
  </si>
  <si>
    <t>F3 ST</t>
  </si>
  <si>
    <t>G36</t>
  </si>
  <si>
    <t>RIFLE MIN RANGE: 23.9</t>
  </si>
  <si>
    <t>SMG MAX RANGE: 22.9</t>
  </si>
  <si>
    <t>G36K TAC*</t>
  </si>
  <si>
    <t>CR300*</t>
  </si>
  <si>
    <t>HK243 SSAR</t>
  </si>
  <si>
    <t>SPF9 SF SD TAC</t>
  </si>
  <si>
    <t>HK USC</t>
  </si>
  <si>
    <t>HAENEL RS9</t>
  </si>
  <si>
    <t>MP5A3 TAC*</t>
  </si>
  <si>
    <t>MP5A5 MIL*</t>
  </si>
  <si>
    <t>HAENEL MK556*</t>
  </si>
  <si>
    <t>MXC RATTLER SBR*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</si>
</sst>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</cellXfs>
  <cellStyles count="1">
    <cellStyle name="Normal" xfId="0" builtinId="0"/>
  </cellStyles>
  <dxfs count="56"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U17" totalsRowShown="0">
  <autoFilter ref="A3:U1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54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53">
      <calculatedColumnFormula>SUM(Table1689[[#This Row],[DPS]]*Table1689[[#This Row],[Avg Accuracy]])</calculatedColumnFormula>
    </tableColumn>
    <tableColumn id="15" name="DPS" dataDxfId="52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51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49"/>
    <tableColumn id="14" name="Weight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 dataDxfId="46"/>
    <tableColumn id="22" name="Balance" dataDxfId="45">
      <calculatedColumnFormula>SUM(((Table168[[#This Row],[Avg DPS]]*(Table168[[#This Row],[Range]]))+(Table168[[#This Row],[Avg DPS]]*Table168[[#This Row],[Arm Pen (%)]]))/100)</calculatedColumnFormula>
    </tableColumn>
    <tableColumn id="20" name="Avg DPS" dataDxfId="44">
      <calculatedColumnFormula>SUM(Table168[[#This Row],[DPS]]*Table168[[#This Row],[Avg Accuracy]])</calculatedColumnFormula>
    </tableColumn>
    <tableColumn id="15" name="DPS" dataDxfId="43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42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U18" totalsRowShown="0">
  <autoFilter ref="A3:U18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 dataDxfId="39"/>
    <tableColumn id="22" name="Balance" dataDxfId="38">
      <calculatedColumnFormula>SUM(((Table16[[#This Row],[Avg DPS]]*(Table16[[#This Row],[Range]]))+(Table16[[#This Row],[Avg DPS]]*Table16[[#This Row],[Arm Pen (%)]]))/100)</calculatedColumnFormula>
    </tableColumn>
    <tableColumn id="20" name="Avg DPS" dataDxfId="37">
      <calculatedColumnFormula>SUM(Table16[[#This Row],[DPS]]*Table16[[#This Row],[Avg Accuracy]])</calculatedColumnFormula>
    </tableColumn>
    <tableColumn id="15" name="DPS" dataDxfId="36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35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33"/>
    <tableColumn id="14" name="Weight" dataDxfId="3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U29" totalsRowShown="0">
  <autoFilter ref="A3:U2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30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9">
      <calculatedColumnFormula>SUM(Table16810[[#This Row],[DPS]]*Table16810[[#This Row],[Avg Accuracy]])</calculatedColumnFormula>
    </tableColumn>
    <tableColumn id="15" name="DPS" dataDxfId="28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7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U19" totalsRowShown="0">
  <autoFilter ref="A3:U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2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23">
      <calculatedColumnFormula>SUM(Table1681011[[#This Row],[DPS]]*Table1681011[[#This Row],[Avg Accuracy]])</calculatedColumnFormula>
    </tableColumn>
    <tableColumn id="15" name="DPS" dataDxfId="2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2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19"/>
    <tableColumn id="14" name="Weight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S32" totalsRowShown="0">
  <autoFilter ref="A3:S32">
    <filterColumn colId="1"/>
    <filterColumn colId="2"/>
    <filterColumn colId="3"/>
    <filterColumn colId="4"/>
    <filterColumn colId="5"/>
    <filterColumn colId="6"/>
    <filterColumn colId="8"/>
    <filterColumn colId="9"/>
  </autoFilter>
  <tableColumns count="19">
    <tableColumn id="1" name="Weapon Name"/>
    <tableColumn id="12" name="Vol."/>
    <tableColumn id="22" name="Balance" dataDxfId="16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5">
      <calculatedColumnFormula>SUM(Table1681015[[#This Row],[DPS]]*Table1681015[[#This Row],[Avg Accuracy]])</calculatedColumnFormula>
    </tableColumn>
    <tableColumn id="15" name="DPS" dataDxfId="14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3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U20" totalsRowShown="0">
  <autoFilter ref="A3:U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10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9">
      <calculatedColumnFormula>SUM(Table168101112[[#This Row],[DPS]]*Table168101112[[#This Row],[Avg Accuracy]])</calculatedColumnFormula>
    </tableColumn>
    <tableColumn id="15" name="DPS" dataDxfId="8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7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2" name="Table16810111213" displayName="Table16810111213" ref="A3:U19" totalsRowShown="0">
  <autoFilter ref="A3:U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</autoFilter>
  <tableColumns count="21">
    <tableColumn id="1" name="Weapon Name"/>
    <tableColumn id="12" name="Vol."/>
    <tableColumn id="22" name="Balance" dataDxfId="4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3">
      <calculatedColumnFormula>SUM(Table16810111213[[#This Row],[DPS]]*Table16810111213[[#This Row],[Avg Accuracy]])</calculatedColumnFormula>
    </tableColumn>
    <tableColumn id="15" name="DPS" dataDxfId="2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1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"/>
  <sheetViews>
    <sheetView workbookViewId="0">
      <selection activeCell="H6" sqref="H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2" customWidth="1"/>
    <col min="9" max="9" width="14.5703125" customWidth="1"/>
    <col min="10" max="10" width="8.5703125" customWidth="1"/>
    <col min="11" max="11" width="9.140625" customWidth="1"/>
    <col min="12" max="12" width="12" customWidth="1"/>
    <col min="13" max="13" width="8.85546875" customWidth="1"/>
    <col min="14" max="14" width="7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83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88</v>
      </c>
      <c r="U3" s="16" t="s">
        <v>89</v>
      </c>
    </row>
    <row r="4" spans="1:21" ht="15.75" thickTop="1">
      <c r="A4" s="6" t="s">
        <v>44</v>
      </c>
      <c r="B4" s="11" t="s">
        <v>43</v>
      </c>
      <c r="C4" s="2">
        <f>SUM(((Table1689[[#This Row],[Avg DPS]]*(Table1689[[#This Row],[Range]]))+(Table1689[[#This Row],[Avg DPS]]*Table1689[[#This Row],[Arm Pen (%)]]))/100)</f>
        <v>1.7346153846153842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26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1</v>
      </c>
      <c r="P4">
        <v>0.8</v>
      </c>
      <c r="Q4">
        <v>0.7</v>
      </c>
      <c r="R4">
        <v>0.4</v>
      </c>
      <c r="S4">
        <v>0.3</v>
      </c>
      <c r="T4" s="17">
        <v>55</v>
      </c>
      <c r="U4" s="18"/>
    </row>
    <row r="5" spans="1:21">
      <c r="A5" s="14" t="s">
        <v>51</v>
      </c>
      <c r="B5" s="4">
        <v>3</v>
      </c>
      <c r="C5" s="2">
        <f>SUM(((Table1689[[#This Row],[Avg DPS]]*(Table1689[[#This Row],[Range]]))+(Table1689[[#This Row],[Avg DPS]]*Table1689[[#This Row],[Arm Pen (%)]]))/100)</f>
        <v>1.5420681818181818</v>
      </c>
      <c r="D5" s="3">
        <f>SUM(Table1689[[#This Row],[DPS]]*Table1689[[#This Row],[Avg Accuracy]])</f>
        <v>4.2954545454545459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5">
        <v>25.9</v>
      </c>
      <c r="G5" s="2">
        <f>SUM((Table1689[[#This Row],[Accuracy (Close)]]+Table1689[[#This Row],[Accuracy (Short)]]+Table1689[[#This Row],[Accuracy (Medium)]]+Table1689[[#This Row],[Accuracy (Long)]])/4)</f>
        <v>0.52500000000000002</v>
      </c>
      <c r="H5">
        <v>9</v>
      </c>
      <c r="I5">
        <v>0.5</v>
      </c>
      <c r="J5">
        <v>10</v>
      </c>
      <c r="K5">
        <v>1</v>
      </c>
      <c r="L5">
        <v>0.8</v>
      </c>
      <c r="M5">
        <v>0.3</v>
      </c>
      <c r="N5">
        <v>0</v>
      </c>
      <c r="O5" s="2">
        <v>0.8</v>
      </c>
      <c r="P5">
        <v>0.85</v>
      </c>
      <c r="Q5">
        <v>0.75</v>
      </c>
      <c r="R5">
        <v>0.3</v>
      </c>
      <c r="S5">
        <v>0.2</v>
      </c>
      <c r="T5" s="19"/>
      <c r="U5" s="20"/>
    </row>
    <row r="6" spans="1:21">
      <c r="A6" s="14" t="s">
        <v>98</v>
      </c>
      <c r="B6" s="4">
        <v>1</v>
      </c>
      <c r="C6" s="2">
        <f>SUM(((Table1689[[#This Row],[Avg DPS]]*(Table1689[[#This Row],[Range]]))+(Table1689[[#This Row],[Avg DPS]]*Table1689[[#This Row],[Arm Pen (%)]]))/100)</f>
        <v>1.45089</v>
      </c>
      <c r="D6" s="3">
        <f>SUM(Table1689[[#This Row],[DPS]]*Table1689[[#This Row],[Avg Accuracy]])</f>
        <v>4.41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0.49</v>
      </c>
      <c r="H6">
        <v>9</v>
      </c>
      <c r="I6">
        <v>0.5</v>
      </c>
      <c r="J6">
        <v>10</v>
      </c>
      <c r="K6">
        <v>1</v>
      </c>
      <c r="L6">
        <v>0.7</v>
      </c>
      <c r="M6">
        <v>0.3</v>
      </c>
      <c r="N6">
        <v>0</v>
      </c>
      <c r="O6" s="2">
        <v>0.7</v>
      </c>
      <c r="P6">
        <v>0.81</v>
      </c>
      <c r="Q6">
        <v>0.7</v>
      </c>
      <c r="R6">
        <v>0.25</v>
      </c>
      <c r="S6">
        <v>0.2</v>
      </c>
      <c r="T6" s="17">
        <v>60</v>
      </c>
      <c r="U6" s="18">
        <v>0.71899999999999997</v>
      </c>
    </row>
    <row r="7" spans="1:21">
      <c r="B7" s="4"/>
      <c r="C7" s="2" t="e">
        <f>SUM(((Table1689[[#This Row],[Avg DPS]]*(Table1689[[#This Row],[Range]]))+(Table1689[[#This Row],[Avg DPS]]*Table1689[[#This Row],[Arm Pen (%)]]))/100)</f>
        <v>#DIV/0!</v>
      </c>
      <c r="D7" s="3" t="e">
        <f>SUM(Table1689[[#This Row],[DPS]]*Table1689[[#This Row],[Avg Accuracy]])</f>
        <v>#DIV/0!</v>
      </c>
      <c r="E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7" s="2">
        <f>SUM((Table1689[[#This Row],[Accuracy (Close)]]+Table1689[[#This Row],[Accuracy (Short)]]+Table1689[[#This Row],[Accuracy (Medium)]]+Table1689[[#This Row],[Accuracy (Long)]])/4)</f>
        <v>0</v>
      </c>
      <c r="O7" s="2" t="e">
        <f t="shared" ref="O7:O16" si="0">60/N7</f>
        <v>#DIV/0!</v>
      </c>
      <c r="T7" s="19"/>
      <c r="U7" s="20"/>
    </row>
    <row r="8" spans="1:21">
      <c r="B8" s="4"/>
      <c r="C8" s="2" t="e">
        <f>SUM(((Table1689[[#This Row],[Avg DPS]]*(Table1689[[#This Row],[Range]]))+(Table1689[[#This Row],[Avg DPS]]*Table1689[[#This Row],[Arm Pen (%)]]))/100)</f>
        <v>#DIV/0!</v>
      </c>
      <c r="D8" s="3" t="e">
        <f>SUM(Table1689[[#This Row],[DPS]]*Table1689[[#This Row],[Avg Accuracy]])</f>
        <v>#DIV/0!</v>
      </c>
      <c r="E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8" s="2">
        <f>SUM((Table1689[[#This Row],[Accuracy (Close)]]+Table1689[[#This Row],[Accuracy (Short)]]+Table1689[[#This Row],[Accuracy (Medium)]]+Table1689[[#This Row],[Accuracy (Long)]])/4)</f>
        <v>0</v>
      </c>
      <c r="O8" s="2" t="e">
        <f t="shared" si="0"/>
        <v>#DIV/0!</v>
      </c>
      <c r="T8" s="17"/>
      <c r="U8" s="18"/>
    </row>
    <row r="9" spans="1:21">
      <c r="B9" s="4"/>
      <c r="C9" s="2" t="e">
        <f>SUM(((Table1689[[#This Row],[Avg DPS]]*(Table1689[[#This Row],[Range]]))+(Table1689[[#This Row],[Avg DPS]]*Table1689[[#This Row],[Arm Pen (%)]]))/100)</f>
        <v>#DIV/0!</v>
      </c>
      <c r="D9" s="3" t="e">
        <f>SUM(Table1689[[#This Row],[DPS]]*Table1689[[#This Row],[Avg Accuracy]])</f>
        <v>#DIV/0!</v>
      </c>
      <c r="E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9" s="2">
        <f>SUM((Table1689[[#This Row],[Accuracy (Close)]]+Table1689[[#This Row],[Accuracy (Short)]]+Table1689[[#This Row],[Accuracy (Medium)]]+Table1689[[#This Row],[Accuracy (Long)]])/4)</f>
        <v>0</v>
      </c>
      <c r="O9" s="2" t="e">
        <f t="shared" si="0"/>
        <v>#DIV/0!</v>
      </c>
      <c r="T9" s="19"/>
      <c r="U9" s="20"/>
    </row>
    <row r="10" spans="1:21">
      <c r="B10" s="4"/>
      <c r="C10" s="2" t="e">
        <f>SUM(((Table1689[[#This Row],[Avg DPS]]*(Table1689[[#This Row],[Range]]))+(Table1689[[#This Row],[Avg DPS]]*Table1689[[#This Row],[Arm Pen (%)]]))/100)</f>
        <v>#DIV/0!</v>
      </c>
      <c r="D10" s="3" t="e">
        <f>SUM(Table1689[[#This Row],[DPS]]*Table1689[[#This Row],[Avg Accuracy]])</f>
        <v>#DIV/0!</v>
      </c>
      <c r="E1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0" s="2">
        <f>SUM((Table1689[[#This Row],[Accuracy (Close)]]+Table1689[[#This Row],[Accuracy (Short)]]+Table1689[[#This Row],[Accuracy (Medium)]]+Table1689[[#This Row],[Accuracy (Long)]])/4)</f>
        <v>0</v>
      </c>
      <c r="O10" s="2" t="e">
        <f t="shared" si="0"/>
        <v>#DIV/0!</v>
      </c>
      <c r="T10" s="17"/>
      <c r="U10" s="18"/>
    </row>
    <row r="11" spans="1:21">
      <c r="B11" s="4"/>
      <c r="C11" s="2" t="e">
        <f>SUM(((Table1689[[#This Row],[Avg DPS]]*(Table1689[[#This Row],[Range]]))+(Table1689[[#This Row],[Avg DPS]]*Table1689[[#This Row],[Arm Pen (%)]]))/100)</f>
        <v>#DIV/0!</v>
      </c>
      <c r="D11" s="3" t="e">
        <f>SUM(Table1689[[#This Row],[DPS]]*Table1689[[#This Row],[Avg Accuracy]])</f>
        <v>#DIV/0!</v>
      </c>
      <c r="E1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1" s="2">
        <f>SUM((Table1689[[#This Row],[Accuracy (Close)]]+Table1689[[#This Row],[Accuracy (Short)]]+Table1689[[#This Row],[Accuracy (Medium)]]+Table1689[[#This Row],[Accuracy (Long)]])/4)</f>
        <v>0</v>
      </c>
      <c r="O11" s="2" t="e">
        <f t="shared" si="0"/>
        <v>#DIV/0!</v>
      </c>
      <c r="T11" s="19"/>
      <c r="U11" s="20"/>
    </row>
    <row r="12" spans="1:21">
      <c r="B12" s="4"/>
      <c r="C12" s="2" t="e">
        <f>SUM(((Table1689[[#This Row],[Avg DPS]]*(Table1689[[#This Row],[Range]]))+(Table1689[[#This Row],[Avg DPS]]*Table1689[[#This Row],[Arm Pen (%)]]))/100)</f>
        <v>#DIV/0!</v>
      </c>
      <c r="D12" s="3" t="e">
        <f>SUM(Table1689[[#This Row],[DPS]]*Table1689[[#This Row],[Avg Accuracy]])</f>
        <v>#DIV/0!</v>
      </c>
      <c r="E1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2" s="2">
        <f>SUM((Table1689[[#This Row],[Accuracy (Close)]]+Table1689[[#This Row],[Accuracy (Short)]]+Table1689[[#This Row],[Accuracy (Medium)]]+Table1689[[#This Row],[Accuracy (Long)]])/4)</f>
        <v>0</v>
      </c>
      <c r="O12" s="2" t="e">
        <f t="shared" si="0"/>
        <v>#DIV/0!</v>
      </c>
      <c r="T12" s="17"/>
      <c r="U12" s="18"/>
    </row>
    <row r="13" spans="1:21">
      <c r="B13" s="4"/>
      <c r="C13" s="2" t="e">
        <f>SUM(((Table1689[[#This Row],[Avg DPS]]*(Table1689[[#This Row],[Range]]))+(Table1689[[#This Row],[Avg DPS]]*Table1689[[#This Row],[Arm Pen (%)]]))/100)</f>
        <v>#DIV/0!</v>
      </c>
      <c r="D13" s="3" t="e">
        <f>SUM(Table1689[[#This Row],[DPS]]*Table1689[[#This Row],[Avg Accuracy]])</f>
        <v>#DIV/0!</v>
      </c>
      <c r="E1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3" s="2">
        <f>SUM((Table1689[[#This Row],[Accuracy (Close)]]+Table1689[[#This Row],[Accuracy (Short)]]+Table1689[[#This Row],[Accuracy (Medium)]]+Table1689[[#This Row],[Accuracy (Long)]])/4)</f>
        <v>0</v>
      </c>
      <c r="O13" s="2" t="e">
        <f t="shared" si="0"/>
        <v>#DIV/0!</v>
      </c>
      <c r="T13" s="19"/>
      <c r="U13" s="20"/>
    </row>
    <row r="14" spans="1:21" s="4" customFormat="1">
      <c r="A14"/>
      <c r="C14" s="2" t="e">
        <f>SUM(((Table1689[[#This Row],[Avg DPS]]*(Table1689[[#This Row],[Range]]))+(Table1689[[#This Row],[Avg DPS]]*Table1689[[#This Row],[Arm Pen (%)]]))/100)</f>
        <v>#DIV/0!</v>
      </c>
      <c r="D14" s="3" t="e">
        <f>SUM(Table1689[[#This Row],[DPS]]*Table1689[[#This Row],[Avg Accuracy]])</f>
        <v>#DIV/0!</v>
      </c>
      <c r="E1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4"/>
      <c r="G14" s="2">
        <f>SUM((Table1689[[#This Row],[Accuracy (Close)]]+Table1689[[#This Row],[Accuracy (Short)]]+Table1689[[#This Row],[Accuracy (Medium)]]+Table1689[[#This Row],[Accuracy (Long)]])/4)</f>
        <v>0</v>
      </c>
      <c r="H14"/>
      <c r="I14"/>
      <c r="J14"/>
      <c r="K14"/>
      <c r="L14"/>
      <c r="M14"/>
      <c r="N14"/>
      <c r="O14" s="2" t="e">
        <f t="shared" si="0"/>
        <v>#DIV/0!</v>
      </c>
      <c r="P14"/>
      <c r="Q14"/>
      <c r="R14"/>
      <c r="S14"/>
      <c r="T14" s="17"/>
      <c r="U14" s="18"/>
    </row>
    <row r="15" spans="1:21">
      <c r="B15" s="4"/>
      <c r="C15" s="2" t="e">
        <f>SUM(((Table1689[[#This Row],[Avg DPS]]*(Table1689[[#This Row],[Range]]))+(Table1689[[#This Row],[Avg DPS]]*Table1689[[#This Row],[Arm Pen (%)]]))/100)</f>
        <v>#DIV/0!</v>
      </c>
      <c r="D15" s="3" t="e">
        <f>SUM(Table1689[[#This Row],[DPS]]*Table1689[[#This Row],[Avg Accuracy]])</f>
        <v>#DIV/0!</v>
      </c>
      <c r="E1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5" s="2">
        <f>SUM((Table1689[[#This Row],[Accuracy (Close)]]+Table1689[[#This Row],[Accuracy (Short)]]+Table1689[[#This Row],[Accuracy (Medium)]]+Table1689[[#This Row],[Accuracy (Long)]])/4)</f>
        <v>0</v>
      </c>
      <c r="O15" s="2" t="e">
        <f t="shared" si="0"/>
        <v>#DIV/0!</v>
      </c>
      <c r="T15" s="19"/>
      <c r="U15" s="20"/>
    </row>
    <row r="16" spans="1:21">
      <c r="A16" s="7"/>
      <c r="B16" s="4"/>
      <c r="C16" s="2" t="e">
        <f>SUM(((Table1689[[#This Row],[Avg DPS]]*(Table1689[[#This Row],[Range]]))+(Table1689[[#This Row],[Avg DPS]]*Table1689[[#This Row],[Arm Pen (%)]]))/100)</f>
        <v>#DIV/0!</v>
      </c>
      <c r="D16" s="3" t="e">
        <f>SUM(Table1689[[#This Row],[DPS]]*Table1689[[#This Row],[Avg Accuracy]])</f>
        <v>#DIV/0!</v>
      </c>
      <c r="E1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16" s="7"/>
      <c r="G16" s="2">
        <f>SUM((Table1689[[#This Row],[Accuracy (Close)]]+Table1689[[#This Row],[Accuracy (Short)]]+Table1689[[#This Row],[Accuracy (Medium)]]+Table1689[[#This Row],[Accuracy (Long)]])/4)</f>
        <v>0</v>
      </c>
      <c r="H16" s="7"/>
      <c r="I16" s="7"/>
      <c r="J16" s="7"/>
      <c r="K16" s="7"/>
      <c r="L16" s="7"/>
      <c r="M16" s="7"/>
      <c r="N16" s="7"/>
      <c r="O16" s="2" t="e">
        <f t="shared" si="0"/>
        <v>#DIV/0!</v>
      </c>
      <c r="P16" s="7"/>
      <c r="Q16" s="7"/>
      <c r="R16" s="7"/>
      <c r="S16" s="7"/>
      <c r="T16" s="17"/>
      <c r="U16" s="18"/>
    </row>
    <row r="17" spans="2:21">
      <c r="B17" s="10"/>
      <c r="C17" s="2" t="e">
        <f>SUM(((Table1689[[#This Row],[Avg DPS]]*(Table1689[[#This Row],[Range]]))+(Table1689[[#This Row],[Avg DPS]]*Table1689[[#This Row],[Arm Pen (%)]]))/100)</f>
        <v>#DIV/0!</v>
      </c>
      <c r="D17" s="3" t="e">
        <f>SUM(Table1689[[#This Row],[DPS]]*Table1689[[#This Row],[Avg Accuracy]])</f>
        <v>#DIV/0!</v>
      </c>
      <c r="E1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17" s="2">
        <f>SUM((Table1689[[#This Row],[Accuracy (Close)]]+Table1689[[#This Row],[Accuracy (Short)]]+Table1689[[#This Row],[Accuracy (Medium)]]+Table1689[[#This Row],[Accuracy (Long)]])/4)</f>
        <v>0</v>
      </c>
      <c r="O17" s="2" t="e">
        <f>60/N17</f>
        <v>#DIV/0!</v>
      </c>
      <c r="T17" s="19"/>
      <c r="U17" s="20"/>
    </row>
  </sheetData>
  <conditionalFormatting sqref="C5:C17">
    <cfRule type="cellIs" dxfId="55" priority="1" operator="greaterThan">
      <formula>1.73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B10" sqref="B10"/>
    </sheetView>
  </sheetViews>
  <sheetFormatPr defaultRowHeight="15"/>
  <cols>
    <col min="1" max="1" width="18.5703125" customWidth="1"/>
  </cols>
  <sheetData>
    <row r="1" spans="1:11">
      <c r="A1" s="1" t="s">
        <v>60</v>
      </c>
      <c r="B1" s="1" t="s">
        <v>61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</row>
    <row r="2" spans="1:11">
      <c r="A2" t="s">
        <v>54</v>
      </c>
      <c r="B2">
        <f>COUNTIF(Table1689[Vol.], 1)</f>
        <v>1</v>
      </c>
      <c r="C2">
        <f>COUNTIF(Table1689[Vol.], 2)</f>
        <v>0</v>
      </c>
      <c r="D2">
        <f>COUNTIF(Table1689[Vol.], 3)</f>
        <v>1</v>
      </c>
      <c r="E2">
        <f>COUNTIF(Table1689[Vol.], 4)</f>
        <v>0</v>
      </c>
    </row>
    <row r="3" spans="1:11">
      <c r="A3" t="s">
        <v>45</v>
      </c>
      <c r="B3">
        <f>COUNTIF(Table168[Vol.], 1)</f>
        <v>0</v>
      </c>
      <c r="C3">
        <f>COUNTIF(Table168[Vol.], 2)</f>
        <v>0</v>
      </c>
      <c r="D3">
        <f>COUNTIF(Table168[Vol.], 3)</f>
        <v>0</v>
      </c>
      <c r="E3">
        <f>COUNTIF(Table168[Vol.], 4)</f>
        <v>0</v>
      </c>
    </row>
    <row r="4" spans="1:11">
      <c r="A4" t="s">
        <v>55</v>
      </c>
      <c r="B4">
        <f>COUNTIF(Table16[Vol.], 1)</f>
        <v>8</v>
      </c>
      <c r="C4">
        <f>COUNTIF(Table16[Vol.], 2)</f>
        <v>0</v>
      </c>
      <c r="D4">
        <f>COUNTIF(Table16[Vol.], 3)</f>
        <v>0</v>
      </c>
      <c r="E4">
        <f>COUNTIF(Table16[Vol.], 4)</f>
        <v>0</v>
      </c>
    </row>
    <row r="5" spans="1:11">
      <c r="A5" t="s">
        <v>56</v>
      </c>
      <c r="B5">
        <f>COUNTIF(Table16810[Vol.], 1)</f>
        <v>15</v>
      </c>
      <c r="C5">
        <f>COUNTIF(Table16810[Vol.], 2)</f>
        <v>0</v>
      </c>
      <c r="D5">
        <f>COUNTIF(Table16810[Vol.], 3)</f>
        <v>0</v>
      </c>
      <c r="E5">
        <f>COUNTIF(Table16810[Vol.], 4)</f>
        <v>0</v>
      </c>
    </row>
    <row r="6" spans="1:11">
      <c r="A6" t="s">
        <v>49</v>
      </c>
      <c r="B6">
        <f>COUNTIF(Table1681011[Vol.], 1)</f>
        <v>2</v>
      </c>
      <c r="C6">
        <f>COUNTIF(Table1681011[Vol.], 2)</f>
        <v>1</v>
      </c>
      <c r="D6">
        <f>COUNTIF(Table1681011[Vol.], 3)</f>
        <v>0</v>
      </c>
      <c r="E6">
        <f>COUNTIF(Table1681011[Vol.], 4)</f>
        <v>0</v>
      </c>
    </row>
    <row r="7" spans="1:11">
      <c r="A7" t="s">
        <v>57</v>
      </c>
      <c r="B7">
        <f>COUNTIF(Table1681015[Vol.], 1)</f>
        <v>0</v>
      </c>
      <c r="C7">
        <f>COUNTIF(Table1681015[Vol.], 2)</f>
        <v>0</v>
      </c>
      <c r="D7">
        <f>COUNTIF(Table1681015[Vol.], 3)</f>
        <v>0</v>
      </c>
      <c r="E7">
        <f>COUNTIF(Table1681015[Vol.], 4)</f>
        <v>0</v>
      </c>
    </row>
    <row r="8" spans="1:11">
      <c r="A8" t="s">
        <v>50</v>
      </c>
      <c r="B8">
        <f>COUNTIF(Table168101112[Vol.], 1)</f>
        <v>5</v>
      </c>
      <c r="C8">
        <f>COUNTIF(Table168101112[Vol.], 2)</f>
        <v>1</v>
      </c>
      <c r="D8">
        <f>COUNTIF(Table168101112[Vol.], 3)</f>
        <v>0</v>
      </c>
      <c r="E8">
        <f>COUNTIF(Table168101112[Vol.], 4)</f>
        <v>0</v>
      </c>
    </row>
    <row r="9" spans="1:11">
      <c r="A9" t="s">
        <v>58</v>
      </c>
      <c r="B9">
        <f>COUNTIF(Table16810111213[Vol.], 1)</f>
        <v>0</v>
      </c>
      <c r="C9">
        <f>COUNTIF(Table16810111213[Vol.], 2)</f>
        <v>0</v>
      </c>
      <c r="D9">
        <f>COUNTIF(Table16810111213[Vol.], 3)</f>
        <v>0</v>
      </c>
      <c r="E9">
        <f>COUNTIF(Table16810111213[Vol.], 4)</f>
        <v>0</v>
      </c>
    </row>
    <row r="10" spans="1:11">
      <c r="A10" t="s">
        <v>73</v>
      </c>
    </row>
    <row r="11" spans="1:11">
      <c r="A11" t="s">
        <v>59</v>
      </c>
      <c r="B11">
        <v>0</v>
      </c>
      <c r="C11">
        <v>2</v>
      </c>
      <c r="D11">
        <v>0</v>
      </c>
      <c r="E11">
        <v>0</v>
      </c>
    </row>
    <row r="13" spans="1:11">
      <c r="A13" t="s">
        <v>62</v>
      </c>
      <c r="B13">
        <f>SUM(B2:B11)</f>
        <v>31</v>
      </c>
      <c r="C13">
        <f t="shared" ref="C13:K13" si="0">SUM(C2:C11)</f>
        <v>4</v>
      </c>
      <c r="D13">
        <f t="shared" si="0"/>
        <v>1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M29" sqref="M2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0" customWidth="1"/>
    <col min="12" max="12" width="12" customWidth="1"/>
    <col min="13" max="13" width="8.85546875" customWidth="1"/>
    <col min="14" max="14" width="11.1406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82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88</v>
      </c>
      <c r="U3" s="16" t="s">
        <v>89</v>
      </c>
    </row>
    <row r="4" spans="1:21" ht="15.75" thickTop="1">
      <c r="A4" s="6" t="s">
        <v>45</v>
      </c>
      <c r="B4" s="11" t="s">
        <v>43</v>
      </c>
      <c r="C4" s="2">
        <f>SUM(((Table168[[#This Row],[Avg DPS]]*(Table168[[#This Row],[Range]]))+(Table168[[#This Row],[Avg DPS]]*Table168[[#This Row],[Arm Pen (%)]]))/100)</f>
        <v>1.6326315789473682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26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1.6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/>
    </row>
    <row r="5" spans="1:21">
      <c r="A5" s="5"/>
      <c r="B5" s="12"/>
      <c r="C5" s="2" t="e">
        <f>SUM(((Table168[[#This Row],[Avg DPS]]*(Table168[[#This Row],[Range]]))+(Table168[[#This Row],[Avg DPS]]*Table168[[#This Row],[Arm Pen (%)]]))/100)</f>
        <v>#DIV/0!</v>
      </c>
      <c r="D5" s="3" t="e">
        <f>SUM(Table168[[#This Row],[DPS]]*Table168[[#This Row],[Avg Accuracy]])</f>
        <v>#DIV/0!</v>
      </c>
      <c r="E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5" s="2">
        <f>SUM((Table168[[#This Row],[Accuracy (Close)]]+Table168[[#This Row],[Accuracy (Short)]]+Table168[[#This Row],[Accuracy (Medium)]]+Table168[[#This Row],[Accuracy (Long)]])/4)</f>
        <v>0</v>
      </c>
      <c r="O5" s="2" t="e">
        <f t="shared" ref="O5:O20" si="0">60/N5</f>
        <v>#DIV/0!</v>
      </c>
      <c r="T5" s="19"/>
      <c r="U5" s="20"/>
    </row>
    <row r="6" spans="1:21">
      <c r="A6" s="5"/>
      <c r="B6" s="12"/>
      <c r="C6" s="2" t="e">
        <f>SUM(((Table168[[#This Row],[Avg DPS]]*(Table168[[#This Row],[Range]]))+(Table168[[#This Row],[Avg DPS]]*Table168[[#This Row],[Arm Pen (%)]]))/100)</f>
        <v>#DIV/0!</v>
      </c>
      <c r="D6" s="3" t="e">
        <f>SUM(Table168[[#This Row],[DPS]]*Table168[[#This Row],[Avg Accuracy]])</f>
        <v>#DIV/0!</v>
      </c>
      <c r="E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6" s="2">
        <f>SUM((Table168[[#This Row],[Accuracy (Close)]]+Table168[[#This Row],[Accuracy (Short)]]+Table168[[#This Row],[Accuracy (Medium)]]+Table168[[#This Row],[Accuracy (Long)]])/4)</f>
        <v>0</v>
      </c>
      <c r="O6" s="2" t="e">
        <f t="shared" si="0"/>
        <v>#DIV/0!</v>
      </c>
      <c r="T6" s="17"/>
      <c r="U6" s="18"/>
    </row>
    <row r="7" spans="1:21">
      <c r="A7" s="5"/>
      <c r="B7" s="12"/>
      <c r="C7" s="2" t="e">
        <f>SUM(((Table168[[#This Row],[Avg DPS]]*(Table168[[#This Row],[Range]]))+(Table168[[#This Row],[Avg DPS]]*Table168[[#This Row],[Arm Pen (%)]]))/100)</f>
        <v>#DIV/0!</v>
      </c>
      <c r="D7" s="3" t="e">
        <f>SUM(Table168[[#This Row],[DPS]]*Table168[[#This Row],[Avg Accuracy]])</f>
        <v>#DIV/0!</v>
      </c>
      <c r="E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7" s="2">
        <f>SUM((Table168[[#This Row],[Accuracy (Close)]]+Table168[[#This Row],[Accuracy (Short)]]+Table168[[#This Row],[Accuracy (Medium)]]+Table168[[#This Row],[Accuracy (Long)]])/4)</f>
        <v>0</v>
      </c>
      <c r="O7" s="2" t="e">
        <f t="shared" si="0"/>
        <v>#DIV/0!</v>
      </c>
      <c r="T7" s="19"/>
      <c r="U7" s="20"/>
    </row>
    <row r="8" spans="1:21">
      <c r="A8" s="5"/>
      <c r="B8" s="12"/>
      <c r="C8" s="2" t="e">
        <f>SUM(((Table168[[#This Row],[Avg DPS]]*(Table168[[#This Row],[Range]]))+(Table168[[#This Row],[Avg DPS]]*Table168[[#This Row],[Arm Pen (%)]]))/100)</f>
        <v>#DIV/0!</v>
      </c>
      <c r="D8" s="3" t="e">
        <f>SUM(Table168[[#This Row],[DPS]]*Table168[[#This Row],[Avg Accuracy]])</f>
        <v>#DIV/0!</v>
      </c>
      <c r="E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8" s="2">
        <f>SUM((Table168[[#This Row],[Accuracy (Close)]]+Table168[[#This Row],[Accuracy (Short)]]+Table168[[#This Row],[Accuracy (Medium)]]+Table168[[#This Row],[Accuracy (Long)]])/4)</f>
        <v>0</v>
      </c>
      <c r="O8" s="2" t="e">
        <f t="shared" si="0"/>
        <v>#DIV/0!</v>
      </c>
      <c r="T8" s="17"/>
      <c r="U8" s="18"/>
    </row>
    <row r="9" spans="1:21">
      <c r="A9" s="5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si="0"/>
        <v>#DIV/0!</v>
      </c>
      <c r="T9" s="19"/>
      <c r="U9" s="20"/>
    </row>
    <row r="10" spans="1:21">
      <c r="A10" s="5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</row>
    <row r="11" spans="1:21"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</row>
    <row r="12" spans="1:21"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</row>
    <row r="13" spans="1:21"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</row>
    <row r="14" spans="1:21"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</row>
    <row r="15" spans="1:21"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</row>
    <row r="16" spans="1:21"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</row>
    <row r="17" spans="1:21"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</row>
    <row r="18" spans="1:21" s="4" customFormat="1">
      <c r="A18"/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</row>
    <row r="19" spans="1:21"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</row>
    <row r="20" spans="1:21">
      <c r="A20" s="7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</row>
  </sheetData>
  <conditionalFormatting sqref="C5">
    <cfRule type="cellIs" dxfId="47" priority="1" operator="greaterThan">
      <formula>1.63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U19"/>
  <sheetViews>
    <sheetView workbookViewId="0">
      <selection activeCell="A13" sqref="A13:XFD1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425781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94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88</v>
      </c>
      <c r="U3" s="16" t="s">
        <v>89</v>
      </c>
    </row>
    <row r="4" spans="1:21" ht="15.75" thickTop="1">
      <c r="A4" s="6" t="s">
        <v>2</v>
      </c>
      <c r="B4" s="11" t="s">
        <v>43</v>
      </c>
      <c r="C4" s="2">
        <f>SUM(((Table16[[#This Row],[Avg DPS]]*(Table16[[#This Row],[Range]]))+(Table16[[#This Row],[Avg 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/>
    </row>
    <row r="5" spans="1:21">
      <c r="A5" s="6" t="s">
        <v>29</v>
      </c>
      <c r="B5" s="11" t="s">
        <v>43</v>
      </c>
      <c r="C5" s="2">
        <f>SUM(((Table16[[#This Row],[Avg DPS]]*(Table16[[#This Row],[Range]]))+(Table16[[#This Row],[Avg DPS]]*Table16[[#This Row],[Arm Pen (%)]]))/100)</f>
        <v>1.637910113142049</v>
      </c>
      <c r="D5" s="3">
        <f>SUM(Table16[[#This Row],[DPS]]*Table16[[#This Row],[Avg Accuracy]])</f>
        <v>5.6479659073863759</v>
      </c>
      <c r="E5" s="2">
        <f>SUM((Table16[[#This Row],[Damage]]*Table16[[#This Row],[Burst]])/(Table16[[#This Row],[Ranged Cooldown]]+Table16[[#This Row],[Warm-up]]+(Table16[[#This Row],[Burst Time]]*(Table16[[#This Row],[Burst]]-1))))</f>
        <v>11.020421282705124</v>
      </c>
      <c r="F5">
        <v>20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514.29</v>
      </c>
      <c r="O5" s="2">
        <f>60/N5</f>
        <v>0.11666569445254624</v>
      </c>
      <c r="P5">
        <v>0.9</v>
      </c>
      <c r="Q5">
        <v>0.65</v>
      </c>
      <c r="R5">
        <v>0.35</v>
      </c>
      <c r="S5">
        <v>0.15</v>
      </c>
      <c r="T5" s="19"/>
      <c r="U5" s="20"/>
    </row>
    <row r="6" spans="1:21">
      <c r="A6" s="14" t="s">
        <v>20</v>
      </c>
      <c r="B6" s="12">
        <v>1</v>
      </c>
      <c r="C6" s="2">
        <f>SUM(((Table16[[#This Row],[Avg DPS]]*(Table16[[#This Row],[Range]]))+(Table16[[#This Row],[Avg 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/>
    </row>
    <row r="7" spans="1:21">
      <c r="A7" t="s">
        <v>22</v>
      </c>
      <c r="B7" s="12">
        <v>1</v>
      </c>
      <c r="C7" s="2">
        <f>SUM(((Table16[[#This Row],[Avg DPS]]*(Table16[[#This Row],[Range]]))+(Table16[[#This Row],[Avg 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20"/>
    </row>
    <row r="8" spans="1:21">
      <c r="A8" s="14" t="s">
        <v>26</v>
      </c>
      <c r="B8" s="12">
        <v>1</v>
      </c>
      <c r="C8" s="2">
        <f>SUM(((Table16[[#This Row],[Avg DPS]]*(Table16[[#This Row],[Range]]))+(Table16[[#This Row],[Avg 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/>
      <c r="U8" s="18"/>
    </row>
    <row r="9" spans="1:21">
      <c r="A9" s="4" t="s">
        <v>27</v>
      </c>
      <c r="B9" s="12">
        <v>1</v>
      </c>
      <c r="C9" s="2">
        <f>SUM(((Table16[[#This Row],[Avg DPS]]*(Table16[[#This Row],[Range]]))+(Table16[[#This Row],[Avg 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/>
      <c r="U9" s="20"/>
    </row>
    <row r="10" spans="1:21" s="4" customFormat="1">
      <c r="A10" s="1" t="s">
        <v>72</v>
      </c>
      <c r="B10" s="12">
        <v>1</v>
      </c>
      <c r="C10" s="2">
        <f>SUM(((Table16[[#This Row],[Avg DPS]]*(Table16[[#This Row],[Range]]))+(Table16[[#This Row],[Avg 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/>
      <c r="U10" s="18"/>
    </row>
    <row r="11" spans="1:21">
      <c r="A11" s="4" t="s">
        <v>101</v>
      </c>
      <c r="B11" s="12">
        <v>1</v>
      </c>
      <c r="C11" s="2">
        <f>SUM(((Table16[[#This Row],[Avg DPS]]*(Table16[[#This Row],[Range]]))+(Table16[[#This Row],[Avg 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/>
      <c r="U11" s="20"/>
    </row>
    <row r="12" spans="1:21">
      <c r="A12" s="1" t="s">
        <v>99</v>
      </c>
      <c r="B12" s="12">
        <v>1</v>
      </c>
      <c r="C12" s="2">
        <f>SUM(((Table16[[#This Row],[Avg DPS]]*(Table16[[#This Row],[Range]]))+(Table16[[#This Row],[Avg 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O12" s="2">
        <v>0.6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</row>
    <row r="13" spans="1:21">
      <c r="A13" t="s">
        <v>102</v>
      </c>
      <c r="B13" s="12">
        <v>1</v>
      </c>
      <c r="C13" s="2">
        <f>SUM(((Table16[[#This Row],[Avg DPS]]*(Table16[[#This Row],[Range]]))+(Table16[[#This Row],[Avg 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</row>
    <row r="14" spans="1:21">
      <c r="B14" s="12"/>
      <c r="C14" s="2" t="e">
        <f>SUM(((Table16[[#This Row],[Avg DPS]]*(Table16[[#This Row],[Range]]))+(Table16[[#This Row],[Avg DPS]]*Table16[[#This Row],[Arm Pen (%)]]))/100)</f>
        <v>#DIV/0!</v>
      </c>
      <c r="D14" s="3" t="e">
        <f>SUM(Table16[[#This Row],[DPS]]*Table16[[#This Row],[Avg Accuracy]])</f>
        <v>#DIV/0!</v>
      </c>
      <c r="E1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4" s="2">
        <f>SUM((Table16[[#This Row],[Accuracy (Close)]]+Table16[[#This Row],[Accuracy (Short)]]+Table16[[#This Row],[Accuracy (Medium)]]+Table16[[#This Row],[Accuracy (Long)]])/4)</f>
        <v>0</v>
      </c>
      <c r="O14" s="2" t="e">
        <f t="shared" si="1"/>
        <v>#DIV/0!</v>
      </c>
      <c r="T14" s="17"/>
      <c r="U14" s="18"/>
    </row>
    <row r="15" spans="1:21">
      <c r="B15" s="12"/>
      <c r="C15" s="2" t="e">
        <f>SUM(((Table16[[#This Row],[Avg DPS]]*(Table16[[#This Row],[Range]]))+(Table16[[#This Row],[Avg 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si="1"/>
        <v>#DIV/0!</v>
      </c>
      <c r="T15" s="19"/>
      <c r="U15" s="20"/>
    </row>
    <row r="16" spans="1:21">
      <c r="B16" s="12"/>
      <c r="C16" s="2" t="e">
        <f>SUM(((Table16[[#This Row],[Avg DPS]]*(Table16[[#This Row],[Range]]))+(Table16[[#This Row],[Avg 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T16" s="17"/>
      <c r="U16" s="18"/>
    </row>
    <row r="17" spans="1:21">
      <c r="B17" s="12"/>
      <c r="C17" s="2" t="e">
        <f>SUM(((Table16[[#This Row],[Avg DPS]]*(Table16[[#This Row],[Range]]))+(Table16[[#This Row],[Avg 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T17" s="19"/>
      <c r="U17" s="20"/>
    </row>
    <row r="18" spans="1:21">
      <c r="A18" s="7"/>
      <c r="B18" s="13"/>
      <c r="C18" s="8" t="e">
        <f>SUM(((Table16[[#This Row],[Avg DPS]]*(Table16[[#This Row],[Range]]))+(Table16[[#This Row],[Avg DPS]]*Table16[[#This Row],[Arm Pen (%)]]))/100)</f>
        <v>#DIV/0!</v>
      </c>
      <c r="D18" s="9" t="e">
        <f>SUM(Table16[[#This Row],[DPS]]*Table16[[#This Row],[Avg Accuracy]])</f>
        <v>#DIV/0!</v>
      </c>
      <c r="E18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18" s="7"/>
      <c r="G18" s="8">
        <f>SUM((Table16[[#This Row],[Accuracy (Close)]]+Table16[[#This Row],[Accuracy (Short)]]+Table16[[#This Row],[Accuracy (Medium)]]+Table16[[#This Row],[Accuracy (Long)]])/4)</f>
        <v>0</v>
      </c>
      <c r="H18" s="7"/>
      <c r="I18" s="7"/>
      <c r="J18" s="7"/>
      <c r="K18" s="7"/>
      <c r="L18" s="7"/>
      <c r="M18" s="7"/>
      <c r="N18" s="7"/>
      <c r="O18" s="8" t="e">
        <f t="shared" si="1"/>
        <v>#DIV/0!</v>
      </c>
      <c r="P18" s="7"/>
      <c r="Q18" s="7"/>
      <c r="R18" s="7"/>
      <c r="S18" s="7"/>
      <c r="T18" s="17"/>
      <c r="U18" s="18"/>
    </row>
    <row r="19" spans="1:21">
      <c r="B19" s="4"/>
    </row>
  </sheetData>
  <conditionalFormatting sqref="C4:C18">
    <cfRule type="cellIs" dxfId="40" priority="1" operator="greaterThan">
      <formula>2.599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U29"/>
  <sheetViews>
    <sheetView workbookViewId="0">
      <selection activeCell="B22" sqref="B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7109375" customWidth="1"/>
    <col min="7" max="7" width="11.5703125" customWidth="1"/>
    <col min="8" max="8" width="10.85546875" customWidth="1"/>
    <col min="9" max="9" width="13.85546875" customWidth="1"/>
    <col min="10" max="10" width="8.5703125" customWidth="1"/>
    <col min="11" max="11" width="7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78</v>
      </c>
      <c r="H1" s="1" t="s">
        <v>93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88</v>
      </c>
      <c r="U3" t="s">
        <v>89</v>
      </c>
    </row>
    <row r="4" spans="1:21">
      <c r="A4" s="6" t="s">
        <v>46</v>
      </c>
      <c r="B4" s="11" t="s">
        <v>43</v>
      </c>
      <c r="C4" s="2">
        <f>SUM(((Table16810[[#This Row],[Avg DPS]]*(Table16810[[#This Row],[Range]]))+(Table16810[[#This Row],[Avg DPS]]*Table16810[[#This Row],[Arm Pen (%)]]))/100)</f>
        <v>3.1957417582417578</v>
      </c>
      <c r="D4" s="3">
        <f>SUM(Table16810[[#This Row],[DPS]]*Table16810[[#This Row],[Avg Accuracy]])</f>
        <v>6.7994505494505484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">
        <v>31</v>
      </c>
      <c r="G4" s="2">
        <f>SUM((Table16810[[#This Row],[Accuracy (Close)]]+Table16810[[#This Row],[Accuracy (Short)]]+Table16810[[#This Row],[Accuracy (Medium)]]+Table16810[[#This Row],[Accuracy (Long)]])/4)</f>
        <v>0.625</v>
      </c>
      <c r="H4">
        <v>11</v>
      </c>
      <c r="I4">
        <v>0.5</v>
      </c>
      <c r="J4">
        <v>16</v>
      </c>
      <c r="K4">
        <v>3</v>
      </c>
      <c r="L4">
        <v>1.7</v>
      </c>
      <c r="M4">
        <v>1</v>
      </c>
      <c r="N4">
        <v>360</v>
      </c>
      <c r="O4" s="2">
        <f t="shared" ref="O4:O20" si="0">60/N4</f>
        <v>0.16666666666666666</v>
      </c>
      <c r="P4">
        <v>0.6</v>
      </c>
      <c r="Q4">
        <v>0.7</v>
      </c>
      <c r="R4">
        <v>0.65</v>
      </c>
      <c r="S4">
        <v>0.55000000000000004</v>
      </c>
      <c r="T4">
        <v>70</v>
      </c>
    </row>
    <row r="5" spans="1:21">
      <c r="A5" s="6" t="s">
        <v>48</v>
      </c>
      <c r="B5" s="11" t="s">
        <v>43</v>
      </c>
      <c r="C5" s="2">
        <f>SUM(((Table16810[[#This Row],[Avg DPS]]*(Table16810[[#This Row],[Range]]))+(Table16810[[#This Row],[Avg DPS]]*Table16810[[#This Row],[Arm Pen (%)]]))/100)</f>
        <v>2.8350000000000004</v>
      </c>
      <c r="D5" s="3">
        <f>SUM(Table16810[[#This Row],[DPS]]*Table16810[[#This Row],[Avg Accuracy]])</f>
        <v>4.4296875000000009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5">
        <v>37</v>
      </c>
      <c r="G5" s="2">
        <f>SUM((Table16810[[#This Row],[Accuracy (Close)]]+Table16810[[#This Row],[Accuracy (Short)]]+Table16810[[#This Row],[Accuracy (Medium)]]+Table16810[[#This Row],[Accuracy (Long)]])/4)</f>
        <v>0.78750000000000009</v>
      </c>
      <c r="H5">
        <v>18</v>
      </c>
      <c r="I5">
        <v>1.5</v>
      </c>
      <c r="J5">
        <v>27</v>
      </c>
      <c r="K5">
        <v>1</v>
      </c>
      <c r="L5">
        <v>1.5</v>
      </c>
      <c r="M5">
        <v>1.7</v>
      </c>
      <c r="N5">
        <v>0</v>
      </c>
      <c r="O5" s="2">
        <v>1.5</v>
      </c>
      <c r="P5">
        <v>0.65</v>
      </c>
      <c r="Q5">
        <v>0.8</v>
      </c>
      <c r="R5">
        <v>0.9</v>
      </c>
      <c r="S5">
        <v>0.8</v>
      </c>
      <c r="T5">
        <v>70</v>
      </c>
    </row>
    <row r="6" spans="1:21">
      <c r="A6" s="14" t="s">
        <v>39</v>
      </c>
      <c r="B6" s="4">
        <v>1</v>
      </c>
      <c r="C6" s="2">
        <f>SUM(((Table16810[[#This Row],[Avg DPS]]*(Table16810[[#This Row],[Range]]))+(Table16810[[#This Row],[Avg DPS]]*Table16810[[#This Row],[Arm Pen (%)]]))/100)</f>
        <v>3.0607688571428571</v>
      </c>
      <c r="D6" s="3">
        <f>SUM(Table16810[[#This Row],[DPS]]*Table16810[[#This Row],[Avg Accuracy]])</f>
        <v>6.8168571428571427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6">
        <v>30.9</v>
      </c>
      <c r="G6" s="2">
        <f>SUM((Table16810[[#This Row],[Accuracy (Close)]]+Table16810[[#This Row],[Accuracy (Short)]]+Table16810[[#This Row],[Accuracy (Medium)]]+Table16810[[#This Row],[Accuracy (Long)]])/4)</f>
        <v>0.60249999999999992</v>
      </c>
      <c r="H6">
        <v>11</v>
      </c>
      <c r="I6">
        <v>0.5</v>
      </c>
      <c r="J6">
        <v>14</v>
      </c>
      <c r="K6">
        <v>3</v>
      </c>
      <c r="L6">
        <v>1.65</v>
      </c>
      <c r="M6">
        <v>1</v>
      </c>
      <c r="N6">
        <v>450</v>
      </c>
      <c r="O6" s="2">
        <f t="shared" si="0"/>
        <v>0.13333333333333333</v>
      </c>
      <c r="P6">
        <v>0.6</v>
      </c>
      <c r="Q6">
        <v>0.7</v>
      </c>
      <c r="R6">
        <v>0.61</v>
      </c>
      <c r="S6">
        <v>0.5</v>
      </c>
    </row>
    <row r="7" spans="1:21">
      <c r="A7" s="14" t="s">
        <v>32</v>
      </c>
      <c r="B7" s="4">
        <v>1</v>
      </c>
      <c r="C7" s="2">
        <f>SUM(((Table16810[[#This Row],[Avg DPS]]*(Table16810[[#This Row],[Range]]))+(Table16810[[#This Row],[Avg DPS]]*Table16810[[#This Row],[Arm Pen (%)]]))/100)</f>
        <v>2.9270985714285711</v>
      </c>
      <c r="D7" s="3">
        <f>SUM(Table16810[[#This Row],[DPS]]*Table16810[[#This Row],[Avg Accuracy]])</f>
        <v>5.1442857142857141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7">
        <v>37.9</v>
      </c>
      <c r="G7" s="2">
        <f>SUM((Table16810[[#This Row],[Accuracy (Close)]]+Table16810[[#This Row],[Accuracy (Short)]]+Table16810[[#This Row],[Accuracy (Medium)]]+Table16810[[#This Row],[Accuracy (Long)]])/4)</f>
        <v>0.6925</v>
      </c>
      <c r="H7">
        <v>13</v>
      </c>
      <c r="I7">
        <v>1</v>
      </c>
      <c r="J7">
        <v>19</v>
      </c>
      <c r="K7">
        <v>2</v>
      </c>
      <c r="L7">
        <v>1.9</v>
      </c>
      <c r="M7">
        <v>1.4</v>
      </c>
      <c r="N7">
        <v>300</v>
      </c>
      <c r="O7" s="2">
        <f t="shared" si="0"/>
        <v>0.2</v>
      </c>
      <c r="P7">
        <v>0.4</v>
      </c>
      <c r="Q7">
        <v>0.7</v>
      </c>
      <c r="R7">
        <v>0.92</v>
      </c>
      <c r="S7">
        <v>0.75</v>
      </c>
    </row>
    <row r="8" spans="1:21">
      <c r="A8" t="s">
        <v>40</v>
      </c>
      <c r="B8" s="4">
        <v>1</v>
      </c>
      <c r="C8" s="2">
        <f>SUM(((Table16810[[#This Row],[Avg DPS]]*(Table16810[[#This Row],[Range]]))+(Table16810[[#This Row],[Avg DPS]]*Table16810[[#This Row],[Arm Pen (%)]]))/100)</f>
        <v>3.1897030237580988</v>
      </c>
      <c r="D8" s="3">
        <f>SUM(Table16810[[#This Row],[DPS]]*Table16810[[#This Row],[Avg Accuracy]])</f>
        <v>6.9492440604751602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8">
        <v>31.9</v>
      </c>
      <c r="G8" s="2">
        <f>SUM((Table16810[[#This Row],[Accuracy (Close)]]+Table16810[[#This Row],[Accuracy (Short)]]+Table16810[[#This Row],[Accuracy (Medium)]]+Table16810[[#This Row],[Accuracy (Long)]])/4)</f>
        <v>0.64999999999999991</v>
      </c>
      <c r="H8">
        <v>11</v>
      </c>
      <c r="I8">
        <v>0.5</v>
      </c>
      <c r="J8">
        <v>14</v>
      </c>
      <c r="K8">
        <v>3</v>
      </c>
      <c r="L8">
        <v>1.72</v>
      </c>
      <c r="M8">
        <v>1.1000000000000001</v>
      </c>
      <c r="N8">
        <v>450</v>
      </c>
      <c r="O8" s="2">
        <f t="shared" si="0"/>
        <v>0.13333333333333333</v>
      </c>
      <c r="P8">
        <v>0.6</v>
      </c>
      <c r="Q8">
        <v>0.75</v>
      </c>
      <c r="R8">
        <v>0.7</v>
      </c>
      <c r="S8">
        <v>0.55000000000000004</v>
      </c>
    </row>
    <row r="9" spans="1:21">
      <c r="A9" t="s">
        <v>38</v>
      </c>
      <c r="B9" s="4">
        <v>1</v>
      </c>
      <c r="C9" s="2">
        <f>SUM(((Table16810[[#This Row],[Avg DPS]]*(Table16810[[#This Row],[Range]]))+(Table16810[[#This Row],[Avg DPS]]*Table16810[[#This Row],[Arm Pen (%)]]))/100)</f>
        <v>2.937166103518777</v>
      </c>
      <c r="D9" s="3">
        <f>SUM(Table16810[[#This Row],[DPS]]*Table16810[[#This Row],[Avg Accuracy]])</f>
        <v>7.0099429678252436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9">
        <v>27.9</v>
      </c>
      <c r="G9" s="2">
        <f>SUM((Table16810[[#This Row],[Accuracy (Close)]]+Table16810[[#This Row],[Accuracy (Short)]]+Table16810[[#This Row],[Accuracy (Medium)]]+Table16810[[#This Row],[Accuracy (Long)]])/4)</f>
        <v>0.56999999999999995</v>
      </c>
      <c r="H9">
        <v>11</v>
      </c>
      <c r="I9">
        <v>0.5</v>
      </c>
      <c r="J9">
        <v>14</v>
      </c>
      <c r="K9">
        <v>3</v>
      </c>
      <c r="L9">
        <v>1.55</v>
      </c>
      <c r="M9">
        <v>0.9</v>
      </c>
      <c r="N9">
        <v>514.29</v>
      </c>
      <c r="O9" s="2">
        <f t="shared" si="0"/>
        <v>0.11666569445254624</v>
      </c>
      <c r="P9">
        <v>0.8</v>
      </c>
      <c r="Q9">
        <v>0.78</v>
      </c>
      <c r="R9">
        <v>0.4</v>
      </c>
      <c r="S9">
        <v>0.3</v>
      </c>
    </row>
    <row r="10" spans="1:21">
      <c r="A10" t="s">
        <v>30</v>
      </c>
      <c r="B10" s="4">
        <v>1</v>
      </c>
      <c r="C10" s="2">
        <f>SUM(((Table16810[[#This Row],[Avg DPS]]*(Table16810[[#This Row],[Range]]))+(Table16810[[#This Row],[Avg DPS]]*Table16810[[#This Row],[Arm Pen (%)]]))/100)</f>
        <v>3.0167445812807876</v>
      </c>
      <c r="D10" s="3">
        <f>SUM(Table16810[[#This Row],[DPS]]*Table16810[[#This Row],[Avg Accuracy]])</f>
        <v>6.169211822660098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10">
        <v>34.9</v>
      </c>
      <c r="G10" s="2">
        <f>SUM((Table16810[[#This Row],[Accuracy (Close)]]+Table16810[[#This Row],[Accuracy (Short)]]+Table16810[[#This Row],[Accuracy (Medium)]]+Table16810[[#This Row],[Accuracy (Long)]])/4)</f>
        <v>0.63249999999999995</v>
      </c>
      <c r="H10">
        <v>11</v>
      </c>
      <c r="I10">
        <v>0.5</v>
      </c>
      <c r="J10">
        <v>14</v>
      </c>
      <c r="K10">
        <v>3</v>
      </c>
      <c r="L10">
        <v>1.85</v>
      </c>
      <c r="M10">
        <v>1.2</v>
      </c>
      <c r="N10">
        <v>360</v>
      </c>
      <c r="O10" s="2">
        <f t="shared" si="0"/>
        <v>0.16666666666666666</v>
      </c>
      <c r="P10">
        <v>0.4</v>
      </c>
      <c r="Q10">
        <v>0.75</v>
      </c>
      <c r="R10">
        <v>0.8</v>
      </c>
      <c r="S10">
        <v>0.57999999999999996</v>
      </c>
    </row>
    <row r="11" spans="1:21">
      <c r="A11" t="s">
        <v>31</v>
      </c>
      <c r="B11" s="4">
        <v>1</v>
      </c>
      <c r="C11" s="2">
        <f>SUM(((Table16810[[#This Row],[Avg DPS]]*(Table16810[[#This Row],[Range]]))+(Table16810[[#This Row],[Avg DPS]]*Table16810[[#This Row],[Arm Pen (%)]]))/100)</f>
        <v>3.174454502814259</v>
      </c>
      <c r="D11" s="3">
        <f>SUM(Table16810[[#This Row],[DPS]]*Table16810[[#This Row],[Avg Accuracy]])</f>
        <v>6.3616322701688564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11">
        <v>35.9</v>
      </c>
      <c r="G11" s="2">
        <f>SUM((Table16810[[#This Row],[Accuracy (Close)]]+Table16810[[#This Row],[Accuracy (Short)]]+Table16810[[#This Row],[Accuracy (Medium)]]+Table16810[[#This Row],[Accuracy (Long)]])/4)</f>
        <v>0.68500000000000005</v>
      </c>
      <c r="H11">
        <v>11</v>
      </c>
      <c r="I11">
        <v>0.5</v>
      </c>
      <c r="J11">
        <v>14</v>
      </c>
      <c r="K11">
        <v>3</v>
      </c>
      <c r="L11">
        <v>1.92</v>
      </c>
      <c r="M11">
        <v>1.3</v>
      </c>
      <c r="N11">
        <v>360</v>
      </c>
      <c r="O11" s="2">
        <f t="shared" si="0"/>
        <v>0.16666666666666666</v>
      </c>
      <c r="P11">
        <v>0.4</v>
      </c>
      <c r="Q11">
        <v>0.8</v>
      </c>
      <c r="R11">
        <v>0.89</v>
      </c>
      <c r="S11">
        <v>0.65</v>
      </c>
    </row>
    <row r="12" spans="1:21">
      <c r="A12" s="4" t="s">
        <v>34</v>
      </c>
      <c r="B12" s="4">
        <v>1</v>
      </c>
      <c r="C12" s="2">
        <f>SUM(((Table16810[[#This Row],[Avg DPS]]*(Table16810[[#This Row],[Range]]))+(Table16810[[#This Row],[Avg DPS]]*Table16810[[#This Row],[Arm Pen (%)]]))/100)</f>
        <v>2.9283123287671229</v>
      </c>
      <c r="D12" s="3">
        <f>SUM(Table16810[[#This Row],[DPS]]*Table16810[[#This Row],[Avg Accuracy]])</f>
        <v>5.0575342465753419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2">
        <v>38.9</v>
      </c>
      <c r="G12" s="2">
        <f>SUM((Table16810[[#This Row],[Accuracy (Close)]]+Table16810[[#This Row],[Accuracy (Short)]]+Table16810[[#This Row],[Accuracy (Medium)]]+Table16810[[#This Row],[Accuracy (Long)]])/4)</f>
        <v>0.71</v>
      </c>
      <c r="H12">
        <v>13</v>
      </c>
      <c r="I12">
        <v>1</v>
      </c>
      <c r="J12">
        <v>19</v>
      </c>
      <c r="K12">
        <v>2</v>
      </c>
      <c r="L12">
        <v>1.95</v>
      </c>
      <c r="M12">
        <v>1.5</v>
      </c>
      <c r="N12">
        <v>300</v>
      </c>
      <c r="O12" s="2">
        <f t="shared" si="0"/>
        <v>0.2</v>
      </c>
      <c r="P12">
        <v>0.4</v>
      </c>
      <c r="Q12">
        <v>0.73</v>
      </c>
      <c r="R12">
        <v>0.93</v>
      </c>
      <c r="S12">
        <v>0.78</v>
      </c>
    </row>
    <row r="13" spans="1:21">
      <c r="A13" s="4" t="s">
        <v>35</v>
      </c>
      <c r="B13" s="4">
        <v>1</v>
      </c>
      <c r="C13" s="2">
        <f>SUM(((Table16810[[#This Row],[Avg DPS]]*(Table16810[[#This Row],[Range]]))+(Table16810[[#This Row],[Avg DPS]]*Table16810[[#This Row],[Arm Pen (%)]]))/100)</f>
        <v>3.0179775132275131</v>
      </c>
      <c r="D13" s="3">
        <f>SUM(Table16810[[#This Row],[DPS]]*Table16810[[#This Row],[Avg Accuracy]])</f>
        <v>5.0383597883597879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3">
        <v>40.9</v>
      </c>
      <c r="G13" s="2">
        <f>SUM((Table16810[[#This Row],[Accuracy (Close)]]+Table16810[[#This Row],[Accuracy (Short)]]+Table16810[[#This Row],[Accuracy (Medium)]]+Table16810[[#This Row],[Accuracy (Long)]])/4)</f>
        <v>0.73249999999999993</v>
      </c>
      <c r="H13">
        <v>13</v>
      </c>
      <c r="I13">
        <v>1</v>
      </c>
      <c r="J13">
        <v>19</v>
      </c>
      <c r="K13">
        <v>2</v>
      </c>
      <c r="L13">
        <v>1.98</v>
      </c>
      <c r="M13">
        <v>1.6</v>
      </c>
      <c r="N13">
        <v>300</v>
      </c>
      <c r="O13" s="2">
        <f t="shared" si="0"/>
        <v>0.2</v>
      </c>
      <c r="P13">
        <v>0.4</v>
      </c>
      <c r="Q13">
        <v>0.67</v>
      </c>
      <c r="R13">
        <v>0.98</v>
      </c>
      <c r="S13">
        <v>0.88</v>
      </c>
    </row>
    <row r="14" spans="1:21">
      <c r="A14" s="4" t="s">
        <v>77</v>
      </c>
      <c r="B14" s="4">
        <v>1</v>
      </c>
      <c r="C14" s="2">
        <f>SUM(((Table16810[[#This Row],[Avg DPS]]*(Table16810[[#This Row],[Range]]))+(Table16810[[#This Row],[Avg DPS]]*Table16810[[#This Row],[Arm Pen (%)]]))/100)</f>
        <v>3.039353012048192</v>
      </c>
      <c r="D14" s="3">
        <f>SUM(Table16810[[#This Row],[DPS]]*Table16810[[#This Row],[Avg Accuracy]])</f>
        <v>4.6831325301204814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4">
        <v>41.9</v>
      </c>
      <c r="G14" s="2">
        <f>SUM((Table16810[[#This Row],[Accuracy (Close)]]+Table16810[[#This Row],[Accuracy (Short)]]+Table16810[[#This Row],[Accuracy (Medium)]]+Table16810[[#This Row],[Accuracy (Long)]])/4)</f>
        <v>0.74749999999999994</v>
      </c>
      <c r="H14">
        <v>13</v>
      </c>
      <c r="I14">
        <v>1</v>
      </c>
      <c r="J14">
        <v>23</v>
      </c>
      <c r="K14">
        <v>2</v>
      </c>
      <c r="L14">
        <v>2.1</v>
      </c>
      <c r="M14">
        <v>1.8</v>
      </c>
      <c r="N14">
        <v>240</v>
      </c>
      <c r="O14" s="2">
        <f t="shared" si="0"/>
        <v>0.25</v>
      </c>
      <c r="P14">
        <v>0.4</v>
      </c>
      <c r="Q14">
        <v>0.71</v>
      </c>
      <c r="R14">
        <v>0.98</v>
      </c>
      <c r="S14">
        <v>0.9</v>
      </c>
    </row>
    <row r="15" spans="1:21">
      <c r="A15" t="s">
        <v>96</v>
      </c>
      <c r="B15">
        <v>1</v>
      </c>
      <c r="C15" s="2">
        <f>SUM(((Table16810[[#This Row],[Avg DPS]]*(Table16810[[#This Row],[Range]]))+(Table16810[[#This Row],[Avg DPS]]*Table16810[[#This Row],[Arm Pen (%)]]))/100)</f>
        <v>3.0081290322580645</v>
      </c>
      <c r="D15" s="3">
        <f>SUM(Table16810[[#This Row],[DPS]]*Table16810[[#This Row],[Avg Accuracy]])</f>
        <v>7.3548387096774199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5">
        <v>29.9</v>
      </c>
      <c r="G15" s="2">
        <f>SUM((Table16810[[#This Row],[Accuracy (Close)]]+Table16810[[#This Row],[Accuracy (Short)]]+Table16810[[#This Row],[Accuracy (Medium)]]+Table16810[[#This Row],[Accuracy (Long)]])/4)</f>
        <v>0.57000000000000006</v>
      </c>
      <c r="H15">
        <v>10</v>
      </c>
      <c r="I15">
        <v>0.5</v>
      </c>
      <c r="J15">
        <v>11</v>
      </c>
      <c r="K15">
        <v>4</v>
      </c>
      <c r="L15">
        <v>1.7</v>
      </c>
      <c r="M15">
        <v>1</v>
      </c>
      <c r="N15">
        <v>450</v>
      </c>
      <c r="O15" s="2">
        <f t="shared" si="0"/>
        <v>0.13333333333333333</v>
      </c>
      <c r="P15">
        <v>0.55000000000000004</v>
      </c>
      <c r="Q15">
        <v>0.65</v>
      </c>
      <c r="R15">
        <v>0.6</v>
      </c>
      <c r="S15">
        <v>0.48</v>
      </c>
      <c r="T15">
        <v>45</v>
      </c>
      <c r="U15">
        <v>3.4</v>
      </c>
    </row>
    <row r="16" spans="1:21">
      <c r="A16" s="1" t="s">
        <v>92</v>
      </c>
      <c r="B16">
        <v>1</v>
      </c>
      <c r="C16" s="2">
        <f>SUM(((Table16810[[#This Row],[Avg DPS]]*(Table16810[[#This Row],[Range]]))+(Table16810[[#This Row],[Avg DPS]]*Table16810[[#This Row],[Arm Pen (%)]]))/100)</f>
        <v>2.9985267857142857</v>
      </c>
      <c r="D16" s="3">
        <f>SUM(Table16810[[#This Row],[DPS]]*Table16810[[#This Row],[Avg Accuracy]])</f>
        <v>6.8303571428571432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6">
        <v>26.9</v>
      </c>
      <c r="G16" s="2">
        <f>SUM((Table16810[[#This Row],[Accuracy (Close)]]+Table16810[[#This Row],[Accuracy (Short)]]+Table16810[[#This Row],[Accuracy (Medium)]]+Table16810[[#This Row],[Accuracy (Long)]])/4)</f>
        <v>0.63749999999999996</v>
      </c>
      <c r="H16">
        <v>12</v>
      </c>
      <c r="I16">
        <v>0.5</v>
      </c>
      <c r="J16">
        <v>17</v>
      </c>
      <c r="K16">
        <v>3</v>
      </c>
      <c r="L16">
        <v>1.81</v>
      </c>
      <c r="M16">
        <v>1.1499999999999999</v>
      </c>
      <c r="N16">
        <v>300</v>
      </c>
      <c r="O16" s="2">
        <f t="shared" si="0"/>
        <v>0.2</v>
      </c>
      <c r="P16">
        <v>0.6</v>
      </c>
      <c r="Q16">
        <v>0.73</v>
      </c>
      <c r="R16">
        <v>0.67</v>
      </c>
      <c r="S16">
        <v>0.55000000000000004</v>
      </c>
      <c r="T16">
        <v>70</v>
      </c>
      <c r="U16">
        <v>3.63</v>
      </c>
    </row>
    <row r="17" spans="1:21" s="4" customFormat="1">
      <c r="A17" t="s">
        <v>95</v>
      </c>
      <c r="B17">
        <v>1</v>
      </c>
      <c r="C17" s="2">
        <f>SUM(((Table16810[[#This Row],[Avg DPS]]*(Table16810[[#This Row],[Range]]))+(Table16810[[#This Row],[Avg DPS]]*Table16810[[#This Row],[Arm Pen (%)]]))/100)</f>
        <v>3.2797636363636364</v>
      </c>
      <c r="D17" s="3">
        <f>SUM(Table16810[[#This Row],[DPS]]*Table16810[[#This Row],[Avg Accuracy]])</f>
        <v>7.1454545454545455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7">
        <v>28.9</v>
      </c>
      <c r="G17" s="2">
        <f>SUM((Table16810[[#This Row],[Accuracy (Close)]]+Table16810[[#This Row],[Accuracy (Short)]]+Table16810[[#This Row],[Accuracy (Medium)]]+Table16810[[#This Row],[Accuracy (Long)]])/4)</f>
        <v>0.65499999999999992</v>
      </c>
      <c r="H17">
        <v>12</v>
      </c>
      <c r="I17">
        <v>0.5</v>
      </c>
      <c r="J17">
        <v>17</v>
      </c>
      <c r="K17">
        <v>3</v>
      </c>
      <c r="L17">
        <v>1.75</v>
      </c>
      <c r="M17">
        <v>1.1499999999999999</v>
      </c>
      <c r="N17">
        <v>300</v>
      </c>
      <c r="O17" s="2">
        <f t="shared" si="0"/>
        <v>0.2</v>
      </c>
      <c r="P17">
        <v>0.6</v>
      </c>
      <c r="Q17">
        <v>0.76</v>
      </c>
      <c r="R17">
        <v>0.7</v>
      </c>
      <c r="S17">
        <v>0.56000000000000005</v>
      </c>
      <c r="T17">
        <v>70</v>
      </c>
      <c r="U17">
        <v>3.3</v>
      </c>
    </row>
    <row r="18" spans="1:21">
      <c r="A18" s="1" t="s">
        <v>97</v>
      </c>
      <c r="B18">
        <v>1</v>
      </c>
      <c r="C18" s="2">
        <f>SUM(((Table16810[[#This Row],[Avg DPS]]*(Table16810[[#This Row],[Range]]))+(Table16810[[#This Row],[Avg DPS]]*Table16810[[#This Row],[Arm Pen (%)]]))/100)</f>
        <v>2.4320833333333334</v>
      </c>
      <c r="D18" s="3">
        <f>SUM(Table16810[[#This Row],[DPS]]*Table16810[[#This Row],[Avg Accuracy]])</f>
        <v>5.416666666666667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8">
        <v>27.9</v>
      </c>
      <c r="G18" s="2">
        <f>SUM((Table16810[[#This Row],[Accuracy (Close)]]+Table16810[[#This Row],[Accuracy (Short)]]+Table16810[[#This Row],[Accuracy (Medium)]]+Table16810[[#This Row],[Accuracy (Long)]])/4)</f>
        <v>0.65</v>
      </c>
      <c r="H18">
        <v>15</v>
      </c>
      <c r="I18">
        <v>0.5</v>
      </c>
      <c r="J18">
        <v>17</v>
      </c>
      <c r="K18">
        <v>1</v>
      </c>
      <c r="L18">
        <v>0.9</v>
      </c>
      <c r="M18">
        <v>0.9</v>
      </c>
      <c r="N18">
        <v>0</v>
      </c>
      <c r="O18" s="2">
        <v>1.5</v>
      </c>
      <c r="P18">
        <v>0.5</v>
      </c>
      <c r="Q18">
        <v>0.79</v>
      </c>
      <c r="R18">
        <v>0.73</v>
      </c>
      <c r="S18">
        <v>0.57999999999999996</v>
      </c>
      <c r="T18">
        <v>72</v>
      </c>
      <c r="U18">
        <v>3.21</v>
      </c>
    </row>
    <row r="19" spans="1:21">
      <c r="A19" t="s">
        <v>104</v>
      </c>
      <c r="B19">
        <v>1</v>
      </c>
      <c r="C19" s="2">
        <f>SUM(((Table16810[[#This Row],[Avg DPS]]*(Table16810[[#This Row],[Range]]))+(Table16810[[#This Row],[Avg DPS]]*Table16810[[#This Row],[Arm Pen (%)]]))/100)</f>
        <v>2.3732000000000002</v>
      </c>
      <c r="D19" s="3">
        <f>SUM(Table16810[[#This Row],[DPS]]*Table16810[[#This Row],[Avg Accuracy]])</f>
        <v>6.8000000000000007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9">
        <v>23.9</v>
      </c>
      <c r="G19" s="2">
        <f>SUM((Table16810[[#This Row],[Accuracy (Close)]]+Table16810[[#This Row],[Accuracy (Short)]]+Table16810[[#This Row],[Accuracy (Medium)]]+Table16810[[#This Row],[Accuracy (Long)]])/4)</f>
        <v>0.42500000000000004</v>
      </c>
      <c r="H19">
        <v>6</v>
      </c>
      <c r="I19">
        <v>0.5</v>
      </c>
      <c r="J19">
        <v>11</v>
      </c>
      <c r="K19">
        <v>10</v>
      </c>
      <c r="L19">
        <v>2</v>
      </c>
      <c r="M19">
        <v>1</v>
      </c>
      <c r="N19">
        <v>720</v>
      </c>
      <c r="O19" s="2">
        <f t="shared" si="0"/>
        <v>8.3333333333333329E-2</v>
      </c>
      <c r="P19">
        <v>0.3</v>
      </c>
      <c r="Q19">
        <v>0.55000000000000004</v>
      </c>
      <c r="R19">
        <v>0.5</v>
      </c>
      <c r="S19">
        <v>0.35</v>
      </c>
      <c r="T19">
        <v>45</v>
      </c>
      <c r="U19">
        <v>4.2</v>
      </c>
    </row>
    <row r="20" spans="1:21">
      <c r="A20" s="7" t="s">
        <v>103</v>
      </c>
      <c r="B20" s="7">
        <v>1</v>
      </c>
      <c r="C20" s="2">
        <f>SUM(((Table16810[[#This Row],[Avg DPS]]*(Table16810[[#This Row],[Range]]))+(Table16810[[#This Row],[Avg DPS]]*Table16810[[#This Row],[Arm Pen (%)]]))/100)</f>
        <v>3.0152780898876399</v>
      </c>
      <c r="D20" s="3">
        <f>SUM(Table16810[[#This Row],[DPS]]*Table16810[[#This Row],[Avg Accuracy]])</f>
        <v>6.2949438202247174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20" s="7">
        <v>33.9</v>
      </c>
      <c r="G20" s="2">
        <f>SUM((Table16810[[#This Row],[Accuracy (Close)]]+Table16810[[#This Row],[Accuracy (Short)]]+Table16810[[#This Row],[Accuracy (Medium)]]+Table16810[[#This Row],[Accuracy (Long)]])/4)</f>
        <v>0.62249999999999994</v>
      </c>
      <c r="H20">
        <v>10</v>
      </c>
      <c r="I20">
        <v>0.5</v>
      </c>
      <c r="J20">
        <v>14</v>
      </c>
      <c r="K20">
        <v>3</v>
      </c>
      <c r="L20">
        <v>1.65</v>
      </c>
      <c r="M20">
        <v>1.05</v>
      </c>
      <c r="N20">
        <v>450</v>
      </c>
      <c r="O20" s="2">
        <f t="shared" si="0"/>
        <v>0.13333333333333333</v>
      </c>
      <c r="P20">
        <v>0.6</v>
      </c>
      <c r="Q20">
        <v>0.74</v>
      </c>
      <c r="R20">
        <v>0.63</v>
      </c>
      <c r="S20">
        <v>0.52</v>
      </c>
      <c r="T20" s="7">
        <v>74</v>
      </c>
      <c r="U20" s="7">
        <v>3.5</v>
      </c>
    </row>
    <row r="21" spans="1:21">
      <c r="C21" s="2" t="e">
        <f>SUM(((Table16810[[#This Row],[Avg DPS]]*(Table16810[[#This Row],[Range]]))+(Table16810[[#This Row],[Avg DPS]]*Table16810[[#This Row],[Arm Pen (%)]]))/100)</f>
        <v>#DIV/0!</v>
      </c>
      <c r="D21" s="3" t="e">
        <f>SUM(Table16810[[#This Row],[DPS]]*Table16810[[#This Row],[Avg Accuracy]])</f>
        <v>#DIV/0!</v>
      </c>
      <c r="E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1" s="2">
        <f>SUM((Table16810[[#This Row],[Accuracy (Close)]]+Table16810[[#This Row],[Accuracy (Short)]]+Table16810[[#This Row],[Accuracy (Medium)]]+Table16810[[#This Row],[Accuracy (Long)]])/4)</f>
        <v>0</v>
      </c>
      <c r="O21" s="2" t="e">
        <f t="shared" ref="O21:O29" si="1">60/N21</f>
        <v>#DIV/0!</v>
      </c>
    </row>
    <row r="22" spans="1:21">
      <c r="C22" s="2" t="e">
        <f>SUM(((Table16810[[#This Row],[Avg DPS]]*(Table16810[[#This Row],[Range]]))+(Table16810[[#This Row],[Avg DPS]]*Table16810[[#This Row],[Arm Pen (%)]]))/100)</f>
        <v>#DIV/0!</v>
      </c>
      <c r="D22" s="3" t="e">
        <f>SUM(Table16810[[#This Row],[DPS]]*Table16810[[#This Row],[Avg Accuracy]])</f>
        <v>#DIV/0!</v>
      </c>
      <c r="E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2" s="2">
        <f>SUM((Table16810[[#This Row],[Accuracy (Close)]]+Table16810[[#This Row],[Accuracy (Short)]]+Table16810[[#This Row],[Accuracy (Medium)]]+Table16810[[#This Row],[Accuracy (Long)]])/4)</f>
        <v>0</v>
      </c>
      <c r="O22" s="2" t="e">
        <f t="shared" si="1"/>
        <v>#DIV/0!</v>
      </c>
    </row>
    <row r="23" spans="1:21">
      <c r="C23" s="2" t="e">
        <f>SUM(((Table16810[[#This Row],[Avg DPS]]*(Table16810[[#This Row],[Range]]))+(Table16810[[#This Row],[Avg DPS]]*Table16810[[#This Row],[Arm Pen (%)]]))/100)</f>
        <v>#DIV/0!</v>
      </c>
      <c r="D23" s="3" t="e">
        <f>SUM(Table16810[[#This Row],[DPS]]*Table16810[[#This Row],[Avg Accuracy]])</f>
        <v>#DIV/0!</v>
      </c>
      <c r="E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3" s="2">
        <f>SUM((Table16810[[#This Row],[Accuracy (Close)]]+Table16810[[#This Row],[Accuracy (Short)]]+Table16810[[#This Row],[Accuracy (Medium)]]+Table16810[[#This Row],[Accuracy (Long)]])/4)</f>
        <v>0</v>
      </c>
      <c r="O23" s="2" t="e">
        <f t="shared" si="1"/>
        <v>#DIV/0!</v>
      </c>
    </row>
    <row r="24" spans="1:21">
      <c r="C24" s="2" t="e">
        <f>SUM(((Table16810[[#This Row],[Avg DPS]]*(Table16810[[#This Row],[Range]]))+(Table16810[[#This Row],[Avg DPS]]*Table16810[[#This Row],[Arm Pen (%)]]))/100)</f>
        <v>#DIV/0!</v>
      </c>
      <c r="D24" s="3" t="e">
        <f>SUM(Table16810[[#This Row],[DPS]]*Table16810[[#This Row],[Avg Accuracy]])</f>
        <v>#DIV/0!</v>
      </c>
      <c r="E2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4" s="2">
        <f>SUM((Table16810[[#This Row],[Accuracy (Close)]]+Table16810[[#This Row],[Accuracy (Short)]]+Table16810[[#This Row],[Accuracy (Medium)]]+Table16810[[#This Row],[Accuracy (Long)]])/4)</f>
        <v>0</v>
      </c>
      <c r="O24" s="2" t="e">
        <f t="shared" si="1"/>
        <v>#DIV/0!</v>
      </c>
    </row>
    <row r="25" spans="1:21">
      <c r="C25" s="2" t="e">
        <f>SUM(((Table16810[[#This Row],[Avg DPS]]*(Table16810[[#This Row],[Range]]))+(Table16810[[#This Row],[Avg DPS]]*Table16810[[#This Row],[Arm Pen (%)]]))/100)</f>
        <v>#DIV/0!</v>
      </c>
      <c r="D25" s="3" t="e">
        <f>SUM(Table16810[[#This Row],[DPS]]*Table16810[[#This Row],[Avg Accuracy]])</f>
        <v>#DIV/0!</v>
      </c>
      <c r="E2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5" s="2">
        <f>SUM((Table16810[[#This Row],[Accuracy (Close)]]+Table16810[[#This Row],[Accuracy (Short)]]+Table16810[[#This Row],[Accuracy (Medium)]]+Table16810[[#This Row],[Accuracy (Long)]])/4)</f>
        <v>0</v>
      </c>
      <c r="O25" s="2" t="e">
        <f t="shared" si="1"/>
        <v>#DIV/0!</v>
      </c>
    </row>
    <row r="26" spans="1:21">
      <c r="C26" s="2" t="e">
        <f>SUM(((Table16810[[#This Row],[Avg DPS]]*(Table16810[[#This Row],[Range]]))+(Table16810[[#This Row],[Avg DPS]]*Table16810[[#This Row],[Arm Pen (%)]]))/100)</f>
        <v>#DIV/0!</v>
      </c>
      <c r="D26" s="3" t="e">
        <f>SUM(Table16810[[#This Row],[DPS]]*Table16810[[#This Row],[Avg Accuracy]])</f>
        <v>#DIV/0!</v>
      </c>
      <c r="E2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6" s="2">
        <f>SUM((Table16810[[#This Row],[Accuracy (Close)]]+Table16810[[#This Row],[Accuracy (Short)]]+Table16810[[#This Row],[Accuracy (Medium)]]+Table16810[[#This Row],[Accuracy (Long)]])/4)</f>
        <v>0</v>
      </c>
      <c r="O26" s="2" t="e">
        <f t="shared" si="1"/>
        <v>#DIV/0!</v>
      </c>
    </row>
    <row r="27" spans="1:21">
      <c r="C27" s="2" t="e">
        <f>SUM(((Table16810[[#This Row],[Avg DPS]]*(Table16810[[#This Row],[Range]]))+(Table16810[[#This Row],[Avg DPS]]*Table16810[[#This Row],[Arm Pen (%)]]))/100)</f>
        <v>#DIV/0!</v>
      </c>
      <c r="D27" s="3" t="e">
        <f>SUM(Table16810[[#This Row],[DPS]]*Table16810[[#This Row],[Avg Accuracy]])</f>
        <v>#DIV/0!</v>
      </c>
      <c r="E2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7" s="2">
        <f>SUM((Table16810[[#This Row],[Accuracy (Close)]]+Table16810[[#This Row],[Accuracy (Short)]]+Table16810[[#This Row],[Accuracy (Medium)]]+Table16810[[#This Row],[Accuracy (Long)]])/4)</f>
        <v>0</v>
      </c>
      <c r="O27" s="2" t="e">
        <f t="shared" si="1"/>
        <v>#DIV/0!</v>
      </c>
    </row>
    <row r="28" spans="1:21">
      <c r="C28" s="2" t="e">
        <f>SUM(((Table16810[[#This Row],[Avg DPS]]*(Table16810[[#This Row],[Range]]))+(Table16810[[#This Row],[Avg DPS]]*Table16810[[#This Row],[Arm Pen (%)]]))/100)</f>
        <v>#DIV/0!</v>
      </c>
      <c r="D28" s="3" t="e">
        <f>SUM(Table16810[[#This Row],[DPS]]*Table16810[[#This Row],[Avg Accuracy]])</f>
        <v>#DIV/0!</v>
      </c>
      <c r="E2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28" s="2">
        <f>SUM((Table16810[[#This Row],[Accuracy (Close)]]+Table16810[[#This Row],[Accuracy (Short)]]+Table16810[[#This Row],[Accuracy (Medium)]]+Table16810[[#This Row],[Accuracy (Long)]])/4)</f>
        <v>0</v>
      </c>
      <c r="O28" s="2" t="e">
        <f t="shared" si="1"/>
        <v>#DIV/0!</v>
      </c>
    </row>
    <row r="29" spans="1:21">
      <c r="A29" s="7"/>
      <c r="B29" s="7"/>
      <c r="C29" s="8" t="e">
        <f>SUM(((Table16810[[#This Row],[Avg DPS]]*(Table16810[[#This Row],[Range]]))+(Table16810[[#This Row],[Avg DPS]]*Table16810[[#This Row],[Arm Pen (%)]]))/100)</f>
        <v>#DIV/0!</v>
      </c>
      <c r="D29" s="9" t="e">
        <f>SUM(Table16810[[#This Row],[DPS]]*Table16810[[#This Row],[Avg Accuracy]])</f>
        <v>#DIV/0!</v>
      </c>
      <c r="E29" s="8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29" s="7"/>
      <c r="G29" s="8">
        <f>SUM((Table16810[[#This Row],[Accuracy (Close)]]+Table16810[[#This Row],[Accuracy (Short)]]+Table16810[[#This Row],[Accuracy (Medium)]]+Table16810[[#This Row],[Accuracy (Long)]])/4)</f>
        <v>0</v>
      </c>
      <c r="H29" s="7"/>
      <c r="I29" s="7"/>
      <c r="J29" s="7"/>
      <c r="K29" s="7"/>
      <c r="L29" s="7"/>
      <c r="M29" s="7"/>
      <c r="N29" s="7"/>
      <c r="O29" s="8" t="e">
        <f t="shared" si="1"/>
        <v>#DIV/0!</v>
      </c>
      <c r="P29" s="7"/>
      <c r="Q29" s="7"/>
      <c r="R29" s="7"/>
      <c r="S29" s="7"/>
      <c r="T29" s="7"/>
      <c r="U29" s="7"/>
    </row>
  </sheetData>
  <conditionalFormatting sqref="C4:C998">
    <cfRule type="cellIs" dxfId="31" priority="1" operator="greaterThan">
      <formula>3.2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U19"/>
  <sheetViews>
    <sheetView workbookViewId="0">
      <selection activeCell="F21" sqref="F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80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88</v>
      </c>
      <c r="U3" s="16" t="s">
        <v>89</v>
      </c>
    </row>
    <row r="4" spans="1:21" ht="15.75" thickTop="1">
      <c r="A4" s="6" t="s">
        <v>49</v>
      </c>
      <c r="B4" s="11" t="s">
        <v>43</v>
      </c>
      <c r="C4" s="2">
        <f>SUM(((Table1681011[[#This Row],[Avg DPS]]*(Table1681011[[#This Row],[Range]]))+(Table1681011[[#This Row],[Avg DPS]]*Table1681011[[#This Row],[Arm Pen (%)]]))/100)</f>
        <v>2.6295258620689657</v>
      </c>
      <c r="D4" s="3">
        <f>SUM(Table1681011[[#This Row],[DPS]]*Table1681011[[#This Row],[Avg Accuracy]])</f>
        <v>3.1681034482758621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4">
        <v>45</v>
      </c>
      <c r="G4" s="2">
        <f>SUM((Table1681011[[#This Row],[Accuracy (Close)]]+Table1681011[[#This Row],[Accuracy (Short)]]+Table1681011[[#This Row],[Accuracy (Medium)]]+Table1681011[[#This Row],[Accuracy (Long)]])/4)</f>
        <v>0.73499999999999999</v>
      </c>
      <c r="H4">
        <v>25</v>
      </c>
      <c r="I4">
        <v>1.5</v>
      </c>
      <c r="J4">
        <v>38</v>
      </c>
      <c r="K4">
        <v>1</v>
      </c>
      <c r="L4">
        <v>2.2999999999999998</v>
      </c>
      <c r="M4">
        <v>3.5</v>
      </c>
      <c r="N4">
        <v>0</v>
      </c>
      <c r="O4" s="2">
        <v>2.2999999999999998</v>
      </c>
      <c r="P4">
        <v>0.5</v>
      </c>
      <c r="Q4">
        <v>0.7</v>
      </c>
      <c r="R4">
        <v>0.86</v>
      </c>
      <c r="S4">
        <v>0.88</v>
      </c>
      <c r="T4" s="17">
        <v>100</v>
      </c>
      <c r="U4" s="18"/>
    </row>
    <row r="5" spans="1:21">
      <c r="A5" s="14" t="s">
        <v>41</v>
      </c>
      <c r="B5" s="4">
        <v>2</v>
      </c>
      <c r="C5" s="2">
        <f>SUM(((Table1681011[[#This Row],[Avg DPS]]*(Table1681011[[#This Row],[Range]]))+(Table1681011[[#This Row],[Avg DPS]]*Table1681011[[#This Row],[Arm Pen (%)]]))/100)</f>
        <v>3.141916666666666</v>
      </c>
      <c r="D5" s="3">
        <f>SUM(Table1681011[[#This Row],[DPS]]*Table1681011[[#This Row],[Avg Accuracy]])</f>
        <v>3.083333333333333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4.1666666666666661</v>
      </c>
      <c r="F5">
        <v>54.9</v>
      </c>
      <c r="G5" s="2">
        <f>SUM((Table1681011[[#This Row],[Accuracy (Close)]]+Table1681011[[#This Row],[Accuracy (Short)]]+Table1681011[[#This Row],[Accuracy (Medium)]]+Table1681011[[#This Row],[Accuracy (Long)]])/4)</f>
        <v>0.74</v>
      </c>
      <c r="H5">
        <v>35</v>
      </c>
      <c r="I5">
        <v>1.5</v>
      </c>
      <c r="J5">
        <v>47</v>
      </c>
      <c r="K5">
        <v>1</v>
      </c>
      <c r="L5">
        <v>3.1</v>
      </c>
      <c r="M5">
        <v>5.3</v>
      </c>
      <c r="N5">
        <v>0</v>
      </c>
      <c r="O5" s="2">
        <v>3.5</v>
      </c>
      <c r="P5">
        <v>0.4</v>
      </c>
      <c r="Q5">
        <v>0.72</v>
      </c>
      <c r="R5">
        <v>0.94</v>
      </c>
      <c r="S5">
        <v>0.9</v>
      </c>
      <c r="T5" s="19"/>
      <c r="U5" s="20"/>
    </row>
    <row r="6" spans="1:21">
      <c r="A6" s="14" t="s">
        <v>76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2</v>
      </c>
      <c r="P6">
        <v>0.4</v>
      </c>
      <c r="Q6">
        <v>0.71</v>
      </c>
      <c r="R6">
        <v>0.9</v>
      </c>
      <c r="S6">
        <v>0.87</v>
      </c>
      <c r="T6" s="17"/>
      <c r="U6" s="18"/>
    </row>
    <row r="7" spans="1:21">
      <c r="A7" s="1" t="s">
        <v>100</v>
      </c>
      <c r="B7" s="4">
        <v>1</v>
      </c>
      <c r="C7" s="2">
        <f>SUM(((Table1681011[[#This Row],[Avg DPS]]*(Table1681011[[#This Row],[Range]]))+(Table1681011[[#This Row],[Avg DPS]]*Table1681011[[#This Row],[Arm Pen (%)]]))/100)</f>
        <v>2.8188557692307694</v>
      </c>
      <c r="D7" s="3">
        <f>SUM(Table1681011[[#This Row],[DPS]]*Table1681011[[#This Row],[Avg Accuracy]])</f>
        <v>3.0673076923076925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7">
        <v>49.9</v>
      </c>
      <c r="G7" s="2">
        <f>SUM((Table1681011[[#This Row],[Accuracy (Close)]]+Table1681011[[#This Row],[Accuracy (Short)]]+Table1681011[[#This Row],[Accuracy (Medium)]]+Table1681011[[#This Row],[Accuracy (Long)]])/4)</f>
        <v>0.6875</v>
      </c>
      <c r="H7">
        <v>29</v>
      </c>
      <c r="I7">
        <v>1.5</v>
      </c>
      <c r="J7">
        <v>42</v>
      </c>
      <c r="K7">
        <v>1</v>
      </c>
      <c r="L7">
        <v>2.6</v>
      </c>
      <c r="M7">
        <v>3.9</v>
      </c>
      <c r="N7">
        <v>0</v>
      </c>
      <c r="O7" s="2">
        <v>2.6</v>
      </c>
      <c r="P7">
        <v>0.4</v>
      </c>
      <c r="Q7">
        <v>0.68</v>
      </c>
      <c r="R7">
        <v>0.82</v>
      </c>
      <c r="S7">
        <v>0.85</v>
      </c>
      <c r="T7" s="19">
        <v>120</v>
      </c>
      <c r="U7" s="20">
        <v>7.54</v>
      </c>
    </row>
    <row r="8" spans="1:21">
      <c r="B8" s="4"/>
      <c r="C8" s="2" t="e">
        <f>SUM(((Table1681011[[#This Row],[Avg DPS]]*(Table1681011[[#This Row],[Range]]))+(Table1681011[[#This Row],[Avg DPS]]*Table1681011[[#This Row],[Arm Pen (%)]]))/100)</f>
        <v>#DIV/0!</v>
      </c>
      <c r="D8" s="3" t="e">
        <f>SUM(Table1681011[[#This Row],[DPS]]*Table1681011[[#This Row],[Avg Accuracy]])</f>
        <v>#DIV/0!</v>
      </c>
      <c r="E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8" s="2">
        <f>SUM((Table1681011[[#This Row],[Accuracy (Close)]]+Table1681011[[#This Row],[Accuracy (Short)]]+Table1681011[[#This Row],[Accuracy (Medium)]]+Table1681011[[#This Row],[Accuracy (Long)]])/4)</f>
        <v>0</v>
      </c>
      <c r="O8" s="2" t="e">
        <f t="shared" ref="O8:O16" si="0">60/N8</f>
        <v>#DIV/0!</v>
      </c>
      <c r="T8" s="17"/>
      <c r="U8" s="18"/>
    </row>
    <row r="9" spans="1:21">
      <c r="B9" s="4"/>
      <c r="C9" s="2" t="e">
        <f>SUM(((Table1681011[[#This Row],[Avg DPS]]*(Table1681011[[#This Row],[Range]]))+(Table1681011[[#This Row],[Avg DPS]]*Table1681011[[#This Row],[Arm Pen (%)]]))/100)</f>
        <v>#DIV/0!</v>
      </c>
      <c r="D9" s="3" t="e">
        <f>SUM(Table1681011[[#This Row],[DPS]]*Table1681011[[#This Row],[Avg Accuracy]])</f>
        <v>#DIV/0!</v>
      </c>
      <c r="E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9" s="2">
        <f>SUM((Table1681011[[#This Row],[Accuracy (Close)]]+Table1681011[[#This Row],[Accuracy (Short)]]+Table1681011[[#This Row],[Accuracy (Medium)]]+Table1681011[[#This Row],[Accuracy (Long)]])/4)</f>
        <v>0</v>
      </c>
      <c r="O9" s="2" t="e">
        <f t="shared" si="0"/>
        <v>#DIV/0!</v>
      </c>
      <c r="T9" s="19"/>
      <c r="U9" s="20"/>
    </row>
    <row r="10" spans="1:21">
      <c r="B10" s="4"/>
      <c r="C10" s="2" t="e">
        <f>SUM(((Table1681011[[#This Row],[Avg DPS]]*(Table1681011[[#This Row],[Range]]))+(Table1681011[[#This Row],[Avg DPS]]*Table1681011[[#This Row],[Arm Pen (%)]]))/100)</f>
        <v>#DIV/0!</v>
      </c>
      <c r="D10" s="3" t="e">
        <f>SUM(Table1681011[[#This Row],[DPS]]*Table1681011[[#This Row],[Avg Accuracy]])</f>
        <v>#DIV/0!</v>
      </c>
      <c r="E1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0" s="2">
        <f>SUM((Table1681011[[#This Row],[Accuracy (Close)]]+Table1681011[[#This Row],[Accuracy (Short)]]+Table1681011[[#This Row],[Accuracy (Medium)]]+Table1681011[[#This Row],[Accuracy (Long)]])/4)</f>
        <v>0</v>
      </c>
      <c r="O10" s="2" t="e">
        <f t="shared" si="0"/>
        <v>#DIV/0!</v>
      </c>
      <c r="T10" s="17"/>
      <c r="U10" s="18"/>
    </row>
    <row r="11" spans="1:21">
      <c r="A11" s="4"/>
      <c r="B11" s="4"/>
      <c r="C11" s="2" t="e">
        <f>SUM(((Table1681011[[#This Row],[Avg DPS]]*(Table1681011[[#This Row],[Range]]))+(Table1681011[[#This Row],[Avg DPS]]*Table1681011[[#This Row],[Arm Pen (%)]]))/100)</f>
        <v>#DIV/0!</v>
      </c>
      <c r="D11" s="3" t="e">
        <f>SUM(Table1681011[[#This Row],[DPS]]*Table1681011[[#This Row],[Avg Accuracy]])</f>
        <v>#DIV/0!</v>
      </c>
      <c r="E1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1" s="2">
        <f>SUM((Table1681011[[#This Row],[Accuracy (Close)]]+Table1681011[[#This Row],[Accuracy (Short)]]+Table1681011[[#This Row],[Accuracy (Medium)]]+Table1681011[[#This Row],[Accuracy (Long)]])/4)</f>
        <v>0</v>
      </c>
      <c r="O11" s="2" t="e">
        <f t="shared" si="0"/>
        <v>#DIV/0!</v>
      </c>
      <c r="T11" s="19"/>
      <c r="U11" s="20"/>
    </row>
    <row r="12" spans="1:21">
      <c r="A12" s="4"/>
      <c r="B12" s="4"/>
      <c r="C12" s="2" t="e">
        <f>SUM(((Table1681011[[#This Row],[Avg DPS]]*(Table1681011[[#This Row],[Range]]))+(Table1681011[[#This Row],[Avg DPS]]*Table1681011[[#This Row],[Arm Pen (%)]]))/100)</f>
        <v>#DIV/0!</v>
      </c>
      <c r="D12" s="3" t="e">
        <f>SUM(Table1681011[[#This Row],[DPS]]*Table1681011[[#This Row],[Avg Accuracy]])</f>
        <v>#DIV/0!</v>
      </c>
      <c r="E1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2" s="2">
        <f>SUM((Table1681011[[#This Row],[Accuracy (Close)]]+Table1681011[[#This Row],[Accuracy (Short)]]+Table1681011[[#This Row],[Accuracy (Medium)]]+Table1681011[[#This Row],[Accuracy (Long)]])/4)</f>
        <v>0</v>
      </c>
      <c r="O12" s="2" t="e">
        <f t="shared" si="0"/>
        <v>#DIV/0!</v>
      </c>
      <c r="T12" s="17"/>
      <c r="U12" s="18"/>
    </row>
    <row r="13" spans="1:21">
      <c r="C13" s="2" t="e">
        <f>SUM(((Table1681011[[#This Row],[Avg DPS]]*(Table1681011[[#This Row],[Range]]))+(Table1681011[[#This Row],[Avg DPS]]*Table1681011[[#This Row],[Arm Pen (%)]]))/100)</f>
        <v>#DIV/0!</v>
      </c>
      <c r="D13" s="3" t="e">
        <f>SUM(Table1681011[[#This Row],[DPS]]*Table1681011[[#This Row],[Avg Accuracy]])</f>
        <v>#DIV/0!</v>
      </c>
      <c r="E1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3" s="2">
        <f>SUM((Table1681011[[#This Row],[Accuracy (Close)]]+Table1681011[[#This Row],[Accuracy (Short)]]+Table1681011[[#This Row],[Accuracy (Medium)]]+Table1681011[[#This Row],[Accuracy (Long)]])/4)</f>
        <v>0</v>
      </c>
      <c r="O13" s="2" t="e">
        <f t="shared" si="0"/>
        <v>#DIV/0!</v>
      </c>
      <c r="T13" s="19"/>
      <c r="U13" s="20"/>
    </row>
    <row r="14" spans="1:21">
      <c r="C14" s="2" t="e">
        <f>SUM(((Table1681011[[#This Row],[Avg DPS]]*(Table1681011[[#This Row],[Range]]))+(Table1681011[[#This Row],[Avg DPS]]*Table1681011[[#This Row],[Arm Pen (%)]]))/100)</f>
        <v>#DIV/0!</v>
      </c>
      <c r="D14" s="3" t="e">
        <f>SUM(Table1681011[[#This Row],[DPS]]*Table1681011[[#This Row],[Avg Accuracy]])</f>
        <v>#DIV/0!</v>
      </c>
      <c r="E1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4" s="2">
        <f>SUM((Table1681011[[#This Row],[Accuracy (Close)]]+Table1681011[[#This Row],[Accuracy (Short)]]+Table1681011[[#This Row],[Accuracy (Medium)]]+Table1681011[[#This Row],[Accuracy (Long)]])/4)</f>
        <v>0</v>
      </c>
      <c r="O14" s="2" t="e">
        <f t="shared" si="0"/>
        <v>#DIV/0!</v>
      </c>
      <c r="T14" s="17"/>
      <c r="U14" s="18"/>
    </row>
    <row r="15" spans="1:21"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5" s="2">
        <f>SUM((Table1681011[[#This Row],[Accuracy (Close)]]+Table1681011[[#This Row],[Accuracy (Short)]]+Table1681011[[#This Row],[Accuracy (Medium)]]+Table1681011[[#This Row],[Accuracy (Long)]])/4)</f>
        <v>0</v>
      </c>
      <c r="O15" s="2" t="e">
        <f t="shared" si="0"/>
        <v>#DIV/0!</v>
      </c>
      <c r="T15" s="19"/>
      <c r="U15" s="20"/>
    </row>
    <row r="16" spans="1:21">
      <c r="C16" s="2" t="e">
        <f>SUM(((Table1681011[[#This Row],[Avg DPS]]*(Table1681011[[#This Row],[Range]]))+(Table1681011[[#This Row],[Avg DPS]]*Table1681011[[#This Row],[Arm Pen (%)]]))/100)</f>
        <v>#DIV/0!</v>
      </c>
      <c r="D16" s="3" t="e">
        <f>SUM(Table1681011[[#This Row],[DPS]]*Table1681011[[#This Row],[Avg Accuracy]])</f>
        <v>#DIV/0!</v>
      </c>
      <c r="E1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6" s="2">
        <f>SUM((Table1681011[[#This Row],[Accuracy (Close)]]+Table1681011[[#This Row],[Accuracy (Short)]]+Table1681011[[#This Row],[Accuracy (Medium)]]+Table1681011[[#This Row],[Accuracy (Long)]])/4)</f>
        <v>0</v>
      </c>
      <c r="O16" s="2" t="e">
        <f t="shared" si="0"/>
        <v>#DIV/0!</v>
      </c>
      <c r="T16" s="17"/>
      <c r="U16" s="18"/>
    </row>
    <row r="17" spans="1:21" s="4" customFormat="1">
      <c r="A17"/>
      <c r="B17"/>
      <c r="C17" s="2" t="e">
        <f>SUM(((Table1681011[[#This Row],[Avg DPS]]*(Table1681011[[#This Row],[Range]]))+(Table1681011[[#This Row],[Avg DPS]]*Table1681011[[#This Row],[Arm Pen (%)]]))/100)</f>
        <v>#DIV/0!</v>
      </c>
      <c r="D17" s="3" t="e">
        <f>SUM(Table1681011[[#This Row],[DPS]]*Table1681011[[#This Row],[Avg Accuracy]])</f>
        <v>#DIV/0!</v>
      </c>
      <c r="E1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7"/>
      <c r="G17" s="2">
        <f>SUM((Table1681011[[#This Row],[Accuracy (Close)]]+Table1681011[[#This Row],[Accuracy (Short)]]+Table1681011[[#This Row],[Accuracy (Medium)]]+Table1681011[[#This Row],[Accuracy (Long)]])/4)</f>
        <v>0</v>
      </c>
      <c r="H17"/>
      <c r="I17"/>
      <c r="J17"/>
      <c r="K17"/>
      <c r="L17"/>
      <c r="M17"/>
      <c r="N17"/>
      <c r="O17" s="2" t="e">
        <f t="shared" ref="O17:O19" si="1">60/N17</f>
        <v>#DIV/0!</v>
      </c>
      <c r="P17"/>
      <c r="Q17"/>
      <c r="R17"/>
      <c r="S17"/>
      <c r="T17" s="19"/>
      <c r="U17" s="20"/>
    </row>
    <row r="18" spans="1:21"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si="1"/>
        <v>#DIV/0!</v>
      </c>
      <c r="T18" s="17"/>
      <c r="U18" s="18"/>
    </row>
    <row r="19" spans="1:21">
      <c r="A19" s="7"/>
      <c r="B19" s="7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9" s="7"/>
      <c r="G19" s="2">
        <f>SUM((Table1681011[[#This Row],[Accuracy (Close)]]+Table1681011[[#This Row],[Accuracy (Short)]]+Table1681011[[#This Row],[Accuracy (Medium)]]+Table1681011[[#This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1"/>
        <v>#DIV/0!</v>
      </c>
      <c r="P19" s="7"/>
      <c r="Q19" s="7"/>
      <c r="R19" s="7"/>
      <c r="S19" s="7"/>
      <c r="T19" s="19"/>
      <c r="U19" s="20"/>
    </row>
  </sheetData>
  <conditionalFormatting sqref="C4:C19">
    <cfRule type="cellIs" dxfId="25" priority="1" operator="greaterThan">
      <formula>2.639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S32"/>
  <sheetViews>
    <sheetView workbookViewId="0">
      <selection activeCell="S6" sqref="S6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7" width="11.5703125" customWidth="1"/>
    <col min="8" max="8" width="15.28515625" customWidth="1"/>
    <col min="9" max="9" width="14.5703125" customWidth="1"/>
    <col min="10" max="10" width="8.5703125" customWidth="1"/>
    <col min="11" max="11" width="19.42578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19">
      <c r="A1" s="1" t="s">
        <v>0</v>
      </c>
      <c r="C1" t="s">
        <v>24</v>
      </c>
      <c r="F1" s="1" t="s">
        <v>78</v>
      </c>
    </row>
    <row r="2" spans="1:19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19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</row>
    <row r="4" spans="1:19">
      <c r="A4" s="6" t="s">
        <v>47</v>
      </c>
      <c r="B4" s="11" t="s">
        <v>43</v>
      </c>
      <c r="C4" s="2">
        <f>SUM(((Table1681015[[#This Row],[Avg DPS]]*(Table1681015[[#This Row],[Range]]))+(Table1681015[[#This Row],[Avg DPS]]*Table1681015[[#This Row],[Arm Pen (%)]]))/100)</f>
        <v>4.4202573529411771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26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</row>
    <row r="5" spans="1:19">
      <c r="C5" s="2" t="e">
        <f>SUM(((Table1681015[[#This Row],[Avg DPS]]*(Table1681015[[#This Row],[Range]]))+(Table1681015[[#This Row],[Avg DPS]]*Table1681015[[#This Row],[Arm Pen (%)]]))/100)</f>
        <v>#DIV/0!</v>
      </c>
      <c r="D5" s="3" t="e">
        <f>SUM(Table1681015[[#This Row],[DPS]]*Table1681015[[#This Row],[Avg Accuracy]])</f>
        <v>#DIV/0!</v>
      </c>
      <c r="E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5" s="2">
        <f>SUM((Table1681015[[#This Row],[Accuracy (Close)]]+Table1681015[[#This Row],[Accuracy (Short)]]+Table1681015[[#This Row],[Accuracy (Medium)]]+Table1681015[[#This Row],[Accuracy (Long)]])/4)</f>
        <v>0</v>
      </c>
      <c r="O5" s="2" t="e">
        <f t="shared" si="0"/>
        <v>#DIV/0!</v>
      </c>
    </row>
    <row r="6" spans="1:19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19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19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</row>
    <row r="9" spans="1:19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19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19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</row>
    <row r="12" spans="1:19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19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19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19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19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19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19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19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19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19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19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19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19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19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19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19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19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19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19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19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19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</row>
  </sheetData>
  <conditionalFormatting sqref="C4:C32">
    <cfRule type="cellIs" dxfId="17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U20"/>
  <sheetViews>
    <sheetView workbookViewId="0">
      <selection activeCell="G41" sqref="G4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</cols>
  <sheetData>
    <row r="1" spans="1:21">
      <c r="A1" s="1" t="s">
        <v>0</v>
      </c>
      <c r="C1" t="s">
        <v>24</v>
      </c>
      <c r="F1" s="1" t="s">
        <v>79</v>
      </c>
      <c r="H1" s="1" t="s">
        <v>90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88</v>
      </c>
      <c r="U3" t="s">
        <v>89</v>
      </c>
    </row>
    <row r="4" spans="1:21">
      <c r="A4" s="6" t="s">
        <v>50</v>
      </c>
      <c r="B4" s="11" t="s">
        <v>43</v>
      </c>
      <c r="C4" s="2">
        <f>SUM(((Table168101112[[#This Row],[Avg DPS]]*(Table168101112[[#This Row],[Range]]))+(Table168101112[[#This Row],[Avg DPS]]*Table168101112[[#This Row],[Arm Pen (%)]]))/100)</f>
        <v>2.4682976889010355</v>
      </c>
      <c r="D4" s="3">
        <f>SUM(Table168101112[[#This Row],[DPS]]*Table168101112[[#This Row],[Avg Accuracy]])</f>
        <v>5.8768992592881801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4">
        <v>26</v>
      </c>
      <c r="G4" s="2">
        <f>SUM((Table168101112[[#This Row],[Accuracy (Close)]]+Table168101112[[#This Row],[Accuracy (Short)]]+Table168101112[[#This Row],[Accuracy (Medium)]]+Table168101112[[#This Row],[Accuracy (Long)]])/4)</f>
        <v>0.3725</v>
      </c>
      <c r="H4">
        <v>11</v>
      </c>
      <c r="I4">
        <v>1</v>
      </c>
      <c r="J4">
        <v>16</v>
      </c>
      <c r="K4">
        <v>6</v>
      </c>
      <c r="L4">
        <v>1.8</v>
      </c>
      <c r="M4">
        <v>1.8</v>
      </c>
      <c r="N4">
        <v>514.29</v>
      </c>
      <c r="O4" s="2">
        <f t="shared" ref="O4:O20" si="0">60/N4</f>
        <v>0.11666569445254624</v>
      </c>
      <c r="P4">
        <v>0.4</v>
      </c>
      <c r="Q4">
        <v>0.48</v>
      </c>
      <c r="R4">
        <v>0.35</v>
      </c>
      <c r="S4">
        <v>0.26</v>
      </c>
      <c r="T4">
        <v>46</v>
      </c>
    </row>
    <row r="5" spans="1:21">
      <c r="A5" s="6" t="s">
        <v>74</v>
      </c>
      <c r="B5" s="11" t="s">
        <v>43</v>
      </c>
      <c r="C5" s="2">
        <f>SUM(((Table168101112[[#This Row],[Avg DPS]]*(Table168101112[[#This Row],[Range]]))+(Table168101112[[#This Row],[Avg DPS]]*Table168101112[[#This Row],[Arm Pen (%)]]))/100)</f>
        <v>3.5015625000000004</v>
      </c>
      <c r="D5" s="3">
        <f>SUM(Table168101112[[#This Row],[DPS]]*Table168101112[[#This Row],[Avg Accuracy]])</f>
        <v>7.6286764705882364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5">
        <v>30.9</v>
      </c>
      <c r="G5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5">
        <v>10</v>
      </c>
      <c r="I5">
        <v>0.5</v>
      </c>
      <c r="J5">
        <v>15</v>
      </c>
      <c r="K5">
        <v>25</v>
      </c>
      <c r="L5">
        <v>2.2999999999999998</v>
      </c>
      <c r="M5">
        <v>2.5</v>
      </c>
      <c r="N5">
        <v>720</v>
      </c>
      <c r="O5" s="2">
        <f>60/N5</f>
        <v>8.3333333333333329E-2</v>
      </c>
      <c r="P5">
        <v>0.15</v>
      </c>
      <c r="Q5">
        <v>0.25</v>
      </c>
      <c r="R5">
        <v>0.25</v>
      </c>
      <c r="S5">
        <v>0.18</v>
      </c>
      <c r="T5">
        <v>70</v>
      </c>
    </row>
    <row r="6" spans="1:21">
      <c r="A6" s="14" t="s">
        <v>28</v>
      </c>
      <c r="B6" s="4">
        <v>2</v>
      </c>
      <c r="C6" s="2">
        <f>SUM(((Table168101112[[#This Row],[Avg DPS]]*(Table168101112[[#This Row],[Range]]))+(Table168101112[[#This Row],[Avg DPS]]*Table168101112[[#This Row],[Arm Pen (%)]]))/100)</f>
        <v>2.411733390410959</v>
      </c>
      <c r="D6" s="3">
        <f>SUM(Table168101112[[#This Row],[DPS]]*Table168101112[[#This Row],[Avg Accuracy]])</f>
        <v>6.1998287671232877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6">
        <v>25.9</v>
      </c>
      <c r="G6" s="2">
        <f>SUM((Table168101112[[#This Row],[Accuracy (Close)]]+Table168101112[[#This Row],[Accuracy (Short)]]+Table168101112[[#This Row],[Accuracy (Medium)]]+Table168101112[[#This Row],[Accuracy (Long)]])/4)</f>
        <v>0.3725</v>
      </c>
      <c r="H6">
        <v>9</v>
      </c>
      <c r="I6">
        <v>1</v>
      </c>
      <c r="J6">
        <v>13</v>
      </c>
      <c r="K6">
        <v>9</v>
      </c>
      <c r="L6">
        <v>2</v>
      </c>
      <c r="M6">
        <v>2.2000000000000002</v>
      </c>
      <c r="N6">
        <v>720</v>
      </c>
      <c r="O6" s="2">
        <f t="shared" si="0"/>
        <v>8.3333333333333329E-2</v>
      </c>
      <c r="P6">
        <v>0.4</v>
      </c>
      <c r="Q6">
        <v>0.48</v>
      </c>
      <c r="R6">
        <v>0.35</v>
      </c>
      <c r="S6">
        <v>0.26</v>
      </c>
      <c r="T6">
        <v>50</v>
      </c>
    </row>
    <row r="7" spans="1:21">
      <c r="A7" s="14" t="s">
        <v>75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2.8280842105263155</v>
      </c>
      <c r="D7" s="3">
        <f>SUM(Table168101112[[#This Row],[DPS]]*Table168101112[[#This Row],[Avg Accuracy]])</f>
        <v>6.4421052631578943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16.842105263157894</v>
      </c>
      <c r="F7">
        <v>30.9</v>
      </c>
      <c r="G7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7">
        <v>10</v>
      </c>
      <c r="I7">
        <v>1</v>
      </c>
      <c r="J7">
        <v>13</v>
      </c>
      <c r="K7">
        <v>8</v>
      </c>
      <c r="L7">
        <v>2</v>
      </c>
      <c r="M7">
        <v>2.4</v>
      </c>
      <c r="N7">
        <v>1200</v>
      </c>
      <c r="O7" s="2">
        <f t="shared" si="0"/>
        <v>0.05</v>
      </c>
      <c r="P7">
        <v>0.4</v>
      </c>
      <c r="Q7">
        <v>0.48</v>
      </c>
      <c r="R7">
        <v>0.38</v>
      </c>
      <c r="S7">
        <v>0.27</v>
      </c>
      <c r="T7">
        <v>55</v>
      </c>
    </row>
    <row r="8" spans="1:21">
      <c r="A8" s="1" t="s">
        <v>86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2.6009812499999998</v>
      </c>
      <c r="D8" s="3">
        <f>SUM(Table168101112[[#This Row],[DPS]]*Table168101112[[#This Row],[Avg Accuracy]])</f>
        <v>6.5187499999999998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8">
        <v>25.9</v>
      </c>
      <c r="G8" s="2">
        <f>SUM((Table168101112[[#This Row],[Accuracy (Close)]]+Table168101112[[#This Row],[Accuracy (Short)]]+Table168101112[[#This Row],[Accuracy (Medium)]]+Table168101112[[#This Row],[Accuracy (Long)]])/4)</f>
        <v>0.3725</v>
      </c>
      <c r="H8">
        <v>10</v>
      </c>
      <c r="I8">
        <v>1</v>
      </c>
      <c r="J8">
        <v>14</v>
      </c>
      <c r="K8">
        <v>7</v>
      </c>
      <c r="L8">
        <v>1.6</v>
      </c>
      <c r="M8">
        <v>1.9</v>
      </c>
      <c r="N8">
        <v>720</v>
      </c>
      <c r="O8" s="2">
        <f t="shared" si="0"/>
        <v>8.3333333333333329E-2</v>
      </c>
      <c r="P8">
        <v>0.4</v>
      </c>
      <c r="Q8">
        <v>0.48</v>
      </c>
      <c r="R8">
        <v>0.35</v>
      </c>
      <c r="S8">
        <v>0.26</v>
      </c>
      <c r="T8">
        <v>49</v>
      </c>
      <c r="U8">
        <v>9.6999999999999993</v>
      </c>
    </row>
    <row r="9" spans="1:21">
      <c r="A9" t="s">
        <v>87</v>
      </c>
      <c r="B9" s="4">
        <v>1</v>
      </c>
      <c r="C9" s="2">
        <f>SUM(((Table168101112[[#This Row],[Avg DPS]]*(Table168101112[[#This Row],[Range]]))+(Table168101112[[#This Row],[Avg DPS]]*Table168101112[[#This Row],[Arm Pen (%)]]))/100)</f>
        <v>2.7735312499999996</v>
      </c>
      <c r="D9" s="3">
        <f>SUM(Table168101112[[#This Row],[DPS]]*Table168101112[[#This Row],[Avg Accuracy]])</f>
        <v>6.78125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9">
        <v>26.9</v>
      </c>
      <c r="G9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9">
        <v>10</v>
      </c>
      <c r="I9">
        <v>1</v>
      </c>
      <c r="J9">
        <v>14</v>
      </c>
      <c r="K9">
        <v>7</v>
      </c>
      <c r="L9">
        <v>1.6</v>
      </c>
      <c r="M9">
        <v>1.9</v>
      </c>
      <c r="N9">
        <v>720</v>
      </c>
      <c r="O9" s="2">
        <f t="shared" si="0"/>
        <v>8.3333333333333329E-2</v>
      </c>
      <c r="P9">
        <v>0.4</v>
      </c>
      <c r="Q9">
        <v>0.49</v>
      </c>
      <c r="R9">
        <v>0.39</v>
      </c>
      <c r="S9">
        <v>0.27</v>
      </c>
      <c r="T9">
        <v>50</v>
      </c>
      <c r="U9">
        <v>10.1</v>
      </c>
    </row>
    <row r="10" spans="1:21">
      <c r="A10" t="s">
        <v>84</v>
      </c>
      <c r="B10" s="4">
        <v>1</v>
      </c>
      <c r="C10" s="2">
        <f>SUM(((Table168101112[[#This Row],[Avg DPS]]*(Table168101112[[#This Row],[Range]]))+(Table168101112[[#This Row],[Avg DPS]]*Table168101112[[#This Row],[Arm Pen (%)]]))/100)</f>
        <v>2.8811144404332127</v>
      </c>
      <c r="D10" s="3">
        <f>SUM(Table168101112[[#This Row],[DPS]]*Table168101112[[#This Row],[Avg Accuracy]])</f>
        <v>6.7158844765342955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10">
        <v>13</v>
      </c>
      <c r="I10">
        <v>1</v>
      </c>
      <c r="J10">
        <v>17</v>
      </c>
      <c r="K10">
        <v>6</v>
      </c>
      <c r="L10">
        <v>2.1</v>
      </c>
      <c r="M10">
        <v>2.1</v>
      </c>
      <c r="N10">
        <v>720</v>
      </c>
      <c r="O10" s="2">
        <f t="shared" si="0"/>
        <v>8.3333333333333329E-2</v>
      </c>
      <c r="P10">
        <v>0.41</v>
      </c>
      <c r="Q10">
        <v>0.5</v>
      </c>
      <c r="R10">
        <v>0.4</v>
      </c>
      <c r="S10">
        <v>0.28000000000000003</v>
      </c>
      <c r="T10">
        <v>45</v>
      </c>
      <c r="U10">
        <v>14.4</v>
      </c>
    </row>
    <row r="11" spans="1:21">
      <c r="A11" s="1" t="s">
        <v>85</v>
      </c>
      <c r="B11" s="4">
        <v>1</v>
      </c>
      <c r="C11" s="2">
        <f>SUM(((Table168101112[[#This Row],[Avg DPS]]*(Table168101112[[#This Row],[Range]]))+(Table168101112[[#This Row],[Avg DPS]]*Table168101112[[#This Row],[Arm Pen (%)]]))/100)</f>
        <v>2.0225093691118703</v>
      </c>
      <c r="D11" s="3">
        <f>SUM(Table168101112[[#This Row],[DPS]]*Table168101112[[#This Row],[Avg Accuracy]])</f>
        <v>5.9661043336633348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11">
        <v>23.9</v>
      </c>
      <c r="G11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11">
        <v>6</v>
      </c>
      <c r="I11">
        <v>0.5</v>
      </c>
      <c r="J11">
        <v>10</v>
      </c>
      <c r="K11">
        <v>15</v>
      </c>
      <c r="L11">
        <v>1.5</v>
      </c>
      <c r="M11">
        <v>1.1000000000000001</v>
      </c>
      <c r="N11">
        <v>327.27</v>
      </c>
      <c r="O11" s="2">
        <f>60/N11</f>
        <v>0.1833348611238427</v>
      </c>
      <c r="P11">
        <v>0.4</v>
      </c>
      <c r="Q11">
        <v>0.45</v>
      </c>
      <c r="R11">
        <v>0.32</v>
      </c>
      <c r="S11">
        <v>0.2</v>
      </c>
      <c r="T11">
        <v>45</v>
      </c>
      <c r="U11">
        <v>8.9</v>
      </c>
    </row>
    <row r="12" spans="1:21">
      <c r="A12" s="4"/>
      <c r="B12" s="4"/>
      <c r="C12" s="2" t="e">
        <f>SUM(((Table168101112[[#This Row],[Avg DPS]]*(Table168101112[[#This Row],[Range]]))+(Table168101112[[#This Row],[Avg DPS]]*Table168101112[[#This Row],[Arm Pen (%)]]))/100)</f>
        <v>#DIV/0!</v>
      </c>
      <c r="D12" s="3" t="e">
        <f>SUM(Table168101112[[#This Row],[DPS]]*Table168101112[[#This Row],[Avg Accuracy]])</f>
        <v>#DIV/0!</v>
      </c>
      <c r="E12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2" s="2">
        <f>SUM((Table168101112[[#This Row],[Accuracy (Close)]]+Table168101112[[#This Row],[Accuracy (Short)]]+Table168101112[[#This Row],[Accuracy (Medium)]]+Table168101112[[#This Row],[Accuracy (Long)]])/4)</f>
        <v>0</v>
      </c>
      <c r="O12" s="2" t="e">
        <f t="shared" si="0"/>
        <v>#DIV/0!</v>
      </c>
    </row>
    <row r="13" spans="1:21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1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1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1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1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1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</row>
    <row r="19" spans="1:21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1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</row>
  </sheetData>
  <conditionalFormatting sqref="C4:C20">
    <cfRule type="cellIs" dxfId="11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U19"/>
  <sheetViews>
    <sheetView tabSelected="1" workbookViewId="0">
      <selection activeCell="S23" sqref="S23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4.7109375" customWidth="1"/>
    <col min="7" max="8" width="11.5703125" customWidth="1"/>
    <col min="9" max="9" width="14.5703125" customWidth="1"/>
    <col min="10" max="11" width="8.5703125" customWidth="1"/>
    <col min="12" max="12" width="12" customWidth="1"/>
    <col min="13" max="14" width="8.8554687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</cols>
  <sheetData>
    <row r="1" spans="1:21">
      <c r="A1" s="1" t="s">
        <v>0</v>
      </c>
      <c r="C1" t="s">
        <v>24</v>
      </c>
      <c r="F1" s="1" t="s">
        <v>81</v>
      </c>
    </row>
    <row r="2" spans="1:21">
      <c r="A2" t="s">
        <v>23</v>
      </c>
      <c r="B2" t="s">
        <v>25</v>
      </c>
      <c r="E2" t="s">
        <v>21</v>
      </c>
      <c r="P2" t="s">
        <v>37</v>
      </c>
      <c r="Q2" t="s">
        <v>33</v>
      </c>
      <c r="R2" t="s">
        <v>36</v>
      </c>
    </row>
    <row r="3" spans="1:21" ht="15.75" thickBot="1">
      <c r="A3" t="s">
        <v>1</v>
      </c>
      <c r="B3" t="s">
        <v>42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88</v>
      </c>
      <c r="U3" s="16" t="s">
        <v>89</v>
      </c>
    </row>
    <row r="4" spans="1:21" ht="15.75" thickTop="1">
      <c r="A4" s="6" t="s">
        <v>52</v>
      </c>
      <c r="B4" s="11" t="s">
        <v>43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</row>
    <row r="5" spans="1:21">
      <c r="A5" s="6" t="s">
        <v>53</v>
      </c>
      <c r="B5" s="11" t="s">
        <v>43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</row>
    <row r="6" spans="1:21">
      <c r="A6" s="14" t="s">
        <v>91</v>
      </c>
      <c r="B6" s="4"/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18"/>
    </row>
    <row r="7" spans="1:21">
      <c r="B7" s="4"/>
      <c r="C7" s="2" t="e">
        <f>SUM(((Table16810111213[[#This Row],[Avg DPS]]*(Table16810111213[[#This Row],[Range]]))+(Table16810111213[[#This Row],[Avg DPS]]*Table16810111213[[#This Row],[Arm Pen (%)]]))/100)</f>
        <v>#DIV/0!</v>
      </c>
      <c r="D7" s="3" t="e">
        <f>SUM(Table16810111213[[#This Row],[DPS]]*Table16810111213[[#This Row],[Avg Accuracy]])</f>
        <v>#DIV/0!</v>
      </c>
      <c r="E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7" s="2">
        <f>SUM((Table16810111213[[#This Row],[Accuracy (Close)]]+Table16810111213[[#This Row],[Accuracy (Short)]]+Table16810111213[[#This Row],[Accuracy (Medium)]]+Table16810111213[[#This Row],[Accuracy (Long)]])/4)</f>
        <v>0</v>
      </c>
      <c r="O7" s="2" t="e">
        <f t="shared" ref="O7:O19" si="0">60/N7</f>
        <v>#DIV/0!</v>
      </c>
      <c r="T7" s="19"/>
      <c r="U7" s="20"/>
    </row>
    <row r="8" spans="1:21">
      <c r="B8" s="4"/>
      <c r="C8" s="2" t="e">
        <f>SUM(((Table16810111213[[#This Row],[Avg DPS]]*(Table16810111213[[#This Row],[Range]]))+(Table16810111213[[#This Row],[Avg DPS]]*Table16810111213[[#This Row],[Arm Pen (%)]]))/100)</f>
        <v>#DIV/0!</v>
      </c>
      <c r="D8" s="3" t="e">
        <f>SUM(Table16810111213[[#This Row],[DPS]]*Table16810111213[[#This Row],[Avg Accuracy]])</f>
        <v>#DIV/0!</v>
      </c>
      <c r="E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8" s="2">
        <f>SUM((Table16810111213[[#This Row],[Accuracy (Close)]]+Table16810111213[[#This Row],[Accuracy (Short)]]+Table16810111213[[#This Row],[Accuracy (Medium)]]+Table16810111213[[#This Row],[Accuracy (Long)]])/4)</f>
        <v>0</v>
      </c>
      <c r="O8" s="2" t="e">
        <f t="shared" si="0"/>
        <v>#DIV/0!</v>
      </c>
      <c r="T8" s="17"/>
      <c r="U8" s="18"/>
    </row>
    <row r="9" spans="1:21">
      <c r="B9" s="4"/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si="0"/>
        <v>#DIV/0!</v>
      </c>
    </row>
    <row r="10" spans="1:21">
      <c r="B10" s="4"/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</row>
    <row r="11" spans="1:21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1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1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1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1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1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5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7" sqref="K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Shotgun</vt:lpstr>
      <vt:lpstr>Melee</vt:lpstr>
      <vt:lpstr>Volumes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2022-07-31T11:13:48Z</dcterms:modified>
</cp:coreProperties>
</file>