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8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Turrets" sheetId="24" r:id="rId9"/>
    <sheet name="Shotgun" sheetId="12" r:id="rId10"/>
    <sheet name="Melee" sheetId="17" r:id="rId11"/>
    <sheet name="Misc" sheetId="19" r:id="rId12"/>
    <sheet name="Volumes" sheetId="15" r:id="rId13"/>
    <sheet name="Formulas" sheetId="20" r:id="rId14"/>
    <sheet name="Comments" sheetId="21" r:id="rId15"/>
  </sheets>
  <calcPr calcId="124519"/>
</workbook>
</file>

<file path=xl/calcChain.xml><?xml version="1.0" encoding="utf-8"?>
<calcChain xmlns="http://schemas.openxmlformats.org/spreadsheetml/2006/main">
  <c r="AA18" i="24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G27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O25"/>
  <c r="E25" s="1"/>
  <c r="D25" s="1"/>
  <c r="C25" s="1"/>
  <c r="O26"/>
  <c r="E26" s="1"/>
  <c r="O27"/>
  <c r="E27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W5" i="7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W10" i="11"/>
  <c r="W9"/>
  <c r="E20" i="10"/>
  <c r="D20" s="1"/>
  <c r="C20" s="1"/>
  <c r="E24"/>
  <c r="D24" s="1"/>
  <c r="C24" s="1"/>
  <c r="E25"/>
  <c r="D25" s="1"/>
  <c r="C25" s="1"/>
  <c r="E26"/>
  <c r="D26" s="1"/>
  <c r="C26" s="1"/>
  <c r="E27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O21"/>
  <c r="E21" s="1"/>
  <c r="D21" s="1"/>
  <c r="C21" s="1"/>
  <c r="O22"/>
  <c r="E22" s="1"/>
  <c r="D22" s="1"/>
  <c r="C22" s="1"/>
  <c r="O23"/>
  <c r="E23" s="1"/>
  <c r="D23" s="1"/>
  <c r="C23" s="1"/>
  <c r="O24"/>
  <c r="O25"/>
  <c r="O26"/>
  <c r="O27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D32" s="1"/>
  <c r="C32" s="1"/>
  <c r="O33"/>
  <c r="E33" s="1"/>
  <c r="O34"/>
  <c r="E34" s="1"/>
  <c r="O35"/>
  <c r="E35" s="1"/>
  <c r="D35" s="1"/>
  <c r="C35" s="1"/>
  <c r="O36"/>
  <c r="E36" s="1"/>
  <c r="O37"/>
  <c r="E37" s="1"/>
  <c r="D37" s="1"/>
  <c r="C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5" i="9"/>
  <c r="E18" i="8"/>
  <c r="E19"/>
  <c r="E20"/>
  <c r="E21"/>
  <c r="E22"/>
  <c r="E23"/>
  <c r="E24"/>
  <c r="D24" s="1"/>
  <c r="C24" s="1"/>
  <c r="W24" s="1"/>
  <c r="E25"/>
  <c r="E26"/>
  <c r="E11"/>
  <c r="O23" i="9"/>
  <c r="E23" s="1"/>
  <c r="E41"/>
  <c r="E16"/>
  <c r="E19"/>
  <c r="E20"/>
  <c r="E21"/>
  <c r="E22"/>
  <c r="E25"/>
  <c r="E26"/>
  <c r="O27"/>
  <c r="G27"/>
  <c r="G32"/>
  <c r="G33"/>
  <c r="G34"/>
  <c r="G35"/>
  <c r="G36"/>
  <c r="G37"/>
  <c r="G38"/>
  <c r="G28"/>
  <c r="G29"/>
  <c r="G30"/>
  <c r="G3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2"/>
  <c r="E32" s="1"/>
  <c r="O33"/>
  <c r="E33" s="1"/>
  <c r="O34"/>
  <c r="E34" s="1"/>
  <c r="O36"/>
  <c r="E36" s="1"/>
  <c r="O37"/>
  <c r="O38"/>
  <c r="O28"/>
  <c r="E28" s="1"/>
  <c r="O29"/>
  <c r="E29" s="1"/>
  <c r="O30"/>
  <c r="E30" s="1"/>
  <c r="O31"/>
  <c r="E3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2" i="24" l="1"/>
  <c r="C22" s="1"/>
  <c r="D23"/>
  <c r="C23" s="1"/>
  <c r="D24"/>
  <c r="C24" s="1"/>
  <c r="D19"/>
  <c r="C19" s="1"/>
  <c r="D20"/>
  <c r="C20" s="1"/>
  <c r="D21"/>
  <c r="C21" s="1"/>
  <c r="D26"/>
  <c r="C26" s="1"/>
  <c r="D27"/>
  <c r="C27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3" i="8"/>
  <c r="C23" s="1"/>
  <c r="W23" s="1"/>
  <c r="D26"/>
  <c r="C26" s="1"/>
  <c r="W26" s="1"/>
  <c r="D25"/>
  <c r="C25" s="1"/>
  <c r="W25" s="1"/>
  <c r="C17" i="15"/>
  <c r="J17"/>
  <c r="G17"/>
  <c r="I17"/>
  <c r="D17"/>
  <c r="F17"/>
  <c r="B17"/>
  <c r="H17"/>
  <c r="E17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3" i="9"/>
  <c r="C33" s="1"/>
  <c r="W33" s="1"/>
  <c r="D34"/>
  <c r="C34" s="1"/>
  <c r="W34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5"/>
  <c r="D35" s="1"/>
  <c r="C35" s="1"/>
  <c r="W35" s="1"/>
  <c r="E98"/>
  <c r="D98" s="1"/>
  <c r="C98" s="1"/>
  <c r="E66"/>
  <c r="D66" s="1"/>
  <c r="C66" s="1"/>
  <c r="E99"/>
  <c r="D99" s="1"/>
  <c r="C99" s="1"/>
  <c r="E67"/>
  <c r="D67" s="1"/>
  <c r="C67" s="1"/>
  <c r="E37"/>
  <c r="D37" s="1"/>
  <c r="C37" s="1"/>
  <c r="W37" s="1"/>
  <c r="E100"/>
  <c r="D100" s="1"/>
  <c r="C100" s="1"/>
  <c r="E68"/>
  <c r="D68" s="1"/>
  <c r="C68" s="1"/>
  <c r="E38"/>
  <c r="D38" s="1"/>
  <c r="C38" s="1"/>
  <c r="W38" s="1"/>
  <c r="D56"/>
  <c r="C56" s="1"/>
  <c r="D92"/>
  <c r="C92" s="1"/>
  <c r="D60"/>
  <c r="C60" s="1"/>
  <c r="D94"/>
  <c r="C94" s="1"/>
  <c r="D62"/>
  <c r="C62" s="1"/>
  <c r="D32"/>
  <c r="C32" s="1"/>
  <c r="W32" s="1"/>
  <c r="D36"/>
  <c r="C36" s="1"/>
  <c r="W36" s="1"/>
  <c r="D28"/>
  <c r="C28" s="1"/>
  <c r="W28" s="1"/>
  <c r="D29"/>
  <c r="C29" s="1"/>
  <c r="W29" s="1"/>
  <c r="D30"/>
  <c r="C30" s="1"/>
  <c r="W30" s="1"/>
  <c r="D31"/>
  <c r="C3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7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4"/>
  <c r="G4"/>
  <c r="E5"/>
  <c r="G5"/>
  <c r="E6"/>
  <c r="G6"/>
  <c r="E7"/>
  <c r="G7"/>
  <c r="E8"/>
  <c r="G8"/>
  <c r="G9"/>
  <c r="E9"/>
  <c r="E10"/>
  <c r="G10"/>
  <c r="E11"/>
  <c r="G11"/>
  <c r="G12"/>
  <c r="E12"/>
  <c r="E13"/>
  <c r="G13"/>
  <c r="G14"/>
  <c r="E14"/>
  <c r="G41" i="9"/>
  <c r="O18" i="10"/>
  <c r="E18" s="1"/>
  <c r="G18"/>
  <c r="E17"/>
  <c r="G17"/>
  <c r="E15"/>
  <c r="G15"/>
  <c r="E19"/>
  <c r="G19"/>
  <c r="O40" i="9"/>
  <c r="E40" s="1"/>
  <c r="E17" i="8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0"/>
  <c r="G4" i="5"/>
  <c r="O4"/>
  <c r="E4" s="1"/>
  <c r="E16" i="8"/>
  <c r="E15"/>
  <c r="E14"/>
  <c r="E13"/>
  <c r="O12"/>
  <c r="E12" s="1"/>
  <c r="E9"/>
  <c r="E8"/>
  <c r="E7"/>
  <c r="E6"/>
  <c r="E5"/>
  <c r="E5" i="7"/>
  <c r="E6"/>
  <c r="E7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7" i="10"/>
  <c r="C17" s="1"/>
  <c r="D5" i="14"/>
  <c r="C5" s="1"/>
  <c r="D11" i="10"/>
  <c r="C11" s="1"/>
  <c r="W11" s="1"/>
  <c r="D15"/>
  <c r="C15" s="1"/>
  <c r="W15" s="1"/>
  <c r="D12" i="12"/>
  <c r="C12" s="1"/>
  <c r="D28" i="14"/>
  <c r="C28" s="1"/>
  <c r="D29"/>
  <c r="C29" s="1"/>
  <c r="D30"/>
  <c r="C30" s="1"/>
  <c r="D12" i="10"/>
  <c r="C12" s="1"/>
  <c r="W12" s="1"/>
  <c r="D18"/>
  <c r="C18" s="1"/>
  <c r="J5" i="20"/>
  <c r="N5" s="1"/>
  <c r="I5"/>
  <c r="M5" s="1"/>
  <c r="D6" i="10"/>
  <c r="C6" s="1"/>
  <c r="W6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9" i="10"/>
  <c r="C19" s="1"/>
  <c r="D8"/>
  <c r="C8" s="1"/>
  <c r="W8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11" i="5"/>
  <c r="C11" s="1"/>
  <c r="D7" i="10"/>
  <c r="C7" s="1"/>
  <c r="D4"/>
  <c r="C4" s="1"/>
  <c r="W4" s="1"/>
  <c r="D4" i="11"/>
  <c r="C4" s="1"/>
  <c r="W4" s="1"/>
  <c r="D12"/>
  <c r="C12" s="1"/>
  <c r="D4" i="8"/>
  <c r="C4" s="1"/>
  <c r="D9" i="10"/>
  <c r="C9" s="1"/>
  <c r="D10" i="14"/>
  <c r="C10" s="1"/>
  <c r="D5" i="10"/>
  <c r="C5" s="1"/>
  <c r="W5" s="1"/>
  <c r="D10"/>
  <c r="C10" s="1"/>
  <c r="W10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16" i="10"/>
  <c r="C16" s="1"/>
  <c r="D14"/>
  <c r="C14" s="1"/>
  <c r="W14" s="1"/>
  <c r="D13"/>
  <c r="C13" s="1"/>
  <c r="W13" s="1"/>
  <c r="D41" i="9"/>
  <c r="C41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40" i="9"/>
  <c r="C40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W7" s="1"/>
  <c r="D16"/>
  <c r="C16" s="1"/>
  <c r="D17"/>
  <c r="C17" s="1"/>
  <c r="D18"/>
  <c r="C18" s="1"/>
  <c r="D5"/>
  <c r="C5" s="1"/>
  <c r="D6"/>
  <c r="C6" s="1"/>
  <c r="W6" s="1"/>
  <c r="D8"/>
  <c r="C8" s="1"/>
  <c r="W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<sst xmlns="http://schemas.openxmlformats.org/spreadsheetml/2006/main" count="912" uniqueCount="352">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</sst>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7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0" fontId="0" fillId="0" borderId="3" xfId="0" applyBorder="1"/>
    <xf numFmtId="0" fontId="0" fillId="3" borderId="0" xfId="0" applyFont="1" applyFill="1"/>
    <xf numFmtId="0" fontId="0" fillId="0" borderId="4" xfId="0" applyBorder="1"/>
    <xf numFmtId="0" fontId="0" fillId="4" borderId="0" xfId="0" applyFont="1" applyFill="1"/>
    <xf numFmtId="1" fontId="0" fillId="0" borderId="0" xfId="0" applyNumberForma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te" xfId="1" builtinId="1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11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110">
      <calculatedColumnFormula>SUM(Table1689[[#This Row],[DPS]]*Table1689[[#This Row],[Avg Accuracy]])</calculatedColumnFormula>
    </tableColumn>
    <tableColumn id="15" name="DPS" dataDxfId="109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108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0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104"/>
    <tableColumn id="22" name="Balance" dataDxfId="103">
      <calculatedColumnFormula>SUM(((Table168[[#This Row],[Avg DPS]]*(Table168[[#This Row],[Range]]))+(Table168[[#This Row],[Avg DPS]]*Table168[[#This Row],[Arm Pen (%)]]))/100)</calculatedColumnFormula>
    </tableColumn>
    <tableColumn id="20" name="Avg DPS" dataDxfId="102">
      <calculatedColumnFormula>SUM(Table168[[#This Row],[DPS]]*Table168[[#This Row],[Avg Accuracy]])</calculatedColumnFormula>
    </tableColumn>
    <tableColumn id="15" name="DPS" dataDxfId="101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100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9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5"/>
    <tableColumn id="22" name="Balance" dataDxfId="94">
      <calculatedColumnFormula>SUM(((Table16[[#This Row],[AC/DPS]]*(Table16[[#This Row],[Range]]))+(Table16[[#This Row],[AC/DPS]]*Table16[[#This Row],[Arm Pen (%)]]))/100)</calculatedColumnFormula>
    </tableColumn>
    <tableColumn id="20" name="AC/DPS" dataDxfId="93">
      <calculatedColumnFormula>SUM(Table16[[#This Row],[DPS]]*Table16[[#This Row],[Avg Accuracy]])</calculatedColumnFormula>
    </tableColumn>
    <tableColumn id="15" name="DPS" dataDxfId="9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9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9"/>
    <tableColumn id="14" name="Weight" dataDxfId="88"/>
    <tableColumn id="21" name="Craftable" dataDxfId="87"/>
    <tableColumn id="23" name="Value" dataDxfId="8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W123">
    <sortCondition ref="B3:B123"/>
  </sortState>
  <tableColumns count="28">
    <tableColumn id="1" name="Weapon Name"/>
    <tableColumn id="12" name="Vol."/>
    <tableColumn id="22" name="Balance" dataDxfId="83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82">
      <calculatedColumnFormula>SUM(Table16810[[#This Row],[DPS]]*Table16810[[#This Row],[Avg Accuracy]])</calculatedColumnFormula>
    </tableColumn>
    <tableColumn id="15" name="DPS" dataDxfId="81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80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79"/>
    <tableColumn id="5" name="Warm-up" dataDxfId="78"/>
    <tableColumn id="6" name="RPM"/>
    <tableColumn id="7" name="Burst Time" dataDxfId="7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76"/>
    <tableColumn id="21" name="Craftable" dataDxfId="75"/>
    <tableColumn id="23" name="Value"/>
    <tableColumn id="24" name="Special" dataDxfId="74"/>
    <tableColumn id="28" name="S. Damage" dataDxfId="73"/>
    <tableColumn id="25" name="S. Ammo" dataDxfId="72"/>
    <tableColumn id="26" name="S. Range" dataDxfId="71"/>
    <tableColumn id="29" name="S. Cost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67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66">
      <calculatedColumnFormula>SUM(Table1681011[[#This Row],[DPS]]*Table1681011[[#This Row],[Avg Accuracy]])</calculatedColumnFormula>
    </tableColumn>
    <tableColumn id="15" name="DPS" dataDxfId="65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64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2"/>
    <tableColumn id="14" name="Weight" dataDxfId="61"/>
    <tableColumn id="21" name="Craftable" dataDxfId="60"/>
    <tableColumn id="23" name="Value" dataDxfId="5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7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56">
      <calculatedColumnFormula>SUM(Table1681015[[#This Row],[DPS]]*Table1681015[[#This Row],[Avg Accuracy]])</calculatedColumnFormula>
    </tableColumn>
    <tableColumn id="15" name="DPS" dataDxfId="5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5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51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50">
      <calculatedColumnFormula>SUM(Table168101112[[#This Row],[DPS]]*Table168101112[[#This Row],[Avg Accuracy]])</calculatedColumnFormula>
    </tableColumn>
    <tableColumn id="15" name="DPS" dataDxfId="4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4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45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44">
      <calculatedColumnFormula>SUM(Table1681011124[[#This Row],[DPS]]*Table1681011124[[#This Row],[Avg Accuracy]])</calculatedColumnFormula>
    </tableColumn>
    <tableColumn id="15" name="DPS" dataDxfId="43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42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4" name="Table16810111245" displayName="Table16810111245" ref="A3:AF27" totalsRowShown="0">
  <autoFilter ref="A3:AF27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40"/>
    <tableColumn id="22" name="Balance" dataDxfId="39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38">
      <calculatedColumnFormula>SUM(Table16810111245[[#This Row],[DPS]]*Table16810111245[[#This Row],[Avg Accuracy]])</calculatedColumnFormula>
    </tableColumn>
    <tableColumn id="15" name="DPS" dataDxfId="37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36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34"/>
    <tableColumn id="28" name="Ammo"/>
    <tableColumn id="31" name="Bursts"/>
    <tableColumn id="32" name="A.P.C."/>
    <tableColumn id="23" name="COG"/>
    <tableColumn id="25" name="Materials"/>
    <tableColumn id="27" name="Minify?" dataDxfId="33"/>
    <tableColumn id="30" name="Power" dataDxfId="32"/>
    <tableColumn id="26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3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3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3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3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3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3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3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3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3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3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3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3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3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3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3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3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3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3">
        <f>Table1689[[#This Row],[Balance]]*$W$2</f>
        <v>165.83054641791045</v>
      </c>
    </row>
    <row r="23" spans="1:23">
      <c r="A23" t="s">
        <v>286</v>
      </c>
      <c r="B23">
        <v>4</v>
      </c>
      <c r="C23" s="2">
        <f>SUM(((Table1689[[#This Row],[Avg DPS]]*(Table1689[[#This Row],[Range]]))+(Table1689[[#This Row],[Avg DPS]]*Table1689[[#This Row],[Arm Pen (%)]]))/100)</f>
        <v>1.244923076923077</v>
      </c>
      <c r="D23" s="3">
        <f>SUM(Table1689[[#This Row],[DPS]]*Table1689[[#This Row],[Avg Accuracy]])</f>
        <v>4.3076923076923084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3">
        <v>20.9</v>
      </c>
      <c r="G23" s="2">
        <f>SUM((Table1689[[#This Row],[Accuracy (Close)]]+Table1689[[#This Row],[Accuracy (Short)]]+Table1689[[#This Row],[Accuracy (Medium)]]+Table1689[[#This Row],[Accuracy (Long)]])/4)</f>
        <v>0.48000000000000004</v>
      </c>
      <c r="H23">
        <v>7</v>
      </c>
      <c r="I23">
        <v>0.5</v>
      </c>
      <c r="J23">
        <v>8</v>
      </c>
      <c r="K23">
        <v>1</v>
      </c>
      <c r="L23">
        <v>0.48</v>
      </c>
      <c r="M23">
        <v>0.3</v>
      </c>
      <c r="N23">
        <v>0</v>
      </c>
      <c r="O23" s="2">
        <v>0</v>
      </c>
      <c r="P23">
        <v>0.8</v>
      </c>
      <c r="Q23">
        <v>0.61</v>
      </c>
      <c r="R23">
        <v>0.31</v>
      </c>
      <c r="S23">
        <v>0.2</v>
      </c>
      <c r="T23">
        <v>55</v>
      </c>
      <c r="U23">
        <v>0.83</v>
      </c>
      <c r="V23" t="s">
        <v>87</v>
      </c>
      <c r="W23" s="53">
        <f>Table1689[[#This Row],[Balance]]*$W$2</f>
        <v>100.02458953846156</v>
      </c>
    </row>
    <row r="24" spans="1:23">
      <c r="A24" t="s">
        <v>282</v>
      </c>
      <c r="B24">
        <v>4</v>
      </c>
      <c r="C24" s="2">
        <f>SUM(((Table1689[[#This Row],[Avg DPS]]*(Table1689[[#This Row],[Range]]))+(Table1689[[#This Row],[Avg DPS]]*Table1689[[#This Row],[Arm Pen (%)]]))/100)</f>
        <v>1.4290961538461533</v>
      </c>
      <c r="D24" s="3">
        <f>SUM(Table1689[[#This Row],[DPS]]*Table1689[[#This Row],[Avg Accuracy]])</f>
        <v>3.9807692307692299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4">
        <v>25.9</v>
      </c>
      <c r="G24" s="2">
        <f>SUM((Table1689[[#This Row],[Accuracy (Close)]]+Table1689[[#This Row],[Accuracy (Short)]]+Table1689[[#This Row],[Accuracy (Medium)]]+Table1689[[#This Row],[Accuracy (Long)]])/4)</f>
        <v>0.57499999999999996</v>
      </c>
      <c r="H24">
        <v>9</v>
      </c>
      <c r="I24">
        <v>0.5</v>
      </c>
      <c r="J24">
        <v>10</v>
      </c>
      <c r="K24">
        <v>1</v>
      </c>
      <c r="L24">
        <v>0.8</v>
      </c>
      <c r="M24">
        <v>0.5</v>
      </c>
      <c r="N24">
        <v>0</v>
      </c>
      <c r="O24" s="2">
        <v>0</v>
      </c>
      <c r="P24">
        <v>0.9</v>
      </c>
      <c r="Q24">
        <v>0.8</v>
      </c>
      <c r="R24">
        <v>0.3</v>
      </c>
      <c r="S24">
        <v>0.3</v>
      </c>
      <c r="T24">
        <v>60</v>
      </c>
      <c r="U24">
        <v>1.4</v>
      </c>
      <c r="V24" t="s">
        <v>87</v>
      </c>
      <c r="W24" s="53">
        <f>Table1689[[#This Row],[Balance]]*$W$2</f>
        <v>114.82215957692304</v>
      </c>
    </row>
    <row r="25" spans="1:23">
      <c r="A25" s="1" t="s">
        <v>288</v>
      </c>
      <c r="B25">
        <v>4</v>
      </c>
      <c r="C25" s="2">
        <f>SUM(((Table1689[[#This Row],[Avg DPS]]*(Table1689[[#This Row],[Range]]))+(Table1689[[#This Row],[Avg DPS]]*Table1689[[#This Row],[Arm Pen (%)]]))/100)</f>
        <v>1.5114173228346452</v>
      </c>
      <c r="D25" s="3">
        <f>SUM(Table1689[[#This Row],[DPS]]*Table1689[[#This Row],[Avg Accuracy]])</f>
        <v>4.3307086614173222</v>
      </c>
      <c r="E25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5">
        <v>22.9</v>
      </c>
      <c r="G25" s="2">
        <f>SUM((Table1689[[#This Row],[Accuracy (Close)]]+Table1689[[#This Row],[Accuracy (Short)]]+Table1689[[#This Row],[Accuracy (Medium)]]+Table1689[[#This Row],[Accuracy (Long)]])/4)</f>
        <v>0.54999999999999993</v>
      </c>
      <c r="H25">
        <v>10</v>
      </c>
      <c r="I25">
        <v>0.5</v>
      </c>
      <c r="J25">
        <v>12</v>
      </c>
      <c r="K25">
        <v>1</v>
      </c>
      <c r="L25">
        <v>0.95</v>
      </c>
      <c r="M25">
        <v>0.32</v>
      </c>
      <c r="N25">
        <v>0</v>
      </c>
      <c r="O25" s="2">
        <v>0</v>
      </c>
      <c r="P25">
        <v>0.8</v>
      </c>
      <c r="Q25">
        <v>0.7</v>
      </c>
      <c r="R25">
        <v>0.4</v>
      </c>
      <c r="S25">
        <v>0.3</v>
      </c>
      <c r="T25">
        <v>55</v>
      </c>
      <c r="U25">
        <v>1.1000000000000001</v>
      </c>
      <c r="V25" t="s">
        <v>86</v>
      </c>
      <c r="W25" s="53">
        <f>Table1689[[#This Row],[Balance]]*$W$2</f>
        <v>121.43633622047241</v>
      </c>
    </row>
    <row r="26" spans="1:23">
      <c r="A26" s="7" t="s">
        <v>287</v>
      </c>
      <c r="B26" s="7">
        <v>4</v>
      </c>
      <c r="C26" s="8">
        <f>SUM(((Table1689[[#This Row],[Avg DPS]]*(Table1689[[#This Row],[Range]]))+(Table1689[[#This Row],[Avg DPS]]*Table1689[[#This Row],[Arm Pen (%)]]))/100)</f>
        <v>1.5109714285714282</v>
      </c>
      <c r="D26" s="9">
        <f>SUM(Table1689[[#This Row],[DPS]]*Table1689[[#This Row],[Avg Accuracy]])</f>
        <v>4.4571428571428564</v>
      </c>
      <c r="E26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6" s="7">
        <v>24.9</v>
      </c>
      <c r="G26" s="8">
        <f>SUM((Table1689[[#This Row],[Accuracy (Close)]]+Table1689[[#This Row],[Accuracy (Short)]]+Table1689[[#This Row],[Accuracy (Medium)]]+Table1689[[#This Row],[Accuracy (Long)]])/4)</f>
        <v>0.51999999999999991</v>
      </c>
      <c r="H26" s="7">
        <v>9</v>
      </c>
      <c r="I26" s="7">
        <v>0.5</v>
      </c>
      <c r="J26" s="7">
        <v>9</v>
      </c>
      <c r="K26" s="7">
        <v>1</v>
      </c>
      <c r="L26" s="7">
        <v>0.3</v>
      </c>
      <c r="M26" s="7">
        <v>0.75</v>
      </c>
      <c r="N26" s="7">
        <v>0</v>
      </c>
      <c r="O26" s="2">
        <v>0</v>
      </c>
      <c r="P26">
        <v>0.75</v>
      </c>
      <c r="Q26">
        <v>0.65</v>
      </c>
      <c r="R26">
        <v>0.38</v>
      </c>
      <c r="S26">
        <v>0.3</v>
      </c>
      <c r="T26">
        <v>65</v>
      </c>
      <c r="U26">
        <v>1.8</v>
      </c>
      <c r="V26" t="s">
        <v>87</v>
      </c>
      <c r="W26" s="53">
        <f>Table1689[[#This Row],[Balance]]*$W$2</f>
        <v>121.40051039999997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1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1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1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1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1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1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1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1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1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1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1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1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1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1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1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1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1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1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1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1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1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1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1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1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1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113" priority="2" operator="greaterThan">
      <formula>1.731</formula>
    </cfRule>
  </conditionalFormatting>
  <conditionalFormatting sqref="O1:O1048576">
    <cfRule type="cellIs" dxfId="11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280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281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292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293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275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1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1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1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1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1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1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C11" sqref="C11:C1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F22" sqref="F22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258</v>
      </c>
      <c r="C1" t="s">
        <v>263</v>
      </c>
      <c r="D1" t="s">
        <v>259</v>
      </c>
      <c r="E1" t="s">
        <v>260</v>
      </c>
      <c r="F1" t="s">
        <v>261</v>
      </c>
    </row>
    <row r="2" spans="1:12">
      <c r="A2" s="1" t="s">
        <v>50</v>
      </c>
      <c r="B2" s="1" t="s">
        <v>51</v>
      </c>
      <c r="C2" s="1" t="s">
        <v>264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11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39" t="s">
        <v>256</v>
      </c>
      <c r="B13">
        <f>COUNTIF(HMG!B:B, 1)</f>
        <v>0</v>
      </c>
      <c r="C13">
        <f>COUNTIF(HMG!B:B, "1B")</f>
        <v>1</v>
      </c>
      <c r="D13">
        <f>COUNTIF(HMG!B:B, 2)</f>
        <v>0</v>
      </c>
      <c r="E13">
        <f>COUNTIF(HMG!B:B, 3)</f>
        <v>0</v>
      </c>
      <c r="F13">
        <f>COUNTIF(HMG!B:B, 4)</f>
        <v>1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39"/>
    </row>
    <row r="15" spans="1:12">
      <c r="A15" s="38" t="s">
        <v>262</v>
      </c>
      <c r="B15" s="63" t="s">
        <v>86</v>
      </c>
      <c r="C15" s="40" t="s">
        <v>87</v>
      </c>
      <c r="D15" s="63" t="s">
        <v>86</v>
      </c>
      <c r="E15" s="40" t="s">
        <v>87</v>
      </c>
      <c r="F15" s="40" t="s">
        <v>87</v>
      </c>
      <c r="G15" s="40"/>
      <c r="H15" s="40"/>
      <c r="I15" s="40"/>
      <c r="J15" s="40"/>
    </row>
    <row r="17" spans="1:18">
      <c r="A17" t="s">
        <v>52</v>
      </c>
      <c r="B17">
        <f>SUM(B3:B13)</f>
        <v>47</v>
      </c>
      <c r="C17">
        <f>SUM(C3:C13)</f>
        <v>1</v>
      </c>
      <c r="D17">
        <f t="shared" ref="D17:J17" si="0">SUM(D3:D13)</f>
        <v>20</v>
      </c>
      <c r="E17">
        <f t="shared" si="0"/>
        <v>30</v>
      </c>
      <c r="F17">
        <f t="shared" si="0"/>
        <v>19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117</v>
      </c>
    </row>
    <row r="18" spans="1:18">
      <c r="A18" t="s">
        <v>88</v>
      </c>
      <c r="B18" s="55">
        <v>10</v>
      </c>
      <c r="C18" s="55">
        <v>2</v>
      </c>
      <c r="D18" s="55">
        <v>7</v>
      </c>
      <c r="E18" s="55">
        <v>7</v>
      </c>
      <c r="F18" s="55">
        <v>6</v>
      </c>
      <c r="G18" s="55"/>
      <c r="H18" s="55"/>
      <c r="I18" s="55"/>
      <c r="J18" s="55"/>
    </row>
    <row r="20" spans="1:18">
      <c r="A20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12" sqref="M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0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>
        <v>1.4</v>
      </c>
      <c r="V4" s="22"/>
      <c r="W4" s="64">
        <v>135</v>
      </c>
    </row>
    <row r="5" spans="1:23">
      <c r="A5" s="14" t="s">
        <v>283</v>
      </c>
      <c r="B5" s="12">
        <v>4</v>
      </c>
      <c r="C5" s="2">
        <f>SUM(((Table168[[#This Row],[Avg DPS]]*(Table168[[#This Row],[Range]]))+(Table168[[#This Row],[Avg DPS]]*Table168[[#This Row],[Arm Pen (%)]]))/100)</f>
        <v>1.5590117647058821</v>
      </c>
      <c r="D5" s="3">
        <f>SUM(Table168[[#This Row],[DPS]]*Table168[[#This Row],[Avg Accuracy]])</f>
        <v>3.8117647058823523</v>
      </c>
      <c r="E5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5">
        <v>24.9</v>
      </c>
      <c r="G5" s="2">
        <f>SUM((Table168[[#This Row],[Accuracy (Close)]]+Table168[[#This Row],[Accuracy (Short)]]+Table168[[#This Row],[Accuracy (Medium)]]+Table168[[#This Row],[Accuracy (Long)]])/4)</f>
        <v>0.53999999999999992</v>
      </c>
      <c r="H5">
        <v>12</v>
      </c>
      <c r="I5">
        <v>1</v>
      </c>
      <c r="J5">
        <v>16</v>
      </c>
      <c r="K5">
        <v>1</v>
      </c>
      <c r="L5">
        <v>1.4</v>
      </c>
      <c r="M5">
        <v>0.3</v>
      </c>
      <c r="N5">
        <v>0</v>
      </c>
      <c r="O5" s="2">
        <v>0</v>
      </c>
      <c r="P5">
        <v>0.77</v>
      </c>
      <c r="Q5">
        <v>0.7</v>
      </c>
      <c r="R5">
        <v>0.39</v>
      </c>
      <c r="S5">
        <v>0.3</v>
      </c>
      <c r="T5" s="19">
        <v>55</v>
      </c>
      <c r="U5" s="20">
        <v>1.3</v>
      </c>
      <c r="V5" s="35" t="s">
        <v>86</v>
      </c>
      <c r="W5" s="65">
        <f>Table168[[#This Row],[Balance]]*$W$2</f>
        <v>129.12047237647056</v>
      </c>
    </row>
    <row r="6" spans="1:23">
      <c r="A6" s="4" t="s">
        <v>284</v>
      </c>
      <c r="B6" s="12">
        <v>4</v>
      </c>
      <c r="C6" s="2">
        <f>SUM(((Table168[[#This Row],[Avg DPS]]*(Table168[[#This Row],[Range]]))+(Table168[[#This Row],[Avg DPS]]*Table168[[#This Row],[Arm Pen (%)]]))/100)</f>
        <v>1.7000772727272726</v>
      </c>
      <c r="D6" s="3">
        <f>SUM(Table168[[#This Row],[DPS]]*Table168[[#This Row],[Avg Accuracy]])</f>
        <v>3.7863636363636366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0.59500000000000008</v>
      </c>
      <c r="H6">
        <v>14</v>
      </c>
      <c r="I6">
        <v>1</v>
      </c>
      <c r="J6">
        <v>19</v>
      </c>
      <c r="K6">
        <v>1</v>
      </c>
      <c r="L6">
        <v>1.7</v>
      </c>
      <c r="M6">
        <v>0.5</v>
      </c>
      <c r="N6">
        <v>0</v>
      </c>
      <c r="O6" s="2">
        <v>0</v>
      </c>
      <c r="P6">
        <v>0.8</v>
      </c>
      <c r="Q6">
        <v>0.76</v>
      </c>
      <c r="R6">
        <v>0.47</v>
      </c>
      <c r="S6">
        <v>0.35</v>
      </c>
      <c r="T6" s="17">
        <v>60</v>
      </c>
      <c r="U6" s="18">
        <v>2.04</v>
      </c>
      <c r="V6" s="35" t="s">
        <v>87</v>
      </c>
      <c r="W6" s="65">
        <f>Table168[[#This Row],[Balance]]*$W$2</f>
        <v>140.80379988181818</v>
      </c>
    </row>
    <row r="7" spans="1:23">
      <c r="A7" s="4" t="s">
        <v>285</v>
      </c>
      <c r="B7" s="12">
        <v>4</v>
      </c>
      <c r="C7" s="2">
        <f>SUM(((Table168[[#This Row],[Avg DPS]]*(Table168[[#This Row],[Range]]))+(Table168[[#This Row],[Avg DPS]]*Table168[[#This Row],[Arm Pen (%)]]))/100)</f>
        <v>1.8205846153846152</v>
      </c>
      <c r="D7" s="3">
        <f>SUM(Table168[[#This Row],[DPS]]*Table168[[#This Row],[Avg Accuracy]])</f>
        <v>3.7230769230769232</v>
      </c>
      <c r="E7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7">
        <v>25.9</v>
      </c>
      <c r="G7" s="2">
        <f>SUM((Table168[[#This Row],[Accuracy (Close)]]+Table168[[#This Row],[Accuracy (Short)]]+Table168[[#This Row],[Accuracy (Medium)]]+Table168[[#This Row],[Accuracy (Long)]])/4)</f>
        <v>0.60500000000000009</v>
      </c>
      <c r="H7">
        <v>16</v>
      </c>
      <c r="I7">
        <v>1.5</v>
      </c>
      <c r="J7">
        <v>23</v>
      </c>
      <c r="K7">
        <v>1</v>
      </c>
      <c r="L7">
        <v>2</v>
      </c>
      <c r="M7">
        <v>0.6</v>
      </c>
      <c r="N7">
        <v>0</v>
      </c>
      <c r="O7" s="2">
        <v>0</v>
      </c>
      <c r="P7">
        <v>0.8</v>
      </c>
      <c r="Q7">
        <v>0.78</v>
      </c>
      <c r="R7">
        <v>0.49</v>
      </c>
      <c r="S7">
        <v>0.35</v>
      </c>
      <c r="T7" s="19">
        <v>65</v>
      </c>
      <c r="U7" s="20">
        <v>2.25</v>
      </c>
      <c r="V7" s="35" t="s">
        <v>87</v>
      </c>
      <c r="W7" s="65">
        <f>Table168[[#This Row],[Balance]]*$W$2</f>
        <v>150.78445901538461</v>
      </c>
    </row>
    <row r="8" spans="1:23">
      <c r="A8" s="4" t="s">
        <v>297</v>
      </c>
      <c r="B8" s="12">
        <v>4</v>
      </c>
      <c r="C8" s="2">
        <f>SUM(((Table168[[#This Row],[Avg DPS]]*(Table168[[#This Row],[Range]]))+(Table168[[#This Row],[Avg DPS]]*Table168[[#This Row],[Arm Pen (%)]]))/100)</f>
        <v>1.5641779141104291</v>
      </c>
      <c r="D8" s="3">
        <f>SUM(Table168[[#This Row],[DPS]]*Table168[[#This Row],[Avg Accuracy]])</f>
        <v>3.9202453987730057</v>
      </c>
      <c r="E8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8">
        <v>23.9</v>
      </c>
      <c r="G8" s="2">
        <f>SUM((Table168[[#This Row],[Accuracy (Close)]]+Table168[[#This Row],[Accuracy (Short)]]+Table168[[#This Row],[Accuracy (Medium)]]+Table168[[#This Row],[Accuracy (Long)]])/4)</f>
        <v>0.53249999999999997</v>
      </c>
      <c r="H8">
        <v>12</v>
      </c>
      <c r="I8">
        <v>1</v>
      </c>
      <c r="J8">
        <v>16</v>
      </c>
      <c r="K8">
        <v>1</v>
      </c>
      <c r="L8">
        <v>1.35</v>
      </c>
      <c r="M8">
        <v>0.28000000000000003</v>
      </c>
      <c r="N8">
        <v>0</v>
      </c>
      <c r="O8" s="2">
        <v>0</v>
      </c>
      <c r="P8">
        <v>0.76</v>
      </c>
      <c r="Q8">
        <v>0.69</v>
      </c>
      <c r="R8">
        <v>0.38</v>
      </c>
      <c r="S8">
        <v>0.3</v>
      </c>
      <c r="T8" s="17">
        <v>55</v>
      </c>
      <c r="U8" s="18">
        <v>1.61</v>
      </c>
      <c r="V8" s="35" t="s">
        <v>87</v>
      </c>
      <c r="W8" s="65">
        <f>Table168[[#This Row],[Balance]]*$W$2</f>
        <v>129.54834320245396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T9" s="19"/>
      <c r="U9" s="20"/>
      <c r="V9" s="38"/>
      <c r="W9" s="65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38"/>
      <c r="W10" s="65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38"/>
      <c r="W11" s="65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38"/>
      <c r="W12" s="65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38"/>
      <c r="W13" s="65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38"/>
      <c r="W14" s="65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38"/>
      <c r="W15" s="65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38"/>
      <c r="W16" s="65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38"/>
      <c r="W17" s="65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38"/>
      <c r="W18" s="65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2"/>
      <c r="W19" s="66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2"/>
      <c r="W20" s="66"/>
    </row>
  </sheetData>
  <conditionalFormatting sqref="C4:C20">
    <cfRule type="cellIs" dxfId="106" priority="2" operator="greaterThan">
      <formula>1.63</formula>
    </cfRule>
  </conditionalFormatting>
  <conditionalFormatting sqref="O1:O1048576">
    <cfRule type="cellIs" dxfId="105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9" sqref="H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9" t="s">
        <v>274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296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Row],[AC/DPS]]*(Table16[[#This Row],[Range]]))+(Table16[[#This Row],[AC/DPS]]*Table16[[#This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3" t="s">
        <v>86</v>
      </c>
      <c r="W4" s="23">
        <v>355</v>
      </c>
    </row>
    <row r="5" spans="1:23">
      <c r="A5" s="6" t="s">
        <v>28</v>
      </c>
      <c r="B5" s="11" t="s">
        <v>35</v>
      </c>
      <c r="C5" s="2">
        <f>SUM(((Table16[[#This Row],[AC/DPS]]*(Table16[[#This Row],[Range]]))+(Table16[[#This Row],[AC/DPS]]*Table16[[#This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4" t="s">
        <v>86</v>
      </c>
      <c r="W5" s="24">
        <v>220</v>
      </c>
    </row>
    <row r="6" spans="1:23">
      <c r="A6" s="14" t="s">
        <v>20</v>
      </c>
      <c r="B6" s="12">
        <v>1</v>
      </c>
      <c r="C6" s="2">
        <f>SUM(((Table16[[#This Row],[AC/DPS]]*(Table16[[#This Row],[Range]]))+(Table16[[#This Row],[AC/DPS]]*Table16[[#This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3" t="s">
        <v>86</v>
      </c>
      <c r="W6" s="57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Row],[AC/DPS]]*(Table16[[#This Row],[Range]]))+(Table16[[#This Row],[AC/DPS]]*Table16[[#This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8">
        <v>3.4</v>
      </c>
      <c r="V7" s="24" t="s">
        <v>87</v>
      </c>
      <c r="W7" s="57">
        <f>Table16[[#This Row],[Balance]]*$W$1</f>
        <v>288.3667251315789</v>
      </c>
    </row>
    <row r="8" spans="1:23">
      <c r="A8" s="59" t="s">
        <v>105</v>
      </c>
      <c r="B8" s="12">
        <v>1</v>
      </c>
      <c r="C8" s="2">
        <f>SUM(((Table16[[#This Row],[AC/DPS]]*(Table16[[#This Row],[Range]]))+(Table16[[#This Row],[AC/DPS]]*Table16[[#This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3" t="s">
        <v>87</v>
      </c>
      <c r="W8" s="57">
        <f>Table16[[#This Row],[Balance]]*$W$2</f>
        <v>235.78842419999998</v>
      </c>
    </row>
    <row r="9" spans="1:23">
      <c r="A9" s="59" t="s">
        <v>26</v>
      </c>
      <c r="B9" s="12">
        <v>1</v>
      </c>
      <c r="C9" s="2">
        <f>SUM(((Table16[[#This Row],[AC/DPS]]*(Table16[[#This Row],[Range]]))+(Table16[[#This Row],[AC/DPS]]*Table16[[#This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4" t="s">
        <v>87</v>
      </c>
      <c r="W9" s="57">
        <f>Table16[[#This Row],[Balance]]*$W$2</f>
        <v>236.46727762859879</v>
      </c>
    </row>
    <row r="10" spans="1:23" s="4" customFormat="1">
      <c r="A10" s="60" t="s">
        <v>60</v>
      </c>
      <c r="B10" s="12">
        <v>1</v>
      </c>
      <c r="C10" s="2">
        <f>SUM(((Table16[[#This Row],[AC/DPS]]*(Table16[[#This Row],[Range]]))+(Table16[[#This Row],[AC/DPS]]*Table16[[#This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3" t="s">
        <v>86</v>
      </c>
      <c r="W10" s="57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Row],[AC/DPS]]*(Table16[[#This Row],[Range]]))+(Table16[[#This Row],[AC/DPS]]*Table16[[#This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4" t="s">
        <v>87</v>
      </c>
      <c r="W11" s="57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Row],[AC/DPS]]*(Table16[[#This Row],[Range]]))+(Table16[[#This Row],[AC/DPS]]*Table16[[#This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3" t="s">
        <v>87</v>
      </c>
      <c r="W12" s="57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Row],[AC/DPS]]*(Table16[[#This Row],[Range]]))+(Table16[[#This Row],[AC/DPS]]*Table16[[#This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4" t="s">
        <v>87</v>
      </c>
      <c r="W13" s="57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Row],[AC/DPS]]*(Table16[[#This Row],[Range]]))+(Table16[[#This Row],[AC/DPS]]*Table16[[#This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3" t="s">
        <v>87</v>
      </c>
      <c r="W14" s="57">
        <f>Table16[[#This Row],[Balance]]*$W$1</f>
        <v>313.63898624999996</v>
      </c>
    </row>
    <row r="15" spans="1:23">
      <c r="A15" s="59" t="s">
        <v>118</v>
      </c>
      <c r="B15" s="12">
        <v>1</v>
      </c>
      <c r="C15" s="2">
        <f>SUM(((Table16[[#This Row],[AC/DPS]]*(Table16[[#This Row],[Range]]))+(Table16[[#This Row],[AC/DPS]]*Table16[[#This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4" t="s">
        <v>87</v>
      </c>
      <c r="W15" s="57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Row],[AC/DPS]]*(Table16[[#This Row],[Range]]))+(Table16[[#This Row],[AC/DPS]]*Table16[[#This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3" t="s">
        <v>87</v>
      </c>
      <c r="W16" s="57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Row],[AC/DPS]]*(Table16[[#This Row],[Range]]))+(Table16[[#This Row],[AC/DPS]]*Table16[[#This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4" t="s">
        <v>87</v>
      </c>
      <c r="W17" s="57">
        <f>Table16[[#This Row],[Balance]]*$W$1</f>
        <v>272.55044685459438</v>
      </c>
    </row>
    <row r="18" spans="1:23">
      <c r="A18" s="48" t="s">
        <v>186</v>
      </c>
      <c r="B18" s="13">
        <v>2</v>
      </c>
      <c r="C18" s="8">
        <f>SUM(((Table16[[#This Row],[AC/DPS]]*(Table16[[#This Row],[Range]]))+(Table16[[#This Row],[AC/DPS]]*Table16[[#This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7">
        <f>Table16[[#This Row],[Balance]]*$W$1</f>
        <v>235.52447268292684</v>
      </c>
    </row>
    <row r="19" spans="1:23">
      <c r="A19" s="1" t="s">
        <v>289</v>
      </c>
      <c r="B19">
        <v>4</v>
      </c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21.9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97" priority="2" operator="greaterThan">
      <formula>2.599</formula>
    </cfRule>
  </conditionalFormatting>
  <conditionalFormatting sqref="O1:O1048576">
    <cfRule type="cellIs" dxfId="96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B27" sqref="AB2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 t="s">
        <v>276</v>
      </c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299</v>
      </c>
      <c r="Y3" t="s">
        <v>303</v>
      </c>
      <c r="Z3" t="s">
        <v>301</v>
      </c>
      <c r="AA3" t="s">
        <v>302</v>
      </c>
      <c r="AB3" t="s">
        <v>304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 t="shared" ref="W4:W12" si="1">C4*$W$1</f>
        <v>460.55388993428568</v>
      </c>
      <c r="X4" s="71"/>
      <c r="Y4" s="71"/>
      <c r="Z4" s="71"/>
      <c r="AA4" s="71"/>
      <c r="AB4" s="7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 t="shared" si="1"/>
        <v>440.44052204285708</v>
      </c>
      <c r="X5" s="71"/>
      <c r="Y5" s="71"/>
      <c r="Z5" s="71"/>
      <c r="AA5" s="71"/>
      <c r="AB5" s="71"/>
    </row>
    <row r="6" spans="1:28">
      <c r="A6" t="s">
        <v>268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 t="shared" si="1"/>
        <v>479.95461398488112</v>
      </c>
      <c r="X6" s="71"/>
      <c r="Y6" s="71"/>
      <c r="Z6" s="71"/>
      <c r="AA6" s="71"/>
      <c r="AB6" s="71"/>
    </row>
    <row r="7" spans="1:28">
      <c r="A7" t="s">
        <v>269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 t="shared" si="1"/>
        <v>441.95538359647037</v>
      </c>
      <c r="X7" s="71"/>
      <c r="Y7" s="71"/>
      <c r="Z7" s="71"/>
      <c r="AA7" s="71"/>
      <c r="AB7" s="7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 t="shared" si="1"/>
        <v>453.92955714532013</v>
      </c>
      <c r="X8" s="71"/>
      <c r="Y8" s="71"/>
      <c r="Z8" s="71"/>
      <c r="AA8" s="71"/>
      <c r="AB8" s="71"/>
    </row>
    <row r="9" spans="1:28">
      <c r="A9" t="s">
        <v>270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 t="shared" si="1"/>
        <v>477.66016903846156</v>
      </c>
      <c r="X9" s="71"/>
      <c r="Y9" s="71"/>
      <c r="Z9" s="71"/>
      <c r="AA9" s="71"/>
      <c r="AB9" s="71"/>
    </row>
    <row r="10" spans="1:28">
      <c r="A10" s="4" t="s">
        <v>271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 t="shared" si="1"/>
        <v>440.62315610958899</v>
      </c>
      <c r="X10" s="71"/>
      <c r="Y10" s="71"/>
      <c r="Z10" s="71"/>
      <c r="AA10" s="71"/>
      <c r="AB10" s="71"/>
    </row>
    <row r="11" spans="1:28">
      <c r="A11" s="4" t="s">
        <v>272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 t="shared" si="1"/>
        <v>454.11507641534388</v>
      </c>
      <c r="X11" s="71"/>
      <c r="Y11" s="71"/>
      <c r="Z11" s="71"/>
      <c r="AA11" s="71"/>
      <c r="AB11" s="7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 t="shared" si="1"/>
        <v>457.33144772289143</v>
      </c>
      <c r="X12" s="71"/>
      <c r="Y12" s="71"/>
      <c r="Z12" s="71"/>
      <c r="AA12" s="71"/>
      <c r="AB12" s="7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  <c r="X13" s="40"/>
      <c r="Y13" s="40"/>
      <c r="Z13" s="40"/>
      <c r="AA13" s="40"/>
      <c r="AB13" s="40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  <c r="X14" s="40"/>
      <c r="Y14" s="40"/>
      <c r="Z14" s="40"/>
      <c r="AA14" s="40"/>
      <c r="AB14" s="40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  <c r="X15" s="40"/>
      <c r="Y15" s="40"/>
      <c r="Z15" s="40"/>
      <c r="AA15" s="40"/>
      <c r="AB15" s="40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  <c r="X16" s="71"/>
      <c r="Y16" s="71"/>
      <c r="Z16" s="71"/>
      <c r="AA16" s="71"/>
      <c r="AB16" s="7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  <c r="X17" s="71"/>
      <c r="Y17" s="71"/>
      <c r="Z17" s="71"/>
      <c r="AA17" s="71"/>
      <c r="AB17" s="7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  <c r="X18" s="71"/>
      <c r="Y18" s="71"/>
      <c r="Z18" s="71"/>
      <c r="AA18" s="71"/>
      <c r="AB18" s="71"/>
    </row>
    <row r="19" spans="1:28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0" t="s">
        <v>87</v>
      </c>
      <c r="W19" s="53">
        <f>C19*$W$2</f>
        <v>260.57694069333331</v>
      </c>
      <c r="X19" s="71"/>
      <c r="Y19" s="71"/>
      <c r="Z19" s="71"/>
      <c r="AA19" s="71"/>
      <c r="AB19" s="71"/>
    </row>
    <row r="20" spans="1:28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0" t="s">
        <v>87</v>
      </c>
      <c r="W20" s="53">
        <f>C20*$W$2</f>
        <v>255.37266289640885</v>
      </c>
      <c r="X20" s="71"/>
      <c r="Y20" s="71"/>
      <c r="Z20" s="71"/>
      <c r="AA20" s="71"/>
      <c r="AB20" s="71"/>
    </row>
    <row r="21" spans="1:28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0" t="s">
        <v>87</v>
      </c>
      <c r="W21">
        <v>245</v>
      </c>
      <c r="X21" s="40"/>
      <c r="Y21" s="40"/>
      <c r="Z21" s="40"/>
      <c r="AA21" s="40"/>
      <c r="AB21" s="40"/>
    </row>
    <row r="22" spans="1:28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0" t="s">
        <v>87</v>
      </c>
      <c r="W22">
        <v>410</v>
      </c>
      <c r="X22" s="40"/>
      <c r="Y22" s="40"/>
      <c r="Z22" s="40"/>
      <c r="AA22" s="40"/>
      <c r="AB22" s="40"/>
    </row>
    <row r="23" spans="1:28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0" t="s">
        <v>86</v>
      </c>
      <c r="W23">
        <v>455</v>
      </c>
      <c r="X23" s="40"/>
      <c r="Y23" s="40"/>
      <c r="Z23" s="40"/>
      <c r="AA23" s="40"/>
      <c r="AB23" s="40"/>
    </row>
    <row r="24" spans="1:28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0" t="s">
        <v>87</v>
      </c>
      <c r="W24">
        <v>460</v>
      </c>
      <c r="X24" s="40"/>
      <c r="Y24" s="40"/>
      <c r="Z24" s="40"/>
      <c r="AA24" s="40"/>
      <c r="AB24" s="40"/>
    </row>
    <row r="25" spans="1:28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0" t="s">
        <v>86</v>
      </c>
      <c r="W25">
        <v>410</v>
      </c>
      <c r="X25" s="40"/>
      <c r="Y25" s="40"/>
      <c r="Z25" s="40"/>
      <c r="AA25" s="40"/>
      <c r="AB25" s="40"/>
    </row>
    <row r="26" spans="1:28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0" t="s">
        <v>87</v>
      </c>
      <c r="W26">
        <v>185</v>
      </c>
      <c r="X26" s="40"/>
      <c r="Y26" s="40"/>
      <c r="Z26" s="40"/>
      <c r="AA26" s="40"/>
      <c r="AB26" s="40"/>
    </row>
    <row r="27" spans="1:28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0" t="s">
        <v>87</v>
      </c>
      <c r="W27">
        <v>435</v>
      </c>
      <c r="X27" s="40"/>
      <c r="Y27" s="40"/>
      <c r="Z27" s="40"/>
      <c r="AA27" s="40"/>
      <c r="AB27" s="40"/>
    </row>
    <row r="28" spans="1:28">
      <c r="A28" s="1" t="s">
        <v>277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0" t="s">
        <v>86</v>
      </c>
      <c r="W28" s="53">
        <f>C28*$W$1</f>
        <v>407.97351407262573</v>
      </c>
      <c r="X28" s="71"/>
      <c r="Y28" s="71"/>
      <c r="Z28" s="71"/>
      <c r="AA28" s="71"/>
      <c r="AB28" s="71"/>
    </row>
    <row r="29" spans="1:28">
      <c r="A29" t="s">
        <v>278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0" t="s">
        <v>87</v>
      </c>
      <c r="W29" s="53">
        <f>C29*$W$1</f>
        <v>452.36266318750006</v>
      </c>
      <c r="X29" s="71"/>
      <c r="Y29" s="71"/>
      <c r="Z29" s="71"/>
      <c r="AA29" s="71"/>
      <c r="AB29" s="71"/>
    </row>
    <row r="30" spans="1:28">
      <c r="A30" t="s">
        <v>279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0" t="s">
        <v>87</v>
      </c>
      <c r="W30" s="53">
        <f>C30*$W$1</f>
        <v>466.54390939655161</v>
      </c>
      <c r="X30" s="71"/>
      <c r="Y30" s="71"/>
      <c r="Z30" s="71"/>
      <c r="AA30" s="71"/>
      <c r="AB30" s="71"/>
    </row>
    <row r="31" spans="1:28">
      <c r="A31" t="s">
        <v>298</v>
      </c>
      <c r="B31">
        <v>2</v>
      </c>
      <c r="C31" s="2">
        <f>SUM(((Table16810[[#This Row],[Avg DPS]]*(Table16810[[#This Row],[Range]]))+(Table16810[[#This Row],[Avg DPS]]*Table16810[[#This Row],[Arm Pen (%)]]))/100)</f>
        <v>2.8939453125000001</v>
      </c>
      <c r="D31" s="3">
        <f>SUM(Table16810[[#This Row],[DPS]]*Table16810[[#This Row],[Avg Accuracy]])</f>
        <v>6.4453125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31">
        <v>31.9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11</v>
      </c>
      <c r="I31">
        <v>0.5</v>
      </c>
      <c r="J31">
        <v>13</v>
      </c>
      <c r="K31">
        <v>3</v>
      </c>
      <c r="L31" s="2">
        <v>1.75</v>
      </c>
      <c r="M31" s="2">
        <v>1.1499999999999999</v>
      </c>
      <c r="N31">
        <v>400</v>
      </c>
      <c r="O31" s="2">
        <f t="shared" si="2"/>
        <v>0.15</v>
      </c>
      <c r="P31">
        <v>0.59</v>
      </c>
      <c r="Q31">
        <v>0.71</v>
      </c>
      <c r="R31">
        <v>0.66</v>
      </c>
      <c r="S31">
        <v>0.54</v>
      </c>
      <c r="T31">
        <v>70</v>
      </c>
      <c r="U31" s="2">
        <v>3.9</v>
      </c>
      <c r="V31" s="40" t="s">
        <v>87</v>
      </c>
      <c r="W31">
        <v>650</v>
      </c>
      <c r="X31" s="40" t="s">
        <v>300</v>
      </c>
      <c r="Y31" s="40">
        <v>30</v>
      </c>
      <c r="Z31" s="40">
        <v>1</v>
      </c>
      <c r="AA31" s="40">
        <v>12.9</v>
      </c>
      <c r="AB31" s="40" t="s">
        <v>305</v>
      </c>
    </row>
    <row r="32" spans="1:28">
      <c r="A32" t="s">
        <v>211</v>
      </c>
      <c r="B32" s="12">
        <v>3</v>
      </c>
      <c r="C32" s="2">
        <f>SUM(((Table16810[[#This Row],[Avg DPS]]*(Table16810[[#This Row],[Range]]))+(Table16810[[#This Row],[Avg DPS]]*Table16810[[#This Row],[Arm Pen (%)]]))/100)</f>
        <v>2.4114572480181193</v>
      </c>
      <c r="D32" s="3">
        <f>SUM(Table16810[[#This Row],[DPS]]*Table16810[[#This Row],[Avg Accuracy]])</f>
        <v>6.3626840317100779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2">
        <v>24.9</v>
      </c>
      <c r="G32" s="2">
        <f>SUM((Table16810[[#This Row],[Accuracy (Close)]]+Table16810[[#This Row],[Accuracy (Short)]]+Table16810[[#This Row],[Accuracy (Medium)]]+Table16810[[#This Row],[Accuracy (Long)]])/4)</f>
        <v>0.5675</v>
      </c>
      <c r="H32">
        <v>11</v>
      </c>
      <c r="I32">
        <v>0.5</v>
      </c>
      <c r="J32">
        <v>13</v>
      </c>
      <c r="K32">
        <v>3</v>
      </c>
      <c r="L32" s="2">
        <v>1.51</v>
      </c>
      <c r="M32" s="2">
        <v>1.1000000000000001</v>
      </c>
      <c r="N32">
        <v>360</v>
      </c>
      <c r="O32" s="2">
        <f t="shared" si="2"/>
        <v>0.16666666666666666</v>
      </c>
      <c r="P32">
        <v>0.77</v>
      </c>
      <c r="Q32">
        <v>0.7</v>
      </c>
      <c r="R32">
        <v>0.5</v>
      </c>
      <c r="S32">
        <v>0.3</v>
      </c>
      <c r="T32">
        <v>70</v>
      </c>
      <c r="U32" s="2">
        <v>3.3</v>
      </c>
      <c r="V32" s="40" t="s">
        <v>87</v>
      </c>
      <c r="W32" s="53">
        <f t="shared" ref="W32:W38" si="3">C32*$W$1</f>
        <v>362.85197210928641</v>
      </c>
      <c r="X32" s="71"/>
      <c r="Y32" s="71"/>
      <c r="Z32" s="71"/>
      <c r="AA32" s="71"/>
      <c r="AB32" s="71"/>
    </row>
    <row r="33" spans="1:28">
      <c r="A33" s="1" t="s">
        <v>210</v>
      </c>
      <c r="B33" s="40">
        <v>3</v>
      </c>
      <c r="C33" s="2">
        <f>SUM(((Table16810[[#This Row],[Avg DPS]]*(Table16810[[#This Row],[Range]]))+(Table16810[[#This Row],[Avg DPS]]*Table16810[[#This Row],[Arm Pen (%)]]))/100)</f>
        <v>3.0127881355932202</v>
      </c>
      <c r="D33" s="3">
        <f>SUM(Table16810[[#This Row],[DPS]]*Table16810[[#This Row],[Avg Accuracy]])</f>
        <v>6.5638085742771688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3">
        <v>32.9</v>
      </c>
      <c r="G33" s="2">
        <f>SUM((Table16810[[#This Row],[Accuracy (Close)]]+Table16810[[#This Row],[Accuracy (Short)]]+Table16810[[#This Row],[Accuracy (Medium)]]+Table16810[[#This Row],[Accuracy (Long)]])/4)</f>
        <v>0.66499999999999992</v>
      </c>
      <c r="H33">
        <v>11</v>
      </c>
      <c r="I33">
        <v>0.5</v>
      </c>
      <c r="J33">
        <v>13</v>
      </c>
      <c r="K33">
        <v>3</v>
      </c>
      <c r="L33" s="2">
        <v>1.79</v>
      </c>
      <c r="M33" s="2">
        <v>1.22</v>
      </c>
      <c r="N33">
        <v>360</v>
      </c>
      <c r="O33" s="2">
        <f t="shared" si="2"/>
        <v>0.16666666666666666</v>
      </c>
      <c r="P33">
        <v>0.63</v>
      </c>
      <c r="Q33">
        <v>0.75</v>
      </c>
      <c r="R33">
        <v>0.71</v>
      </c>
      <c r="S33">
        <v>0.56999999999999995</v>
      </c>
      <c r="T33">
        <v>70</v>
      </c>
      <c r="U33" s="2">
        <v>3.6</v>
      </c>
      <c r="V33" s="40" t="s">
        <v>86</v>
      </c>
      <c r="W33" s="53">
        <f t="shared" si="3"/>
        <v>453.33423076271185</v>
      </c>
      <c r="X33" s="71"/>
      <c r="Y33" s="71"/>
      <c r="Z33" s="71"/>
      <c r="AA33" s="71"/>
      <c r="AB33" s="71"/>
    </row>
    <row r="34" spans="1:28">
      <c r="A34" t="s">
        <v>212</v>
      </c>
      <c r="B34" s="40">
        <v>3</v>
      </c>
      <c r="C34" s="2">
        <f>SUM(((Table16810[[#This Row],[Avg DPS]]*(Table16810[[#This Row],[Range]]))+(Table16810[[#This Row],[Avg DPS]]*Table16810[[#This Row],[Arm Pen (%)]]))/100)</f>
        <v>3.1961697316103379</v>
      </c>
      <c r="D34" s="3">
        <f>SUM(Table16810[[#This Row],[DPS]]*Table16810[[#This Row],[Avg Accuracy]])</f>
        <v>6.8148608349900597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4">
        <v>33.9</v>
      </c>
      <c r="G34" s="2">
        <f>SUM((Table16810[[#This Row],[Accuracy (Close)]]+Table16810[[#This Row],[Accuracy (Short)]]+Table16810[[#This Row],[Accuracy (Medium)]]+Table16810[[#This Row],[Accuracy (Long)]])/4)</f>
        <v>0.6925</v>
      </c>
      <c r="H34">
        <v>11</v>
      </c>
      <c r="I34">
        <v>0.5</v>
      </c>
      <c r="J34">
        <v>13</v>
      </c>
      <c r="K34">
        <v>3</v>
      </c>
      <c r="L34" s="2">
        <v>1.8</v>
      </c>
      <c r="M34" s="2">
        <v>1.22</v>
      </c>
      <c r="N34">
        <v>360</v>
      </c>
      <c r="O34" s="2">
        <f t="shared" si="2"/>
        <v>0.16666666666666666</v>
      </c>
      <c r="P34">
        <v>0.72</v>
      </c>
      <c r="Q34">
        <v>0.76</v>
      </c>
      <c r="R34">
        <v>0.71</v>
      </c>
      <c r="S34">
        <v>0.57999999999999996</v>
      </c>
      <c r="T34">
        <v>70</v>
      </c>
      <c r="U34" s="2">
        <v>3.7</v>
      </c>
      <c r="V34" s="40" t="s">
        <v>87</v>
      </c>
      <c r="W34" s="53">
        <f t="shared" si="3"/>
        <v>480.92765951540753</v>
      </c>
      <c r="X34" s="71"/>
      <c r="Y34" s="71"/>
      <c r="Z34" s="71"/>
      <c r="AA34" s="71"/>
      <c r="AB34" s="71"/>
    </row>
    <row r="35" spans="1:28">
      <c r="A35" t="s">
        <v>213</v>
      </c>
      <c r="B35" s="40">
        <v>3</v>
      </c>
      <c r="C35" s="2">
        <f>SUM(((Table16810[[#This Row],[Avg DPS]]*(Table16810[[#This Row],[Range]]))+(Table16810[[#This Row],[Avg DPS]]*Table16810[[#This Row],[Arm Pen (%)]]))/100)</f>
        <v>2.6787115384615383</v>
      </c>
      <c r="D35" s="3">
        <f>SUM(Table16810[[#This Row],[DPS]]*Table16810[[#This Row],[Avg Accuracy]])</f>
        <v>5.7115384615384617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0.67500000000000004</v>
      </c>
      <c r="H35">
        <v>11</v>
      </c>
      <c r="I35">
        <v>0.5</v>
      </c>
      <c r="J35">
        <v>16</v>
      </c>
      <c r="K35">
        <v>2</v>
      </c>
      <c r="L35" s="2">
        <v>1.4</v>
      </c>
      <c r="M35" s="2">
        <v>1</v>
      </c>
      <c r="N35">
        <v>300</v>
      </c>
      <c r="O35" s="2">
        <f t="shared" si="2"/>
        <v>0.2</v>
      </c>
      <c r="P35">
        <v>0.6</v>
      </c>
      <c r="Q35">
        <v>0.75</v>
      </c>
      <c r="R35">
        <v>0.85</v>
      </c>
      <c r="S35">
        <v>0.5</v>
      </c>
      <c r="T35">
        <v>70</v>
      </c>
      <c r="U35" s="2">
        <v>3.75</v>
      </c>
      <c r="V35" s="40" t="s">
        <v>87</v>
      </c>
      <c r="W35" s="53">
        <f t="shared" si="3"/>
        <v>403.06572519230764</v>
      </c>
      <c r="X35" s="71"/>
      <c r="Y35" s="71"/>
      <c r="Z35" s="71"/>
      <c r="AA35" s="71"/>
      <c r="AB35" s="71"/>
    </row>
    <row r="36" spans="1:28">
      <c r="A36" s="1" t="s">
        <v>214</v>
      </c>
      <c r="B36" s="40">
        <v>3</v>
      </c>
      <c r="C36" s="2">
        <f>SUM(((Table16810[[#This Row],[Avg DPS]]*(Table16810[[#This Row],[Range]]))+(Table16810[[#This Row],[Avg DPS]]*Table16810[[#This Row],[Arm Pen (%)]]))/100)</f>
        <v>2.3062499999999999</v>
      </c>
      <c r="D36" s="3">
        <f>SUM(Table16810[[#This Row],[DPS]]*Table16810[[#This Row],[Avg Accuracy]])</f>
        <v>6.2499999999999991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6">
        <v>26.9</v>
      </c>
      <c r="G36" s="2">
        <f>SUM((Table16810[[#This Row],[Accuracy (Close)]]+Table16810[[#This Row],[Accuracy (Short)]]+Table16810[[#This Row],[Accuracy (Medium)]]+Table16810[[#This Row],[Accuracy (Long)]])/4)</f>
        <v>0.625</v>
      </c>
      <c r="H36">
        <v>8</v>
      </c>
      <c r="I36">
        <v>0.5</v>
      </c>
      <c r="J36">
        <v>10</v>
      </c>
      <c r="K36">
        <v>3</v>
      </c>
      <c r="L36" s="2">
        <v>1</v>
      </c>
      <c r="M36" s="2">
        <v>1.2</v>
      </c>
      <c r="N36">
        <v>600</v>
      </c>
      <c r="O36" s="2">
        <f t="shared" si="2"/>
        <v>0.1</v>
      </c>
      <c r="P36">
        <v>0.6</v>
      </c>
      <c r="Q36">
        <v>0.7</v>
      </c>
      <c r="R36">
        <v>0.65</v>
      </c>
      <c r="S36">
        <v>0.55000000000000004</v>
      </c>
      <c r="T36">
        <v>60</v>
      </c>
      <c r="U36" s="2">
        <v>2.6</v>
      </c>
      <c r="V36" s="40" t="s">
        <v>86</v>
      </c>
      <c r="W36" s="53">
        <f t="shared" si="3"/>
        <v>347.02143749999999</v>
      </c>
      <c r="X36" s="71"/>
      <c r="Y36" s="71"/>
      <c r="Z36" s="71"/>
      <c r="AA36" s="71"/>
      <c r="AB36" s="71"/>
    </row>
    <row r="37" spans="1:28">
      <c r="A37" t="s">
        <v>215</v>
      </c>
      <c r="B37" s="40">
        <v>3</v>
      </c>
      <c r="C37" s="2">
        <f>SUM(((Table16810[[#This Row],[Avg DPS]]*(Table16810[[#This Row],[Range]]))+(Table16810[[#This Row],[Avg DPS]]*Table16810[[#This Row],[Arm Pen (%)]]))/100)</f>
        <v>3.1143688524590165</v>
      </c>
      <c r="D37" s="3">
        <f>SUM(Table16810[[#This Row],[DPS]]*Table16810[[#This Row],[Avg Accuracy]])</f>
        <v>6.3688524590163933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7">
        <v>32.9</v>
      </c>
      <c r="G37" s="2">
        <f>SUM((Table16810[[#This Row],[Accuracy (Close)]]+Table16810[[#This Row],[Accuracy (Short)]]+Table16810[[#This Row],[Accuracy (Medium)]]+Table16810[[#This Row],[Accuracy (Long)]])/4)</f>
        <v>0.64749999999999996</v>
      </c>
      <c r="H37">
        <v>10</v>
      </c>
      <c r="I37">
        <v>0.5</v>
      </c>
      <c r="J37">
        <v>16</v>
      </c>
      <c r="K37">
        <v>3</v>
      </c>
      <c r="L37" s="2">
        <v>1.7</v>
      </c>
      <c r="M37" s="2">
        <v>1.1499999999999999</v>
      </c>
      <c r="N37">
        <v>600</v>
      </c>
      <c r="O37" s="2">
        <f t="shared" si="2"/>
        <v>0.1</v>
      </c>
      <c r="P37">
        <v>0.62</v>
      </c>
      <c r="Q37">
        <v>0.75</v>
      </c>
      <c r="R37">
        <v>0.67</v>
      </c>
      <c r="S37">
        <v>0.55000000000000004</v>
      </c>
      <c r="T37">
        <v>70</v>
      </c>
      <c r="U37" s="2">
        <v>4</v>
      </c>
      <c r="V37" s="40" t="s">
        <v>87</v>
      </c>
      <c r="W37" s="53">
        <f t="shared" si="3"/>
        <v>468.6190812295082</v>
      </c>
      <c r="X37" s="71"/>
      <c r="Y37" s="71"/>
      <c r="Z37" s="71"/>
      <c r="AA37" s="71"/>
      <c r="AB37" s="71"/>
    </row>
    <row r="38" spans="1:28">
      <c r="A38" t="s">
        <v>216</v>
      </c>
      <c r="B38" s="40">
        <v>3</v>
      </c>
      <c r="C38" s="2">
        <f>SUM(((Table16810[[#This Row],[Avg DPS]]*(Table16810[[#This Row],[Range]]))+(Table16810[[#This Row],[Avg DPS]]*Table16810[[#This Row],[Arm Pen (%)]]))/100)</f>
        <v>2.2709189189189187</v>
      </c>
      <c r="D38" s="3">
        <f>SUM(Table16810[[#This Row],[DPS]]*Table16810[[#This Row],[Avg Accuracy]])</f>
        <v>5.8378378378378377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8">
        <v>28.9</v>
      </c>
      <c r="G38" s="2">
        <f>SUM((Table16810[[#This Row],[Accuracy (Close)]]+Table16810[[#This Row],[Accuracy (Short)]]+Table16810[[#This Row],[Accuracy (Medium)]]+Table16810[[#This Row],[Accuracy (Long)]])/4)</f>
        <v>0.6</v>
      </c>
      <c r="H38">
        <v>8</v>
      </c>
      <c r="I38">
        <v>0.5</v>
      </c>
      <c r="J38">
        <v>10</v>
      </c>
      <c r="K38">
        <v>3</v>
      </c>
      <c r="L38" s="2">
        <v>1.2</v>
      </c>
      <c r="M38" s="2">
        <v>1</v>
      </c>
      <c r="N38">
        <v>450</v>
      </c>
      <c r="O38" s="2">
        <f t="shared" si="2"/>
        <v>0.13333333333333333</v>
      </c>
      <c r="P38">
        <v>0.6</v>
      </c>
      <c r="Q38">
        <v>0.7</v>
      </c>
      <c r="R38">
        <v>0.6</v>
      </c>
      <c r="S38">
        <v>0.5</v>
      </c>
      <c r="T38">
        <v>70</v>
      </c>
      <c r="U38" s="2">
        <v>3.3</v>
      </c>
      <c r="V38" s="40" t="s">
        <v>87</v>
      </c>
      <c r="W38" s="53">
        <f t="shared" si="3"/>
        <v>341.70516972972968</v>
      </c>
      <c r="X38" s="71"/>
      <c r="Y38" s="71"/>
      <c r="Z38" s="71"/>
      <c r="AA38" s="71"/>
      <c r="AB38" s="71"/>
    </row>
    <row r="39" spans="1:28">
      <c r="A39" t="s">
        <v>290</v>
      </c>
      <c r="B39">
        <v>4</v>
      </c>
      <c r="C39" s="2"/>
      <c r="D39" s="3"/>
      <c r="E39" s="2"/>
      <c r="G39" s="2"/>
      <c r="L39" s="2"/>
      <c r="M39" s="2"/>
      <c r="O39" s="2"/>
      <c r="U39" s="2"/>
      <c r="V39" s="40" t="s">
        <v>87</v>
      </c>
      <c r="W39" s="53"/>
      <c r="X39" s="71"/>
      <c r="Y39" s="71"/>
      <c r="Z39" s="71"/>
      <c r="AA39" s="71"/>
      <c r="AB39" s="71"/>
    </row>
    <row r="40" spans="1:28">
      <c r="A40" s="6" t="s">
        <v>38</v>
      </c>
      <c r="B40" s="11" t="s">
        <v>35</v>
      </c>
      <c r="C40" s="2">
        <f>SUM(((Table16810[[#This Row],[Avg DPS]]*(Table16810[[#This Row],[Range]]))+(Table16810[[#This Row],[Avg DPS]]*Table16810[[#This Row],[Arm Pen (%)]]))/100)</f>
        <v>3.1889423076923071</v>
      </c>
      <c r="D40" s="3">
        <f>SUM(Table16810[[#This Row],[DPS]]*Table16810[[#This Row],[Avg Accuracy]])</f>
        <v>6.7994505494505484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0.625</v>
      </c>
      <c r="H40">
        <v>11</v>
      </c>
      <c r="I40">
        <v>0.5</v>
      </c>
      <c r="J40">
        <v>16</v>
      </c>
      <c r="K40">
        <v>3</v>
      </c>
      <c r="L40" s="2">
        <v>1.7</v>
      </c>
      <c r="M40" s="2">
        <v>1</v>
      </c>
      <c r="N40">
        <v>360</v>
      </c>
      <c r="O40" s="2">
        <f>60/N40</f>
        <v>0.16666666666666666</v>
      </c>
      <c r="P40">
        <v>0.6</v>
      </c>
      <c r="Q40">
        <v>0.7</v>
      </c>
      <c r="R40">
        <v>0.65</v>
      </c>
      <c r="S40">
        <v>0.55000000000000004</v>
      </c>
      <c r="T40">
        <v>70</v>
      </c>
      <c r="U40" s="2">
        <v>3.5</v>
      </c>
      <c r="W40">
        <v>480</v>
      </c>
      <c r="X40" s="40"/>
      <c r="Y40" s="40"/>
      <c r="Z40" s="40"/>
      <c r="AA40" s="40"/>
      <c r="AB40" s="40"/>
    </row>
    <row r="41" spans="1:28">
      <c r="A41" s="6" t="s">
        <v>40</v>
      </c>
      <c r="B41" s="11" t="s">
        <v>35</v>
      </c>
      <c r="C41" s="2">
        <f>SUM(((Table16810[[#This Row],[Avg DPS]]*(Table16810[[#This Row],[Range]]))+(Table16810[[#This Row],[Avg DPS]]*Table16810[[#This Row],[Arm Pen (%)]]))/100)</f>
        <v>2.8305703125000004</v>
      </c>
      <c r="D41" s="3">
        <f>SUM(Table16810[[#This Row],[DPS]]*Table16810[[#This Row],[Avg Accuracy]])</f>
        <v>4.4296875000000009</v>
      </c>
      <c r="E41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41">
        <v>36.9</v>
      </c>
      <c r="G41" s="2">
        <f>SUM((Table16810[[#This Row],[Accuracy (Close)]]+Table16810[[#This Row],[Accuracy (Short)]]+Table16810[[#This Row],[Accuracy (Medium)]]+Table16810[[#This Row],[Accuracy (Long)]])/4)</f>
        <v>0.78750000000000009</v>
      </c>
      <c r="H41">
        <v>18</v>
      </c>
      <c r="I41">
        <v>1.5</v>
      </c>
      <c r="J41">
        <v>27</v>
      </c>
      <c r="K41">
        <v>1</v>
      </c>
      <c r="L41" s="2">
        <v>1.5</v>
      </c>
      <c r="M41" s="2">
        <v>1.7</v>
      </c>
      <c r="N41">
        <v>0</v>
      </c>
      <c r="O41" s="2">
        <v>0</v>
      </c>
      <c r="P41">
        <v>0.65</v>
      </c>
      <c r="Q41">
        <v>0.8</v>
      </c>
      <c r="R41">
        <v>0.9</v>
      </c>
      <c r="S41">
        <v>0.8</v>
      </c>
      <c r="T41">
        <v>70</v>
      </c>
      <c r="U41" s="2">
        <v>3.5</v>
      </c>
      <c r="W41">
        <v>255</v>
      </c>
      <c r="X41" s="40"/>
      <c r="Y41" s="40"/>
      <c r="Z41" s="40"/>
      <c r="AA41" s="40"/>
      <c r="AB41" s="40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4"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4"/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5"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5"/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6"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85" priority="2" operator="greaterThan">
      <formula>3.2</formula>
    </cfRule>
  </conditionalFormatting>
  <conditionalFormatting sqref="O4:O123">
    <cfRule type="cellIs" dxfId="84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I24" sqref="I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64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2.5494545454545454</v>
      </c>
      <c r="D4" s="3">
        <f>SUM(Table1681011[[#This Row],[DPS]]*Table1681011[[#This Row],[Avg Accuracy]])</f>
        <v>3.2727272727272729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4">
        <v>42.9</v>
      </c>
      <c r="G4" s="2">
        <f>SUM((Table1681011[[#This Row],[Accuracy (Close)]]+Table1681011[[#This Row],[Accuracy (Short)]]+Table1681011[[#This Row],[Accuracy (Medium)]]+Table1681011[[#This Row],[Accuracy (Long)]])/4)</f>
        <v>0.72</v>
      </c>
      <c r="H4">
        <v>25</v>
      </c>
      <c r="I4">
        <v>1.5</v>
      </c>
      <c r="J4">
        <v>35</v>
      </c>
      <c r="K4">
        <v>1</v>
      </c>
      <c r="L4">
        <v>2</v>
      </c>
      <c r="M4">
        <v>3.5</v>
      </c>
      <c r="N4">
        <v>0</v>
      </c>
      <c r="O4" s="2">
        <v>0</v>
      </c>
      <c r="P4">
        <v>0.4</v>
      </c>
      <c r="Q4">
        <v>0.71</v>
      </c>
      <c r="R4">
        <v>0.9</v>
      </c>
      <c r="S4">
        <v>0.87</v>
      </c>
      <c r="U4" s="69"/>
      <c r="V4" t="s">
        <v>86</v>
      </c>
      <c r="W4" s="57" t="e">
        <f>Table1681011[[#This Row],[Balance]]*#REF!</f>
        <v>#REF!</v>
      </c>
    </row>
    <row r="5" spans="1:23">
      <c r="A5" t="s">
        <v>109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2.757509615384615</v>
      </c>
      <c r="D5" s="3">
        <f>SUM(Table1681011[[#This Row],[DPS]]*Table1681011[[#This Row],[Avg Accuracy]])</f>
        <v>3.0673076923076925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5">
        <v>47.9</v>
      </c>
      <c r="G5" s="2">
        <f>SUM((Table1681011[[#This Row],[Accuracy (Close)]]+Table1681011[[#This Row],[Accuracy (Short)]]+Table1681011[[#This Row],[Accuracy (Medium)]]+Table1681011[[#This Row],[Accuracy (Long)]])/4)</f>
        <v>0.6875</v>
      </c>
      <c r="H5">
        <v>29</v>
      </c>
      <c r="I5">
        <v>1.5</v>
      </c>
      <c r="J5">
        <v>42</v>
      </c>
      <c r="K5">
        <v>1</v>
      </c>
      <c r="L5">
        <v>2.6</v>
      </c>
      <c r="M5">
        <v>3.9</v>
      </c>
      <c r="N5">
        <v>0</v>
      </c>
      <c r="O5" s="2">
        <v>0</v>
      </c>
      <c r="P5">
        <v>0.4</v>
      </c>
      <c r="Q5">
        <v>0.68</v>
      </c>
      <c r="R5">
        <v>0.82</v>
      </c>
      <c r="S5">
        <v>0.85</v>
      </c>
      <c r="T5">
        <v>120</v>
      </c>
      <c r="U5" s="69">
        <v>7.54</v>
      </c>
      <c r="V5" t="s">
        <v>87</v>
      </c>
      <c r="W5" s="57" t="e">
        <f>Table1681011[[#This Row],[Balance]]*#REF!</f>
        <v>#REF!</v>
      </c>
    </row>
    <row r="6" spans="1:23">
      <c r="A6" t="s">
        <v>119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2.4359125000000006</v>
      </c>
      <c r="D6" s="3">
        <f>SUM(Table1681011[[#This Row],[DPS]]*Table1681011[[#This Row],[Avg Accuracy]])</f>
        <v>3.5875000000000008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6">
        <v>36.9</v>
      </c>
      <c r="G6" s="2">
        <f>SUM((Table1681011[[#This Row],[Accuracy (Close)]]+Table1681011[[#This Row],[Accuracy (Short)]]+Table1681011[[#This Row],[Accuracy (Medium)]]+Table1681011[[#This Row],[Accuracy (Long)]])/4)</f>
        <v>0.71750000000000003</v>
      </c>
      <c r="H6">
        <v>21</v>
      </c>
      <c r="I6">
        <v>1.5</v>
      </c>
      <c r="J6">
        <v>31</v>
      </c>
      <c r="K6">
        <v>1</v>
      </c>
      <c r="L6">
        <v>1.9</v>
      </c>
      <c r="M6">
        <v>2.2999999999999998</v>
      </c>
      <c r="N6">
        <v>0</v>
      </c>
      <c r="O6" s="2">
        <v>0</v>
      </c>
      <c r="P6">
        <v>0.5</v>
      </c>
      <c r="Q6">
        <v>0.71</v>
      </c>
      <c r="R6">
        <v>0.86</v>
      </c>
      <c r="S6">
        <v>0.8</v>
      </c>
      <c r="T6">
        <v>90</v>
      </c>
      <c r="U6">
        <v>3.1</v>
      </c>
      <c r="V6" t="s">
        <v>87</v>
      </c>
      <c r="W6" s="57" t="e">
        <f>Table1681011[[#This Row],[Balance]]*#REF!</f>
        <v>#REF!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24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 t="e">
        <f>Table1681011[[#This Row],[Balance]]*#REF!</f>
        <v>#REF!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s="4" t="s">
        <v>233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1.9793465346534658</v>
      </c>
      <c r="D10" s="3">
        <f>SUM(Table1681011[[#This Row],[DPS]]*Table1681011[[#This Row],[Avg Accuracy]])</f>
        <v>2.831683168316832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0">
        <v>32.9</v>
      </c>
      <c r="G10" s="2">
        <f>SUM((Table1681011[[#This Row],[Accuracy (Close)]]+Table1681011[[#This Row],[Accuracy (Short)]]+Table1681011[[#This Row],[Accuracy (Medium)]]+Table1681011[[#This Row],[Accuracy (Long)]])/4)</f>
        <v>0.65</v>
      </c>
      <c r="H10">
        <v>22</v>
      </c>
      <c r="I10">
        <v>0.5</v>
      </c>
      <c r="J10">
        <v>37</v>
      </c>
      <c r="K10">
        <v>1</v>
      </c>
      <c r="L10">
        <v>2.15</v>
      </c>
      <c r="M10">
        <v>2.9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>
        <v>3.3</v>
      </c>
      <c r="V10" t="s">
        <v>87</v>
      </c>
      <c r="W10" s="53" t="e">
        <f>Table1681011[[#This Row],[Balance]]*#REF!</f>
        <v>#REF!</v>
      </c>
    </row>
    <row r="11" spans="1:23">
      <c r="A11" s="1" t="s">
        <v>228</v>
      </c>
      <c r="B11">
        <v>3</v>
      </c>
      <c r="C11" s="2">
        <f>SUM(((Table1681011[[#This Row],[Avg DPS]]*(Table1681011[[#This Row],[Range]]))+(Table1681011[[#This Row],[Avg DPS]]*Table1681011[[#This Row],[Arm Pen (%)]]))/100)</f>
        <v>2.1281602409638549</v>
      </c>
      <c r="D11" s="3">
        <f>SUM(Table1681011[[#This Row],[DPS]]*Table1681011[[#This Row],[Avg Accuracy]])</f>
        <v>3.0445783132530111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1">
        <v>34.9</v>
      </c>
      <c r="G11" s="2">
        <f>SUM((Table1681011[[#This Row],[Accuracy (Close)]]+Table1681011[[#This Row],[Accuracy (Short)]]+Table1681011[[#This Row],[Accuracy (Medium)]]+Table1681011[[#This Row],[Accuracy (Long)]])/4)</f>
        <v>0.66499999999999992</v>
      </c>
      <c r="H11">
        <v>19</v>
      </c>
      <c r="I11">
        <v>1</v>
      </c>
      <c r="J11">
        <v>35</v>
      </c>
      <c r="K11">
        <v>1</v>
      </c>
      <c r="L11">
        <v>1.5</v>
      </c>
      <c r="M11">
        <v>2.65</v>
      </c>
      <c r="N11">
        <v>0</v>
      </c>
      <c r="O11" s="2">
        <v>0</v>
      </c>
      <c r="P11">
        <v>0.6</v>
      </c>
      <c r="Q11">
        <v>0.68</v>
      </c>
      <c r="R11">
        <v>0.73</v>
      </c>
      <c r="S11">
        <v>0.65</v>
      </c>
      <c r="T11">
        <v>100</v>
      </c>
      <c r="U11">
        <v>4.3</v>
      </c>
      <c r="V11" t="s">
        <v>86</v>
      </c>
      <c r="W11" s="53" t="e">
        <f>Table1681011[[#This Row],[Balance]]*#REF!</f>
        <v>#REF!</v>
      </c>
    </row>
    <row r="12" spans="1:23">
      <c r="A12" t="s">
        <v>230</v>
      </c>
      <c r="B12">
        <v>3</v>
      </c>
      <c r="C12" s="2">
        <f>SUM(((Table1681011[[#This Row],[Avg DPS]]*(Table1681011[[#This Row],[Range]]))+(Table1681011[[#This Row],[Avg DPS]]*Table1681011[[#This Row],[Arm Pen (%)]]))/100)</f>
        <v>2.2061842105263154</v>
      </c>
      <c r="D12" s="3">
        <f>SUM(Table1681011[[#This Row],[DPS]]*Table1681011[[#This Row],[Avg Accuracy]])</f>
        <v>3.0263157894736841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2">
        <v>40.9</v>
      </c>
      <c r="G12" s="2">
        <f>SUM((Table1681011[[#This Row],[Accuracy (Close)]]+Table1681011[[#This Row],[Accuracy (Short)]]+Table1681011[[#This Row],[Accuracy (Medium)]]+Table1681011[[#This Row],[Accuracy (Long)]])/4)</f>
        <v>0.75</v>
      </c>
      <c r="H12">
        <v>23</v>
      </c>
      <c r="I12">
        <v>1.5</v>
      </c>
      <c r="J12">
        <v>32</v>
      </c>
      <c r="K12">
        <v>1</v>
      </c>
      <c r="L12">
        <v>2.2000000000000002</v>
      </c>
      <c r="M12">
        <v>3.5</v>
      </c>
      <c r="N12">
        <v>0</v>
      </c>
      <c r="O12" s="2">
        <v>0</v>
      </c>
      <c r="P12">
        <v>0.5</v>
      </c>
      <c r="Q12">
        <v>0.73</v>
      </c>
      <c r="R12">
        <v>0.89</v>
      </c>
      <c r="S12">
        <v>0.88</v>
      </c>
      <c r="T12">
        <v>120</v>
      </c>
      <c r="U12">
        <v>5</v>
      </c>
      <c r="V12" t="s">
        <v>87</v>
      </c>
      <c r="W12" s="53" t="e">
        <f>Table1681011[[#This Row],[Balance]]*#REF!</f>
        <v>#REF!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2.6368861607142855</v>
      </c>
      <c r="D13" s="3">
        <f>SUM(Table1681011[[#This Row],[DPS]]*Table1681011[[#This Row],[Avg Accuracy]])</f>
        <v>3.1808035714285712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3">
        <v>44.9</v>
      </c>
      <c r="G13" s="2">
        <f>SUM((Table1681011[[#This Row],[Accuracy (Close)]]+Table1681011[[#This Row],[Accuracy (Short)]]+Table1681011[[#This Row],[Accuracy (Medium)]]+Table1681011[[#This Row],[Accuracy (Long)]])/4)</f>
        <v>0.71249999999999991</v>
      </c>
      <c r="H13">
        <v>25</v>
      </c>
      <c r="I13">
        <v>1.5</v>
      </c>
      <c r="J13">
        <v>38</v>
      </c>
      <c r="K13">
        <v>1</v>
      </c>
      <c r="L13">
        <v>2.2999999999999998</v>
      </c>
      <c r="M13">
        <v>3.3</v>
      </c>
      <c r="N13">
        <v>0</v>
      </c>
      <c r="O13" s="2">
        <v>0</v>
      </c>
      <c r="P13">
        <v>0.5</v>
      </c>
      <c r="Q13">
        <v>0.7</v>
      </c>
      <c r="R13">
        <v>0.85</v>
      </c>
      <c r="S13">
        <v>0.8</v>
      </c>
      <c r="T13">
        <v>100</v>
      </c>
      <c r="U13">
        <v>4.2</v>
      </c>
      <c r="V13" t="s">
        <v>87</v>
      </c>
      <c r="W13" s="53" t="e">
        <f>Table1681011[[#This Row],[Balance]]*#REF!</f>
        <v>#REF!</v>
      </c>
    </row>
    <row r="14" spans="1:23">
      <c r="A14" s="1" t="s">
        <v>229</v>
      </c>
      <c r="B14">
        <v>3</v>
      </c>
      <c r="C14" s="2">
        <f>SUM(((Table1681011[[#This Row],[Avg DPS]]*(Table1681011[[#This Row],[Range]]))+(Table1681011[[#This Row],[Avg DPS]]*Table1681011[[#This Row],[Arm Pen (%)]]))/100)</f>
        <v>2.4613797169811322</v>
      </c>
      <c r="D14" s="3">
        <f>SUM(Table1681011[[#This Row],[DPS]]*Table1681011[[#This Row],[Avg Accuracy]])</f>
        <v>3.242924528301887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4">
        <v>37.9</v>
      </c>
      <c r="G14" s="2">
        <f>SUM((Table1681011[[#This Row],[Accuracy (Close)]]+Table1681011[[#This Row],[Accuracy (Short)]]+Table1681011[[#This Row],[Accuracy (Medium)]]+Table1681011[[#This Row],[Accuracy (Long)]])/4)</f>
        <v>0.6875</v>
      </c>
      <c r="H14">
        <v>25</v>
      </c>
      <c r="I14">
        <v>1.5</v>
      </c>
      <c r="J14">
        <v>38</v>
      </c>
      <c r="K14">
        <v>1</v>
      </c>
      <c r="L14">
        <v>1.8</v>
      </c>
      <c r="M14">
        <v>3.5</v>
      </c>
      <c r="N14">
        <v>0</v>
      </c>
      <c r="O14" s="2">
        <v>0</v>
      </c>
      <c r="P14">
        <v>0.5</v>
      </c>
      <c r="Q14">
        <v>0.7</v>
      </c>
      <c r="R14">
        <v>0.8</v>
      </c>
      <c r="S14">
        <v>0.75</v>
      </c>
      <c r="T14">
        <v>100</v>
      </c>
      <c r="U14">
        <v>3.6</v>
      </c>
      <c r="V14" t="s">
        <v>86</v>
      </c>
      <c r="W14" s="53" t="e">
        <f>Table1681011[[#This Row],[Balance]]*#REF!</f>
        <v>#REF!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2.6975460176991159</v>
      </c>
      <c r="D15" s="3">
        <f>SUM(Table1681011[[#This Row],[DPS]]*Table1681011[[#This Row],[Avg Accuracy]])</f>
        <v>3.4628318584070801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5">
        <v>42.9</v>
      </c>
      <c r="G15" s="2">
        <f>SUM((Table1681011[[#This Row],[Accuracy (Close)]]+Table1681011[[#This Row],[Accuracy (Short)]]+Table1681011[[#This Row],[Accuracy (Medium)]]+Table1681011[[#This Row],[Accuracy (Long)]])/4)</f>
        <v>0.75250000000000006</v>
      </c>
      <c r="H15">
        <v>26</v>
      </c>
      <c r="I15">
        <v>1.5</v>
      </c>
      <c r="J15">
        <v>35</v>
      </c>
      <c r="K15">
        <v>1</v>
      </c>
      <c r="L15">
        <v>2.25</v>
      </c>
      <c r="M15">
        <v>3.4</v>
      </c>
      <c r="N15">
        <v>0</v>
      </c>
      <c r="O15" s="2">
        <v>0</v>
      </c>
      <c r="P15">
        <v>0.5</v>
      </c>
      <c r="Q15">
        <v>0.7</v>
      </c>
      <c r="R15">
        <v>0.92</v>
      </c>
      <c r="S15">
        <v>0.89</v>
      </c>
      <c r="T15">
        <v>100</v>
      </c>
      <c r="U15">
        <v>6.3</v>
      </c>
      <c r="V15" t="s">
        <v>87</v>
      </c>
      <c r="W15" s="53" t="e">
        <f>Table1681011[[#This Row],[Balance]]*#REF!</f>
        <v>#REF!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 s="70">
        <v>13.5</v>
      </c>
      <c r="V16" s="24" t="s">
        <v>87</v>
      </c>
      <c r="W16" s="24">
        <v>650</v>
      </c>
    </row>
    <row r="17" spans="1:23" s="4" customFormat="1">
      <c r="A17" t="s">
        <v>241</v>
      </c>
      <c r="B17">
        <v>4</v>
      </c>
      <c r="C17" s="2">
        <f>SUM(((Table1681011[[#This Row],[Avg DPS]]*(Table1681011[[#This Row],[Range]]))+(Table1681011[[#This Row],[Avg DPS]]*Table1681011[[#This Row],[Arm Pen (%)]]))/100)</f>
        <v>3.540375</v>
      </c>
      <c r="D17" s="3">
        <f>SUM(Table1681011[[#This Row],[DPS]]*Table1681011[[#This Row],[Avg Accuracy]])</f>
        <v>3.375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54.9</v>
      </c>
      <c r="G17" s="2">
        <f>SUM((Table1681011[[#This Row],[Accuracy (Close)]]+Table1681011[[#This Row],[Accuracy (Short)]]+Table1681011[[#This Row],[Accuracy (Medium)]]+Table1681011[[#This Row],[Accuracy (Long)]])/4)</f>
        <v>0.67500000000000004</v>
      </c>
      <c r="H17">
        <v>45</v>
      </c>
      <c r="I17">
        <v>4</v>
      </c>
      <c r="J17">
        <v>50</v>
      </c>
      <c r="K17">
        <v>1</v>
      </c>
      <c r="L17">
        <v>4</v>
      </c>
      <c r="M17">
        <v>5</v>
      </c>
      <c r="N17">
        <v>0</v>
      </c>
      <c r="O17" s="2">
        <v>0</v>
      </c>
      <c r="P17">
        <v>0.4</v>
      </c>
      <c r="Q17">
        <v>0.7</v>
      </c>
      <c r="R17">
        <v>0.82</v>
      </c>
      <c r="S17">
        <v>0.78</v>
      </c>
      <c r="T17" s="62">
        <v>150</v>
      </c>
      <c r="U17" s="62">
        <v>27</v>
      </c>
      <c r="V17" s="62" t="s">
        <v>87</v>
      </c>
      <c r="W17" s="38">
        <v>1500</v>
      </c>
    </row>
    <row r="18" spans="1:23">
      <c r="A18" s="48" t="s">
        <v>291</v>
      </c>
      <c r="B18" s="7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8" s="7"/>
      <c r="G18" s="2">
        <f>SUM((Table1681011[[#This Row],[Accuracy (Close)]]+Table1681011[[#This Row],[Accuracy (Short)]]+Table1681011[[#This Row],[Accuracy (Medium)]]+Table1681011[[#This Row],[Accuracy (Long)]])/4)</f>
        <v>0</v>
      </c>
      <c r="H18" s="7"/>
      <c r="I18" s="7"/>
      <c r="J18" s="7"/>
      <c r="K18" s="7"/>
      <c r="L18" s="7"/>
      <c r="M18" s="7"/>
      <c r="N18" s="7"/>
      <c r="O18" s="2" t="e">
        <f>60/N18</f>
        <v>#DIV/0!</v>
      </c>
      <c r="P18" s="7"/>
      <c r="Q18" s="7"/>
      <c r="R18" s="7"/>
      <c r="S18" s="7"/>
      <c r="T18" s="49"/>
      <c r="U18" s="62"/>
      <c r="V18" s="62" t="s">
        <v>86</v>
      </c>
      <c r="W18" s="38"/>
    </row>
    <row r="19" spans="1:23">
      <c r="A19" s="6" t="s">
        <v>41</v>
      </c>
      <c r="B19" s="11" t="s">
        <v>35</v>
      </c>
      <c r="C19" s="2">
        <f>SUM(((Table1681011[[#This Row],[Avg DPS]]*(Table1681011[[#This Row],[Range]]))+(Table1681011[[#This Row],[Avg DPS]]*Table1681011[[#This Row],[Arm Pen (%)]]))/100)</f>
        <v>2.6263577586206894</v>
      </c>
      <c r="D19" s="3">
        <f>SUM(Table1681011[[#This Row],[DPS]]*Table1681011[[#This Row],[Avg Accuracy]])</f>
        <v>3.1681034482758621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9">
        <v>44.9</v>
      </c>
      <c r="G19" s="2">
        <f>SUM((Table1681011[[#This Row],[Accuracy (Close)]]+Table1681011[[#This Row],[Accuracy (Short)]]+Table1681011[[#This Row],[Accuracy (Medium)]]+Table1681011[[#This Row],[Accuracy (Long)]])/4)</f>
        <v>0.73499999999999999</v>
      </c>
      <c r="H19">
        <v>25</v>
      </c>
      <c r="I19">
        <v>1.5</v>
      </c>
      <c r="J19">
        <v>38</v>
      </c>
      <c r="K19">
        <v>1</v>
      </c>
      <c r="L19">
        <v>2.2999999999999998</v>
      </c>
      <c r="M19">
        <v>3.5</v>
      </c>
      <c r="N19">
        <v>0</v>
      </c>
      <c r="O19" s="2">
        <v>0</v>
      </c>
      <c r="P19">
        <v>0.5</v>
      </c>
      <c r="Q19">
        <v>0.7</v>
      </c>
      <c r="R19">
        <v>0.86</v>
      </c>
      <c r="S19">
        <v>0.88</v>
      </c>
      <c r="T19" s="67">
        <v>100</v>
      </c>
      <c r="U19" s="68"/>
      <c r="V19" s="23" t="s">
        <v>86</v>
      </c>
      <c r="W19" s="23">
        <v>530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T20" s="50"/>
      <c r="U20" s="38"/>
      <c r="V20" s="49"/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T21" s="50"/>
      <c r="U21" s="38"/>
      <c r="V21" s="49"/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T22" s="50"/>
      <c r="U22" s="38"/>
      <c r="V22" s="49"/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T23" s="50"/>
      <c r="U23" s="38"/>
      <c r="V23" s="49"/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T24" s="50"/>
      <c r="U24" s="38"/>
      <c r="V24" s="49"/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T25" s="50"/>
      <c r="U25" s="38"/>
      <c r="V25" s="49"/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T26" s="50"/>
      <c r="U26" s="38"/>
      <c r="V26" s="49"/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T27" s="50"/>
      <c r="U27" s="38"/>
      <c r="V27" s="49"/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T28" s="50"/>
      <c r="U28" s="38"/>
      <c r="V28" s="49"/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T29" s="50"/>
      <c r="U29" s="38"/>
      <c r="V29" s="49"/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T30" s="50"/>
      <c r="U30" s="38"/>
      <c r="V30" s="49"/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T31" s="50"/>
      <c r="U31" s="38"/>
      <c r="V31" s="49"/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T32" s="50"/>
      <c r="U32" s="38"/>
      <c r="V32" s="49"/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T33" s="50"/>
      <c r="U33" s="38"/>
      <c r="V33" s="49"/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T34" s="50"/>
      <c r="U34" s="38"/>
      <c r="V34" s="49"/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T35" s="50"/>
      <c r="U35" s="38"/>
      <c r="V35" s="49"/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T36" s="50"/>
      <c r="U36" s="38"/>
      <c r="V36" s="49"/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T37" s="50"/>
      <c r="U37" s="38"/>
      <c r="V37" s="38"/>
      <c r="W37" s="38"/>
    </row>
  </sheetData>
  <conditionalFormatting sqref="C4:C37">
    <cfRule type="cellIs" dxfId="69" priority="2" operator="greaterThan">
      <formula>2.639</formula>
    </cfRule>
  </conditionalFormatting>
  <conditionalFormatting sqref="O1:O1048576">
    <cfRule type="cellIs" dxfId="6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58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X8" sqref="X8: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273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5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F25" sqref="F25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O1" t="s">
        <v>265</v>
      </c>
      <c r="S1" t="s">
        <v>255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294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267</v>
      </c>
      <c r="Y4" s="56" t="s">
        <v>266</v>
      </c>
      <c r="Z4" t="s">
        <v>252</v>
      </c>
    </row>
    <row r="5" spans="1:26">
      <c r="A5" s="4" t="s">
        <v>295</v>
      </c>
      <c r="B5" s="12" t="s">
        <v>254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252</v>
      </c>
    </row>
    <row r="6" spans="1:26">
      <c r="A6" s="39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9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9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9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4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4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F27"/>
  <sheetViews>
    <sheetView tabSelected="1" topLeftCell="M1" workbookViewId="0">
      <selection activeCell="AC25" sqref="AC25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40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S1" t="s">
        <v>255</v>
      </c>
      <c r="W1" s="40"/>
      <c r="Y1" s="40"/>
      <c r="Z1" s="40"/>
      <c r="AA1" s="40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W2" s="40"/>
      <c r="Y2" s="40"/>
      <c r="Z2" s="40"/>
      <c r="AA2" s="40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314</v>
      </c>
      <c r="U3" t="s">
        <v>72</v>
      </c>
      <c r="V3" t="s">
        <v>73</v>
      </c>
      <c r="W3" t="s">
        <v>318</v>
      </c>
      <c r="X3" s="40" t="s">
        <v>324</v>
      </c>
      <c r="Y3" t="s">
        <v>327</v>
      </c>
      <c r="Z3" t="s">
        <v>319</v>
      </c>
      <c r="AA3" t="s">
        <v>328</v>
      </c>
      <c r="AB3" t="s">
        <v>308</v>
      </c>
      <c r="AC3" t="s">
        <v>243</v>
      </c>
      <c r="AD3" t="s">
        <v>312</v>
      </c>
      <c r="AE3" t="s">
        <v>315</v>
      </c>
      <c r="AF3" t="s">
        <v>250</v>
      </c>
    </row>
    <row r="4" spans="1:32">
      <c r="A4" t="s">
        <v>335</v>
      </c>
      <c r="B4" s="40" t="s">
        <v>306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40" t="s">
        <v>325</v>
      </c>
      <c r="Y4">
        <v>60</v>
      </c>
      <c r="Z4">
        <v>20</v>
      </c>
      <c r="AA4" s="2">
        <f>Table16810111245[[#This Row],[Ammo]]/Table16810111245[[#This Row],[Rearm Cost]]</f>
        <v>0.6</v>
      </c>
      <c r="AC4" s="56" t="s">
        <v>350</v>
      </c>
      <c r="AD4" s="56" t="s">
        <v>87</v>
      </c>
      <c r="AE4" s="56">
        <v>0</v>
      </c>
      <c r="AF4" t="s">
        <v>309</v>
      </c>
    </row>
    <row r="5" spans="1:32">
      <c r="A5" t="s">
        <v>336</v>
      </c>
      <c r="B5" s="40" t="s">
        <v>306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40" t="s">
        <v>326</v>
      </c>
      <c r="Y5">
        <v>10</v>
      </c>
      <c r="Z5">
        <v>10</v>
      </c>
      <c r="AA5" s="2">
        <f>Table16810111245[[#This Row],[Ammo]]/Table16810111245[[#This Row],[Rearm Cost]]</f>
        <v>0.25</v>
      </c>
      <c r="AC5" s="56" t="s">
        <v>351</v>
      </c>
      <c r="AD5" s="56" t="s">
        <v>87</v>
      </c>
      <c r="AE5" s="56">
        <v>0</v>
      </c>
      <c r="AF5" t="s">
        <v>309</v>
      </c>
    </row>
    <row r="6" spans="1:32">
      <c r="A6" s="14" t="s">
        <v>333</v>
      </c>
      <c r="B6" s="12" t="s">
        <v>306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40" t="s">
        <v>325</v>
      </c>
      <c r="Y6">
        <v>200</v>
      </c>
      <c r="Z6">
        <v>20</v>
      </c>
      <c r="AA6" s="2">
        <f>Table16810111245[[#This Row],[Ammo]]/Table16810111245[[#This Row],[Rearm Cost]]</f>
        <v>4</v>
      </c>
      <c r="AC6" s="56" t="s">
        <v>345</v>
      </c>
      <c r="AD6" s="56" t="s">
        <v>86</v>
      </c>
      <c r="AE6" s="56">
        <v>0</v>
      </c>
      <c r="AF6" t="s">
        <v>309</v>
      </c>
    </row>
    <row r="7" spans="1:32">
      <c r="A7" s="14" t="s">
        <v>334</v>
      </c>
      <c r="B7" s="12" t="s">
        <v>306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40" t="s">
        <v>325</v>
      </c>
      <c r="Y7">
        <v>400</v>
      </c>
      <c r="Z7">
        <v>20</v>
      </c>
      <c r="AA7" s="2">
        <f>Table16810111245[[#This Row],[Ammo]]/Table16810111245[[#This Row],[Rearm Cost]]</f>
        <v>8</v>
      </c>
      <c r="AC7" s="56" t="s">
        <v>343</v>
      </c>
      <c r="AD7" s="56" t="s">
        <v>86</v>
      </c>
      <c r="AE7" s="56">
        <v>0</v>
      </c>
      <c r="AF7" t="s">
        <v>309</v>
      </c>
    </row>
    <row r="8" spans="1:32">
      <c r="A8" s="4" t="s">
        <v>320</v>
      </c>
      <c r="B8" s="12" t="s">
        <v>306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40" t="s">
        <v>325</v>
      </c>
      <c r="Y8">
        <v>700</v>
      </c>
      <c r="Z8">
        <v>20</v>
      </c>
      <c r="AA8" s="2">
        <f>Table16810111245[[#This Row],[Ammo]]/Table16810111245[[#This Row],[Rearm Cost]]</f>
        <v>14</v>
      </c>
      <c r="AB8" s="53"/>
      <c r="AC8" s="56" t="s">
        <v>344</v>
      </c>
      <c r="AD8" s="56" t="s">
        <v>86</v>
      </c>
      <c r="AE8" s="56">
        <v>0</v>
      </c>
      <c r="AF8" t="s">
        <v>309</v>
      </c>
    </row>
    <row r="9" spans="1:32">
      <c r="A9" t="s">
        <v>322</v>
      </c>
      <c r="B9" s="40" t="s">
        <v>306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40" t="s">
        <v>325</v>
      </c>
      <c r="Y9">
        <v>60</v>
      </c>
      <c r="Z9">
        <v>20</v>
      </c>
      <c r="AA9" s="2">
        <f>Table16810111245[[#This Row],[Ammo]]/Table16810111245[[#This Row],[Rearm Cost]]</f>
        <v>0.6</v>
      </c>
      <c r="AC9" s="56" t="s">
        <v>349</v>
      </c>
      <c r="AD9" s="56" t="s">
        <v>87</v>
      </c>
      <c r="AE9" s="56">
        <v>-150</v>
      </c>
      <c r="AF9" t="s">
        <v>310</v>
      </c>
    </row>
    <row r="10" spans="1:32" s="72" customFormat="1">
      <c r="A10" s="7" t="s">
        <v>321</v>
      </c>
      <c r="B10" s="40" t="s">
        <v>306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7" t="s">
        <v>325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6" t="s">
        <v>323</v>
      </c>
      <c r="AD10" s="76" t="s">
        <v>87</v>
      </c>
      <c r="AE10" s="76">
        <v>-200</v>
      </c>
      <c r="AF10" t="s">
        <v>310</v>
      </c>
    </row>
    <row r="11" spans="1:32">
      <c r="A11" s="1" t="s">
        <v>337</v>
      </c>
      <c r="B11" s="40" t="s">
        <v>306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40" t="s">
        <v>325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6" t="s">
        <v>347</v>
      </c>
      <c r="AD11" s="56" t="s">
        <v>87</v>
      </c>
      <c r="AE11" s="56">
        <v>-100</v>
      </c>
      <c r="AF11" t="s">
        <v>310</v>
      </c>
    </row>
    <row r="12" spans="1:32">
      <c r="A12" s="14" t="s">
        <v>338</v>
      </c>
      <c r="B12" s="12" t="s">
        <v>306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40" t="s">
        <v>325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6" t="s">
        <v>346</v>
      </c>
      <c r="AD12" s="56" t="s">
        <v>87</v>
      </c>
      <c r="AE12" s="56">
        <v>-100</v>
      </c>
      <c r="AF12" t="s">
        <v>310</v>
      </c>
    </row>
    <row r="13" spans="1:32">
      <c r="A13" s="72" t="s">
        <v>311</v>
      </c>
      <c r="B13" s="73" t="s">
        <v>35</v>
      </c>
      <c r="C13" s="74">
        <f>SUM(((Table16810111245[[#This Row],[Avg DPS]]*(Table16810111245[[#This Row],[Range]]))+(Table16810111245[[#This Row],[Avg DPS]]*Table16810111245[[#This Row],[Arm Pen (%)]]))/100)</f>
        <v>7.8369750262085036</v>
      </c>
      <c r="D13" s="74">
        <f>SUM(Table16810111245[[#This Row],[DPS]]*Table16810111245[[#This Row],[Avg Accuracy]])</f>
        <v>10.750308677926618</v>
      </c>
      <c r="E13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72">
        <v>32.9</v>
      </c>
      <c r="G13" s="74">
        <f>SUM((Table16810111245[[#This Row],[Accuracy (Close)]]+Table16810111245[[#This Row],[Accuracy (Short)]]+Table16810111245[[#This Row],[Accuracy (Medium)]]+Table16810111245[[#This Row],[Accuracy (Long)]])/4)</f>
        <v>0.54</v>
      </c>
      <c r="H13" s="72">
        <v>27</v>
      </c>
      <c r="I13" s="72">
        <v>0.5</v>
      </c>
      <c r="J13" s="72">
        <v>40</v>
      </c>
      <c r="K13" s="72">
        <v>3</v>
      </c>
      <c r="L13" s="72">
        <v>3.5</v>
      </c>
      <c r="M13" s="72">
        <v>0</v>
      </c>
      <c r="N13" s="72">
        <v>211</v>
      </c>
      <c r="O13" s="74">
        <f>60/N13</f>
        <v>0.28436018957345971</v>
      </c>
      <c r="P13" s="72">
        <v>0.28000000000000003</v>
      </c>
      <c r="Q13" s="72">
        <v>0.72</v>
      </c>
      <c r="R13" s="72">
        <v>0.66</v>
      </c>
      <c r="S13" s="72">
        <v>0.5</v>
      </c>
      <c r="T13" s="72">
        <v>8.9</v>
      </c>
      <c r="U13" s="72">
        <v>88</v>
      </c>
      <c r="V13" s="72">
        <v>100</v>
      </c>
      <c r="W13" s="72"/>
      <c r="X13" s="73"/>
      <c r="Y13" s="72"/>
      <c r="Z13" s="72"/>
      <c r="AA13" s="2"/>
      <c r="AB13" s="72">
        <v>1217</v>
      </c>
      <c r="AC13" s="75" t="s">
        <v>313</v>
      </c>
      <c r="AD13" s="75" t="s">
        <v>87</v>
      </c>
      <c r="AE13" s="75">
        <v>-150</v>
      </c>
      <c r="AF13" s="72" t="s">
        <v>310</v>
      </c>
    </row>
    <row r="14" spans="1:32">
      <c r="A14" s="72" t="s">
        <v>307</v>
      </c>
      <c r="B14" s="73" t="s">
        <v>35</v>
      </c>
      <c r="C14" s="74">
        <f>SUM(((Table16810111245[[#This Row],[Avg DPS]]*(Table16810111245[[#This Row],[Range]]))+(Table16810111245[[#This Row],[Avg DPS]]*Table16810111245[[#This Row],[Arm Pen (%)]]))/100)</f>
        <v>1.2320756756756757</v>
      </c>
      <c r="D14" s="74">
        <f>SUM(Table16810111245[[#This Row],[DPS]]*Table16810111245[[#This Row],[Avg Accuracy]])</f>
        <v>2.6270270270270273</v>
      </c>
      <c r="E14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72">
        <v>28.9</v>
      </c>
      <c r="G14" s="74">
        <f>SUM((Table16810111245[[#This Row],[Accuracy (Close)]]+Table16810111245[[#This Row],[Accuracy (Short)]]+Table16810111245[[#This Row],[Accuracy (Medium)]]+Table16810111245[[#This Row],[Accuracy (Long)]])/4)</f>
        <v>0.54</v>
      </c>
      <c r="H14" s="72">
        <v>12</v>
      </c>
      <c r="I14" s="72">
        <v>0.5</v>
      </c>
      <c r="J14" s="72">
        <v>18</v>
      </c>
      <c r="K14" s="72">
        <v>2</v>
      </c>
      <c r="L14" s="72">
        <v>4.8</v>
      </c>
      <c r="M14" s="72">
        <v>0</v>
      </c>
      <c r="N14" s="72">
        <v>450</v>
      </c>
      <c r="O14" s="74">
        <f>60/N14</f>
        <v>0.13333333333333333</v>
      </c>
      <c r="P14" s="72">
        <v>0.77</v>
      </c>
      <c r="Q14" s="72">
        <v>0.7</v>
      </c>
      <c r="R14" s="72">
        <v>0.45</v>
      </c>
      <c r="S14" s="72">
        <v>0.24</v>
      </c>
      <c r="T14" s="72">
        <v>0</v>
      </c>
      <c r="U14" s="72">
        <v>70</v>
      </c>
      <c r="V14" s="72">
        <v>13</v>
      </c>
      <c r="W14" s="72"/>
      <c r="X14" s="73"/>
      <c r="Y14" s="72"/>
      <c r="Z14" s="72"/>
      <c r="AA14" s="2"/>
      <c r="AB14" s="72">
        <v>197</v>
      </c>
      <c r="AC14" s="75" t="s">
        <v>329</v>
      </c>
      <c r="AD14" s="75" t="s">
        <v>86</v>
      </c>
      <c r="AE14" s="75">
        <v>-80</v>
      </c>
      <c r="AF14" s="72" t="s">
        <v>310</v>
      </c>
    </row>
    <row r="15" spans="1:32">
      <c r="A15" s="72" t="s">
        <v>316</v>
      </c>
      <c r="B15" s="73" t="s">
        <v>35</v>
      </c>
      <c r="C15" s="74">
        <f>SUM(((Table16810111245[[#This Row],[Avg DPS]]*(Table16810111245[[#This Row],[Range]]))+(Table16810111245[[#This Row],[Avg DPS]]*Table16810111245[[#This Row],[Arm Pen (%)]]))/100)</f>
        <v>10.6616640625</v>
      </c>
      <c r="D15" s="74">
        <f>SUM(Table16810111245[[#This Row],[DPS]]*Table16810111245[[#This Row],[Avg Accuracy]])</f>
        <v>8.3359375</v>
      </c>
      <c r="E15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72">
        <v>45.9</v>
      </c>
      <c r="G15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72">
        <v>55</v>
      </c>
      <c r="I15" s="72">
        <v>0.5</v>
      </c>
      <c r="J15" s="72">
        <v>82</v>
      </c>
      <c r="K15" s="72">
        <v>1</v>
      </c>
      <c r="L15" s="72">
        <v>3.2</v>
      </c>
      <c r="M15" s="72">
        <v>0</v>
      </c>
      <c r="N15" s="72">
        <v>0</v>
      </c>
      <c r="O15" s="74">
        <v>3.2</v>
      </c>
      <c r="P15" s="72">
        <v>0.22</v>
      </c>
      <c r="Q15" s="72">
        <v>0.33</v>
      </c>
      <c r="R15" s="72">
        <v>0.44</v>
      </c>
      <c r="S15" s="72">
        <v>0.95</v>
      </c>
      <c r="T15" s="72">
        <v>11.9</v>
      </c>
      <c r="U15" s="72">
        <v>120</v>
      </c>
      <c r="V15" s="72">
        <v>40</v>
      </c>
      <c r="W15" s="72"/>
      <c r="X15" s="73"/>
      <c r="Y15" s="72"/>
      <c r="Z15" s="72"/>
      <c r="AA15" s="2"/>
      <c r="AB15" s="72">
        <v>1602</v>
      </c>
      <c r="AC15" s="75" t="s">
        <v>317</v>
      </c>
      <c r="AD15" s="75" t="s">
        <v>87</v>
      </c>
      <c r="AE15" s="75">
        <v>-150</v>
      </c>
      <c r="AF15" s="72" t="s">
        <v>310</v>
      </c>
    </row>
    <row r="16" spans="1:32" s="4" customFormat="1">
      <c r="A16" t="s">
        <v>330</v>
      </c>
      <c r="B16" s="40" t="s">
        <v>306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40" t="s">
        <v>325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6" t="s">
        <v>332</v>
      </c>
      <c r="AD16" s="56" t="s">
        <v>86</v>
      </c>
      <c r="AE16" s="56">
        <v>0</v>
      </c>
      <c r="AF16" t="s">
        <v>309</v>
      </c>
    </row>
    <row r="17" spans="1:32">
      <c r="A17" s="7" t="s">
        <v>342</v>
      </c>
      <c r="B17" s="40" t="s">
        <v>306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7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40" t="s">
        <v>325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6" t="s">
        <v>331</v>
      </c>
      <c r="AD17" s="56" t="s">
        <v>86</v>
      </c>
      <c r="AE17" s="56">
        <v>0</v>
      </c>
      <c r="AF17" t="s">
        <v>309</v>
      </c>
    </row>
    <row r="18" spans="1:32">
      <c r="A18" t="s">
        <v>339</v>
      </c>
      <c r="B18" s="40" t="s">
        <v>306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40" t="s">
        <v>325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6" t="s">
        <v>348</v>
      </c>
      <c r="AD18" s="56" t="s">
        <v>87</v>
      </c>
      <c r="AE18" s="56">
        <v>-200</v>
      </c>
      <c r="AF18" t="s">
        <v>310</v>
      </c>
    </row>
    <row r="19" spans="1:32">
      <c r="A19" t="s">
        <v>340</v>
      </c>
      <c r="B19" s="40" t="s">
        <v>306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40" t="s">
        <v>103</v>
      </c>
      <c r="X19" s="40" t="s">
        <v>103</v>
      </c>
      <c r="Y19" s="40" t="s">
        <v>103</v>
      </c>
      <c r="Z19" s="40" t="s">
        <v>103</v>
      </c>
      <c r="AA19" s="40" t="s">
        <v>103</v>
      </c>
      <c r="AC19" s="56" t="s">
        <v>341</v>
      </c>
      <c r="AD19" s="56" t="s">
        <v>86</v>
      </c>
      <c r="AE19" s="56">
        <v>-200</v>
      </c>
      <c r="AF19" t="s">
        <v>310</v>
      </c>
    </row>
    <row r="20" spans="1:32">
      <c r="B20" s="40"/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AD20" s="56"/>
      <c r="AE20" s="56"/>
    </row>
    <row r="21" spans="1:32">
      <c r="B21" s="40"/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AD21" s="56"/>
      <c r="AE21" s="56"/>
    </row>
    <row r="22" spans="1:32">
      <c r="B22" s="40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D22" s="56"/>
      <c r="AE22" s="56"/>
    </row>
    <row r="23" spans="1:32">
      <c r="B23" s="40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6"/>
      <c r="AE23" s="56"/>
    </row>
    <row r="24" spans="1:32">
      <c r="B24" s="40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6"/>
      <c r="AE24" s="56"/>
    </row>
    <row r="25" spans="1:32">
      <c r="B25" s="40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6"/>
      <c r="AE25" s="56"/>
    </row>
    <row r="26" spans="1:32">
      <c r="B26" s="40"/>
      <c r="C26" s="2" t="e">
        <f>SUM(((Table16810111245[[#This Row],[Avg DPS]]*(Table16810111245[[#This Row],[Range]]))+(Table16810111245[[#This Row],[Avg DPS]]*Table16810111245[[#This Row],[Arm Pen (%)]]))/100)</f>
        <v>#DIV/0!</v>
      </c>
      <c r="D26" s="3" t="e">
        <f>SUM(Table16810111245[[#This Row],[DPS]]*Table16810111245[[#This Row],[Avg Accuracy]])</f>
        <v>#DIV/0!</v>
      </c>
      <c r="E2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6" s="2">
        <f>SUM((Table16810111245[[#This Row],[Accuracy (Close)]]+Table16810111245[[#This Row],[Accuracy (Short)]]+Table16810111245[[#This Row],[Accuracy (Medium)]]+Table16810111245[[#This Row],[Accuracy (Long)]])/4)</f>
        <v>0</v>
      </c>
      <c r="O26" s="2" t="e">
        <f t="shared" si="0"/>
        <v>#DIV/0!</v>
      </c>
      <c r="AD26" s="56"/>
      <c r="AE26" s="56"/>
    </row>
    <row r="27" spans="1:32">
      <c r="A27" s="7"/>
      <c r="B27" s="47"/>
      <c r="C27" s="8" t="e">
        <f>SUM(((Table16810111245[[#This Row],[Avg DPS]]*(Table16810111245[[#This Row],[Range]]))+(Table16810111245[[#This Row],[Avg DPS]]*Table16810111245[[#This Row],[Arm Pen (%)]]))/100)</f>
        <v>#DIV/0!</v>
      </c>
      <c r="D27" s="9" t="e">
        <f>SUM(Table16810111245[[#This Row],[DPS]]*Table16810111245[[#This Row],[Avg Accuracy]])</f>
        <v>#DIV/0!</v>
      </c>
      <c r="E27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 s="7"/>
      <c r="G27" s="8">
        <f>SUM((Table16810111245[[#This Row],[Accuracy (Close)]]+Table16810111245[[#This Row],[Accuracy (Short)]]+Table16810111245[[#This Row],[Accuracy (Medium)]]+Table16810111245[[#This Row],[Accuracy (Long)]])/4)</f>
        <v>0</v>
      </c>
      <c r="H27" s="7"/>
      <c r="I27" s="7"/>
      <c r="J27" s="7"/>
      <c r="K27" s="7"/>
      <c r="L27" s="7"/>
      <c r="M27" s="7"/>
      <c r="N27" s="7"/>
      <c r="O27" s="8" t="e">
        <f t="shared" si="0"/>
        <v>#DIV/0!</v>
      </c>
      <c r="P27" s="7"/>
      <c r="Q27" s="7"/>
      <c r="R27" s="7"/>
      <c r="S27" s="7"/>
      <c r="T27" s="7"/>
      <c r="U27" s="7"/>
      <c r="V27" s="7"/>
      <c r="W27" s="7"/>
      <c r="X27" s="47"/>
      <c r="Y27" s="7"/>
      <c r="Z27" s="7"/>
      <c r="AA27" s="7"/>
      <c r="AB27" s="7"/>
      <c r="AC27" s="7"/>
      <c r="AD27" s="76"/>
      <c r="AE27" s="76"/>
      <c r="AF27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Turrets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2024-07-01T09:31:08Z</dcterms:modified>
</cp:coreProperties>
</file>