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3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Shotgun" sheetId="12" r:id="rId9"/>
    <sheet name="Melee" sheetId="17" r:id="rId10"/>
    <sheet name="Misc" sheetId="19" r:id="rId11"/>
    <sheet name="Volumes" sheetId="15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6" i="11"/>
  <c r="W6" i="8"/>
  <c r="W7"/>
  <c r="W8"/>
  <c r="W9"/>
  <c r="W5"/>
  <c r="W16" i="5"/>
  <c r="W17"/>
  <c r="W18"/>
  <c r="W10"/>
  <c r="W9"/>
  <c r="W8"/>
  <c r="W7"/>
  <c r="W11"/>
  <c r="W12"/>
  <c r="W13"/>
  <c r="W14"/>
  <c r="W15"/>
  <c r="W6"/>
  <c r="W8" i="11"/>
  <c r="W9"/>
  <c r="W10"/>
  <c r="W11"/>
  <c r="W7"/>
  <c r="W6" i="12"/>
  <c r="W8" i="10"/>
  <c r="W7"/>
  <c r="W6"/>
  <c r="W18" i="9"/>
  <c r="W20"/>
  <c r="W21"/>
  <c r="W22"/>
  <c r="W19"/>
  <c r="W14"/>
  <c r="W7"/>
  <c r="W8"/>
  <c r="W9"/>
  <c r="W10"/>
  <c r="W11"/>
  <c r="W12"/>
  <c r="W13"/>
  <c r="W6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5" i="22"/>
  <c r="E15" s="1"/>
  <c r="G15"/>
  <c r="O14"/>
  <c r="E14" s="1"/>
  <c r="G14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W17" i="10"/>
  <c r="W16"/>
  <c r="W15"/>
  <c r="W14"/>
  <c r="W13"/>
  <c r="W12"/>
  <c r="W10"/>
  <c r="W21" i="8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17" i="15" l="1"/>
  <c r="J17"/>
  <c r="G17"/>
  <c r="I17"/>
  <c r="D17"/>
  <c r="F17"/>
  <c r="B17"/>
  <c r="H17"/>
  <c r="E17"/>
  <c r="D11" i="22"/>
  <c r="C11" s="1"/>
  <c r="D8"/>
  <c r="C8" s="1"/>
  <c r="D15"/>
  <c r="C15" s="1"/>
  <c r="D4"/>
  <c r="C4" s="1"/>
  <c r="D14"/>
  <c r="C14" s="1"/>
  <c r="D13"/>
  <c r="C13" s="1"/>
  <c r="D12"/>
  <c r="C12" s="1"/>
  <c r="D10"/>
  <c r="C10" s="1"/>
  <c r="D9"/>
  <c r="C9" s="1"/>
  <c r="D5"/>
  <c r="C5" s="1"/>
  <c r="D7"/>
  <c r="C7" s="1"/>
  <c r="D6"/>
  <c r="C6" s="1"/>
  <c r="D21" i="8"/>
  <c r="C21" s="1"/>
  <c r="D20"/>
  <c r="C20" s="1"/>
  <c r="D19"/>
  <c r="C19" s="1"/>
  <c r="D18"/>
  <c r="C18" s="1"/>
  <c r="D22"/>
  <c r="C22" s="1"/>
  <c r="W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4" i="8"/>
  <c r="G4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0" l="1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D14" i="10"/>
  <c r="C14" s="1"/>
  <c r="D19"/>
  <c r="C19" s="1"/>
  <c r="J5" i="20"/>
  <c r="N5" s="1"/>
  <c r="I5"/>
  <c r="M5" s="1"/>
  <c r="D8" i="10"/>
  <c r="C8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R17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<sst xmlns="http://schemas.openxmlformats.org/spreadsheetml/2006/main" count="737" uniqueCount="282">
  <si>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</si>
  <si>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</si>
  <si>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</si>
  <si>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</si>
  <si>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</si>
  <si>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</si>
  <si>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</si>
  <si>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</si>
  <si>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</si>
  <si>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</si>
  <si>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</si>
  <si>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</si>
  <si>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</si>
  <si>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</si>
  <si>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</si>
  <si>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</si>
  <si>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</si>
  <si>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</si>
  <si>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</si>
  <si>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</si>
  <si>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</si>
  <si>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</si>
  <si>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</si>
  <si>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</si>
  <si>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</si>
  <si>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</si>
  <si>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</si>
  <si>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</si>
  <si>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</si>
  <si>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</si>
  <si>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</si>
  <si>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</si>
  <si>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</si>
  <si>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</si>
  <si>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</si>
  <si>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</si>
  <si>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</si>
  <si>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</si>
  <si>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</si>
  <si>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</si>
  <si>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</si>
  <si>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</si>
  <si>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</si>
  <si>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</si>
  <si>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</si>
  <si>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</si>
  <si>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</si>
  <si>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</si>
  <si>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</si>
  <si>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</si>
  <si>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</si>
  <si>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</si>
  <si>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</si>
  <si>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</si>
  <si>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</si>
  <si>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</si>
  <si>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</si>
  <si>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</si>
  <si>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</si>
  <si>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</si>
  <si>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</si>
  <si>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</si>
  <si>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</si>
  <si>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</si>
  <si>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</si>
  <si>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</si>
  <si>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</si>
  <si>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</si>
  <si>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</si>
  <si>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</si>
  <si>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</si>
  <si>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</si>
  <si>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</si>
  <si>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</si>
  <si>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</si>
  <si>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</si>
  <si>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</si>
  <si>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</si>
  <si>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</si>
  <si>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</si>
  <si>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</si>
  <si>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</si>
  <si>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</si>
  <si>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</si>
  <si>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</si>
  <si>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</si>
  <si>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</si>
  <si>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</si>
  <si>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</si>
  <si>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</si>
  <si>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</si>
  <si>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</si>
  <si>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</si>
  <si>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</si>
  <si>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</si>
  <si>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</si>
  <si>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</si>
  <si>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</si>
  <si>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</si>
  <si>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</si>
  <si>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</si>
  <si>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</si>
  <si>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</si>
  <si>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</si>
  <si>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</si>
  <si>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</si>
  <si>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</si>
  <si>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</si>
  <si>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</si>
  <si>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</si>
  <si>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</si>
  <si>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</si>
  <si>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</si>
  <si>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</si>
  <si>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</si>
  <si>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</si>
  <si>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</si>
  <si>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</si>
  <si>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</si>
  <si>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</si>
  <si>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</si>
  <si>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</si>
  <si>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</si>
  <si>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</si>
  <si>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</si>
  <si>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</si>
  <si>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</si>
  <si>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</si>
  <si>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</si>
  <si>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</si>
  <si>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</si>
  <si>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</si>
  <si>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</si>
  <si>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</si>
  <si>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</si>
  <si>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</si>
  <si>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</si>
  <si>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</si>
  <si>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</si>
  <si>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</si>
  <si>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</si>
  <si>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</si>
  <si>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</si>
  <si>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</si>
  <si>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</si>
  <si>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</si>
  <si>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</si>
  <si>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</si>
  <si>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</si>
  <si>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</si>
  <si>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</si>
  <si>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</si>
  <si>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</si>
  <si>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</si>
  <si>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</si>
  <si>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</si>
  <si>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</si>
  <si>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</si>
  <si>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</si>
  <si>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</si>
  <si>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</si>
  <si>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</si>
  <si>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</si>
  <si>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</si>
  <si>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</si>
  <si>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</si>
  <si>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</si>
  <si>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</si>
  <si>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</si>
  <si>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</si>
  <si>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</si>
  <si>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</si>
  <si>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</si>
  <si>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</si>
  <si>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</si>
  <si>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</si>
  <si>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</si>
  <si>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</si>
  <si>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</si>
  <si>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</si>
  <si>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</si>
  <si>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</si>
  <si>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</si>
  <si>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</si>
  <si>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</si>
  <si>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</si>
  <si>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</si>
  <si>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</si>
  <si>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</si>
  <si>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</si>
  <si>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</si>
  <si>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</si>
  <si>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</si>
  <si>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</si>
  <si>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</si>
  <si>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</si>
  <si>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</si>
  <si>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</si>
  <si>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</si>
  <si>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</si>
  <si>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</si>
  <si>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</si>
  <si>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</si>
  <si>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</si>
  <si>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</si>
  <si>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</si>
  <si>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</si>
  <si>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</si>
  <si>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</si>
  <si>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</si>
  <si>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</si>
  <si>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</si>
  <si>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</si>
  <si>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</si>
  <si>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</si>
  <si>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</si>
  <si>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</si>
  <si>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</si>
  <si>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</si>
  <si>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</si>
  <si>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</si>
  <si>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</si>
  <si>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</si>
  <si>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</si>
  <si>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</si>
  <si>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</si>
  <si>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</si>
  <si>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</si>
  <si>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</si>
  <si>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</si>
  <si>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</si>
  <si>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</si>
  <si>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</si>
  <si>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</si>
  <si>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</si>
  <si>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</si>
  <si>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</si>
  <si>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</si>
  <si>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</si>
  <si>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</si>
  <si>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</si>
  <si>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</si>
  <si>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</si>
  <si>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</si>
  <si>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</si>
  <si>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</si>
  <si>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</si>
  <si>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</si>
  <si>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</si>
  <si>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</si>
  <si>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</si>
  <si>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</si>
  <si>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</si>
  <si>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</si>
  <si>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M1919</t>
  </si>
  <si>
    <t>Tactical</t>
  </si>
  <si>
    <t>Mounted</t>
  </si>
  <si>
    <t>M2HB</t>
  </si>
  <si>
    <t>HMG MAX RANGE: 35.9</t>
  </si>
  <si>
    <t>M134 Minigun</t>
  </si>
  <si>
    <t>1B</t>
  </si>
  <si>
    <t>MG42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</si>
  <si>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</si>
  <si>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</si>
  <si>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</si>
  <si>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</si>
  <si>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</si>
  <si>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</si>
  <si>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</si>
  <si>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</si>
  <si>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</si>
  <si>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</si>
  <si>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</si>
  <si>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</si>
  <si>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210 S, 6 C</t>
  </si>
  <si>
    <t>Movespeed -0.75</t>
  </si>
  <si>
    <t>375 S, 8 C</t>
  </si>
  <si>
    <t>HK416 M SRS</t>
  </si>
  <si>
    <t>HK416 S*</t>
  </si>
  <si>
    <t>HK416 L SRS*</t>
  </si>
  <si>
    <t>HK416 DMR SRS*</t>
  </si>
  <si>
    <t>HK416 DMR LRS*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</si>
</sst>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6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1" fontId="0" fillId="3" borderId="0" xfId="0" applyNumberFormat="1" applyFill="1" applyBorder="1"/>
    <xf numFmtId="0" fontId="0" fillId="4" borderId="4" xfId="0" applyFill="1" applyBorder="1"/>
  </cellXfs>
  <cellStyles count="2">
    <cellStyle name="Normal" xfId="0" builtinId="0"/>
    <cellStyle name="Note" xfId="1" builtinId="10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2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91">
      <calculatedColumnFormula>SUM(Table1689[[#This Row],[DPS]]*Table1689[[#This Row],[Avg Accuracy]])</calculatedColumnFormula>
    </tableColumn>
    <tableColumn id="15" name="DPS" dataDxfId="90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9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6"/>
    <tableColumn id="22" name="Balance" dataDxfId="85">
      <calculatedColumnFormula>SUM(((Table168[[#This Row],[Avg DPS]]*(Table168[[#This Row],[Range]]))+(Table168[[#This Row],[Avg DPS]]*Table168[[#This Row],[Arm Pen (%)]]))/100)</calculatedColumnFormula>
    </tableColumn>
    <tableColumn id="20" name="Avg DPS" dataDxfId="84">
      <calculatedColumnFormula>SUM(Table168[[#This Row],[DPS]]*Table168[[#This Row],[Avg Accuracy]])</calculatedColumnFormula>
    </tableColumn>
    <tableColumn id="15" name="DPS" dataDxfId="83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82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8"/>
    <tableColumn id="22" name="Balance" dataDxfId="77">
      <calculatedColumnFormula>SUM(((Table16[[#This Row],[Avg DPS]]*(Table16[[#This Row],[Range]]))+(Table16[[#This Row],[Avg DPS]]*Table16[[#This Row],[Arm Pen (%)]]))/100)</calculatedColumnFormula>
    </tableColumn>
    <tableColumn id="20" name="Avg DPS" dataDxfId="76">
      <calculatedColumnFormula>SUM(Table16[[#This Row],[DPS]]*Table16[[#This Row],[Avg Accuracy]])</calculatedColumnFormula>
    </tableColumn>
    <tableColumn id="15" name="DPS" dataDxfId="7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7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2"/>
    <tableColumn id="14" name="Weight" dataDxfId="71"/>
    <tableColumn id="21" name="Craftable" dataDxfId="70"/>
    <tableColumn id="23" name="Value" dataDxfId="6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6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65">
      <calculatedColumnFormula>SUM(Table16810[[#This Row],[DPS]]*Table16810[[#This Row],[Avg Accuracy]])</calculatedColumnFormula>
    </tableColumn>
    <tableColumn id="15" name="DPS" dataDxfId="64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63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61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7">
      <calculatedColumnFormula>SUM(Table1681011[[#This Row],[DPS]]*Table1681011[[#This Row],[Avg Accuracy]])</calculatedColumnFormula>
    </tableColumn>
    <tableColumn id="15" name="DPS" dataDxfId="5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5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3"/>
    <tableColumn id="14" name="Weight" dataDxfId="52"/>
    <tableColumn id="21" name="Craftable" dataDxfId="51"/>
    <tableColumn id="23" name="Value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8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7">
      <calculatedColumnFormula>SUM(Table1681015[[#This Row],[DPS]]*Table1681015[[#This Row],[Avg Accuracy]])</calculatedColumnFormula>
    </tableColumn>
    <tableColumn id="15" name="DPS" dataDxfId="46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45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41">
      <calculatedColumnFormula>SUM(Table168101112[[#This Row],[DPS]]*Table168101112[[#This Row],[Avg Accuracy]])</calculatedColumnFormula>
    </tableColumn>
    <tableColumn id="15" name="DPS" dataDxfId="40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9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5" totalsRowShown="0">
  <autoFilter ref="A3:Z15">
    <filterColumn colId="23"/>
    <filterColumn colId="24"/>
    <filterColumn colId="25"/>
  </autoFilter>
  <tableColumns count="26">
    <tableColumn id="1" name="Weapon Name"/>
    <tableColumn id="12" name="Vol."/>
    <tableColumn id="22" name="Balance" dataDxfId="36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35">
      <calculatedColumnFormula>SUM(Table1681011124[[#This Row],[DPS]]*Table1681011124[[#This Row],[Avg Accuracy]])</calculatedColumnFormula>
    </tableColumn>
    <tableColumn id="15" name="DPS" dataDxfId="34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33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workbookViewId="0">
      <selection activeCell="U4" sqref="U4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204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73</v>
      </c>
      <c r="U3" s="16" t="s">
        <v>74</v>
      </c>
      <c r="V3" s="21" t="s">
        <v>86</v>
      </c>
      <c r="W3" s="21" t="s">
        <v>199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87</v>
      </c>
      <c r="W4">
        <v>139</v>
      </c>
    </row>
    <row r="5" spans="1:23">
      <c r="A5" s="14" t="s">
        <v>81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87</v>
      </c>
      <c r="W5" s="54">
        <f>Table1689[[#This Row],[Balance]]*$W$2</f>
        <v>116.57320794</v>
      </c>
    </row>
    <row r="6" spans="1:23">
      <c r="A6" t="s">
        <v>115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88</v>
      </c>
      <c r="W6" s="54">
        <f>Table1689[[#This Row],[Balance]]*$W$2</f>
        <v>88.253385499999993</v>
      </c>
    </row>
    <row r="7" spans="1:23">
      <c r="A7" t="s">
        <v>116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88</v>
      </c>
      <c r="W7" s="54">
        <f>Table1689[[#This Row],[Balance]]*$W$2</f>
        <v>135.97986599999996</v>
      </c>
    </row>
    <row r="8" spans="1:23">
      <c r="A8" t="s">
        <v>117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88</v>
      </c>
      <c r="W8" s="54">
        <f>Table1689[[#This Row],[Balance]]*$W$2</f>
        <v>142.65025484810124</v>
      </c>
    </row>
    <row r="9" spans="1:23">
      <c r="A9" t="s">
        <v>118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88</v>
      </c>
      <c r="W9" s="54">
        <f>Table1689[[#This Row],[Balance]]*$W$2</f>
        <v>137.30290569767439</v>
      </c>
    </row>
    <row r="10" spans="1:23">
      <c r="A10" s="14" t="s">
        <v>211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87</v>
      </c>
      <c r="W10" s="54">
        <f>Table1689[[#This Row],[Balance]]*W2</f>
        <v>113.54533240909093</v>
      </c>
    </row>
    <row r="11" spans="1:23">
      <c r="A11" t="s">
        <v>220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88</v>
      </c>
      <c r="W11" s="54">
        <f>Table1689[[#This Row],[Balance]]*W2</f>
        <v>115.9485486923077</v>
      </c>
    </row>
    <row r="12" spans="1:23">
      <c r="A12" s="1" t="s">
        <v>219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87</v>
      </c>
      <c r="W12" s="54">
        <f>Table1689[[#This Row],[Balance]]*W2</f>
        <v>114.19599612676058</v>
      </c>
    </row>
    <row r="13" spans="1:23">
      <c r="A13" t="s">
        <v>221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88</v>
      </c>
      <c r="W13" s="54">
        <f>Table1689[[#This Row],[Balance]]*W2</f>
        <v>121.78444950000002</v>
      </c>
    </row>
    <row r="14" spans="1:23" s="4" customFormat="1">
      <c r="A14" t="s">
        <v>222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88</v>
      </c>
      <c r="W14" s="54">
        <f>Table1689[[#This Row],[Balance]]*W2</f>
        <v>123.12494946818182</v>
      </c>
    </row>
    <row r="15" spans="1:23">
      <c r="A15" t="s">
        <v>223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88</v>
      </c>
      <c r="W15" s="54">
        <f>Table1689[[#This Row],[Balance]]*W2</f>
        <v>138.84252334615385</v>
      </c>
    </row>
    <row r="16" spans="1:23">
      <c r="A16" s="7" t="s">
        <v>224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88</v>
      </c>
      <c r="W16" s="54">
        <f>Table1689[[#This Row],[Balance]]*W2</f>
        <v>118.75942260000004</v>
      </c>
    </row>
    <row r="17" spans="1:23">
      <c r="A17" t="s">
        <v>225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88</v>
      </c>
      <c r="W17" s="54">
        <f>Table1689[[#This Row],[Balance]]*W2</f>
        <v>84.038825769230769</v>
      </c>
    </row>
    <row r="18" spans="1:23">
      <c r="A18" t="s">
        <v>226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88</v>
      </c>
      <c r="W18" s="54">
        <f>Table1689[[#This Row],[Balance]]*W2</f>
        <v>83.935705191780812</v>
      </c>
    </row>
    <row r="19" spans="1:23">
      <c r="A19" t="s">
        <v>227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88</v>
      </c>
      <c r="W19" s="54">
        <f>Table1689[[#This Row],[Balance]]*W2</f>
        <v>91.649221363636357</v>
      </c>
    </row>
    <row r="20" spans="1:23">
      <c r="A20" t="s">
        <v>229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88</v>
      </c>
      <c r="W20" s="54">
        <f>Table1689[[#This Row],[Balance]]*W2</f>
        <v>115.79422858407077</v>
      </c>
    </row>
    <row r="21" spans="1:23">
      <c r="A21" t="s">
        <v>228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88</v>
      </c>
      <c r="W21" s="54">
        <f>Table1689[[#This Row],[Balance]]*W2</f>
        <v>116.88351816521738</v>
      </c>
    </row>
    <row r="22" spans="1:23">
      <c r="A22" t="s">
        <v>240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88</v>
      </c>
      <c r="W22" s="54">
        <f>Table1689[[#This Row],[Balance]]*W2</f>
        <v>165.83054641791045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94" priority="2" operator="greaterThan">
      <formula>1.73</formula>
    </cfRule>
  </conditionalFormatting>
  <conditionalFormatting sqref="O1:O1048576">
    <cfRule type="cellIs" dxfId="9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168</v>
      </c>
      <c r="K1" s="1" t="s">
        <v>161</v>
      </c>
      <c r="Q1" t="s">
        <v>176</v>
      </c>
      <c r="X1" s="41"/>
    </row>
    <row r="2" spans="1:24">
      <c r="A2" t="s">
        <v>23</v>
      </c>
      <c r="B2" t="s">
        <v>179</v>
      </c>
      <c r="E2" t="s">
        <v>174</v>
      </c>
      <c r="N2" t="s">
        <v>175</v>
      </c>
      <c r="Q2" t="s">
        <v>169</v>
      </c>
      <c r="X2" s="41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153</v>
      </c>
      <c r="F3" t="s">
        <v>128</v>
      </c>
      <c r="G3" t="s">
        <v>149</v>
      </c>
      <c r="H3" t="s">
        <v>129</v>
      </c>
      <c r="I3" t="s">
        <v>150</v>
      </c>
      <c r="J3" t="s">
        <v>130</v>
      </c>
      <c r="K3" t="s">
        <v>151</v>
      </c>
      <c r="L3" t="s">
        <v>138</v>
      </c>
      <c r="M3" t="s">
        <v>152</v>
      </c>
      <c r="N3" t="s">
        <v>163</v>
      </c>
      <c r="O3" t="s">
        <v>170</v>
      </c>
      <c r="P3" t="s">
        <v>171</v>
      </c>
      <c r="Q3" t="s">
        <v>172</v>
      </c>
      <c r="R3" t="s">
        <v>154</v>
      </c>
      <c r="S3" t="s">
        <v>127</v>
      </c>
      <c r="T3" t="s">
        <v>173</v>
      </c>
      <c r="U3" s="16" t="s">
        <v>74</v>
      </c>
      <c r="V3" s="21" t="s">
        <v>86</v>
      </c>
      <c r="W3" s="21" t="s">
        <v>199</v>
      </c>
    </row>
    <row r="4" spans="1:24" ht="15.75" thickTop="1">
      <c r="A4" s="6" t="s">
        <v>160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104</v>
      </c>
      <c r="P4" s="47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87</v>
      </c>
      <c r="W4" s="52"/>
    </row>
    <row r="5" spans="1:24">
      <c r="A5" s="6" t="s">
        <v>165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104</v>
      </c>
      <c r="P5" s="47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87</v>
      </c>
      <c r="W5" s="53"/>
    </row>
    <row r="6" spans="1:24">
      <c r="A6" s="6" t="s">
        <v>166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104</v>
      </c>
      <c r="P6" s="47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87</v>
      </c>
      <c r="W6" s="52"/>
    </row>
    <row r="7" spans="1:24">
      <c r="A7" s="6" t="s">
        <v>167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104</v>
      </c>
      <c r="P7" s="47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88</v>
      </c>
      <c r="W7" s="53"/>
    </row>
    <row r="8" spans="1:24">
      <c r="A8" s="6" t="s">
        <v>177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88</v>
      </c>
      <c r="W8" s="52"/>
    </row>
    <row r="9" spans="1:24">
      <c r="A9" s="6" t="s">
        <v>178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O18" sqref="O18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164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91</v>
      </c>
      <c r="F3" t="s">
        <v>92</v>
      </c>
      <c r="G3" t="s">
        <v>101</v>
      </c>
      <c r="H3" t="s">
        <v>100</v>
      </c>
      <c r="I3" t="s">
        <v>90</v>
      </c>
      <c r="J3" t="s">
        <v>94</v>
      </c>
      <c r="K3" t="s">
        <v>95</v>
      </c>
      <c r="L3" t="s">
        <v>5</v>
      </c>
      <c r="M3" s="15" t="s">
        <v>73</v>
      </c>
      <c r="N3" s="16" t="s">
        <v>74</v>
      </c>
      <c r="O3" s="21" t="s">
        <v>93</v>
      </c>
      <c r="P3" s="21" t="s">
        <v>86</v>
      </c>
      <c r="Q3" s="21" t="s">
        <v>209</v>
      </c>
    </row>
    <row r="4" spans="1:17" s="4" customFormat="1" ht="15.75" thickTop="1">
      <c r="A4" s="6" t="s">
        <v>99</v>
      </c>
      <c r="B4" s="11" t="s">
        <v>35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88</v>
      </c>
      <c r="P4" s="36" t="s">
        <v>87</v>
      </c>
      <c r="Q4" s="36"/>
    </row>
    <row r="5" spans="1:17">
      <c r="A5" s="6" t="s">
        <v>124</v>
      </c>
      <c r="B5" s="11" t="s">
        <v>35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87</v>
      </c>
      <c r="P5" s="36" t="s">
        <v>88</v>
      </c>
      <c r="Q5" s="36"/>
    </row>
    <row r="6" spans="1:17">
      <c r="A6" s="6" t="s">
        <v>125</v>
      </c>
      <c r="B6" s="11" t="s">
        <v>35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87</v>
      </c>
      <c r="P6" s="36" t="s">
        <v>88</v>
      </c>
      <c r="Q6" s="36"/>
    </row>
    <row r="7" spans="1:17">
      <c r="A7" s="4" t="s">
        <v>113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104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87</v>
      </c>
      <c r="P7" s="33" t="s">
        <v>88</v>
      </c>
      <c r="Q7" s="33"/>
    </row>
    <row r="8" spans="1:17">
      <c r="A8" s="4" t="s">
        <v>114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104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87</v>
      </c>
      <c r="P8" s="36" t="s">
        <v>88</v>
      </c>
      <c r="Q8" s="36"/>
    </row>
    <row r="9" spans="1:17">
      <c r="A9" s="14" t="s">
        <v>98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88</v>
      </c>
      <c r="P9" s="36" t="s">
        <v>87</v>
      </c>
      <c r="Q9" s="36"/>
    </row>
    <row r="10" spans="1:17">
      <c r="A10" t="s">
        <v>103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88</v>
      </c>
      <c r="P10" s="36" t="s">
        <v>88</v>
      </c>
      <c r="Q10" s="36"/>
    </row>
    <row r="11" spans="1:17">
      <c r="A11" t="s">
        <v>121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88</v>
      </c>
      <c r="P11" s="36" t="s">
        <v>88</v>
      </c>
      <c r="Q11" s="36"/>
    </row>
    <row r="12" spans="1:17">
      <c r="A12" t="s">
        <v>122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88</v>
      </c>
      <c r="P12" s="36" t="s">
        <v>88</v>
      </c>
      <c r="Q12" s="36"/>
    </row>
    <row r="13" spans="1:17">
      <c r="A13" t="s">
        <v>123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88</v>
      </c>
      <c r="P13" s="36" t="s">
        <v>88</v>
      </c>
      <c r="Q13" s="36"/>
    </row>
    <row r="14" spans="1:17" s="4" customFormat="1">
      <c r="A14" s="1" t="s">
        <v>126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87</v>
      </c>
      <c r="P14" s="36" t="s">
        <v>87</v>
      </c>
      <c r="Q14" s="36"/>
    </row>
    <row r="15" spans="1:17">
      <c r="A15" s="1" t="s">
        <v>184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88</v>
      </c>
      <c r="P15" s="36" t="s">
        <v>87</v>
      </c>
      <c r="Q15" s="36" t="s">
        <v>210</v>
      </c>
    </row>
    <row r="16" spans="1:17">
      <c r="A16" s="1" t="s">
        <v>185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88</v>
      </c>
      <c r="P16" s="36" t="s">
        <v>87</v>
      </c>
      <c r="Q16" s="36"/>
    </row>
    <row r="17" spans="1:17">
      <c r="A17" t="s">
        <v>191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88</v>
      </c>
      <c r="P17" s="36" t="s">
        <v>87</v>
      </c>
      <c r="Q17" s="36"/>
    </row>
    <row r="18" spans="1:17">
      <c r="A18" s="7" t="s">
        <v>239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88</v>
      </c>
      <c r="P18" s="36" t="s">
        <v>88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H41" sqref="H41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265</v>
      </c>
      <c r="C1" t="s">
        <v>270</v>
      </c>
      <c r="D1" t="s">
        <v>266</v>
      </c>
      <c r="E1" t="s">
        <v>267</v>
      </c>
      <c r="F1" t="s">
        <v>268</v>
      </c>
    </row>
    <row r="2" spans="1:12">
      <c r="A2" s="1" t="s">
        <v>50</v>
      </c>
      <c r="B2" s="1" t="s">
        <v>51</v>
      </c>
      <c r="C2" s="1" t="s">
        <v>271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0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0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0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7</v>
      </c>
      <c r="E6">
        <f>COUNTIF(Rifle!B:B, 3)</f>
        <v>7</v>
      </c>
      <c r="F6">
        <f>COUNTIF(Rifle!B:B, 4)</f>
        <v>0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2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0</v>
      </c>
      <c r="E10">
        <f>COUNTIF(Shotgun!B:B, 3)</f>
        <v>0</v>
      </c>
      <c r="F10">
        <f>COUNTIF(Shotgun!B:B, 4)</f>
        <v>0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162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40" t="s">
        <v>263</v>
      </c>
      <c r="B13">
        <f>COUNTIF(HMG!B:B, 1)</f>
        <v>0</v>
      </c>
      <c r="C13">
        <f>COUNTIF(HMG!B:B, "1B")</f>
        <v>2</v>
      </c>
      <c r="D13">
        <f>COUNTIF(HMG!B:B, 2)</f>
        <v>0</v>
      </c>
      <c r="E13">
        <f>COUNTIF(HMG!B:B, 3)</f>
        <v>0</v>
      </c>
      <c r="F13">
        <f>COUNTIF(HMG!B:B, 4)</f>
        <v>4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40"/>
    </row>
    <row r="15" spans="1:12">
      <c r="A15" s="39" t="s">
        <v>269</v>
      </c>
      <c r="B15" s="41" t="s">
        <v>87</v>
      </c>
      <c r="C15" s="41" t="s">
        <v>88</v>
      </c>
      <c r="D15" s="41" t="s">
        <v>87</v>
      </c>
      <c r="E15" s="41" t="s">
        <v>87</v>
      </c>
      <c r="F15" s="41" t="s">
        <v>88</v>
      </c>
      <c r="G15" s="41"/>
      <c r="H15" s="41"/>
      <c r="I15" s="41"/>
      <c r="J15" s="41"/>
    </row>
    <row r="17" spans="1:18">
      <c r="A17" t="s">
        <v>52</v>
      </c>
      <c r="B17">
        <f>SUM(B3:B13)</f>
        <v>47</v>
      </c>
      <c r="C17">
        <f>SUM(C3:C13)</f>
        <v>2</v>
      </c>
      <c r="D17">
        <f t="shared" ref="D17:J17" si="0">SUM(D3:D13)</f>
        <v>14</v>
      </c>
      <c r="E17">
        <f t="shared" si="0"/>
        <v>30</v>
      </c>
      <c r="F17">
        <f t="shared" si="0"/>
        <v>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241</v>
      </c>
      <c r="R17">
        <f>SUM(B17:P17)</f>
        <v>102</v>
      </c>
    </row>
    <row r="18" spans="1:18">
      <c r="A18" t="s">
        <v>89</v>
      </c>
      <c r="B18" s="56">
        <v>10</v>
      </c>
      <c r="C18" s="56">
        <v>2</v>
      </c>
      <c r="D18" s="56">
        <v>7</v>
      </c>
      <c r="E18" s="56">
        <v>7</v>
      </c>
      <c r="F18" s="56">
        <v>2</v>
      </c>
      <c r="G18" s="56"/>
      <c r="H18" s="56"/>
      <c r="I18" s="56"/>
      <c r="J18" s="56"/>
    </row>
    <row r="20" spans="1:18">
      <c r="A20" t="s">
        <v>264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131</v>
      </c>
      <c r="W3" s="43" t="s">
        <v>155</v>
      </c>
      <c r="X3" s="41"/>
      <c r="Y3" s="41"/>
    </row>
    <row r="4" spans="2:42">
      <c r="B4" s="42" t="s">
        <v>132</v>
      </c>
      <c r="C4" s="42" t="s">
        <v>133</v>
      </c>
      <c r="D4" s="42" t="s">
        <v>134</v>
      </c>
      <c r="E4" t="s">
        <v>135</v>
      </c>
      <c r="G4" t="s">
        <v>140</v>
      </c>
      <c r="H4" t="s">
        <v>141</v>
      </c>
      <c r="I4" t="s">
        <v>142</v>
      </c>
      <c r="J4" t="s">
        <v>143</v>
      </c>
      <c r="L4" t="s">
        <v>136</v>
      </c>
      <c r="M4" t="s">
        <v>137</v>
      </c>
      <c r="N4" t="s">
        <v>139</v>
      </c>
      <c r="P4" t="s">
        <v>145</v>
      </c>
      <c r="Q4" t="s">
        <v>146</v>
      </c>
      <c r="R4" t="s">
        <v>147</v>
      </c>
      <c r="S4" t="s">
        <v>148</v>
      </c>
      <c r="U4" t="s">
        <v>144</v>
      </c>
      <c r="W4" s="42" t="s">
        <v>132</v>
      </c>
      <c r="X4" s="42" t="s">
        <v>133</v>
      </c>
      <c r="Y4" s="42" t="s">
        <v>134</v>
      </c>
      <c r="Z4" t="s">
        <v>135</v>
      </c>
      <c r="AB4" t="s">
        <v>156</v>
      </c>
      <c r="AC4" t="s">
        <v>157</v>
      </c>
      <c r="AD4" t="s">
        <v>158</v>
      </c>
      <c r="AE4" t="s">
        <v>159</v>
      </c>
      <c r="AG4" t="s">
        <v>136</v>
      </c>
      <c r="AH4" t="s">
        <v>137</v>
      </c>
      <c r="AI4" t="s">
        <v>139</v>
      </c>
      <c r="AK4" t="s">
        <v>145</v>
      </c>
      <c r="AL4" t="s">
        <v>146</v>
      </c>
      <c r="AM4" t="s">
        <v>147</v>
      </c>
      <c r="AN4" t="s">
        <v>148</v>
      </c>
      <c r="AP4" t="s">
        <v>144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183</v>
      </c>
    </row>
    <row r="3" spans="2:2">
      <c r="B3" t="s">
        <v>180</v>
      </c>
    </row>
    <row r="4" spans="2:2">
      <c r="B4" t="s">
        <v>181</v>
      </c>
    </row>
    <row r="5" spans="2:2">
      <c r="B5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204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73</v>
      </c>
      <c r="U3" s="16" t="s">
        <v>74</v>
      </c>
      <c r="V3" s="21" t="s">
        <v>86</v>
      </c>
      <c r="W3" s="21" t="s">
        <v>199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7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U23" sqref="U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78</v>
      </c>
      <c r="U1" t="s">
        <v>202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T2" t="s">
        <v>203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73</v>
      </c>
      <c r="U3" s="16" t="s">
        <v>74</v>
      </c>
      <c r="V3" s="21" t="s">
        <v>86</v>
      </c>
      <c r="W3" s="21" t="s">
        <v>199</v>
      </c>
    </row>
    <row r="4" spans="1:23" ht="15.75" thickTop="1">
      <c r="A4" s="6" t="s">
        <v>2</v>
      </c>
      <c r="B4" s="11" t="s">
        <v>35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4" t="s">
        <v>87</v>
      </c>
      <c r="W4" s="24">
        <v>355</v>
      </c>
    </row>
    <row r="5" spans="1:23">
      <c r="A5" s="6" t="s">
        <v>28</v>
      </c>
      <c r="B5" s="11" t="s">
        <v>35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5" t="s">
        <v>87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4" t="s">
        <v>87</v>
      </c>
      <c r="W6" s="58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60">
        <v>3.4</v>
      </c>
      <c r="V7" s="25" t="s">
        <v>88</v>
      </c>
      <c r="W7" s="58">
        <f>Table16[[#This Row],[Balance]]*$W$1</f>
        <v>288.3667251315789</v>
      </c>
    </row>
    <row r="8" spans="1:23">
      <c r="A8" s="4" t="s">
        <v>106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4" t="s">
        <v>88</v>
      </c>
      <c r="W8" s="58">
        <f>Table16[[#This Row],[Balance]]*$W$2</f>
        <v>235.78842419999998</v>
      </c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5" t="s">
        <v>88</v>
      </c>
      <c r="W9" s="58">
        <f>Table16[[#This Row],[Balance]]*$W$2</f>
        <v>236.46727762859879</v>
      </c>
    </row>
    <row r="10" spans="1:23" s="4" customFormat="1">
      <c r="A10" s="1" t="s">
        <v>60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4" t="s">
        <v>87</v>
      </c>
      <c r="W10" s="58">
        <f>Table16[[#This Row],[Balance]]*$W$2</f>
        <v>242.63052993442614</v>
      </c>
    </row>
    <row r="11" spans="1:23">
      <c r="A11" s="4" t="s">
        <v>82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5" t="s">
        <v>88</v>
      </c>
      <c r="W11" s="58">
        <f>Table16[[#This Row],[Balance]]*$W$1</f>
        <v>317.22612157894736</v>
      </c>
    </row>
    <row r="12" spans="1:23">
      <c r="A12" t="s">
        <v>105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88</v>
      </c>
      <c r="W12" s="58">
        <f>Table16[[#This Row],[Balance]]*$W$1</f>
        <v>264.24016431521744</v>
      </c>
    </row>
    <row r="13" spans="1:23">
      <c r="A13" t="s">
        <v>83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88</v>
      </c>
      <c r="W13" s="58">
        <f>Table16[[#This Row],[Balance]]*$W$1</f>
        <v>340.31629676174498</v>
      </c>
    </row>
    <row r="14" spans="1:23">
      <c r="A14" t="s">
        <v>102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4" t="s">
        <v>88</v>
      </c>
      <c r="W14" s="58">
        <f>Table16[[#This Row],[Balance]]*$W$1</f>
        <v>313.63898624999996</v>
      </c>
    </row>
    <row r="15" spans="1:23">
      <c r="A15" t="s">
        <v>119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88</v>
      </c>
      <c r="W15" s="58">
        <f>Table16[[#This Row],[Balance]]*$W$1</f>
        <v>240.89987573437497</v>
      </c>
    </row>
    <row r="16" spans="1:23">
      <c r="A16" t="s">
        <v>186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88</v>
      </c>
      <c r="W16" s="58">
        <f>Table16[[#This Row],[Balance]]*$W$1</f>
        <v>233.46439995335817</v>
      </c>
    </row>
    <row r="17" spans="1:23">
      <c r="A17" t="s">
        <v>187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88</v>
      </c>
      <c r="W17" s="58">
        <f>Table16[[#This Row],[Balance]]*$W$1</f>
        <v>272.55044685459438</v>
      </c>
    </row>
    <row r="18" spans="1:23">
      <c r="A18" s="49" t="s">
        <v>188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87</v>
      </c>
      <c r="W18" s="58">
        <f>Table16[[#This Row],[Balance]]*$W$1</f>
        <v>235.52447268292684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80" priority="2" operator="greaterThan">
      <formula>2.599</formula>
    </cfRule>
  </conditionalFormatting>
  <conditionalFormatting sqref="O1:O1048576">
    <cfRule type="cellIs" dxfId="7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tabSelected="1" workbookViewId="0">
      <selection activeCell="A21" sqref="A21:W21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66</v>
      </c>
      <c r="H1" s="1" t="s">
        <v>77</v>
      </c>
      <c r="V1" s="41" t="s">
        <v>201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200</v>
      </c>
      <c r="W2">
        <v>90.105999999999995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73</v>
      </c>
      <c r="U3" t="s">
        <v>74</v>
      </c>
      <c r="V3" s="41" t="s">
        <v>86</v>
      </c>
      <c r="W3" t="s">
        <v>199</v>
      </c>
    </row>
    <row r="4" spans="1:23">
      <c r="A4" s="6" t="s">
        <v>38</v>
      </c>
      <c r="B4" s="11" t="s">
        <v>35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U4" s="2">
        <v>3.5</v>
      </c>
      <c r="W4">
        <v>480</v>
      </c>
    </row>
    <row r="5" spans="1:23">
      <c r="A5" s="6" t="s">
        <v>40</v>
      </c>
      <c r="B5" s="11" t="s">
        <v>35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 s="2">
        <v>3.5</v>
      </c>
      <c r="W5">
        <v>255</v>
      </c>
    </row>
    <row r="6" spans="1:23">
      <c r="A6" s="14" t="s">
        <v>196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U6" s="2">
        <v>3.49</v>
      </c>
      <c r="V6" s="41" t="s">
        <v>87</v>
      </c>
      <c r="W6" s="54">
        <f>C6*$W$1</f>
        <v>460.55388993428568</v>
      </c>
    </row>
    <row r="7" spans="1:23">
      <c r="A7" s="14" t="s">
        <v>30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U7" s="2">
        <v>5.21</v>
      </c>
      <c r="V7" s="41" t="s">
        <v>87</v>
      </c>
      <c r="W7" s="54">
        <f t="shared" ref="W7:W14" si="1">C7*$W$1</f>
        <v>440.44052204285708</v>
      </c>
    </row>
    <row r="8" spans="1:23">
      <c r="A8" t="s">
        <v>277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U8" s="2">
        <v>3.62</v>
      </c>
      <c r="V8" s="41" t="s">
        <v>88</v>
      </c>
      <c r="W8" s="54">
        <f t="shared" si="1"/>
        <v>479.95461398488112</v>
      </c>
    </row>
    <row r="9" spans="1:23">
      <c r="A9" t="s">
        <v>278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U9" s="2">
        <v>3.01</v>
      </c>
      <c r="V9" s="41" t="s">
        <v>88</v>
      </c>
      <c r="W9" s="54">
        <f t="shared" si="1"/>
        <v>441.95538359647037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U10" s="2">
        <v>4.01</v>
      </c>
      <c r="V10" s="41" t="s">
        <v>88</v>
      </c>
      <c r="W10" s="54">
        <f t="shared" si="1"/>
        <v>453.92955714532013</v>
      </c>
    </row>
    <row r="11" spans="1:23">
      <c r="A11" t="s">
        <v>279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U11" s="2">
        <v>4.1399999999999997</v>
      </c>
      <c r="V11" s="41" t="s">
        <v>88</v>
      </c>
      <c r="W11" s="54">
        <f t="shared" si="1"/>
        <v>477.66016903846156</v>
      </c>
    </row>
    <row r="12" spans="1:23">
      <c r="A12" s="4" t="s">
        <v>280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U12" s="2">
        <v>5.4</v>
      </c>
      <c r="V12" s="41" t="s">
        <v>88</v>
      </c>
      <c r="W12" s="54">
        <f t="shared" si="1"/>
        <v>440.62315610958899</v>
      </c>
    </row>
    <row r="13" spans="1:23">
      <c r="A13" s="4" t="s">
        <v>281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U13" s="2">
        <v>5.62</v>
      </c>
      <c r="V13" s="41" t="s">
        <v>88</v>
      </c>
      <c r="W13" s="54">
        <f t="shared" si="1"/>
        <v>454.11507641534388</v>
      </c>
    </row>
    <row r="14" spans="1:23">
      <c r="A14" s="4" t="s">
        <v>65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 s="2">
        <v>5.4</v>
      </c>
      <c r="V14" s="41" t="s">
        <v>88</v>
      </c>
      <c r="W14" s="54">
        <f t="shared" si="1"/>
        <v>457.33144772289143</v>
      </c>
    </row>
    <row r="15" spans="1:23">
      <c r="A15" t="s">
        <v>80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 s="2">
        <v>3.4</v>
      </c>
      <c r="V15" s="41" t="s">
        <v>88</v>
      </c>
      <c r="W15">
        <v>480</v>
      </c>
    </row>
    <row r="16" spans="1:23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 s="2">
        <v>3.63</v>
      </c>
      <c r="V16" s="41" t="s">
        <v>88</v>
      </c>
      <c r="W16">
        <v>480</v>
      </c>
    </row>
    <row r="17" spans="1:23" s="4" customFormat="1">
      <c r="A17" t="s">
        <v>79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 s="2">
        <v>3.3</v>
      </c>
      <c r="V17" s="41" t="s">
        <v>88</v>
      </c>
      <c r="W17">
        <v>530</v>
      </c>
    </row>
    <row r="18" spans="1:23">
      <c r="A18" t="s">
        <v>108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 s="2">
        <v>3.21</v>
      </c>
      <c r="V18" s="41" t="s">
        <v>88</v>
      </c>
      <c r="W18" s="54">
        <f>C18*$W$1</f>
        <v>365.95557916666667</v>
      </c>
    </row>
    <row r="19" spans="1:23">
      <c r="A19" t="s">
        <v>85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 s="2">
        <v>4.2</v>
      </c>
      <c r="V19" s="41" t="s">
        <v>88</v>
      </c>
      <c r="W19" s="54">
        <f>C19*$W$1</f>
        <v>357.09540400000003</v>
      </c>
    </row>
    <row r="20" spans="1:23">
      <c r="A20" s="7" t="s">
        <v>84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8">
        <v>3.5</v>
      </c>
      <c r="V20" s="48" t="s">
        <v>88</v>
      </c>
      <c r="W20" s="54">
        <f>C20*$W$1</f>
        <v>453.70889418539315</v>
      </c>
    </row>
    <row r="21" spans="1:23">
      <c r="A21" t="s">
        <v>96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 s="2">
        <v>4.4000000000000004</v>
      </c>
      <c r="V21" s="41" t="s">
        <v>88</v>
      </c>
      <c r="W21" s="54">
        <f>C21*$W$2</f>
        <v>260.57694069333331</v>
      </c>
    </row>
    <row r="22" spans="1:23">
      <c r="A22" t="s">
        <v>97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 s="2">
        <v>4.0999999999999996</v>
      </c>
      <c r="V22" s="41" t="s">
        <v>88</v>
      </c>
      <c r="W22" s="54">
        <f>C22*$W$2</f>
        <v>255.37266289640885</v>
      </c>
    </row>
    <row r="23" spans="1:23">
      <c r="A23" t="s">
        <v>197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 s="2">
        <v>4.0999999999999996</v>
      </c>
      <c r="V23" s="41" t="s">
        <v>88</v>
      </c>
      <c r="W23">
        <v>245</v>
      </c>
    </row>
    <row r="24" spans="1:23">
      <c r="A24" t="s">
        <v>198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 s="2">
        <v>4</v>
      </c>
      <c r="V24" s="41" t="s">
        <v>88</v>
      </c>
      <c r="W24">
        <v>410</v>
      </c>
    </row>
    <row r="25" spans="1:23">
      <c r="A25" s="1" t="s">
        <v>189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2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 s="2">
        <v>3.6</v>
      </c>
      <c r="V25" s="41" t="s">
        <v>87</v>
      </c>
      <c r="W25">
        <v>455</v>
      </c>
    </row>
    <row r="26" spans="1:23">
      <c r="A26" t="s">
        <v>190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2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 s="2">
        <v>3.7</v>
      </c>
      <c r="V26" s="41" t="s">
        <v>88</v>
      </c>
      <c r="W26">
        <v>460</v>
      </c>
    </row>
    <row r="27" spans="1:23">
      <c r="A27" s="1" t="s">
        <v>192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 s="2">
        <v>4</v>
      </c>
      <c r="V27" s="41" t="s">
        <v>87</v>
      </c>
      <c r="W27">
        <v>410</v>
      </c>
    </row>
    <row r="28" spans="1:23">
      <c r="A28" t="s">
        <v>193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 s="2">
        <v>3.1</v>
      </c>
      <c r="V28" s="41" t="s">
        <v>88</v>
      </c>
      <c r="W28">
        <v>185</v>
      </c>
    </row>
    <row r="29" spans="1:23">
      <c r="A29" t="s">
        <v>195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3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 s="2">
        <v>3.4</v>
      </c>
      <c r="V29" s="41" t="s">
        <v>88</v>
      </c>
      <c r="W29">
        <v>435</v>
      </c>
    </row>
    <row r="30" spans="1:23">
      <c r="A30" t="s">
        <v>213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3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 s="2">
        <v>3.3</v>
      </c>
      <c r="V30" s="41" t="s">
        <v>88</v>
      </c>
      <c r="W30" s="54">
        <f>Table16810[[#This Row],[Balance]]*W1</f>
        <v>362.85197210928641</v>
      </c>
    </row>
    <row r="31" spans="1:23">
      <c r="A31" s="1" t="s">
        <v>212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3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 s="2">
        <v>3.6</v>
      </c>
      <c r="V31" s="41" t="s">
        <v>87</v>
      </c>
      <c r="W31" s="54">
        <f>Table16810[[#This Row],[Balance]]*W1</f>
        <v>453.33423076271185</v>
      </c>
    </row>
    <row r="32" spans="1:23">
      <c r="A32" t="s">
        <v>214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3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 s="2">
        <v>3.7</v>
      </c>
      <c r="V32" s="41" t="s">
        <v>88</v>
      </c>
      <c r="W32" s="54">
        <f>Table16810[[#This Row],[Balance]]*W1</f>
        <v>480.92765951540753</v>
      </c>
    </row>
    <row r="33" spans="1:23">
      <c r="A33" t="s">
        <v>215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3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 s="2">
        <v>3.75</v>
      </c>
      <c r="V33" s="41" t="s">
        <v>88</v>
      </c>
      <c r="W33" s="54">
        <f>Table16810[[#This Row],[Balance]]*W1</f>
        <v>403.06572519230764</v>
      </c>
    </row>
    <row r="34" spans="1:23">
      <c r="A34" s="1" t="s">
        <v>216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3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 s="2">
        <v>2.6</v>
      </c>
      <c r="V34" s="41" t="s">
        <v>87</v>
      </c>
      <c r="W34" s="54">
        <f>Table16810[[#This Row],[Balance]]*W1</f>
        <v>347.02143749999999</v>
      </c>
    </row>
    <row r="35" spans="1:23">
      <c r="A35" t="s">
        <v>217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3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 s="2">
        <v>4</v>
      </c>
      <c r="V35" s="41" t="s">
        <v>88</v>
      </c>
      <c r="W35" s="54">
        <f>Table16810[[#This Row],[Balance]]*W1</f>
        <v>468.6190812295082</v>
      </c>
    </row>
    <row r="36" spans="1:23">
      <c r="A36" t="s">
        <v>218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3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 s="2">
        <v>3.3</v>
      </c>
      <c r="V36" s="41" t="s">
        <v>88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3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3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3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3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3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3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3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3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3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3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3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3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3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3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3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3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3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3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3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3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3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3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3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3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4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4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4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4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4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4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4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4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4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4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4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4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4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4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4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4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4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4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4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4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4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4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4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4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4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4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4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4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4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4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4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4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5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5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5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5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5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5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5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5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5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5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5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5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5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5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5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5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5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5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5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5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5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5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5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5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5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5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5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5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5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5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5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68" priority="2" operator="greaterThan">
      <formula>3.2</formula>
    </cfRule>
  </conditionalFormatting>
  <conditionalFormatting sqref="O4:O123">
    <cfRule type="cellIs" dxfId="6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H41" sqref="H4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204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73</v>
      </c>
      <c r="U3" s="16" t="s">
        <v>74</v>
      </c>
      <c r="V3" s="21" t="s">
        <v>86</v>
      </c>
      <c r="W3" s="21" t="s">
        <v>199</v>
      </c>
    </row>
    <row r="4" spans="1:23" ht="15.75" thickTop="1">
      <c r="A4" s="6" t="s">
        <v>41</v>
      </c>
      <c r="B4" s="11" t="s">
        <v>35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87</v>
      </c>
      <c r="W4" s="24">
        <v>530</v>
      </c>
    </row>
    <row r="5" spans="1:23">
      <c r="A5" s="4" t="s">
        <v>109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88</v>
      </c>
      <c r="W5" s="25">
        <v>650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87</v>
      </c>
      <c r="W6" s="58">
        <f>Table1681011[[#This Row],[Balance]]*W2</f>
        <v>513.76607999999999</v>
      </c>
    </row>
    <row r="7" spans="1:23">
      <c r="A7" t="s">
        <v>110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88</v>
      </c>
      <c r="W7" s="58">
        <f>Table1681011[[#This Row],[Balance]]*W2</f>
        <v>555.69333769230764</v>
      </c>
    </row>
    <row r="8" spans="1:23">
      <c r="A8" t="s">
        <v>120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88</v>
      </c>
      <c r="W8" s="58">
        <f>Table1681011[[#This Row],[Balance]]*W2</f>
        <v>490.88508700000017</v>
      </c>
    </row>
    <row r="9" spans="1:23">
      <c r="A9" t="s">
        <v>194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88</v>
      </c>
      <c r="W9" s="25">
        <v>530</v>
      </c>
    </row>
    <row r="10" spans="1:23">
      <c r="A10" t="s">
        <v>237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88</v>
      </c>
      <c r="W10" s="54">
        <f>Table1681011[[#This Row],[Balance]]*W2</f>
        <v>513.17297000000008</v>
      </c>
    </row>
    <row r="11" spans="1:23">
      <c r="A11" s="4" t="s">
        <v>236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88</v>
      </c>
      <c r="W11" s="54">
        <v>750</v>
      </c>
    </row>
    <row r="12" spans="1:23">
      <c r="A12" s="4" t="s">
        <v>235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88</v>
      </c>
      <c r="W12" s="54">
        <f>Table1681011[[#This Row],[Balance]]*W2</f>
        <v>398.87791366336643</v>
      </c>
    </row>
    <row r="13" spans="1:23">
      <c r="A13" s="1" t="s">
        <v>230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87</v>
      </c>
      <c r="W13" s="54">
        <f>Table1681011[[#This Row],[Balance]]*W2</f>
        <v>428.86685175903608</v>
      </c>
    </row>
    <row r="14" spans="1:23">
      <c r="A14" t="s">
        <v>232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88</v>
      </c>
      <c r="W14" s="54">
        <f>Table1681011[[#This Row],[Balance]]*W2</f>
        <v>444.59024210526309</v>
      </c>
    </row>
    <row r="15" spans="1:23">
      <c r="A15" t="s">
        <v>233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88</v>
      </c>
      <c r="W15" s="54">
        <f>Table1681011[[#This Row],[Balance]]*W2</f>
        <v>531.38529910714283</v>
      </c>
    </row>
    <row r="16" spans="1:23">
      <c r="A16" s="1" t="s">
        <v>231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87</v>
      </c>
      <c r="W16" s="54">
        <f>Table1681011[[#This Row],[Balance]]*W2</f>
        <v>496.0172405660378</v>
      </c>
    </row>
    <row r="17" spans="1:23" s="4" customFormat="1">
      <c r="A17" t="s">
        <v>234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88</v>
      </c>
      <c r="W17" s="54">
        <f>Table1681011[[#This Row],[Balance]]*W2</f>
        <v>543.60947348672585</v>
      </c>
    </row>
    <row r="18" spans="1:23">
      <c r="A18" t="s">
        <v>243</v>
      </c>
      <c r="B18">
        <v>4</v>
      </c>
      <c r="C18" s="2">
        <f>SUM(((Table1681011[[#This Row],[Avg DPS]]*(Table1681011[[#This Row],[Range]]))+(Table1681011[[#This Row],[Avg DPS]]*Table1681011[[#This Row],[Arm Pen (%)]]))/100)</f>
        <v>3.1470000000000002</v>
      </c>
      <c r="D18" s="3">
        <f>SUM(Table1681011[[#This Row],[DPS]]*Table1681011[[#This Row],[Avg Accuracy]])</f>
        <v>3.0000000000000004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4.4444444444444446</v>
      </c>
      <c r="F18">
        <v>54.9</v>
      </c>
      <c r="G18" s="2">
        <f>SUM((Table1681011[[#This Row],[Accuracy (Close)]]+Table1681011[[#This Row],[Accuracy (Short)]]+Table1681011[[#This Row],[Accuracy (Medium)]]+Table1681011[[#This Row],[Accuracy (Long)]])/4)</f>
        <v>0.67500000000000004</v>
      </c>
      <c r="H18">
        <v>40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0.82</v>
      </c>
      <c r="S18">
        <v>0.78</v>
      </c>
      <c r="T18">
        <v>150</v>
      </c>
      <c r="U18">
        <v>27</v>
      </c>
      <c r="V18" t="s">
        <v>88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60" priority="2" operator="greaterThan">
      <formula>2.639</formula>
    </cfRule>
  </conditionalFormatting>
  <conditionalFormatting sqref="O1:O1048576">
    <cfRule type="cellIs" dxfId="59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8" sqref="V8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204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73</v>
      </c>
      <c r="U3" t="s">
        <v>74</v>
      </c>
      <c r="V3" t="s">
        <v>86</v>
      </c>
      <c r="W3" t="s">
        <v>199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242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9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7" sqref="A7:W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75</v>
      </c>
      <c r="V1" s="41" t="s">
        <v>247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206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73</v>
      </c>
      <c r="U3" t="s">
        <v>74</v>
      </c>
      <c r="V3" t="s">
        <v>86</v>
      </c>
      <c r="W3" t="s">
        <v>199</v>
      </c>
    </row>
    <row r="4" spans="1:23">
      <c r="A4" s="6" t="s">
        <v>42</v>
      </c>
      <c r="B4" s="11" t="s">
        <v>35</v>
      </c>
      <c r="C4" s="2">
        <f>SUM(((Table168101112[[#This Row],[Avg DPS]]*(Table168101112[[#This Row],[Range]]))+(Table168101112[[#This Row],[Avg DPS]]*Table168101112[[#This Row],[Arm Pen (%)]]))/100)</f>
        <v>2.4624207896417474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25.9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U4">
        <v>8.5</v>
      </c>
      <c r="V4" t="s">
        <v>87</v>
      </c>
      <c r="W4">
        <v>425</v>
      </c>
    </row>
    <row r="5" spans="1:23">
      <c r="A5" s="6" t="s">
        <v>62</v>
      </c>
      <c r="B5" s="11" t="s">
        <v>35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U5">
        <v>10</v>
      </c>
      <c r="V5" t="s">
        <v>87</v>
      </c>
      <c r="W5">
        <v>1160</v>
      </c>
    </row>
    <row r="6" spans="1:23">
      <c r="A6" s="14" t="s">
        <v>27</v>
      </c>
      <c r="B6" s="4">
        <v>4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87</v>
      </c>
      <c r="W6" s="54">
        <f>Table168101112[[#This Row],[Balance]]*W1</f>
        <v>414.97249408767124</v>
      </c>
    </row>
    <row r="7" spans="1:23">
      <c r="A7" s="14" t="s">
        <v>63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87</v>
      </c>
      <c r="W7" s="54">
        <f>Table168101112[[#This Row],[Balance]]*$W$1</f>
        <v>595.90898234999975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88</v>
      </c>
      <c r="W8" s="54">
        <f>Table168101112[[#This Row],[Balance]]*$W$1</f>
        <v>447.53523779999995</v>
      </c>
    </row>
    <row r="9" spans="1:23">
      <c r="A9" t="s">
        <v>72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88</v>
      </c>
      <c r="W9" s="54">
        <f>Table168101112[[#This Row],[Balance]]*$W$1</f>
        <v>477.22488099999993</v>
      </c>
    </row>
    <row r="10" spans="1:23">
      <c r="A10" t="s">
        <v>71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88</v>
      </c>
      <c r="W10" s="54">
        <f>Table168101112[[#This Row],[Balance]]*$W$1</f>
        <v>495.73607507870031</v>
      </c>
    </row>
    <row r="11" spans="1:23">
      <c r="A11" t="s">
        <v>112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88</v>
      </c>
      <c r="W11" s="54">
        <f>Table168101112[[#This Row],[Balance]]*$W$1</f>
        <v>348.00105208686483</v>
      </c>
    </row>
    <row r="12" spans="1:23">
      <c r="A12" s="14" t="s">
        <v>238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87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43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>
      <selection activeCell="F21" sqref="F20:F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258</v>
      </c>
      <c r="H1" s="1" t="s">
        <v>250</v>
      </c>
      <c r="J1" t="s">
        <v>251</v>
      </c>
      <c r="M1" t="s">
        <v>253</v>
      </c>
      <c r="O1" t="s">
        <v>272</v>
      </c>
      <c r="S1" t="s">
        <v>262</v>
      </c>
      <c r="V1" s="41" t="s">
        <v>205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248</v>
      </c>
      <c r="R2" t="s">
        <v>249</v>
      </c>
      <c r="S2" t="s">
        <v>32</v>
      </c>
      <c r="V2" s="41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73</v>
      </c>
      <c r="U3" t="s">
        <v>74</v>
      </c>
      <c r="V3" t="s">
        <v>86</v>
      </c>
      <c r="W3" t="s">
        <v>199</v>
      </c>
      <c r="X3" t="s">
        <v>246</v>
      </c>
      <c r="Y3" t="s">
        <v>245</v>
      </c>
      <c r="Z3" t="s">
        <v>252</v>
      </c>
    </row>
    <row r="4" spans="1:26">
      <c r="A4" s="4" t="s">
        <v>254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3.0224443329925701</v>
      </c>
      <c r="D4" s="3">
        <f>SUM(Table1681011124[[#This Row],[DPS]]*Table1681011124[[#This Row],[Avg Accuracy]])</f>
        <v>6.5848460413781496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40.522129485403994</v>
      </c>
      <c r="F4">
        <v>32.9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50</v>
      </c>
      <c r="L4">
        <v>5</v>
      </c>
      <c r="M4">
        <v>1.6</v>
      </c>
      <c r="N4">
        <v>512.29</v>
      </c>
      <c r="O4" s="2">
        <f t="shared" ref="O4:O15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275</v>
      </c>
      <c r="Y4" s="57" t="s">
        <v>273</v>
      </c>
      <c r="Z4" t="s">
        <v>255</v>
      </c>
    </row>
    <row r="5" spans="1:26">
      <c r="A5" s="4" t="s">
        <v>254</v>
      </c>
      <c r="B5" s="12">
        <v>4</v>
      </c>
      <c r="C5" s="2">
        <f>SUM(((Table1681011124[[#This Row],[Avg DPS]]*(Table1681011124[[#This Row],[Range]]))+(Table1681011124[[#This Row],[Avg DPS]]*Table1681011124[[#This Row],[Arm Pen (%)]]))/100)</f>
        <v>3.8611886467489454</v>
      </c>
      <c r="D5" s="3">
        <f>SUM(Table1681011124[[#This Row],[DPS]]*Table1681011124[[#This Row],[Avg Accuracy]])</f>
        <v>8.4121757009780946</v>
      </c>
      <c r="E5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42.593294688496677</v>
      </c>
      <c r="F5">
        <v>32.9</v>
      </c>
      <c r="G5" s="2">
        <f>SUM((Table1681011124[[#This Row],[Accuracy (Close)]]+Table1681011124[[#This Row],[Accuracy (Short)]]+Table1681011124[[#This Row],[Accuracy (Medium)]]+Table1681011124[[#This Row],[Accuracy (Long)]])/4)</f>
        <v>0.19750000000000001</v>
      </c>
      <c r="H5">
        <v>10</v>
      </c>
      <c r="I5">
        <v>0.5</v>
      </c>
      <c r="J5">
        <v>13</v>
      </c>
      <c r="K5">
        <v>50</v>
      </c>
      <c r="L5">
        <v>5</v>
      </c>
      <c r="M5">
        <v>1</v>
      </c>
      <c r="N5">
        <v>512.29</v>
      </c>
      <c r="O5" s="2">
        <f>60/N5</f>
        <v>0.11712116184192548</v>
      </c>
      <c r="P5">
        <v>0.15</v>
      </c>
      <c r="Q5">
        <v>0.25</v>
      </c>
      <c r="R5">
        <v>0.21</v>
      </c>
      <c r="S5">
        <v>0.18</v>
      </c>
      <c r="T5">
        <v>70</v>
      </c>
      <c r="U5">
        <v>29</v>
      </c>
      <c r="V5" t="s">
        <v>87</v>
      </c>
      <c r="W5">
        <v>965</v>
      </c>
      <c r="Y5" s="57" t="s">
        <v>274</v>
      </c>
      <c r="Z5" t="s">
        <v>256</v>
      </c>
    </row>
    <row r="6" spans="1:26">
      <c r="A6" s="4" t="s">
        <v>257</v>
      </c>
      <c r="B6" s="4">
        <v>4</v>
      </c>
      <c r="C6" s="2">
        <f>SUM(((Table1681011124[[#This Row],[Avg DPS]]*(Table1681011124[[#This Row],[Range]]))+(Table1681011124[[#This Row],[Avg DPS]]*Table1681011124[[#This Row],[Arm Pen (%)]]))/100)</f>
        <v>4.9952393617021267</v>
      </c>
      <c r="D6" s="3">
        <f>SUM(Table1681011124[[#This Row],[DPS]]*Table1681011124[[#This Row],[Avg Accuracy]])</f>
        <v>9.8138297872340416</v>
      </c>
      <c r="E6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47.872340425531917</v>
      </c>
      <c r="F6">
        <v>35.9</v>
      </c>
      <c r="G6" s="2">
        <f>SUM((Table1681011124[[#This Row],[Accuracy (Close)]]+Table1681011124[[#This Row],[Accuracy (Short)]]+Table1681011124[[#This Row],[Accuracy (Medium)]]+Table1681011124[[#This Row],[Accuracy (Long)]])/4)</f>
        <v>0.20499999999999999</v>
      </c>
      <c r="H6">
        <v>12</v>
      </c>
      <c r="I6">
        <v>1</v>
      </c>
      <c r="J6">
        <v>15</v>
      </c>
      <c r="K6">
        <v>50</v>
      </c>
      <c r="L6">
        <v>5</v>
      </c>
      <c r="M6">
        <v>1</v>
      </c>
      <c r="N6">
        <v>450</v>
      </c>
      <c r="O6" s="2">
        <f t="shared" si="0"/>
        <v>0.13333333333333333</v>
      </c>
      <c r="P6">
        <v>0.15</v>
      </c>
      <c r="Q6">
        <v>0.21</v>
      </c>
      <c r="R6">
        <v>0.25</v>
      </c>
      <c r="S6">
        <v>0.21</v>
      </c>
      <c r="T6">
        <v>100</v>
      </c>
      <c r="U6">
        <v>58</v>
      </c>
      <c r="V6" t="s">
        <v>88</v>
      </c>
      <c r="W6">
        <v>1050</v>
      </c>
      <c r="Y6" s="57" t="s">
        <v>276</v>
      </c>
      <c r="Z6" t="s">
        <v>256</v>
      </c>
    </row>
    <row r="7" spans="1:26">
      <c r="A7" s="4" t="s">
        <v>259</v>
      </c>
      <c r="B7" s="4">
        <v>4</v>
      </c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  <c r="U7">
        <v>39</v>
      </c>
      <c r="V7" t="s">
        <v>88</v>
      </c>
      <c r="W7" s="54"/>
      <c r="X7" s="54"/>
      <c r="Y7" s="54"/>
      <c r="Z7" s="54" t="s">
        <v>256</v>
      </c>
    </row>
    <row r="8" spans="1:26">
      <c r="A8" s="4" t="s">
        <v>261</v>
      </c>
      <c r="B8" s="12" t="s">
        <v>260</v>
      </c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  <c r="U8">
        <v>16.600000000000001</v>
      </c>
      <c r="V8" t="s">
        <v>87</v>
      </c>
      <c r="Z8" t="s">
        <v>255</v>
      </c>
    </row>
    <row r="9" spans="1:26">
      <c r="A9" s="4" t="s">
        <v>261</v>
      </c>
      <c r="B9" s="12" t="s">
        <v>260</v>
      </c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  <c r="U9">
        <v>26.6</v>
      </c>
      <c r="V9" t="s">
        <v>87</v>
      </c>
      <c r="Z9" t="s">
        <v>256</v>
      </c>
    </row>
    <row r="10" spans="1:26">
      <c r="A10" s="40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40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O11" s="2" t="e">
        <f t="shared" si="0"/>
        <v>#DIV/0!</v>
      </c>
    </row>
    <row r="12" spans="1:26">
      <c r="A12" s="40"/>
      <c r="C12" s="2" t="e">
        <f>SUM(((Table1681011124[[#This Row],[Avg DPS]]*(Table1681011124[[#This Row],[Range]]))+(Table1681011124[[#This Row],[Avg DPS]]*Table1681011124[[#This Row],[Arm Pen (%)]]))/100)</f>
        <v>#DIV/0!</v>
      </c>
      <c r="D12" s="3" t="e">
        <f>SUM(Table1681011124[[#This Row],[DPS]]*Table1681011124[[#This Row],[Avg Accuracy]])</f>
        <v>#DIV/0!</v>
      </c>
      <c r="E12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2" s="2">
        <f>SUM((Table1681011124[[#This Row],[Accuracy (Close)]]+Table1681011124[[#This Row],[Accuracy (Short)]]+Table1681011124[[#This Row],[Accuracy (Medium)]]+Table1681011124[[#This Row],[Accuracy (Long)]])/4)</f>
        <v>0</v>
      </c>
      <c r="O12" s="2" t="e">
        <f t="shared" si="0"/>
        <v>#DIV/0!</v>
      </c>
    </row>
    <row r="13" spans="1:26">
      <c r="A13" s="40"/>
      <c r="C13" s="2" t="e">
        <f>SUM(((Table1681011124[[#This Row],[Avg DPS]]*(Table1681011124[[#This Row],[Range]]))+(Table1681011124[[#This Row],[Avg DPS]]*Table1681011124[[#This Row],[Arm Pen (%)]]))/100)</f>
        <v>#DIV/0!</v>
      </c>
      <c r="D13" s="3" t="e">
        <f>SUM(Table1681011124[[#This Row],[DPS]]*Table1681011124[[#This Row],[Avg Accuracy]])</f>
        <v>#DIV/0!</v>
      </c>
      <c r="E13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3" s="2">
        <f>SUM((Table1681011124[[#This Row],[Accuracy (Close)]]+Table1681011124[[#This Row],[Accuracy (Short)]]+Table1681011124[[#This Row],[Accuracy (Medium)]]+Table1681011124[[#This Row],[Accuracy (Long)]])/4)</f>
        <v>0</v>
      </c>
      <c r="O13" s="2" t="e">
        <f t="shared" si="0"/>
        <v>#DIV/0!</v>
      </c>
    </row>
    <row r="14" spans="1:26">
      <c r="A14" s="40"/>
      <c r="C14" s="2" t="e">
        <f>SUM(((Table1681011124[[#This Row],[Avg DPS]]*(Table1681011124[[#This Row],[Range]]))+(Table1681011124[[#This Row],[Avg DPS]]*Table1681011124[[#This Row],[Arm Pen (%)]]))/100)</f>
        <v>#DIV/0!</v>
      </c>
      <c r="D14" s="3" t="e">
        <f>SUM(Table1681011124[[#This Row],[DPS]]*Table1681011124[[#This Row],[Avg Accuracy]])</f>
        <v>#DIV/0!</v>
      </c>
      <c r="E14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4" s="2">
        <f>SUM((Table1681011124[[#This Row],[Accuracy (Close)]]+Table1681011124[[#This Row],[Accuracy (Short)]]+Table1681011124[[#This Row],[Accuracy (Medium)]]+Table1681011124[[#This Row],[Accuracy (Long)]])/4)</f>
        <v>0</v>
      </c>
      <c r="O14" s="2" t="e">
        <f t="shared" si="0"/>
        <v>#DIV/0!</v>
      </c>
    </row>
    <row r="15" spans="1:26">
      <c r="A15" s="55"/>
      <c r="B15" s="7"/>
      <c r="C15" s="2" t="e">
        <f>SUM(((Table1681011124[[#This Row],[Avg DPS]]*(Table1681011124[[#This Row],[Range]]))+(Table1681011124[[#This Row],[Avg DPS]]*Table1681011124[[#This Row],[Arm Pen (%)]]))/100)</f>
        <v>#DIV/0!</v>
      </c>
      <c r="D15" s="3" t="e">
        <f>SUM(Table1681011124[[#This Row],[DPS]]*Table1681011124[[#This Row],[Avg Accuracy]])</f>
        <v>#DIV/0!</v>
      </c>
      <c r="E1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5" s="7"/>
      <c r="G15" s="2">
        <f>SUM((Table1681011124[[#This Row],[Accuracy (Close)]]+Table1681011124[[#This Row],[Accuracy (Short)]]+Table1681011124[[#This Row],[Accuracy (Medium)]]+Table1681011124[[#This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 t="shared" si="0"/>
        <v>#DIV/0!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8" spans="1:26" s="4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</sheetData>
  <conditionalFormatting sqref="C4:C15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A6" sqref="A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1" t="s">
        <v>207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1" t="s">
        <v>208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73</v>
      </c>
      <c r="U3" s="16" t="s">
        <v>74</v>
      </c>
      <c r="V3" s="21" t="s">
        <v>86</v>
      </c>
      <c r="W3" s="21" t="s">
        <v>199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87</v>
      </c>
      <c r="W4" s="24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87</v>
      </c>
      <c r="W5" s="25">
        <v>405</v>
      </c>
    </row>
    <row r="6" spans="1:23">
      <c r="A6" s="14" t="s">
        <v>76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87</v>
      </c>
      <c r="W6" s="59">
        <f>Table16810111213[[#This Row],[Balance]]*W1</f>
        <v>241.25181780000003</v>
      </c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2024-03-17T11:06:18Z</dcterms:modified>
</cp:coreProperties>
</file>