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3" activeTab="8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B43" i="15"/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W9" i="11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B48" i="15" l="1"/>
  <c r="B47"/>
  <c r="B46"/>
  <c r="B45"/>
  <c r="B44"/>
  <c r="D11" i="28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W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<sst xmlns="http://schemas.openxmlformats.org/spreadsheetml/2006/main" count="1065" uniqueCount="376">
  <si>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</si>
  <si>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</si>
  <si>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</si>
  <si>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</si>
  <si>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</si>
  <si>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</si>
  <si>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</si>
  <si>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</si>
  <si>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</si>
  <si>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</si>
  <si>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</si>
  <si>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</si>
  <si>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</si>
  <si>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</si>
  <si>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</si>
  <si>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</si>
  <si>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</si>
  <si>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</si>
  <si>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</si>
  <si>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</si>
  <si>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</si>
  <si>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</si>
  <si>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</si>
  <si>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</si>
  <si>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</si>
  <si>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</si>
  <si>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</si>
  <si>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</si>
  <si>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</si>
  <si>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</si>
  <si>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</si>
  <si>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</si>
  <si>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</si>
  <si>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</si>
  <si>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</si>
  <si>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</si>
  <si>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</si>
  <si>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</si>
  <si>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</si>
  <si>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</si>
  <si>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</si>
  <si>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</si>
  <si>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</si>
  <si>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</si>
  <si>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</si>
  <si>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</si>
  <si>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</si>
  <si>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</si>
  <si>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</si>
  <si>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</si>
  <si>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</si>
  <si>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</si>
  <si>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</si>
  <si>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</si>
  <si>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</si>
  <si>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</si>
  <si>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</si>
  <si>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</si>
  <si>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</si>
  <si>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</si>
  <si>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</si>
  <si>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</si>
  <si>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</si>
  <si>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</si>
  <si>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</si>
  <si>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</si>
  <si>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</si>
  <si>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</si>
  <si>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</si>
  <si>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</si>
  <si>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</si>
  <si>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</si>
  <si>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</si>
  <si>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</si>
  <si>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</si>
  <si>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</si>
  <si>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</si>
  <si>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</si>
  <si>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</si>
  <si>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</si>
  <si>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</si>
  <si>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</si>
  <si>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</si>
  <si>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</si>
  <si>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</si>
  <si>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</si>
  <si>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</si>
  <si>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</si>
  <si>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</si>
  <si>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</si>
  <si>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</si>
  <si>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</si>
  <si>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</si>
  <si>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</si>
  <si>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</si>
  <si>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</si>
  <si>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</si>
  <si>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</si>
  <si>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</si>
  <si>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</si>
  <si>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</si>
  <si>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</si>
  <si>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</si>
  <si>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</si>
  <si>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</si>
  <si>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</si>
  <si>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</si>
  <si>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</si>
  <si>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</si>
  <si>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</si>
  <si>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</si>
  <si>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</si>
  <si>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</si>
  <si>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</si>
  <si>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</si>
  <si>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</si>
  <si>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</si>
  <si>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</si>
  <si>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</si>
  <si>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</si>
  <si>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</si>
  <si>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</si>
  <si>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</si>
  <si>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</si>
  <si>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</si>
  <si>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</si>
  <si>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</si>
  <si>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</si>
  <si>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</si>
  <si>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</si>
  <si>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</si>
  <si>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</si>
  <si>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</si>
  <si>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</si>
  <si>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</si>
  <si>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</si>
  <si>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</si>
  <si>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</si>
  <si>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</si>
  <si>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</si>
  <si>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</si>
  <si>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</si>
  <si>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</si>
  <si>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</si>
  <si>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</si>
  <si>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</si>
  <si>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</si>
  <si>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</si>
  <si>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</si>
  <si>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</si>
  <si>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</si>
  <si>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</si>
  <si>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</si>
  <si>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</si>
  <si>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</si>
  <si>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</si>
  <si>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</si>
  <si>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</si>
  <si>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</si>
  <si>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</si>
  <si>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</si>
  <si>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</si>
  <si>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</si>
  <si>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</si>
  <si>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</si>
  <si>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</si>
  <si>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</si>
  <si>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</si>
  <si>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</si>
  <si>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</si>
  <si>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</si>
  <si>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</si>
  <si>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</si>
  <si>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</si>
  <si>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</si>
  <si>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</si>
  <si>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</si>
  <si>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</si>
  <si>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</si>
  <si>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</si>
  <si>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</si>
  <si>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</si>
  <si>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</si>
  <si>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</si>
  <si>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</si>
  <si>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</si>
  <si>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</si>
  <si>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</si>
  <si>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</si>
  <si>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</si>
  <si>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</si>
  <si>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</si>
  <si>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</si>
  <si>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</si>
  <si>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</si>
  <si>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</si>
  <si>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</si>
  <si>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</si>
  <si>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</si>
  <si>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</si>
  <si>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</si>
  <si>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</si>
  <si>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</si>
  <si>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</si>
  <si>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</si>
  <si>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</si>
  <si>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</si>
  <si>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</si>
  <si>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</si>
  <si>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</si>
  <si>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</si>
  <si>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</si>
  <si>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</si>
  <si>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</si>
  <si>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</si>
  <si>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</si>
  <si>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</si>
  <si>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</si>
  <si>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</si>
  <si>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</si>
  <si>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</si>
  <si>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</si>
  <si>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</si>
  <si>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</si>
  <si>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</si>
  <si>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</si>
  <si>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</si>
  <si>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</si>
  <si>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</si>
  <si>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</si>
  <si>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</si>
  <si>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</si>
  <si>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</si>
  <si>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</si>
  <si>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</si>
  <si>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</si>
  <si>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</si>
  <si>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</si>
  <si>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</si>
  <si>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</si>
  <si>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</si>
  <si>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</si>
  <si>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</si>
  <si>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</si>
  <si>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</si>
  <si>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</si>
  <si>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</si>
  <si>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</si>
  <si>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</si>
  <si>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</si>
  <si>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</si>
  <si>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</si>
  <si>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</si>
  <si>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</si>
  <si>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</si>
  <si>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</si>
  <si>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</si>
  <si>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</si>
  <si>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</si>
  <si>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</si>
  <si>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</si>
  <si>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</si>
  <si>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</si>
  <si>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</si>
  <si>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</si>
  <si>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</si>
  <si>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</si>
  <si>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</si>
  <si>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</si>
  <si>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</si>
  <si>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</si>
  <si>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</si>
  <si>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</si>
  <si>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</si>
  <si>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</si>
  <si>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</si>
  <si>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</si>
  <si>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</si>
  <si>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</si>
  <si>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</si>
  <si>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</si>
  <si>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</si>
  <si>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</si>
  <si>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</si>
  <si>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</si>
  <si>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</si>
  <si>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</si>
  <si>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</si>
  <si>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</si>
  <si>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</si>
  <si>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</si>
  <si>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</si>
  <si>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</si>
  <si>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</si>
  <si>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</si>
  <si>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</si>
  <si>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</si>
  <si>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</si>
  <si>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</si>
  <si>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</si>
  <si>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</si>
  <si>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</si>
  <si>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</si>
  <si>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</si>
  <si>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</si>
  <si>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</si>
  <si>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</si>
  <si>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</si>
  <si>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</si>
  <si>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</si>
  <si>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</si>
  <si>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</si>
  <si>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</si>
  <si>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</si>
  <si>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</si>
  <si>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</si>
  <si>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</si>
  <si>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</si>
  <si>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</si>
  <si>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</si>
  <si>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</si>
  <si>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</si>
  <si>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</si>
  <si>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</si>
  <si>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</si>
  <si>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</si>
  <si>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</si>
  <si>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</si>
  <si>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</si>
  <si>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</si>
  <si>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</si>
  <si>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</si>
  <si>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</si>
  <si>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</si>
  <si>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</si>
  <si>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</si>
  <si>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</si>
  <si>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</si>
  <si>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</si>
  <si>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</si>
  <si>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</si>
  <si>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</si>
  <si>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</si>
  <si>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</si>
  <si>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</si>
  <si>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</si>
  <si>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</si>
  <si>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</si>
  <si>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</si>
  <si>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</si>
  <si>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</si>
  <si>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</si>
  <si>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</si>
  <si>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</si>
  <si>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</si>
  <si>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</si>
  <si>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</si>
  <si>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</si>
  <si>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AR57</t>
  </si>
  <si>
    <t>CMR30</t>
  </si>
  <si>
    <t>DPMSGII 308 AR</t>
  </si>
  <si>
    <t>Keltecc P33</t>
  </si>
  <si>
    <t>L2D M203</t>
  </si>
  <si>
    <t>M1A</t>
  </si>
  <si>
    <t>M4A1 CQBR</t>
  </si>
  <si>
    <t>M60E6</t>
  </si>
  <si>
    <t>M240LW</t>
  </si>
  <si>
    <t>M99</t>
  </si>
  <si>
    <t>Vector</t>
  </si>
  <si>
    <t>Banshee Mk57</t>
  </si>
  <si>
    <t>RDB Defender</t>
  </si>
  <si>
    <t>MDRX Tactical</t>
  </si>
  <si>
    <t>DP-12</t>
  </si>
  <si>
    <t>M1 GARAND</t>
  </si>
  <si>
    <t>M1918 BROWNING</t>
  </si>
  <si>
    <t>M3 Grease Gun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</si>
</sst>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80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10" fontId="0" fillId="0" borderId="0" xfId="0" applyNumberFormat="1"/>
    <xf numFmtId="0" fontId="0" fillId="0" borderId="0" xfId="0" applyFill="1"/>
    <xf numFmtId="0" fontId="11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</cellXfs>
  <cellStyles count="2">
    <cellStyle name="Normal" xfId="0" builtinId="0"/>
    <cellStyle name="Note" xfId="1" builtinId="10"/>
  </cellStyles>
  <dxfs count="441"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423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422">
      <calculatedColumnFormula>SUM(Table1689[[#This Row],[DPS]]*Table1689[[#This Row],[Avg Accuracy]])</calculatedColumnFormula>
    </tableColumn>
    <tableColumn id="15" name="DPS" dataDxfId="42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42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273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272">
      <calculatedColumnFormula>SUM(Table1681011124[[#This Row],[DPS]]*Table1681011124[[#This Row],[Avg Accuracy]])</calculatedColumnFormula>
    </tableColumn>
    <tableColumn id="15" name="DPS" dataDxfId="271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270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268"/>
    <tableColumn id="22" name="Balance" dataDxfId="267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266">
      <calculatedColumnFormula>SUM(Table16810111245[[#This Row],[DPS]]*Table16810111245[[#This Row],[Avg Accuracy]])</calculatedColumnFormula>
    </tableColumn>
    <tableColumn id="15" name="DPS" dataDxfId="265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264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262"/>
    <tableColumn id="28" name="Ammo"/>
    <tableColumn id="31" name="Bursts"/>
    <tableColumn id="32" name="A.P.C."/>
    <tableColumn id="23" name="COG"/>
    <tableColumn id="25" name="Materials"/>
    <tableColumn id="27" name="Minify?" dataDxfId="261"/>
    <tableColumn id="30" name="Power" dataDxfId="260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24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239"/>
    <tableColumn id="12" name="Vol." dataDxfId="238"/>
    <tableColumn id="22" name="Balance" dataDxfId="23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36">
      <calculatedColumnFormula>SUM(Table16810111213[[#This Row],[DPS]]*Table16810111213[[#This Row],[Avg Accuracy]])</calculatedColumnFormula>
    </tableColumn>
    <tableColumn id="15" name="DPS" dataDxfId="23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234"/>
    <tableColumn id="17" name="Avg Accuracy" dataDxfId="233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232"/>
    <tableColumn id="18" name="Stopping Pwr" dataDxfId="231"/>
    <tableColumn id="19" name="Arm Pen (%)" dataDxfId="230"/>
    <tableColumn id="3" name="Burst" dataDxfId="229"/>
    <tableColumn id="4" name="Ranged Cooldown" dataDxfId="228"/>
    <tableColumn id="5" name="Warm-up" dataDxfId="227"/>
    <tableColumn id="6" name="RPM" dataDxfId="226"/>
    <tableColumn id="7" name="Burst Time" dataDxfId="225">
      <calculatedColumnFormula>60/N4</calculatedColumnFormula>
    </tableColumn>
    <tableColumn id="8" name="Accuracy (Close)" dataDxfId="224"/>
    <tableColumn id="9" name="Accuracy (Short)" dataDxfId="223"/>
    <tableColumn id="10" name="Accuracy (Medium)" dataDxfId="222"/>
    <tableColumn id="11" name="Accuracy (Long)" dataDxfId="221"/>
    <tableColumn id="13" name="Bullet Speed" dataDxfId="220"/>
    <tableColumn id="14" name="Weight" dataDxfId="219"/>
    <tableColumn id="21" name="Craftable" dataDxfId="218"/>
    <tableColumn id="23" name="Value" dataDxfId="217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197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196"/>
    <tableColumn id="12" name="Vol." dataDxfId="195"/>
    <tableColumn id="22" name="Balance" dataDxfId="194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193">
      <calculatedColumnFormula>SUM(Table1681011121317[[#This Row],[DPS]]*Table1681011121317[[#This Row],[Avg Accuracy]])</calculatedColumnFormula>
    </tableColumn>
    <tableColumn id="15" name="DPS" dataDxfId="192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191"/>
    <tableColumn id="17" name="Avg Accuracy" dataDxfId="190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189"/>
    <tableColumn id="18" name="Stopping Pwr" dataDxfId="188"/>
    <tableColumn id="19" name="Arm Pen (%)" dataDxfId="187"/>
    <tableColumn id="3" name="Burst" dataDxfId="186"/>
    <tableColumn id="4" name="Ranged Cooldown" dataDxfId="185"/>
    <tableColumn id="5" name="Warm-up" dataDxfId="184"/>
    <tableColumn id="6" name="RPM" dataDxfId="183"/>
    <tableColumn id="7" name="Burst Time" dataDxfId="182">
      <calculatedColumnFormula>60/N4</calculatedColumnFormula>
    </tableColumn>
    <tableColumn id="8" name="Accuracy (Close)" dataDxfId="181"/>
    <tableColumn id="9" name="Accuracy (Short)" dataDxfId="180"/>
    <tableColumn id="10" name="Accuracy (Medium)" dataDxfId="179"/>
    <tableColumn id="11" name="Accuracy (Long)" dataDxfId="178"/>
    <tableColumn id="13" name="Bullet Speed" dataDxfId="177"/>
    <tableColumn id="14" name="Weight" dataDxfId="176"/>
    <tableColumn id="21" name="Craftable" dataDxfId="175"/>
    <tableColumn id="23" name="Value" dataDxfId="174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17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171">
      <calculatedColumnFormula>SUM(Table168101112133[[#This Row],[Avg DAM]]*Table168101112133[[#This Row],[HPS]])</calculatedColumnFormula>
    </tableColumn>
    <tableColumn id="3" name="Avg DAM" dataDxfId="17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169"/>
    <tableColumn id="33" name="ExtraDamFactor" dataDxfId="16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67">
      <calculatedColumnFormula>Formulas!AP5</calculatedColumnFormula>
    </tableColumn>
    <tableColumn id="6" name="HPM" dataDxfId="166">
      <calculatedColumnFormula>SUM(60/Table168101112133[[#This Row],[Avg Cooldown]])</calculatedColumnFormula>
    </tableColumn>
    <tableColumn id="7" name="HPS" dataDxfId="165">
      <calculatedColumnFormula>SUM(Table168101112133[[#This Row],[HPM]]/60)</calculatedColumnFormula>
    </tableColumn>
    <tableColumn id="14" name="Weight" dataDxfId="164"/>
    <tableColumn id="21" name="Craftable"/>
    <tableColumn id="5" name="Value" dataDxfId="16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62"/>
    <tableColumn id="4" name="Damage" dataDxfId="161"/>
    <tableColumn id="5" name="AP" dataDxfId="160"/>
    <tableColumn id="6" name="Stopping Power" dataDxfId="159"/>
    <tableColumn id="15" name="ForcedMiss" dataDxfId="158"/>
    <tableColumn id="11" name="DetDelay" dataDxfId="157"/>
    <tableColumn id="10" name="Blast Range" dataDxfId="156"/>
    <tableColumn id="8" name="Warm-Up" dataDxfId="155"/>
    <tableColumn id="9" name="Cooldown" dataDxfId="154"/>
    <tableColumn id="20" name="Burst" dataDxfId="153"/>
    <tableColumn id="13" name="Bullet Speed" dataDxfId="152"/>
    <tableColumn id="14" name="Weight" dataDxfId="151"/>
    <tableColumn id="7" name="Single Use" dataDxfId="150"/>
    <tableColumn id="21" name="Craftable" dataDxfId="149"/>
    <tableColumn id="2" name="Accuracy" dataDxfId="1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418"/>
    <tableColumn id="22" name="Balance" dataDxfId="417">
      <calculatedColumnFormula>SUM(((Table168[[#This Row],[Avg DPS]]*(Table168[[#This Row],[Range]]))+(Table168[[#This Row],[Avg DPS]]*Table168[[#This Row],[Arm Pen (%)]]))/100)</calculatedColumnFormula>
    </tableColumn>
    <tableColumn id="20" name="Avg DPS" dataDxfId="416">
      <calculatedColumnFormula>SUM(Table168[[#This Row],[DPS]]*Table168[[#This Row],[Avg Accuracy]])</calculatedColumnFormula>
    </tableColumn>
    <tableColumn id="15" name="DPS" dataDxfId="415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414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4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392"/>
    <tableColumn id="22" name="Balance" dataDxfId="391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390">
      <calculatedColumnFormula>SUM(Table1614[[#This Row],[DPS]]*Table1614[[#This Row],[Avg Accuracy]])</calculatedColumnFormula>
    </tableColumn>
    <tableColumn id="15" name="DPS" dataDxfId="389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88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86"/>
    <tableColumn id="23" name="Value" dataDxfId="38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367"/>
    <tableColumn id="22" name="Balance" dataDxfId="366">
      <calculatedColumnFormula>SUM(((Table16[[#This Row],[AC/DPS]]*(Table16[[#This Row],[Range]]))+(Table16[[#This Row],[AC/DPS]]*Table16[[#This Row],[Arm Pen (%)]]))/100)</calculatedColumnFormula>
    </tableColumn>
    <tableColumn id="20" name="AC/DPS" dataDxfId="365">
      <calculatedColumnFormula>SUM(Table16[[#This Row],[DPS]]*Table16[[#This Row],[Avg Accuracy]])</calculatedColumnFormula>
    </tableColumn>
    <tableColumn id="15" name="DPS" dataDxfId="364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63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61"/>
    <tableColumn id="23" name="Value" dataDxfId="3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339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338">
      <calculatedColumnFormula>SUM(Table16810[[#This Row],[DPS]]*Table16810[[#This Row],[Avg Accuracy]])</calculatedColumnFormula>
    </tableColumn>
    <tableColumn id="15" name="DPS" dataDxfId="337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336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335"/>
    <tableColumn id="5" name="Warm-up" dataDxfId="334"/>
    <tableColumn id="6" name="RPM"/>
    <tableColumn id="7" name="Burst Time" dataDxfId="33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332"/>
    <tableColumn id="21" name="Craftable" dataDxfId="331"/>
    <tableColumn id="23" name="Value"/>
    <tableColumn id="24" name="Special" dataDxfId="330"/>
    <tableColumn id="28" name="S. Damage" dataDxfId="329"/>
    <tableColumn id="25" name="S. Ammo" dataDxfId="328"/>
    <tableColumn id="26" name="S. Range" dataDxfId="327"/>
    <tableColumn id="29" name="S. Cost" dataDxfId="32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305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304">
      <calculatedColumnFormula>SUM(Table168107[[#This Row],[DPS]]*Table168107[[#This Row],[Avg Accuracy]])</calculatedColumnFormula>
    </tableColumn>
    <tableColumn id="15" name="DPS" dataDxfId="303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302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301"/>
    <tableColumn id="5" name="Warm-up" dataDxfId="300"/>
    <tableColumn id="6" name="RPM"/>
    <tableColumn id="7" name="Burst Time" dataDxfId="29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98"/>
    <tableColumn id="21" name="Craftable" dataDxfId="297"/>
    <tableColumn id="23" name="Value"/>
    <tableColumn id="24" name="Special" dataDxfId="296"/>
    <tableColumn id="28" name="S. Damage" dataDxfId="295"/>
    <tableColumn id="25" name="S. Ammo" dataDxfId="294"/>
    <tableColumn id="26" name="S. Range" dataDxfId="293"/>
    <tableColumn id="29" name="S. Cost" dataDxfId="2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291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90">
      <calculatedColumnFormula>SUM(Table1681011[[#This Row],[DPS]]*Table1681011[[#This Row],[Avg Accuracy]])</calculatedColumnFormula>
    </tableColumn>
    <tableColumn id="15" name="DPS" dataDxfId="289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288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28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284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3">
      <calculatedColumnFormula>SUM(Table1681015[[#This Row],[DPS]]*Table1681015[[#This Row],[Avg Accuracy]])</calculatedColumnFormula>
    </tableColumn>
    <tableColumn id="15" name="DPS" dataDxfId="282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81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279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78">
      <calculatedColumnFormula>SUM(Table168101112[[#This Row],[DPS]]*Table168101112[[#This Row],[Avg Accuracy]])</calculatedColumnFormula>
    </tableColumn>
    <tableColumn id="15" name="DPS" dataDxfId="277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76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7" t="s">
        <v>208</v>
      </c>
      <c r="B9" s="68">
        <v>3</v>
      </c>
      <c r="C9" s="69">
        <f>SUM(((Table1689[[#This Row],[Avg DPS]]*(Table1689[[#This Row],[Range]]))+(Table1689[[#This Row],[Avg DPS]]*Table1689[[#This Row],[Arm Pen (%)]]))/100)</f>
        <v>1.4132045454545457</v>
      </c>
      <c r="D9" s="70">
        <f>SUM(Table1689[[#This Row],[DPS]]*Table1689[[#This Row],[Avg Accuracy]])</f>
        <v>4.2954545454545459</v>
      </c>
      <c r="E9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6">
        <v>22.9</v>
      </c>
      <c r="G9" s="69">
        <f>SUM((Table1689[[#This Row],[Accuracy (Close)]]+Table1689[[#This Row],[Accuracy (Short)]]+Table1689[[#This Row],[Accuracy (Medium)]]+Table1689[[#This Row],[Accuracy (Long)]])/4)</f>
        <v>0.52500000000000002</v>
      </c>
      <c r="H9" s="56">
        <v>9</v>
      </c>
      <c r="I9" s="56">
        <v>0.5</v>
      </c>
      <c r="J9" s="56">
        <v>10</v>
      </c>
      <c r="K9" s="56">
        <v>1</v>
      </c>
      <c r="L9" s="56">
        <v>0.8</v>
      </c>
      <c r="M9" s="56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6" t="s">
        <v>217</v>
      </c>
      <c r="B10" s="68">
        <v>3</v>
      </c>
      <c r="C10" s="69">
        <f>SUM(((Table1689[[#This Row],[Avg DPS]]*(Table1689[[#This Row],[Range]]))+(Table1689[[#This Row],[Avg DPS]]*Table1689[[#This Row],[Arm Pen (%)]]))/100)</f>
        <v>1.4431153846153846</v>
      </c>
      <c r="D10" s="70">
        <f>SUM(Table1689[[#This Row],[DPS]]*Table1689[[#This Row],[Avg Accuracy]])</f>
        <v>3.8076923076923075</v>
      </c>
      <c r="E10" s="69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6">
        <v>25.9</v>
      </c>
      <c r="G10" s="69">
        <f>SUM((Table1689[[#This Row],[Accuracy (Close)]]+Table1689[[#This Row],[Accuracy (Short)]]+Table1689[[#This Row],[Accuracy (Medium)]]+Table1689[[#This Row],[Accuracy (Long)]])/4)</f>
        <v>0.55000000000000004</v>
      </c>
      <c r="H10" s="56">
        <v>9</v>
      </c>
      <c r="I10" s="56">
        <v>0.5</v>
      </c>
      <c r="J10" s="56">
        <v>12</v>
      </c>
      <c r="K10" s="56">
        <v>1</v>
      </c>
      <c r="L10" s="56">
        <v>1</v>
      </c>
      <c r="M10" s="56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1" t="s">
        <v>216</v>
      </c>
      <c r="B11" s="68">
        <v>3</v>
      </c>
      <c r="C11" s="69">
        <f>SUM(((Table1689[[#This Row],[Avg DPS]]*(Table1689[[#This Row],[Range]]))+(Table1689[[#This Row],[Avg DPS]]*Table1689[[#This Row],[Arm Pen (%)]]))/100)</f>
        <v>1.4213028169014086</v>
      </c>
      <c r="D11" s="70">
        <f>SUM(Table1689[[#This Row],[DPS]]*Table1689[[#This Row],[Avg Accuracy]])</f>
        <v>4.7535211267605639</v>
      </c>
      <c r="E11" s="69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6">
        <v>20.9</v>
      </c>
      <c r="G11" s="69">
        <f>SUM((Table1689[[#This Row],[Accuracy (Close)]]+Table1689[[#This Row],[Accuracy (Short)]]+Table1689[[#This Row],[Accuracy (Medium)]]+Table1689[[#This Row],[Accuracy (Long)]])/4)</f>
        <v>0.45</v>
      </c>
      <c r="H11" s="56">
        <v>5</v>
      </c>
      <c r="I11" s="56">
        <v>0.5</v>
      </c>
      <c r="J11" s="56">
        <v>9</v>
      </c>
      <c r="K11" s="56">
        <v>3</v>
      </c>
      <c r="L11" s="56">
        <v>0.72</v>
      </c>
      <c r="M11" s="56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6" t="s">
        <v>218</v>
      </c>
      <c r="B12" s="68">
        <v>3</v>
      </c>
      <c r="C12" s="69">
        <f>SUM(((Table1689[[#This Row],[Avg DPS]]*(Table1689[[#This Row],[Range]]))+(Table1689[[#This Row],[Avg DPS]]*Table1689[[#This Row],[Arm Pen (%)]]))/100)</f>
        <v>1.5157500000000002</v>
      </c>
      <c r="D12" s="70">
        <f>SUM(Table1689[[#This Row],[DPS]]*Table1689[[#This Row],[Avg Accuracy]])</f>
        <v>4.6071428571428577</v>
      </c>
      <c r="E12" s="69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6">
        <v>22.9</v>
      </c>
      <c r="G12" s="69">
        <f>SUM((Table1689[[#This Row],[Accuracy (Close)]]+Table1689[[#This Row],[Accuracy (Short)]]+Table1689[[#This Row],[Accuracy (Medium)]]+Table1689[[#This Row],[Accuracy (Long)]])/4)</f>
        <v>0.53750000000000009</v>
      </c>
      <c r="H12" s="56">
        <v>9</v>
      </c>
      <c r="I12" s="56">
        <v>0.5</v>
      </c>
      <c r="J12" s="56">
        <v>10</v>
      </c>
      <c r="K12" s="56">
        <v>1</v>
      </c>
      <c r="L12" s="56">
        <v>0.78</v>
      </c>
      <c r="M12" s="56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6" t="s">
        <v>219</v>
      </c>
      <c r="B13" s="68">
        <v>3</v>
      </c>
      <c r="C13" s="69">
        <f>SUM(((Table1689[[#This Row],[Avg DPS]]*(Table1689[[#This Row],[Range]]))+(Table1689[[#This Row],[Avg DPS]]*Table1689[[#This Row],[Arm Pen (%)]]))/100)</f>
        <v>1.532434090909091</v>
      </c>
      <c r="D13" s="70">
        <f>SUM(Table1689[[#This Row],[DPS]]*Table1689[[#This Row],[Avg Accuracy]])</f>
        <v>4.5204545454545455</v>
      </c>
      <c r="E13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6">
        <v>23.9</v>
      </c>
      <c r="G13" s="69">
        <f>SUM((Table1689[[#This Row],[Accuracy (Close)]]+Table1689[[#This Row],[Accuracy (Short)]]+Table1689[[#This Row],[Accuracy (Medium)]]+Table1689[[#This Row],[Accuracy (Long)]])/4)</f>
        <v>0.55249999999999999</v>
      </c>
      <c r="H13" s="56">
        <v>9</v>
      </c>
      <c r="I13" s="56">
        <v>0.5</v>
      </c>
      <c r="J13" s="56">
        <v>10</v>
      </c>
      <c r="K13" s="56">
        <v>1</v>
      </c>
      <c r="L13" s="56">
        <v>0.8</v>
      </c>
      <c r="M13" s="56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6" t="s">
        <v>220</v>
      </c>
      <c r="B14" s="68">
        <v>3</v>
      </c>
      <c r="C14" s="69">
        <f>SUM(((Table1689[[#This Row],[Avg DPS]]*(Table1689[[#This Row],[Range]]))+(Table1689[[#This Row],[Avg DPS]]*Table1689[[#This Row],[Arm Pen (%)]]))/100)</f>
        <v>1.7280576923076922</v>
      </c>
      <c r="D14" s="70">
        <f>SUM(Table1689[[#This Row],[DPS]]*Table1689[[#This Row],[Avg Accuracy]])</f>
        <v>4.4423076923076925</v>
      </c>
      <c r="E14" s="69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6">
        <v>23.9</v>
      </c>
      <c r="G14" s="69">
        <f>SUM((Table1689[[#This Row],[Accuracy (Close)]]+Table1689[[#This Row],[Accuracy (Short)]]+Table1689[[#This Row],[Accuracy (Medium)]]+Table1689[[#This Row],[Accuracy (Long)]])/4)</f>
        <v>0.52500000000000002</v>
      </c>
      <c r="H14" s="56">
        <v>11</v>
      </c>
      <c r="I14" s="56">
        <v>0.5</v>
      </c>
      <c r="J14" s="56">
        <v>15</v>
      </c>
      <c r="K14" s="56">
        <v>1</v>
      </c>
      <c r="L14" s="56">
        <v>1</v>
      </c>
      <c r="M14" s="56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221</v>
      </c>
      <c r="B15" s="68">
        <v>3</v>
      </c>
      <c r="C15" s="69">
        <f>SUM(((Table1689[[#This Row],[Avg DPS]]*(Table1689[[#This Row],[Range]]))+(Table1689[[#This Row],[Avg DPS]]*Table1689[[#This Row],[Arm Pen (%)]]))/100)</f>
        <v>1.4781000000000004</v>
      </c>
      <c r="D15" s="70">
        <f>SUM(Table1689[[#This Row],[DPS]]*Table1689[[#This Row],[Avg Accuracy]])</f>
        <v>3.9000000000000008</v>
      </c>
      <c r="E15" s="69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69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6">
        <v>0.5</v>
      </c>
      <c r="J15" s="31">
        <v>12</v>
      </c>
      <c r="K15" s="31">
        <v>1</v>
      </c>
      <c r="L15" s="56">
        <v>1.1000000000000001</v>
      </c>
      <c r="M15" s="56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6" t="s">
        <v>222</v>
      </c>
      <c r="B16" s="68">
        <v>3</v>
      </c>
      <c r="C16" s="69">
        <f>SUM(((Table1689[[#This Row],[Avg DPS]]*(Table1689[[#This Row],[Range]]))+(Table1689[[#This Row],[Avg DPS]]*Table1689[[#This Row],[Arm Pen (%)]]))/100)</f>
        <v>1.0459615384615384</v>
      </c>
      <c r="D16" s="70">
        <f>SUM(Table1689[[#This Row],[DPS]]*Table1689[[#This Row],[Avg Accuracy]])</f>
        <v>4.0384615384615383</v>
      </c>
      <c r="E16" s="69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6">
        <v>18.899999999999999</v>
      </c>
      <c r="G16" s="69">
        <f>SUM((Table1689[[#This Row],[Accuracy (Close)]]+Table1689[[#This Row],[Accuracy (Short)]]+Table1689[[#This Row],[Accuracy (Medium)]]+Table1689[[#This Row],[Accuracy (Long)]])/4)</f>
        <v>0.375</v>
      </c>
      <c r="H16" s="56">
        <v>7</v>
      </c>
      <c r="I16" s="56">
        <v>0.5</v>
      </c>
      <c r="J16" s="56">
        <v>7</v>
      </c>
      <c r="K16" s="56">
        <v>1</v>
      </c>
      <c r="L16" s="56">
        <v>0.5</v>
      </c>
      <c r="M16" s="56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6" t="s">
        <v>223</v>
      </c>
      <c r="B17" s="68">
        <v>3</v>
      </c>
      <c r="C17" s="69">
        <f>SUM(((Table1689[[#This Row],[Avg DPS]]*(Table1689[[#This Row],[Range]]))+(Table1689[[#This Row],[Avg DPS]]*Table1689[[#This Row],[Arm Pen (%)]]))/100)</f>
        <v>1.0446780821917807</v>
      </c>
      <c r="D17" s="70">
        <f>SUM(Table1689[[#This Row],[DPS]]*Table1689[[#This Row],[Avg Accuracy]])</f>
        <v>3.8835616438356162</v>
      </c>
      <c r="E17" s="69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6">
        <v>19.899999999999999</v>
      </c>
      <c r="G17" s="69">
        <f>SUM((Table1689[[#This Row],[Accuracy (Close)]]+Table1689[[#This Row],[Accuracy (Short)]]+Table1689[[#This Row],[Accuracy (Medium)]]+Table1689[[#This Row],[Accuracy (Long)]])/4)</f>
        <v>0.40500000000000003</v>
      </c>
      <c r="H17" s="56">
        <v>7</v>
      </c>
      <c r="I17" s="56">
        <v>0.5</v>
      </c>
      <c r="J17" s="56">
        <v>7</v>
      </c>
      <c r="K17" s="56">
        <v>1</v>
      </c>
      <c r="L17" s="56">
        <v>0.56000000000000005</v>
      </c>
      <c r="M17" s="56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6" t="s">
        <v>224</v>
      </c>
      <c r="B18" s="68">
        <v>3</v>
      </c>
      <c r="C18" s="69">
        <f>SUM(((Table1689[[#This Row],[Avg DPS]]*(Table1689[[#This Row],[Range]]))+(Table1689[[#This Row],[Avg DPS]]*Table1689[[#This Row],[Arm Pen (%)]]))/100)</f>
        <v>1.1406818181818181</v>
      </c>
      <c r="D18" s="70">
        <f>SUM(Table1689[[#This Row],[DPS]]*Table1689[[#This Row],[Avg Accuracy]])</f>
        <v>4.7727272727272734</v>
      </c>
      <c r="E18" s="69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6">
        <v>18.899999999999999</v>
      </c>
      <c r="G18" s="69">
        <f>SUM((Table1689[[#This Row],[Accuracy (Close)]]+Table1689[[#This Row],[Accuracy (Short)]]+Table1689[[#This Row],[Accuracy (Medium)]]+Table1689[[#This Row],[Accuracy (Long)]])/4)</f>
        <v>0.43750000000000006</v>
      </c>
      <c r="H18" s="56">
        <v>6</v>
      </c>
      <c r="I18" s="56">
        <v>0.5</v>
      </c>
      <c r="J18" s="56">
        <v>5</v>
      </c>
      <c r="K18" s="56">
        <v>1</v>
      </c>
      <c r="L18" s="56">
        <v>0.4</v>
      </c>
      <c r="M18" s="56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6" t="s">
        <v>226</v>
      </c>
      <c r="B19" s="68">
        <v>3</v>
      </c>
      <c r="C19" s="69">
        <f>SUM(((Table1689[[#This Row],[Avg DPS]]*(Table1689[[#This Row],[Range]]))+(Table1689[[#This Row],[Avg DPS]]*Table1689[[#This Row],[Arm Pen (%)]]))/100)</f>
        <v>1.4411946902654862</v>
      </c>
      <c r="D19" s="70">
        <f>SUM(Table1689[[#This Row],[DPS]]*Table1689[[#This Row],[Avg Accuracy]])</f>
        <v>4.380530973451326</v>
      </c>
      <c r="E19" s="69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6">
        <v>22.9</v>
      </c>
      <c r="G19" s="69">
        <f>SUM((Table1689[[#This Row],[Accuracy (Close)]]+Table1689[[#This Row],[Accuracy (Short)]]+Table1689[[#This Row],[Accuracy (Medium)]]+Table1689[[#This Row],[Accuracy (Long)]])/4)</f>
        <v>0.54999999999999993</v>
      </c>
      <c r="H19" s="56">
        <v>9</v>
      </c>
      <c r="I19" s="56">
        <v>0.5</v>
      </c>
      <c r="J19" s="56">
        <v>10</v>
      </c>
      <c r="K19" s="56">
        <v>1</v>
      </c>
      <c r="L19" s="56">
        <v>0.9</v>
      </c>
      <c r="M19" s="56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6" t="s">
        <v>225</v>
      </c>
      <c r="B20" s="68">
        <v>3</v>
      </c>
      <c r="C20" s="69">
        <f>SUM(((Table1689[[#This Row],[Avg DPS]]*(Table1689[[#This Row],[Range]]))+(Table1689[[#This Row],[Avg DPS]]*Table1689[[#This Row],[Arm Pen (%)]]))/100)</f>
        <v>1.4547521739130433</v>
      </c>
      <c r="D20" s="70">
        <f>SUM(Table1689[[#This Row],[DPS]]*Table1689[[#This Row],[Avg Accuracy]])</f>
        <v>4.4217391304347826</v>
      </c>
      <c r="E20" s="69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6">
        <v>22.9</v>
      </c>
      <c r="G20" s="69">
        <f>SUM((Table1689[[#This Row],[Accuracy (Close)]]+Table1689[[#This Row],[Accuracy (Short)]]+Table1689[[#This Row],[Accuracy (Medium)]]+Table1689[[#This Row],[Accuracy (Long)]])/4)</f>
        <v>0.56499999999999995</v>
      </c>
      <c r="H20" s="56">
        <v>9</v>
      </c>
      <c r="I20" s="56">
        <v>0.5</v>
      </c>
      <c r="J20" s="56">
        <v>10</v>
      </c>
      <c r="K20" s="56">
        <v>1</v>
      </c>
      <c r="L20" s="56">
        <v>0.85</v>
      </c>
      <c r="M20" s="56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6" t="s">
        <v>237</v>
      </c>
      <c r="B21" s="56">
        <v>3</v>
      </c>
      <c r="C21" s="69">
        <f>SUM(((Table1689[[#This Row],[Avg DPS]]*(Table1689[[#This Row],[Range]]))+(Table1689[[#This Row],[Avg DPS]]*Table1689[[#This Row],[Arm Pen (%)]]))/100)</f>
        <v>2.0639552238805972</v>
      </c>
      <c r="D21" s="70">
        <f>SUM(Table1689[[#This Row],[DPS]]*Table1689[[#This Row],[Avg Accuracy]])</f>
        <v>4.7014925373134329</v>
      </c>
      <c r="E21" s="69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6">
        <v>25.9</v>
      </c>
      <c r="G21" s="69">
        <f>SUM((Table1689[[#This Row],[Accuracy (Close)]]+Table1689[[#This Row],[Accuracy (Short)]]+Table1689[[#This Row],[Accuracy (Medium)]]+Table1689[[#This Row],[Accuracy (Long)]])/4)</f>
        <v>0.52500000000000002</v>
      </c>
      <c r="H21" s="56">
        <v>12</v>
      </c>
      <c r="I21" s="56">
        <v>0.5</v>
      </c>
      <c r="J21" s="56">
        <v>18</v>
      </c>
      <c r="K21" s="56">
        <v>1</v>
      </c>
      <c r="L21" s="56">
        <v>1.04</v>
      </c>
      <c r="M21" s="56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283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279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285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284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A27" s="4" t="s">
        <v>361</v>
      </c>
      <c r="B27" s="4">
        <v>4</v>
      </c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A28" s="4"/>
      <c r="B28" s="4"/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A29" s="4"/>
      <c r="B29" s="4"/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A30" s="4"/>
      <c r="B30" s="4"/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A31" s="4"/>
      <c r="B31" s="4"/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A32" s="4"/>
      <c r="B32" s="4"/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1:15">
      <c r="A33" s="4"/>
      <c r="B33" s="4"/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1:15">
      <c r="A34" s="4"/>
      <c r="B34" s="4"/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1:15">
      <c r="A35" s="4"/>
      <c r="B35" s="4"/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1:15">
      <c r="A36" s="4"/>
      <c r="B36" s="4"/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1:15">
      <c r="A37" s="4"/>
      <c r="B37" s="4"/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1:15">
      <c r="A38" s="4"/>
      <c r="B38" s="4"/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1:15">
      <c r="A39" s="4"/>
      <c r="B39" s="4"/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1:15">
      <c r="A40" s="4"/>
      <c r="B40" s="4"/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1:15">
      <c r="A41" s="4"/>
      <c r="B41" s="4"/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1:15">
      <c r="A42" s="4"/>
      <c r="B42" s="4"/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1:15">
      <c r="A43" s="4"/>
      <c r="B43" s="4"/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1:15">
      <c r="A44" s="4"/>
      <c r="B44" s="4"/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1:15">
      <c r="A45" s="4"/>
      <c r="B45" s="4"/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1:15">
      <c r="A46" s="4"/>
      <c r="B46" s="4"/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1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1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440" priority="17" operator="greaterThan">
      <formula>1.731</formula>
    </cfRule>
  </conditionalFormatting>
  <conditionalFormatting sqref="O1:O1048576">
    <cfRule type="cellIs" dxfId="439" priority="16" operator="equal">
      <formula>0</formula>
    </cfRule>
  </conditionalFormatting>
  <conditionalFormatting sqref="G4:G500">
    <cfRule type="cellIs" dxfId="438" priority="12" operator="greaterThanOrEqual">
      <formula>0.57</formula>
    </cfRule>
    <cfRule type="cellIs" dxfId="437" priority="11" stopIfTrue="1" operator="greaterThanOrEqual">
      <formula>0.6</formula>
    </cfRule>
    <cfRule type="cellIs" dxfId="436" priority="10" stopIfTrue="1" operator="greaterThanOrEqual">
      <formula>0.63</formula>
    </cfRule>
    <cfRule type="cellIs" dxfId="435" priority="4" stopIfTrue="1" operator="between">
      <formula>0.47</formula>
      <formula>0.01</formula>
    </cfRule>
    <cfRule type="cellIs" dxfId="434" priority="5" stopIfTrue="1" operator="between">
      <formula>0.5</formula>
      <formula>0.01</formula>
    </cfRule>
    <cfRule type="cellIs" dxfId="433" priority="6" operator="between">
      <formula>0.52</formula>
      <formula>0.01</formula>
    </cfRule>
  </conditionalFormatting>
  <conditionalFormatting sqref="F4:F500">
    <cfRule type="cellIs" dxfId="432" priority="9" operator="between">
      <formula>24.5</formula>
      <formula>0.01</formula>
    </cfRule>
  </conditionalFormatting>
  <conditionalFormatting sqref="F3:F500">
    <cfRule type="cellIs" dxfId="431" priority="8" stopIfTrue="1" operator="between">
      <formula>23.5</formula>
      <formula>0.01</formula>
    </cfRule>
    <cfRule type="cellIs" dxfId="430" priority="7" stopIfTrue="1" operator="between">
      <formula>22.5</formula>
      <formula>0.01</formula>
    </cfRule>
  </conditionalFormatting>
  <conditionalFormatting sqref="E4:E500">
    <cfRule type="cellIs" dxfId="429" priority="1" stopIfTrue="1" operator="between">
      <formula>6.69</formula>
      <formula>0.01</formula>
    </cfRule>
    <cfRule type="cellIs" dxfId="428" priority="2" stopIfTrue="1" operator="between">
      <formula>6.99</formula>
      <formula>0.01</formula>
    </cfRule>
    <cfRule type="cellIs" dxfId="427" priority="3" operator="between">
      <formula>7.32</formula>
      <formula>0.01</formula>
    </cfRule>
    <cfRule type="cellIs" dxfId="426" priority="13" stopIfTrue="1" operator="greaterThanOrEqual">
      <formula>8.84</formula>
    </cfRule>
    <cfRule type="cellIs" dxfId="425" priority="14" stopIfTrue="1" operator="greaterThanOrEqual">
      <formula>8.46</formula>
    </cfRule>
    <cfRule type="cellIs" dxfId="424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E20" sqref="E20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O1" t="s">
        <v>264</v>
      </c>
      <c r="S1" t="s">
        <v>254</v>
      </c>
      <c r="V1" s="36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243</v>
      </c>
      <c r="Y3" t="s">
        <v>242</v>
      </c>
      <c r="Z3" t="s">
        <v>249</v>
      </c>
    </row>
    <row r="4" spans="1:26">
      <c r="A4" s="4" t="s">
        <v>291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266</v>
      </c>
      <c r="Y4" s="52" t="s">
        <v>265</v>
      </c>
      <c r="Z4" t="s">
        <v>251</v>
      </c>
    </row>
    <row r="5" spans="1:26">
      <c r="A5" s="4" t="s">
        <v>292</v>
      </c>
      <c r="B5" s="12" t="s">
        <v>253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251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27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S1" t="s">
        <v>254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311</v>
      </c>
      <c r="U3" t="s">
        <v>72</v>
      </c>
      <c r="V3" t="s">
        <v>73</v>
      </c>
      <c r="W3" t="s">
        <v>315</v>
      </c>
      <c r="X3" s="36" t="s">
        <v>321</v>
      </c>
      <c r="Y3" t="s">
        <v>324</v>
      </c>
      <c r="Z3" t="s">
        <v>316</v>
      </c>
      <c r="AA3" t="s">
        <v>325</v>
      </c>
      <c r="AB3" t="s">
        <v>305</v>
      </c>
      <c r="AC3" t="s">
        <v>242</v>
      </c>
      <c r="AD3" t="s">
        <v>309</v>
      </c>
      <c r="AE3" t="s">
        <v>312</v>
      </c>
      <c r="AF3" t="s">
        <v>249</v>
      </c>
    </row>
    <row r="4" spans="1:32">
      <c r="A4" t="s">
        <v>332</v>
      </c>
      <c r="B4" s="36" t="s">
        <v>303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322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347</v>
      </c>
      <c r="AD4" s="52" t="s">
        <v>87</v>
      </c>
      <c r="AE4" s="52">
        <v>0</v>
      </c>
      <c r="AF4" t="s">
        <v>306</v>
      </c>
    </row>
    <row r="5" spans="1:32">
      <c r="A5" t="s">
        <v>333</v>
      </c>
      <c r="B5" s="36" t="s">
        <v>303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323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348</v>
      </c>
      <c r="AD5" s="52" t="s">
        <v>87</v>
      </c>
      <c r="AE5" s="52">
        <v>0</v>
      </c>
      <c r="AF5" t="s">
        <v>306</v>
      </c>
    </row>
    <row r="6" spans="1:32">
      <c r="A6" s="14" t="s">
        <v>330</v>
      </c>
      <c r="B6" s="12" t="s">
        <v>303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322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342</v>
      </c>
      <c r="AD6" s="52" t="s">
        <v>86</v>
      </c>
      <c r="AE6" s="52">
        <v>0</v>
      </c>
      <c r="AF6" t="s">
        <v>306</v>
      </c>
    </row>
    <row r="7" spans="1:32">
      <c r="A7" s="14" t="s">
        <v>331</v>
      </c>
      <c r="B7" s="12" t="s">
        <v>303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322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340</v>
      </c>
      <c r="AD7" s="52" t="s">
        <v>86</v>
      </c>
      <c r="AE7" s="52">
        <v>0</v>
      </c>
      <c r="AF7" t="s">
        <v>306</v>
      </c>
    </row>
    <row r="8" spans="1:32">
      <c r="A8" s="4" t="s">
        <v>317</v>
      </c>
      <c r="B8" s="12" t="s">
        <v>303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322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341</v>
      </c>
      <c r="AD8" s="52" t="s">
        <v>86</v>
      </c>
      <c r="AE8" s="52">
        <v>0</v>
      </c>
      <c r="AF8" t="s">
        <v>306</v>
      </c>
    </row>
    <row r="9" spans="1:32">
      <c r="A9" t="s">
        <v>319</v>
      </c>
      <c r="B9" s="36" t="s">
        <v>303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322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346</v>
      </c>
      <c r="AD9" s="52" t="s">
        <v>87</v>
      </c>
      <c r="AE9" s="52">
        <v>-150</v>
      </c>
      <c r="AF9" t="s">
        <v>307</v>
      </c>
    </row>
    <row r="10" spans="1:32" s="62" customFormat="1">
      <c r="A10" s="7" t="s">
        <v>318</v>
      </c>
      <c r="B10" s="36" t="s">
        <v>303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322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320</v>
      </c>
      <c r="AD10" s="66" t="s">
        <v>87</v>
      </c>
      <c r="AE10" s="66">
        <v>-200</v>
      </c>
      <c r="AF10" t="s">
        <v>307</v>
      </c>
    </row>
    <row r="11" spans="1:32">
      <c r="A11" s="1" t="s">
        <v>334</v>
      </c>
      <c r="B11" s="36" t="s">
        <v>303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322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344</v>
      </c>
      <c r="AD11" s="52" t="s">
        <v>87</v>
      </c>
      <c r="AE11" s="52">
        <v>-100</v>
      </c>
      <c r="AF11" t="s">
        <v>307</v>
      </c>
    </row>
    <row r="12" spans="1:32">
      <c r="A12" s="14" t="s">
        <v>335</v>
      </c>
      <c r="B12" s="12" t="s">
        <v>303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322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343</v>
      </c>
      <c r="AD12" s="52" t="s">
        <v>87</v>
      </c>
      <c r="AE12" s="52">
        <v>-100</v>
      </c>
      <c r="AF12" t="s">
        <v>307</v>
      </c>
    </row>
    <row r="13" spans="1:32">
      <c r="A13" s="62" t="s">
        <v>308</v>
      </c>
      <c r="B13" s="63" t="s">
        <v>35</v>
      </c>
      <c r="C13" s="64">
        <f>SUM(((Table16810111245[[#This Row],[Avg DPS]]*(Table16810111245[[#This Row],[Range]]))+(Table16810111245[[#This Row],[Avg DPS]]*Table16810111245[[#This Row],[Arm Pen (%)]]))/100)</f>
        <v>7.8369750262085036</v>
      </c>
      <c r="D13" s="64">
        <f>SUM(Table16810111245[[#This Row],[DPS]]*Table16810111245[[#This Row],[Avg Accuracy]])</f>
        <v>10.750308677926618</v>
      </c>
      <c r="E13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2">
        <v>32.9</v>
      </c>
      <c r="G13" s="64">
        <f>SUM((Table16810111245[[#This Row],[Accuracy (Close)]]+Table16810111245[[#This Row],[Accuracy (Short)]]+Table16810111245[[#This Row],[Accuracy (Medium)]]+Table16810111245[[#This Row],[Accuracy (Long)]])/4)</f>
        <v>0.54</v>
      </c>
      <c r="H13" s="62">
        <v>27</v>
      </c>
      <c r="I13" s="62">
        <v>0.5</v>
      </c>
      <c r="J13" s="62">
        <v>40</v>
      </c>
      <c r="K13" s="62">
        <v>3</v>
      </c>
      <c r="L13" s="62">
        <v>3.5</v>
      </c>
      <c r="M13" s="62">
        <v>0</v>
      </c>
      <c r="N13" s="62">
        <v>211</v>
      </c>
      <c r="O13" s="64">
        <f>60/N13</f>
        <v>0.28436018957345971</v>
      </c>
      <c r="P13" s="62">
        <v>0.28000000000000003</v>
      </c>
      <c r="Q13" s="62">
        <v>0.72</v>
      </c>
      <c r="R13" s="62">
        <v>0.66</v>
      </c>
      <c r="S13" s="62">
        <v>0.5</v>
      </c>
      <c r="T13" s="62">
        <v>8.9</v>
      </c>
      <c r="U13" s="62">
        <v>88</v>
      </c>
      <c r="V13" s="62">
        <v>100</v>
      </c>
      <c r="W13" s="62">
        <v>180</v>
      </c>
      <c r="X13" s="63" t="s">
        <v>322</v>
      </c>
      <c r="Y13" s="62">
        <v>90</v>
      </c>
      <c r="Z13" s="62">
        <v>30</v>
      </c>
      <c r="AA13" s="64">
        <f>Table16810111245[[#This Row],[Ammo]]/Table16810111245[[#This Row],[Rearm Cost]]</f>
        <v>0.5</v>
      </c>
      <c r="AB13" s="62">
        <v>1217</v>
      </c>
      <c r="AC13" s="65" t="s">
        <v>310</v>
      </c>
      <c r="AD13" s="65" t="s">
        <v>87</v>
      </c>
      <c r="AE13" s="65">
        <v>-150</v>
      </c>
      <c r="AF13" s="62" t="s">
        <v>307</v>
      </c>
    </row>
    <row r="14" spans="1:32">
      <c r="A14" s="62" t="s">
        <v>304</v>
      </c>
      <c r="B14" s="63" t="s">
        <v>35</v>
      </c>
      <c r="C14" s="64">
        <f>SUM(((Table16810111245[[#This Row],[Avg DPS]]*(Table16810111245[[#This Row],[Range]]))+(Table16810111245[[#This Row],[Avg DPS]]*Table16810111245[[#This Row],[Arm Pen (%)]]))/100)</f>
        <v>1.2320756756756757</v>
      </c>
      <c r="D14" s="64">
        <f>SUM(Table16810111245[[#This Row],[DPS]]*Table16810111245[[#This Row],[Avg Accuracy]])</f>
        <v>2.6270270270270273</v>
      </c>
      <c r="E14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2">
        <v>28.9</v>
      </c>
      <c r="G14" s="64">
        <f>SUM((Table16810111245[[#This Row],[Accuracy (Close)]]+Table16810111245[[#This Row],[Accuracy (Short)]]+Table16810111245[[#This Row],[Accuracy (Medium)]]+Table16810111245[[#This Row],[Accuracy (Long)]])/4)</f>
        <v>0.54</v>
      </c>
      <c r="H14" s="62">
        <v>12</v>
      </c>
      <c r="I14" s="62">
        <v>0.5</v>
      </c>
      <c r="J14" s="62">
        <v>18</v>
      </c>
      <c r="K14" s="62">
        <v>2</v>
      </c>
      <c r="L14" s="62">
        <v>4.8</v>
      </c>
      <c r="M14" s="62">
        <v>0</v>
      </c>
      <c r="N14" s="62">
        <v>450</v>
      </c>
      <c r="O14" s="64">
        <f>60/N14</f>
        <v>0.13333333333333333</v>
      </c>
      <c r="P14" s="62">
        <v>0.77</v>
      </c>
      <c r="Q14" s="62">
        <v>0.7</v>
      </c>
      <c r="R14" s="62">
        <v>0.45</v>
      </c>
      <c r="S14" s="62">
        <v>0.24</v>
      </c>
      <c r="T14" s="62">
        <v>0</v>
      </c>
      <c r="U14" s="62">
        <v>70</v>
      </c>
      <c r="V14" s="62">
        <v>13</v>
      </c>
      <c r="W14" s="62">
        <v>80</v>
      </c>
      <c r="X14" s="63" t="s">
        <v>322</v>
      </c>
      <c r="Y14" s="62">
        <v>60</v>
      </c>
      <c r="Z14" s="62">
        <v>30</v>
      </c>
      <c r="AA14" s="64">
        <f>Table16810111245[[#This Row],[Ammo]]/Table16810111245[[#This Row],[Rearm Cost]]</f>
        <v>0.75</v>
      </c>
      <c r="AB14" s="62">
        <v>197</v>
      </c>
      <c r="AC14" s="65" t="s">
        <v>326</v>
      </c>
      <c r="AD14" s="65" t="s">
        <v>86</v>
      </c>
      <c r="AE14" s="65">
        <v>-80</v>
      </c>
      <c r="AF14" s="62" t="s">
        <v>307</v>
      </c>
    </row>
    <row r="15" spans="1:32">
      <c r="A15" s="62" t="s">
        <v>313</v>
      </c>
      <c r="B15" s="63" t="s">
        <v>35</v>
      </c>
      <c r="C15" s="64">
        <f>SUM(((Table16810111245[[#This Row],[Avg DPS]]*(Table16810111245[[#This Row],[Range]]))+(Table16810111245[[#This Row],[Avg DPS]]*Table16810111245[[#This Row],[Arm Pen (%)]]))/100)</f>
        <v>10.6616640625</v>
      </c>
      <c r="D15" s="64">
        <f>SUM(Table16810111245[[#This Row],[DPS]]*Table16810111245[[#This Row],[Avg Accuracy]])</f>
        <v>8.3359375</v>
      </c>
      <c r="E15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2">
        <v>45.9</v>
      </c>
      <c r="G15" s="6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2">
        <v>55</v>
      </c>
      <c r="I15" s="62">
        <v>0.5</v>
      </c>
      <c r="J15" s="62">
        <v>82</v>
      </c>
      <c r="K15" s="62">
        <v>1</v>
      </c>
      <c r="L15" s="62">
        <v>3.2</v>
      </c>
      <c r="M15" s="62">
        <v>0</v>
      </c>
      <c r="N15" s="62">
        <v>0</v>
      </c>
      <c r="O15" s="64">
        <v>3.2</v>
      </c>
      <c r="P15" s="62">
        <v>0.22</v>
      </c>
      <c r="Q15" s="62">
        <v>0.33</v>
      </c>
      <c r="R15" s="62">
        <v>0.44</v>
      </c>
      <c r="S15" s="62">
        <v>0.95</v>
      </c>
      <c r="T15" s="62">
        <v>11.9</v>
      </c>
      <c r="U15" s="62">
        <v>120</v>
      </c>
      <c r="V15" s="62">
        <v>40</v>
      </c>
      <c r="W15" s="62">
        <v>60</v>
      </c>
      <c r="X15" s="63" t="s">
        <v>349</v>
      </c>
      <c r="Y15" s="62">
        <v>30</v>
      </c>
      <c r="Z15" s="62">
        <v>30</v>
      </c>
      <c r="AA15" s="64">
        <f>Table16810111245[[#This Row],[Ammo]]/Table16810111245[[#This Row],[Rearm Cost]]</f>
        <v>0.5</v>
      </c>
      <c r="AB15" s="62">
        <v>1602</v>
      </c>
      <c r="AC15" s="65" t="s">
        <v>314</v>
      </c>
      <c r="AD15" s="65" t="s">
        <v>87</v>
      </c>
      <c r="AE15" s="65">
        <v>-150</v>
      </c>
      <c r="AF15" s="62" t="s">
        <v>307</v>
      </c>
    </row>
    <row r="16" spans="1:32" s="4" customFormat="1">
      <c r="A16" t="s">
        <v>327</v>
      </c>
      <c r="B16" s="36" t="s">
        <v>303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322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329</v>
      </c>
      <c r="AD16" s="52" t="s">
        <v>86</v>
      </c>
      <c r="AE16" s="52">
        <v>0</v>
      </c>
      <c r="AF16" t="s">
        <v>306</v>
      </c>
    </row>
    <row r="17" spans="1:32">
      <c r="A17" s="7" t="s">
        <v>339</v>
      </c>
      <c r="B17" s="36" t="s">
        <v>303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322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328</v>
      </c>
      <c r="AD17" s="52" t="s">
        <v>86</v>
      </c>
      <c r="AE17" s="52">
        <v>0</v>
      </c>
      <c r="AF17" t="s">
        <v>306</v>
      </c>
    </row>
    <row r="18" spans="1:32">
      <c r="A18" t="s">
        <v>336</v>
      </c>
      <c r="B18" s="36" t="s">
        <v>303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322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345</v>
      </c>
      <c r="AD18" s="52" t="s">
        <v>87</v>
      </c>
      <c r="AE18" s="52">
        <v>-200</v>
      </c>
      <c r="AF18" t="s">
        <v>307</v>
      </c>
    </row>
    <row r="19" spans="1:32">
      <c r="A19" t="s">
        <v>337</v>
      </c>
      <c r="B19" s="36" t="s">
        <v>303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338</v>
      </c>
      <c r="AD19" s="52" t="s">
        <v>86</v>
      </c>
      <c r="AE19" s="52">
        <v>-200</v>
      </c>
      <c r="AF19" t="s">
        <v>307</v>
      </c>
    </row>
    <row r="20" spans="1:32">
      <c r="A20" t="s">
        <v>354</v>
      </c>
      <c r="B20" s="36" t="s">
        <v>303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355</v>
      </c>
      <c r="AD20" s="52" t="s">
        <v>86</v>
      </c>
      <c r="AE20" s="52">
        <v>0</v>
      </c>
      <c r="AF20" t="s">
        <v>307</v>
      </c>
    </row>
    <row r="21" spans="1:32">
      <c r="A21" t="s">
        <v>353</v>
      </c>
      <c r="B21" s="36" t="s">
        <v>303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355</v>
      </c>
      <c r="AD21" s="52" t="s">
        <v>86</v>
      </c>
      <c r="AE21" s="52">
        <v>0</v>
      </c>
      <c r="AF21" t="s">
        <v>307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6"/>
      <c r="AE26" s="66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B17" sqref="B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7" t="s">
        <v>75</v>
      </c>
      <c r="B4" s="68">
        <v>1</v>
      </c>
      <c r="C4" s="69">
        <f>SUM(((Table16810111213[[#This Row],[Avg DPS]]*(Table16810111213[[#This Row],[Range]]))+(Table16810111213[[#This Row],[Avg DPS]]*Table16810111213[[#This Row],[Arm Pen (%)]]))/100)</f>
        <v>1.8259500000000002</v>
      </c>
      <c r="D4" s="70">
        <f>SUM(Table16810111213[[#This Row],[DPS]]*Table16810111213[[#This Row],[Avg Accuracy]])</f>
        <v>5.5500000000000007</v>
      </c>
      <c r="E4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6">
        <v>17.899999999999999</v>
      </c>
      <c r="G4" s="69">
        <f>SUM((Table16810111213[[#This Row],[Accuracy (Close)]]+Table16810111213[[#This Row],[Accuracy (Short)]]+Table16810111213[[#This Row],[Accuracy (Medium)]]+Table16810111213[[#This Row],[Accuracy (Long)]])/4)</f>
        <v>0.74</v>
      </c>
      <c r="H4" s="56">
        <v>21</v>
      </c>
      <c r="I4" s="56">
        <v>3</v>
      </c>
      <c r="J4" s="56">
        <v>15</v>
      </c>
      <c r="K4" s="56">
        <v>1</v>
      </c>
      <c r="L4" s="56">
        <v>2.1</v>
      </c>
      <c r="M4" s="56">
        <v>0.7</v>
      </c>
      <c r="N4" s="56">
        <v>0</v>
      </c>
      <c r="O4" s="69">
        <v>2.1</v>
      </c>
      <c r="P4" s="56">
        <v>0.85</v>
      </c>
      <c r="Q4" s="56">
        <v>0.91</v>
      </c>
      <c r="R4" s="56">
        <v>0.79</v>
      </c>
      <c r="S4" s="56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1" t="s">
        <v>277</v>
      </c>
      <c r="B5" s="68">
        <v>2</v>
      </c>
      <c r="C5" s="69">
        <f>SUM(((Table16810111213[[#This Row],[Avg DPS]]*(Table16810111213[[#This Row],[Range]]))+(Table16810111213[[#This Row],[Avg DPS]]*Table16810111213[[#This Row],[Arm Pen (%)]]))/100)</f>
        <v>1.4337599999999997</v>
      </c>
      <c r="D5" s="70">
        <f>SUM(Table16810111213[[#This Row],[DPS]]*Table16810111213[[#This Row],[Avg Accuracy]])</f>
        <v>4.6399999999999997</v>
      </c>
      <c r="E5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6">
        <v>18.899999999999999</v>
      </c>
      <c r="G5" s="69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6">
        <v>16</v>
      </c>
      <c r="I5" s="56">
        <v>2</v>
      </c>
      <c r="J5" s="56">
        <v>12</v>
      </c>
      <c r="K5" s="56">
        <v>1</v>
      </c>
      <c r="L5" s="56">
        <v>1.5</v>
      </c>
      <c r="M5" s="56">
        <v>1</v>
      </c>
      <c r="N5" s="56">
        <v>0</v>
      </c>
      <c r="O5" s="69">
        <v>1.3</v>
      </c>
      <c r="P5" s="56">
        <v>0.8</v>
      </c>
      <c r="Q5" s="56">
        <v>0.9</v>
      </c>
      <c r="R5" s="56">
        <v>0.8</v>
      </c>
      <c r="S5" s="56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6" t="s">
        <v>278</v>
      </c>
      <c r="B6" s="68">
        <v>2</v>
      </c>
      <c r="C6" s="69">
        <f>SUM(((Table16810111213[[#This Row],[Avg DPS]]*(Table16810111213[[#This Row],[Range]]))+(Table16810111213[[#This Row],[Avg DPS]]*Table16810111213[[#This Row],[Arm Pen (%)]]))/100)</f>
        <v>1.9347900000000002</v>
      </c>
      <c r="D6" s="70">
        <f>SUM(Table16810111213[[#This Row],[DPS]]*Table16810111213[[#This Row],[Avg Accuracy]])</f>
        <v>5.2433333333333341</v>
      </c>
      <c r="E6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6">
        <v>18.899999999999999</v>
      </c>
      <c r="G6" s="69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6">
        <v>22</v>
      </c>
      <c r="I6" s="56">
        <v>3</v>
      </c>
      <c r="J6" s="56">
        <v>18</v>
      </c>
      <c r="K6" s="56">
        <v>1</v>
      </c>
      <c r="L6" s="56">
        <v>1.8</v>
      </c>
      <c r="M6" s="56">
        <v>1.2</v>
      </c>
      <c r="N6" s="56">
        <v>0</v>
      </c>
      <c r="O6" s="69">
        <v>1.6</v>
      </c>
      <c r="P6" s="56">
        <v>0.8</v>
      </c>
      <c r="Q6" s="56">
        <v>0.88</v>
      </c>
      <c r="R6" s="56">
        <v>0.79</v>
      </c>
      <c r="S6" s="56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1" t="s">
        <v>289</v>
      </c>
      <c r="B7" s="68">
        <v>4</v>
      </c>
      <c r="C7" s="69" t="e">
        <f>SUM(((Table16810111213[[#This Row],[Avg DPS]]*(Table16810111213[[#This Row],[Range]]))+(Table16810111213[[#This Row],[Avg DPS]]*Table16810111213[[#This Row],[Arm Pen (%)]]))/100)</f>
        <v>#DIV/0!</v>
      </c>
      <c r="D7" s="70" t="e">
        <f>SUM(Table16810111213[[#This Row],[DPS]]*Table16810111213[[#This Row],[Avg Accuracy]])</f>
        <v>#DIV/0!</v>
      </c>
      <c r="E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6"/>
      <c r="G7" s="69">
        <f>SUM((Table16810111213[[#This Row],[Accuracy (Close)]]+Table16810111213[[#This Row],[Accuracy (Short)]]+Table16810111213[[#This Row],[Accuracy (Medium)]]+Table16810111213[[#This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>60/N7</f>
        <v>#DIV/0!</v>
      </c>
      <c r="P7" s="56"/>
      <c r="Q7" s="56"/>
      <c r="R7" s="56"/>
      <c r="S7" s="56"/>
      <c r="T7" s="73"/>
      <c r="U7" s="74"/>
      <c r="V7" s="56" t="s">
        <v>86</v>
      </c>
      <c r="W7" s="53" t="e">
        <f>Table16810111213[[#This Row],[Balance]]*$W$1</f>
        <v>#DIV/0!</v>
      </c>
    </row>
    <row r="8" spans="1:23">
      <c r="A8" s="56" t="s">
        <v>290</v>
      </c>
      <c r="B8" s="68">
        <v>4</v>
      </c>
      <c r="C8" s="69" t="e">
        <f>SUM(((Table16810111213[[#This Row],[Avg DPS]]*(Table16810111213[[#This Row],[Range]]))+(Table16810111213[[#This Row],[Avg DPS]]*Table16810111213[[#This Row],[Arm Pen (%)]]))/100)</f>
        <v>#DIV/0!</v>
      </c>
      <c r="D8" s="70" t="e">
        <f>SUM(Table16810111213[[#This Row],[DPS]]*Table16810111213[[#This Row],[Avg Accuracy]])</f>
        <v>#DIV/0!</v>
      </c>
      <c r="E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6"/>
      <c r="G8" s="69">
        <f>SUM((Table16810111213[[#This Row],[Accuracy (Close)]]+Table16810111213[[#This Row],[Accuracy (Short)]]+Table16810111213[[#This Row],[Accuracy (Medium)]]+Table16810111213[[#This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>60/N8</f>
        <v>#DIV/0!</v>
      </c>
      <c r="P8" s="56"/>
      <c r="Q8" s="56"/>
      <c r="R8" s="56"/>
      <c r="S8" s="56"/>
      <c r="T8" s="73"/>
      <c r="U8" s="74"/>
      <c r="V8" s="56" t="s">
        <v>87</v>
      </c>
      <c r="W8" s="53" t="e">
        <f>Table16810111213[[#This Row],[Balance]]*$W$1</f>
        <v>#DIV/0!</v>
      </c>
    </row>
    <row r="9" spans="1:23">
      <c r="A9" s="75" t="s">
        <v>43</v>
      </c>
      <c r="B9" s="76" t="s">
        <v>35</v>
      </c>
      <c r="C9" s="69">
        <f>SUM(((Table16810111213[[#This Row],[Avg DPS]]*(Table16810111213[[#This Row],[Range]]))+(Table16810111213[[#This Row],[Avg DPS]]*Table16810111213[[#This Row],[Arm Pen (%)]]))/100)</f>
        <v>1.9275069767441864</v>
      </c>
      <c r="D9" s="70">
        <f>SUM(Table16810111213[[#This Row],[DPS]]*Table16810111213[[#This Row],[Avg Accuracy]])</f>
        <v>6.4465116279069772</v>
      </c>
      <c r="E9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6">
        <v>15.9</v>
      </c>
      <c r="G9" s="69">
        <f>SUM((Table16810111213[[#This Row],[Accuracy (Close)]]+Table16810111213[[#This Row],[Accuracy (Short)]]+Table16810111213[[#This Row],[Accuracy (Medium)]]+Table16810111213[[#This Row],[Accuracy (Long)]])/4)</f>
        <v>0.77</v>
      </c>
      <c r="H9" s="56">
        <v>18</v>
      </c>
      <c r="I9" s="56">
        <v>3</v>
      </c>
      <c r="J9" s="56">
        <v>14</v>
      </c>
      <c r="K9" s="56">
        <v>1</v>
      </c>
      <c r="L9" s="56">
        <v>1.25</v>
      </c>
      <c r="M9" s="56">
        <v>0.9</v>
      </c>
      <c r="N9" s="56">
        <v>0</v>
      </c>
      <c r="O9" s="69">
        <v>1.25</v>
      </c>
      <c r="P9" s="56">
        <v>0.8</v>
      </c>
      <c r="Q9" s="56">
        <v>0.87</v>
      </c>
      <c r="R9" s="56">
        <v>0.77</v>
      </c>
      <c r="S9" s="56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68" t="s">
        <v>372</v>
      </c>
      <c r="B10" s="78">
        <v>4</v>
      </c>
      <c r="C10" s="69" t="e">
        <f>SUM(((Table16810111213[[#This Row],[Avg DPS]]*(Table16810111213[[#This Row],[Range]]))+(Table16810111213[[#This Row],[Avg DPS]]*Table16810111213[[#This Row],[Arm Pen (%)]]))/100)</f>
        <v>#DIV/0!</v>
      </c>
      <c r="D10" s="70" t="e">
        <f>SUM(Table16810111213[[#This Row],[DPS]]*Table16810111213[[#This Row],[Avg Accuracy]])</f>
        <v>#DIV/0!</v>
      </c>
      <c r="E10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6"/>
      <c r="G10" s="69">
        <f>SUM((Table16810111213[[#This Row],[Accuracy (Close)]]+Table16810111213[[#This Row],[Accuracy (Short)]]+Table16810111213[[#This Row],[Accuracy (Medium)]]+Table16810111213[[#This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0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Table16810111213[[#This Row],[Balance]]*$W$1</f>
        <v>#DIV/0!</v>
      </c>
    </row>
    <row r="11" spans="1:23">
      <c r="A11" s="68"/>
      <c r="B11" s="68"/>
      <c r="C11" s="69" t="e">
        <f>SUM(((Table16810111213[[#This Row],[Avg DPS]]*(Table16810111213[[#This Row],[Range]]))+(Table16810111213[[#This Row],[Avg DPS]]*Table16810111213[[#This Row],[Arm Pen (%)]]))/100)</f>
        <v>#DIV/0!</v>
      </c>
      <c r="D11" s="70" t="e">
        <f>SUM(Table16810111213[[#This Row],[DPS]]*Table16810111213[[#This Row],[Avg Accuracy]])</f>
        <v>#DIV/0!</v>
      </c>
      <c r="E11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6"/>
      <c r="G11" s="69">
        <f>SUM((Table16810111213[[#This Row],[Accuracy (Close)]]+Table16810111213[[#This Row],[Accuracy (Short)]]+Table16810111213[[#This Row],[Accuracy (Medium)]]+Table16810111213[[#This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0"/>
        <v>#DIV/0!</v>
      </c>
      <c r="P11" s="56"/>
      <c r="Q11" s="56"/>
      <c r="R11" s="56"/>
      <c r="S11" s="56"/>
      <c r="T11" s="56"/>
      <c r="U11" s="56"/>
      <c r="V11" s="56"/>
      <c r="W11" s="53" t="e">
        <f>Table16810111213[[#This Row],[Balance]]*$W$1</f>
        <v>#DIV/0!</v>
      </c>
    </row>
    <row r="12" spans="1:23">
      <c r="A12" s="68"/>
      <c r="B12" s="68"/>
      <c r="C12" s="69" t="e">
        <f>SUM(((Table16810111213[[#This Row],[Avg DPS]]*(Table16810111213[[#This Row],[Range]]))+(Table16810111213[[#This Row],[Avg DPS]]*Table16810111213[[#This Row],[Arm Pen (%)]]))/100)</f>
        <v>#DIV/0!</v>
      </c>
      <c r="D12" s="70" t="e">
        <f>SUM(Table16810111213[[#This Row],[DPS]]*Table16810111213[[#This Row],[Avg Accuracy]])</f>
        <v>#DIV/0!</v>
      </c>
      <c r="E12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6"/>
      <c r="G12" s="69">
        <f>SUM((Table16810111213[[#This Row],[Accuracy (Close)]]+Table16810111213[[#This Row],[Accuracy (Short)]]+Table16810111213[[#This Row],[Accuracy (Medium)]]+Table16810111213[[#This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0"/>
        <v>#DIV/0!</v>
      </c>
      <c r="P12" s="56"/>
      <c r="Q12" s="56"/>
      <c r="R12" s="56"/>
      <c r="S12" s="56"/>
      <c r="T12" s="56"/>
      <c r="U12" s="56"/>
      <c r="V12" s="56"/>
      <c r="W12" s="53" t="e">
        <f>Table16810111213[[#This Row],[Balance]]*$W$1</f>
        <v>#DIV/0!</v>
      </c>
    </row>
    <row r="13" spans="1:23">
      <c r="A13" s="68"/>
      <c r="B13" s="68"/>
      <c r="C13" s="69" t="e">
        <f>SUM(((Table16810111213[[#This Row],[Avg DPS]]*(Table16810111213[[#This Row],[Range]]))+(Table16810111213[[#This Row],[Avg DPS]]*Table16810111213[[#This Row],[Arm Pen (%)]]))/100)</f>
        <v>#DIV/0!</v>
      </c>
      <c r="D13" s="70" t="e">
        <f>SUM(Table16810111213[[#This Row],[DPS]]*Table16810111213[[#This Row],[Avg Accuracy]])</f>
        <v>#DIV/0!</v>
      </c>
      <c r="E13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6"/>
      <c r="G13" s="69">
        <f>SUM((Table16810111213[[#This Row],[Accuracy (Close)]]+Table16810111213[[#This Row],[Accuracy (Short)]]+Table16810111213[[#This Row],[Accuracy (Medium)]]+Table16810111213[[#This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0"/>
        <v>#DIV/0!</v>
      </c>
      <c r="P13" s="56"/>
      <c r="Q13" s="56"/>
      <c r="R13" s="56"/>
      <c r="S13" s="56"/>
      <c r="T13" s="56"/>
      <c r="U13" s="56"/>
      <c r="V13" s="56"/>
      <c r="W13" s="53" t="e">
        <f>Table16810111213[[#This Row],[Balance]]*$W$1</f>
        <v>#DIV/0!</v>
      </c>
    </row>
    <row r="14" spans="1:23">
      <c r="A14" s="68"/>
      <c r="B14" s="68"/>
      <c r="C14" s="69" t="e">
        <f>SUM(((Table16810111213[[#This Row],[Avg DPS]]*(Table16810111213[[#This Row],[Range]]))+(Table16810111213[[#This Row],[Avg DPS]]*Table16810111213[[#This Row],[Arm Pen (%)]]))/100)</f>
        <v>#DIV/0!</v>
      </c>
      <c r="D14" s="70" t="e">
        <f>SUM(Table16810111213[[#This Row],[DPS]]*Table16810111213[[#This Row],[Avg Accuracy]])</f>
        <v>#DIV/0!</v>
      </c>
      <c r="E14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6"/>
      <c r="G14" s="69">
        <f>SUM((Table16810111213[[#This Row],[Accuracy (Close)]]+Table16810111213[[#This Row],[Accuracy (Short)]]+Table16810111213[[#This Row],[Accuracy (Medium)]]+Table16810111213[[#This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0"/>
        <v>#DIV/0!</v>
      </c>
      <c r="P14" s="56"/>
      <c r="Q14" s="56"/>
      <c r="R14" s="56"/>
      <c r="S14" s="56"/>
      <c r="T14" s="56"/>
      <c r="U14" s="56"/>
      <c r="V14" s="56"/>
      <c r="W14" s="53" t="e">
        <f>Table16810111213[[#This Row],[Balance]]*$W$1</f>
        <v>#DIV/0!</v>
      </c>
    </row>
    <row r="15" spans="1:23">
      <c r="A15" s="68"/>
      <c r="B15" s="68"/>
      <c r="C15" s="69" t="e">
        <f>SUM(((Table16810111213[[#This Row],[Avg DPS]]*(Table16810111213[[#This Row],[Range]]))+(Table16810111213[[#This Row],[Avg DPS]]*Table16810111213[[#This Row],[Arm Pen (%)]]))/100)</f>
        <v>#DIV/0!</v>
      </c>
      <c r="D15" s="70" t="e">
        <f>SUM(Table16810111213[[#This Row],[DPS]]*Table16810111213[[#This Row],[Avg Accuracy]])</f>
        <v>#DIV/0!</v>
      </c>
      <c r="E15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6"/>
      <c r="G15" s="69">
        <f>SUM((Table16810111213[[#This Row],[Accuracy (Close)]]+Table16810111213[[#This Row],[Accuracy (Short)]]+Table16810111213[[#This Row],[Accuracy (Medium)]]+Table16810111213[[#This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0"/>
        <v>#DIV/0!</v>
      </c>
      <c r="P15" s="56"/>
      <c r="Q15" s="56"/>
      <c r="R15" s="56"/>
      <c r="S15" s="56"/>
      <c r="T15" s="56"/>
      <c r="U15" s="56"/>
      <c r="V15" s="56"/>
      <c r="W15" s="53" t="e">
        <f>Table16810111213[[#This Row],[Balance]]*$W$1</f>
        <v>#DIV/0!</v>
      </c>
    </row>
    <row r="16" spans="1:23">
      <c r="A16" s="68"/>
      <c r="B16" s="68"/>
      <c r="C16" s="69" t="e">
        <f>SUM(((Table16810111213[[#This Row],[Avg DPS]]*(Table16810111213[[#This Row],[Range]]))+(Table16810111213[[#This Row],[Avg DPS]]*Table16810111213[[#This Row],[Arm Pen (%)]]))/100)</f>
        <v>#DIV/0!</v>
      </c>
      <c r="D16" s="70" t="e">
        <f>SUM(Table16810111213[[#This Row],[DPS]]*Table16810111213[[#This Row],[Avg Accuracy]])</f>
        <v>#DIV/0!</v>
      </c>
      <c r="E16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6"/>
      <c r="G16" s="69">
        <f>SUM((Table16810111213[[#This Row],[Accuracy (Close)]]+Table16810111213[[#This Row],[Accuracy (Short)]]+Table16810111213[[#This Row],[Accuracy (Medium)]]+Table16810111213[[#This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0"/>
        <v>#DIV/0!</v>
      </c>
      <c r="P16" s="56"/>
      <c r="Q16" s="56"/>
      <c r="R16" s="56"/>
      <c r="S16" s="56"/>
      <c r="T16" s="56"/>
      <c r="U16" s="56"/>
      <c r="V16" s="56"/>
      <c r="W16" s="53" t="e">
        <f>Table16810111213[[#This Row],[Balance]]*$W$1</f>
        <v>#DIV/0!</v>
      </c>
    </row>
    <row r="17" spans="1:23" s="4" customFormat="1">
      <c r="A17" s="68"/>
      <c r="B17" s="68"/>
      <c r="C17" s="69" t="e">
        <f>SUM(((Table16810111213[[#This Row],[Avg DPS]]*(Table16810111213[[#This Row],[Range]]))+(Table16810111213[[#This Row],[Avg DPS]]*Table16810111213[[#This Row],[Arm Pen (%)]]))/100)</f>
        <v>#DIV/0!</v>
      </c>
      <c r="D17" s="70" t="e">
        <f>SUM(Table16810111213[[#This Row],[DPS]]*Table16810111213[[#This Row],[Avg Accuracy]])</f>
        <v>#DIV/0!</v>
      </c>
      <c r="E1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6"/>
      <c r="G17" s="69">
        <f>SUM((Table16810111213[[#This Row],[Accuracy (Close)]]+Table16810111213[[#This Row],[Accuracy (Short)]]+Table16810111213[[#This Row],[Accuracy (Medium)]]+Table16810111213[[#This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0"/>
        <v>#DIV/0!</v>
      </c>
      <c r="P17" s="56"/>
      <c r="Q17" s="56"/>
      <c r="R17" s="56"/>
      <c r="S17" s="56"/>
      <c r="T17" s="68"/>
      <c r="U17" s="68"/>
      <c r="V17" s="68"/>
      <c r="W17" s="53" t="e">
        <f>Table16810111213[[#This Row],[Balance]]*$W$1</f>
        <v>#DIV/0!</v>
      </c>
    </row>
    <row r="18" spans="1:23">
      <c r="A18" s="68"/>
      <c r="B18" s="68"/>
      <c r="C18" s="69" t="e">
        <f>SUM(((Table16810111213[[#This Row],[Avg DPS]]*(Table16810111213[[#This Row],[Range]]))+(Table16810111213[[#This Row],[Avg DPS]]*Table16810111213[[#This Row],[Arm Pen (%)]]))/100)</f>
        <v>#DIV/0!</v>
      </c>
      <c r="D18" s="70" t="e">
        <f>SUM(Table16810111213[[#This Row],[DPS]]*Table16810111213[[#This Row],[Avg Accuracy]])</f>
        <v>#DIV/0!</v>
      </c>
      <c r="E1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6"/>
      <c r="G18" s="69">
        <f>SUM((Table16810111213[[#This Row],[Accuracy (Close)]]+Table16810111213[[#This Row],[Accuracy (Short)]]+Table16810111213[[#This Row],[Accuracy (Medium)]]+Table16810111213[[#This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0"/>
        <v>#DIV/0!</v>
      </c>
      <c r="P18" s="56"/>
      <c r="Q18" s="56"/>
      <c r="R18" s="56"/>
      <c r="S18" s="56"/>
      <c r="T18" s="56"/>
      <c r="U18" s="56"/>
      <c r="V18" s="56"/>
      <c r="W18" s="53" t="e">
        <f>Table16810111213[[#This Row],[Balance]]*$W$1</f>
        <v>#DIV/0!</v>
      </c>
    </row>
    <row r="19" spans="1:23">
      <c r="A19" s="28"/>
      <c r="B19" s="28"/>
      <c r="C19" s="69" t="e">
        <f>SUM(((Table16810111213[[#This Row],[Avg DPS]]*(Table16810111213[[#This Row],[Range]]))+(Table16810111213[[#This Row],[Avg DPS]]*Table16810111213[[#This Row],[Arm Pen (%)]]))/100)</f>
        <v>#DIV/0!</v>
      </c>
      <c r="D19" s="70" t="e">
        <f>SUM(Table16810111213[[#This Row],[DPS]]*Table16810111213[[#This Row],[Avg Accuracy]])</f>
        <v>#DIV/0!</v>
      </c>
      <c r="E19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69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0"/>
        <v>#DIV/0!</v>
      </c>
      <c r="P19" s="31"/>
      <c r="Q19" s="31"/>
      <c r="R19" s="31"/>
      <c r="S19" s="31"/>
      <c r="T19" s="56"/>
      <c r="U19" s="56"/>
      <c r="V19" s="56"/>
      <c r="W19" s="53" t="e">
        <f>Table16810111213[[#This Row],[Balance]]*$W$1</f>
        <v>#DIV/0!</v>
      </c>
    </row>
  </sheetData>
  <conditionalFormatting sqref="C4:C500">
    <cfRule type="cellIs" dxfId="259" priority="19" operator="greaterThan">
      <formula>2.789</formula>
    </cfRule>
  </conditionalFormatting>
  <conditionalFormatting sqref="E4:E500">
    <cfRule type="cellIs" dxfId="258" priority="16" stopIfTrue="1" operator="greaterThanOrEqual">
      <formula>9.63</formula>
    </cfRule>
    <cfRule type="cellIs" dxfId="257" priority="17" stopIfTrue="1" operator="greaterThanOrEqual">
      <formula>9.21</formula>
    </cfRule>
    <cfRule type="cellIs" dxfId="256" priority="18" operator="greaterThanOrEqual">
      <formula>8.79</formula>
    </cfRule>
    <cfRule type="cellIs" dxfId="255" priority="13" stopIfTrue="1" operator="between">
      <formula>7.28</formula>
      <formula>0.01</formula>
    </cfRule>
    <cfRule type="cellIs" dxfId="254" priority="14" stopIfTrue="1" operator="between">
      <formula>7.61</formula>
      <formula>0.01</formula>
    </cfRule>
    <cfRule type="cellIs" dxfId="253" priority="15" operator="between">
      <formula>7.97</formula>
      <formula>0.01</formula>
    </cfRule>
  </conditionalFormatting>
  <conditionalFormatting sqref="F4:F500">
    <cfRule type="cellIs" dxfId="252" priority="10" stopIfTrue="1" operator="greaterThanOrEqual">
      <formula>20.9</formula>
    </cfRule>
    <cfRule type="cellIs" dxfId="251" priority="11" stopIfTrue="1" operator="greaterThanOrEqual">
      <formula>19.9</formula>
    </cfRule>
    <cfRule type="cellIs" dxfId="250" priority="12" operator="greaterThanOrEqual">
      <formula>17.9</formula>
    </cfRule>
    <cfRule type="cellIs" dxfId="249" priority="7" stopIfTrue="1" operator="between">
      <formula>9.9</formula>
      <formula>0.01</formula>
    </cfRule>
    <cfRule type="cellIs" dxfId="248" priority="8" stopIfTrue="1" operator="between">
      <formula>11.9</formula>
      <formula>0.01</formula>
    </cfRule>
    <cfRule type="cellIs" dxfId="247" priority="9" operator="between">
      <formula>13.9</formula>
      <formula>0.01</formula>
    </cfRule>
  </conditionalFormatting>
  <conditionalFormatting sqref="G4:G500">
    <cfRule type="cellIs" dxfId="246" priority="4" stopIfTrue="1" operator="greaterThanOrEqual">
      <formula>0.89</formula>
    </cfRule>
    <cfRule type="cellIs" dxfId="245" priority="5" stopIfTrue="1" operator="greaterThanOrEqual">
      <formula>0.85</formula>
    </cfRule>
    <cfRule type="cellIs" dxfId="244" priority="6" operator="greaterThanOrEqual">
      <formula>0.81</formula>
    </cfRule>
    <cfRule type="cellIs" dxfId="243" priority="1" stopIfTrue="1" operator="between">
      <formula>0.67</formula>
      <formula>0.01</formula>
    </cfRule>
    <cfRule type="cellIs" dxfId="242" priority="2" stopIfTrue="1" operator="between">
      <formula>0.7</formula>
      <formula>0.01</formula>
    </cfRule>
    <cfRule type="cellIs" dxfId="241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20" sqref="C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" t="s">
        <v>44</v>
      </c>
      <c r="B4" s="11" t="s">
        <v>35</v>
      </c>
      <c r="C4" s="69">
        <f>SUM(((Table1681011121317[[#This Row],[Avg DPS]]*(Table1681011121317[[#This Row],[Range]]))+(Table1681011121317[[#This Row],[Avg DPS]]*Table1681011121317[[#This Row],[Arm Pen (%)]]))/100)</f>
        <v>2.7770294117647065</v>
      </c>
      <c r="D4" s="70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6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45" t="s">
        <v>357</v>
      </c>
      <c r="B5" s="68">
        <v>4</v>
      </c>
      <c r="C5" s="69" t="e">
        <f>SUM(((Table1681011121317[[#This Row],[Avg DPS]]*(Table1681011121317[[#This Row],[Range]]))+(Table1681011121317[[#This Row],[Avg DPS]]*Table1681011121317[[#This Row],[Arm Pen (%)]]))/100)</f>
        <v>#DIV/0!</v>
      </c>
      <c r="D5" s="70" t="e">
        <f>SUM(Table1681011121317[[#This Row],[DPS]]*Table1681011121317[[#This Row],[Avg Accuracy]])</f>
        <v>#DIV/0!</v>
      </c>
      <c r="E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6"/>
      <c r="G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5" s="56"/>
      <c r="I5" s="56"/>
      <c r="J5" s="56"/>
      <c r="K5" s="56"/>
      <c r="L5" s="56"/>
      <c r="M5" s="56"/>
      <c r="N5" s="56"/>
      <c r="O5" s="69" t="e">
        <f t="shared" ref="O5:O9" si="0">60/N5</f>
        <v>#DIV/0!</v>
      </c>
      <c r="P5" s="56"/>
      <c r="Q5" s="56"/>
      <c r="R5" s="56"/>
      <c r="S5" s="56"/>
      <c r="T5" s="45"/>
      <c r="U5" s="45"/>
      <c r="V5" s="31"/>
      <c r="W5" s="53" t="e">
        <f>Table1681011121317[[#This Row],[Balance]]*$W$1</f>
        <v>#DIV/0!</v>
      </c>
    </row>
    <row r="6" spans="1:23">
      <c r="A6" s="45"/>
      <c r="B6" s="68"/>
      <c r="C6" s="69" t="e">
        <f>SUM(((Table1681011121317[[#This Row],[Avg DPS]]*(Table1681011121317[[#This Row],[Range]]))+(Table1681011121317[[#This Row],[Avg DPS]]*Table1681011121317[[#This Row],[Arm Pen (%)]]))/100)</f>
        <v>#DIV/0!</v>
      </c>
      <c r="D6" s="70" t="e">
        <f>SUM(Table1681011121317[[#This Row],[DPS]]*Table1681011121317[[#This Row],[Avg Accuracy]])</f>
        <v>#DIV/0!</v>
      </c>
      <c r="E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6"/>
      <c r="G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6" s="56"/>
      <c r="I6" s="56"/>
      <c r="J6" s="56"/>
      <c r="K6" s="56"/>
      <c r="L6" s="56"/>
      <c r="M6" s="56"/>
      <c r="N6" s="56"/>
      <c r="O6" s="69" t="e">
        <f t="shared" si="0"/>
        <v>#DIV/0!</v>
      </c>
      <c r="P6" s="56"/>
      <c r="Q6" s="56"/>
      <c r="R6" s="56"/>
      <c r="S6" s="56"/>
      <c r="T6" s="45"/>
      <c r="U6" s="45"/>
      <c r="V6" s="31"/>
      <c r="W6" s="53" t="e">
        <f>Table1681011121317[[#This Row],[Balance]]*$W$1</f>
        <v>#DIV/0!</v>
      </c>
    </row>
    <row r="7" spans="1:23">
      <c r="A7" s="45"/>
      <c r="B7" s="68"/>
      <c r="C7" s="69" t="e">
        <f>SUM(((Table1681011121317[[#This Row],[Avg DPS]]*(Table1681011121317[[#This Row],[Range]]))+(Table1681011121317[[#This Row],[Avg DPS]]*Table1681011121317[[#This Row],[Arm Pen (%)]]))/100)</f>
        <v>#DIV/0!</v>
      </c>
      <c r="D7" s="70" t="e">
        <f>SUM(Table1681011121317[[#This Row],[DPS]]*Table1681011121317[[#This Row],[Avg Accuracy]])</f>
        <v>#DIV/0!</v>
      </c>
      <c r="E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6"/>
      <c r="G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 t="shared" si="0"/>
        <v>#DIV/0!</v>
      </c>
      <c r="P7" s="56"/>
      <c r="Q7" s="56"/>
      <c r="R7" s="56"/>
      <c r="S7" s="56"/>
      <c r="T7" s="45"/>
      <c r="U7" s="45"/>
      <c r="V7" s="31"/>
      <c r="W7" s="53" t="e">
        <f>Table1681011121317[[#This Row],[Balance]]*$W$1</f>
        <v>#DIV/0!</v>
      </c>
    </row>
    <row r="8" spans="1:23">
      <c r="A8" s="45"/>
      <c r="B8" s="68"/>
      <c r="C8" s="69" t="e">
        <f>SUM(((Table1681011121317[[#This Row],[Avg DPS]]*(Table1681011121317[[#This Row],[Range]]))+(Table1681011121317[[#This Row],[Avg DPS]]*Table1681011121317[[#This Row],[Arm Pen (%)]]))/100)</f>
        <v>#DIV/0!</v>
      </c>
      <c r="D8" s="70" t="e">
        <f>SUM(Table1681011121317[[#This Row],[DPS]]*Table1681011121317[[#This Row],[Avg Accuracy]])</f>
        <v>#DIV/0!</v>
      </c>
      <c r="E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6"/>
      <c r="G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 t="shared" si="0"/>
        <v>#DIV/0!</v>
      </c>
      <c r="P8" s="56"/>
      <c r="Q8" s="56"/>
      <c r="R8" s="56"/>
      <c r="S8" s="56"/>
      <c r="T8" s="45"/>
      <c r="U8" s="45"/>
      <c r="V8" s="31"/>
      <c r="W8" s="53" t="e">
        <f>Table1681011121317[[#This Row],[Balance]]*$W$1</f>
        <v>#DIV/0!</v>
      </c>
    </row>
    <row r="9" spans="1:23">
      <c r="A9" s="75"/>
      <c r="B9" s="76"/>
      <c r="C9" s="69" t="e">
        <f>SUM(((Table1681011121317[[#This Row],[Avg DPS]]*(Table1681011121317[[#This Row],[Range]]))+(Table1681011121317[[#This Row],[Avg DPS]]*Table1681011121317[[#This Row],[Arm Pen (%)]]))/100)</f>
        <v>#DIV/0!</v>
      </c>
      <c r="D9" s="70" t="e">
        <f>SUM(Table1681011121317[[#This Row],[DPS]]*Table1681011121317[[#This Row],[Avg Accuracy]])</f>
        <v>#DIV/0!</v>
      </c>
      <c r="E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6"/>
      <c r="G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9" s="56"/>
      <c r="I9" s="56"/>
      <c r="J9" s="56"/>
      <c r="K9" s="56"/>
      <c r="L9" s="56"/>
      <c r="M9" s="56"/>
      <c r="N9" s="56"/>
      <c r="O9" s="69" t="e">
        <f t="shared" si="0"/>
        <v>#DIV/0!</v>
      </c>
      <c r="P9" s="56"/>
      <c r="Q9" s="56"/>
      <c r="R9" s="56"/>
      <c r="S9" s="56"/>
      <c r="T9" s="45"/>
      <c r="U9" s="45"/>
      <c r="V9" s="31"/>
      <c r="W9" s="53" t="e">
        <f>Table1681011121317[[#This Row],[Balance]]*$W$1</f>
        <v>#DIV/0!</v>
      </c>
    </row>
    <row r="10" spans="1:23">
      <c r="A10" s="75"/>
      <c r="B10" s="76"/>
      <c r="C10" s="69" t="e">
        <f>SUM(((Table1681011121317[[#This Row],[Avg DPS]]*(Table1681011121317[[#This Row],[Range]]))+(Table1681011121317[[#This Row],[Avg DPS]]*Table1681011121317[[#This Row],[Arm Pen (%)]]))/100)</f>
        <v>#DIV/0!</v>
      </c>
      <c r="D10" s="70" t="e">
        <f>SUM(Table1681011121317[[#This Row],[DPS]]*Table1681011121317[[#This Row],[Avg Accuracy]])</f>
        <v>#DIV/0!</v>
      </c>
      <c r="E10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6"/>
      <c r="G10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1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Table1681011121317[[#This Row],[Balance]]*$W$1</f>
        <v>#DIV/0!</v>
      </c>
    </row>
    <row r="11" spans="1:23">
      <c r="A11" s="68"/>
      <c r="B11" s="68"/>
      <c r="C11" s="69" t="e">
        <f>SUM(((Table1681011121317[[#This Row],[Avg DPS]]*(Table1681011121317[[#This Row],[Range]]))+(Table1681011121317[[#This Row],[Avg DPS]]*Table1681011121317[[#This Row],[Arm Pen (%)]]))/100)</f>
        <v>#DIV/0!</v>
      </c>
      <c r="D11" s="70" t="e">
        <f>SUM(Table1681011121317[[#This Row],[DPS]]*Table1681011121317[[#This Row],[Avg Accuracy]])</f>
        <v>#DIV/0!</v>
      </c>
      <c r="E11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6"/>
      <c r="G11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1"/>
        <v>#DIV/0!</v>
      </c>
      <c r="P11" s="56"/>
      <c r="Q11" s="56"/>
      <c r="R11" s="56"/>
      <c r="S11" s="56"/>
      <c r="T11" s="56"/>
      <c r="U11" s="56"/>
      <c r="V11" s="56"/>
      <c r="W11" s="53" t="e">
        <f>Table1681011121317[[#This Row],[Balance]]*$W$1</f>
        <v>#DIV/0!</v>
      </c>
    </row>
    <row r="12" spans="1:23">
      <c r="A12" s="68"/>
      <c r="B12" s="68"/>
      <c r="C12" s="69" t="e">
        <f>SUM(((Table1681011121317[[#This Row],[Avg DPS]]*(Table1681011121317[[#This Row],[Range]]))+(Table1681011121317[[#This Row],[Avg DPS]]*Table1681011121317[[#This Row],[Arm Pen (%)]]))/100)</f>
        <v>#DIV/0!</v>
      </c>
      <c r="D12" s="70" t="e">
        <f>SUM(Table1681011121317[[#This Row],[DPS]]*Table1681011121317[[#This Row],[Avg Accuracy]])</f>
        <v>#DIV/0!</v>
      </c>
      <c r="E12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6"/>
      <c r="G12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1"/>
        <v>#DIV/0!</v>
      </c>
      <c r="P12" s="56"/>
      <c r="Q12" s="56"/>
      <c r="R12" s="56"/>
      <c r="S12" s="56"/>
      <c r="T12" s="56"/>
      <c r="U12" s="56"/>
      <c r="V12" s="56"/>
      <c r="W12" s="53" t="e">
        <f>Table1681011121317[[#This Row],[Balance]]*$W$1</f>
        <v>#DIV/0!</v>
      </c>
    </row>
    <row r="13" spans="1:23">
      <c r="A13" s="45"/>
      <c r="B13" s="56"/>
      <c r="C13" s="69" t="e">
        <f>SUM(((Table1681011121317[[#This Row],[Avg DPS]]*(Table1681011121317[[#This Row],[Range]]))+(Table1681011121317[[#This Row],[Avg DPS]]*Table1681011121317[[#This Row],[Arm Pen (%)]]))/100)</f>
        <v>#DIV/0!</v>
      </c>
      <c r="D13" s="70" t="e">
        <f>SUM(Table1681011121317[[#This Row],[DPS]]*Table1681011121317[[#This Row],[Avg Accuracy]])</f>
        <v>#DIV/0!</v>
      </c>
      <c r="E13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6"/>
      <c r="G13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1"/>
        <v>#DIV/0!</v>
      </c>
      <c r="P13" s="56"/>
      <c r="Q13" s="56"/>
      <c r="R13" s="56"/>
      <c r="S13" s="56"/>
      <c r="T13" s="56"/>
      <c r="U13" s="56"/>
      <c r="V13" s="56"/>
      <c r="W13" s="53" t="e">
        <f>Table1681011121317[[#This Row],[Balance]]*$W$1</f>
        <v>#DIV/0!</v>
      </c>
    </row>
    <row r="14" spans="1:23">
      <c r="A14" s="45"/>
      <c r="B14" s="56"/>
      <c r="C14" s="69" t="e">
        <f>SUM(((Table1681011121317[[#This Row],[Avg DPS]]*(Table1681011121317[[#This Row],[Range]]))+(Table1681011121317[[#This Row],[Avg DPS]]*Table1681011121317[[#This Row],[Arm Pen (%)]]))/100)</f>
        <v>#DIV/0!</v>
      </c>
      <c r="D14" s="70" t="e">
        <f>SUM(Table1681011121317[[#This Row],[DPS]]*Table1681011121317[[#This Row],[Avg Accuracy]])</f>
        <v>#DIV/0!</v>
      </c>
      <c r="E14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6"/>
      <c r="G14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1"/>
        <v>#DIV/0!</v>
      </c>
      <c r="P14" s="56"/>
      <c r="Q14" s="56"/>
      <c r="R14" s="56"/>
      <c r="S14" s="56"/>
      <c r="T14" s="56"/>
      <c r="U14" s="56"/>
      <c r="V14" s="56"/>
      <c r="W14" s="53" t="e">
        <f>Table1681011121317[[#This Row],[Balance]]*$W$1</f>
        <v>#DIV/0!</v>
      </c>
    </row>
    <row r="15" spans="1:23">
      <c r="A15" s="45"/>
      <c r="B15" s="56"/>
      <c r="C15" s="69" t="e">
        <f>SUM(((Table1681011121317[[#This Row],[Avg DPS]]*(Table1681011121317[[#This Row],[Range]]))+(Table1681011121317[[#This Row],[Avg DPS]]*Table1681011121317[[#This Row],[Arm Pen (%)]]))/100)</f>
        <v>#DIV/0!</v>
      </c>
      <c r="D15" s="70" t="e">
        <f>SUM(Table1681011121317[[#This Row],[DPS]]*Table1681011121317[[#This Row],[Avg Accuracy]])</f>
        <v>#DIV/0!</v>
      </c>
      <c r="E1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6"/>
      <c r="G1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1"/>
        <v>#DIV/0!</v>
      </c>
      <c r="P15" s="56"/>
      <c r="Q15" s="56"/>
      <c r="R15" s="56"/>
      <c r="S15" s="56"/>
      <c r="T15" s="56"/>
      <c r="U15" s="56"/>
      <c r="V15" s="56"/>
      <c r="W15" s="53" t="e">
        <f>Table1681011121317[[#This Row],[Balance]]*$W$1</f>
        <v>#DIV/0!</v>
      </c>
    </row>
    <row r="16" spans="1:23">
      <c r="A16" s="45"/>
      <c r="B16" s="56"/>
      <c r="C16" s="69" t="e">
        <f>SUM(((Table1681011121317[[#This Row],[Avg DPS]]*(Table1681011121317[[#This Row],[Range]]))+(Table1681011121317[[#This Row],[Avg DPS]]*Table1681011121317[[#This Row],[Arm Pen (%)]]))/100)</f>
        <v>#DIV/0!</v>
      </c>
      <c r="D16" s="70" t="e">
        <f>SUM(Table1681011121317[[#This Row],[DPS]]*Table1681011121317[[#This Row],[Avg Accuracy]])</f>
        <v>#DIV/0!</v>
      </c>
      <c r="E1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6"/>
      <c r="G1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1"/>
        <v>#DIV/0!</v>
      </c>
      <c r="P16" s="56"/>
      <c r="Q16" s="56"/>
      <c r="R16" s="56"/>
      <c r="S16" s="56"/>
      <c r="T16" s="56"/>
      <c r="U16" s="56"/>
      <c r="V16" s="56"/>
      <c r="W16" s="53" t="e">
        <f>Table1681011121317[[#This Row],[Balance]]*$W$1</f>
        <v>#DIV/0!</v>
      </c>
    </row>
    <row r="17" spans="1:23" s="4" customFormat="1">
      <c r="A17" s="45"/>
      <c r="B17" s="56"/>
      <c r="C17" s="69" t="e">
        <f>SUM(((Table1681011121317[[#This Row],[Avg DPS]]*(Table1681011121317[[#This Row],[Range]]))+(Table1681011121317[[#This Row],[Avg DPS]]*Table1681011121317[[#This Row],[Arm Pen (%)]]))/100)</f>
        <v>#DIV/0!</v>
      </c>
      <c r="D17" s="70" t="e">
        <f>SUM(Table1681011121317[[#This Row],[DPS]]*Table1681011121317[[#This Row],[Avg Accuracy]])</f>
        <v>#DIV/0!</v>
      </c>
      <c r="E1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6"/>
      <c r="G1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1"/>
        <v>#DIV/0!</v>
      </c>
      <c r="P17" s="56"/>
      <c r="Q17" s="56"/>
      <c r="R17" s="56"/>
      <c r="S17" s="56"/>
      <c r="T17" s="68"/>
      <c r="U17" s="68"/>
      <c r="V17" s="68"/>
      <c r="W17" s="53" t="e">
        <f>Table1681011121317[[#This Row],[Balance]]*$W$1</f>
        <v>#DIV/0!</v>
      </c>
    </row>
    <row r="18" spans="1:23">
      <c r="A18" s="45"/>
      <c r="B18" s="56"/>
      <c r="C18" s="69" t="e">
        <f>SUM(((Table1681011121317[[#This Row],[Avg DPS]]*(Table1681011121317[[#This Row],[Range]]))+(Table1681011121317[[#This Row],[Avg DPS]]*Table1681011121317[[#This Row],[Arm Pen (%)]]))/100)</f>
        <v>#DIV/0!</v>
      </c>
      <c r="D18" s="70" t="e">
        <f>SUM(Table1681011121317[[#This Row],[DPS]]*Table1681011121317[[#This Row],[Avg Accuracy]])</f>
        <v>#DIV/0!</v>
      </c>
      <c r="E1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6"/>
      <c r="G1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1"/>
        <v>#DIV/0!</v>
      </c>
      <c r="P18" s="56"/>
      <c r="Q18" s="56"/>
      <c r="R18" s="56"/>
      <c r="S18" s="56"/>
      <c r="T18" s="56"/>
      <c r="U18" s="56"/>
      <c r="V18" s="56"/>
      <c r="W18" s="53" t="e">
        <f>Table1681011121317[[#This Row],[Balance]]*$W$1</f>
        <v>#DIV/0!</v>
      </c>
    </row>
    <row r="19" spans="1:23">
      <c r="A19" s="34"/>
      <c r="B19" s="31"/>
      <c r="C19" s="69" t="e">
        <f>SUM(((Table1681011121317[[#This Row],[Avg DPS]]*(Table1681011121317[[#This Row],[Range]]))+(Table1681011121317[[#This Row],[Avg DPS]]*Table1681011121317[[#This Row],[Arm Pen (%)]]))/100)</f>
        <v>#DIV/0!</v>
      </c>
      <c r="D19" s="70" t="e">
        <f>SUM(Table1681011121317[[#This Row],[DPS]]*Table1681011121317[[#This Row],[Avg Accuracy]])</f>
        <v>#DIV/0!</v>
      </c>
      <c r="E1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1"/>
        <v>#DIV/0!</v>
      </c>
      <c r="P19" s="31"/>
      <c r="Q19" s="31"/>
      <c r="R19" s="31"/>
      <c r="S19" s="31"/>
      <c r="T19" s="56"/>
      <c r="U19" s="56"/>
      <c r="V19" s="56"/>
      <c r="W19" s="53" t="e">
        <f>Table1681011121317[[#This Row],[Balance]]*$W$1</f>
        <v>#DIV/0!</v>
      </c>
    </row>
  </sheetData>
  <conditionalFormatting sqref="C4:C500">
    <cfRule type="cellIs" dxfId="216" priority="21" operator="greaterThan">
      <formula>2.789</formula>
    </cfRule>
  </conditionalFormatting>
  <conditionalFormatting sqref="E4:E500">
    <cfRule type="cellIs" dxfId="215" priority="15" stopIfTrue="1" operator="between">
      <formula>16.25</formula>
      <formula>0.01</formula>
    </cfRule>
    <cfRule type="cellIs" dxfId="214" priority="16" stopIfTrue="1" operator="between">
      <formula>16.99</formula>
      <formula>0.01</formula>
    </cfRule>
    <cfRule type="cellIs" dxfId="213" priority="17" operator="between">
      <formula>17.8</formula>
      <formula>0.01</formula>
    </cfRule>
    <cfRule type="cellIs" dxfId="212" priority="18" stopIfTrue="1" operator="greaterThanOrEqual">
      <formula>21.49</formula>
    </cfRule>
    <cfRule type="cellIs" dxfId="211" priority="19" stopIfTrue="1" operator="greaterThanOrEqual">
      <formula>20.56</formula>
    </cfRule>
    <cfRule type="cellIs" dxfId="210" priority="20" operator="greaterThanOrEqual">
      <formula>19.62</formula>
    </cfRule>
  </conditionalFormatting>
  <conditionalFormatting sqref="F4:F500">
    <cfRule type="cellIs" dxfId="209" priority="9" stopIfTrue="1" operator="between">
      <formula>6.9</formula>
      <formula>0.01</formula>
    </cfRule>
    <cfRule type="cellIs" dxfId="208" priority="10" stopIfTrue="1" operator="between">
      <formula>8.9</formula>
      <formula>0.01</formula>
    </cfRule>
    <cfRule type="cellIs" dxfId="207" priority="11" operator="between">
      <formula>10.9</formula>
      <formula>0.01</formula>
    </cfRule>
    <cfRule type="cellIs" dxfId="206" priority="12" stopIfTrue="1" operator="greaterThanOrEqual">
      <formula>18.9</formula>
    </cfRule>
    <cfRule type="cellIs" dxfId="205" priority="13" stopIfTrue="1" operator="greaterThanOrEqual">
      <formula>16.9</formula>
    </cfRule>
    <cfRule type="cellIs" dxfId="204" priority="14" operator="greaterThanOrEqual">
      <formula>14.9</formula>
    </cfRule>
  </conditionalFormatting>
  <conditionalFormatting sqref="G4:G500">
    <cfRule type="cellIs" dxfId="203" priority="3" stopIfTrue="1" operator="between">
      <formula>0.48</formula>
      <formula>0.01</formula>
    </cfRule>
    <cfRule type="cellIs" dxfId="202" priority="4" stopIfTrue="1" operator="between">
      <formula>0.5</formula>
      <formula>0.01</formula>
    </cfRule>
    <cfRule type="cellIs" dxfId="201" priority="5" operator="between">
      <formula>0.52</formula>
      <formula>0.01</formula>
    </cfRule>
    <cfRule type="cellIs" dxfId="200" priority="6" stopIfTrue="1" operator="greaterThanOrEqual">
      <formula>0.63</formula>
    </cfRule>
    <cfRule type="cellIs" dxfId="199" priority="7" stopIfTrue="1" operator="greaterThanOrEqual">
      <formula>0.61</formula>
    </cfRule>
    <cfRule type="cellIs" dxfId="198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273</v>
      </c>
      <c r="Q1" t="s">
        <v>174</v>
      </c>
      <c r="X1" s="36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17" t="s">
        <v>85</v>
      </c>
      <c r="W3" s="17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5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5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5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5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5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17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B23" sqref="B2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206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2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4">
        <v>1</v>
      </c>
      <c r="M8" s="29">
        <v>85</v>
      </c>
      <c r="N8" s="30">
        <v>8</v>
      </c>
      <c r="O8" s="31" t="s">
        <v>86</v>
      </c>
      <c r="P8" s="31" t="s">
        <v>87</v>
      </c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207</v>
      </c>
    </row>
    <row r="16" spans="1:17">
      <c r="A16" s="1" t="s">
        <v>183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189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236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A19" t="s">
        <v>356</v>
      </c>
      <c r="B19" s="10">
        <v>4</v>
      </c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A20" t="s">
        <v>362</v>
      </c>
      <c r="B20">
        <v>4</v>
      </c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topLeftCell="A10" workbookViewId="0">
      <selection activeCell="A26" sqref="A26:B48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257</v>
      </c>
      <c r="C1" t="s">
        <v>262</v>
      </c>
      <c r="D1" t="s">
        <v>258</v>
      </c>
      <c r="E1" t="s">
        <v>259</v>
      </c>
      <c r="F1" t="s">
        <v>260</v>
      </c>
    </row>
    <row r="2" spans="1:12">
      <c r="A2" s="1" t="s">
        <v>50</v>
      </c>
      <c r="B2" s="1" t="s">
        <v>51</v>
      </c>
      <c r="C2" s="1" t="s">
        <v>263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350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2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2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8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3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4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255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261</v>
      </c>
      <c r="B17" s="57" t="s">
        <v>86</v>
      </c>
      <c r="C17" s="36" t="s">
        <v>87</v>
      </c>
      <c r="D17" s="57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38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238</v>
      </c>
      <c r="R19">
        <f>SUM(B19:P19)</f>
        <v>136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256</v>
      </c>
    </row>
    <row r="24" spans="1:18">
      <c r="A24" s="1"/>
      <c r="B24" s="1"/>
    </row>
    <row r="25" spans="1:18">
      <c r="A25" s="1" t="s">
        <v>352</v>
      </c>
      <c r="B25" s="1"/>
    </row>
    <row r="26" spans="1:18">
      <c r="A26" s="72" t="s">
        <v>4</v>
      </c>
      <c r="B26" s="72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79"/>
      <c r="E33" s="79"/>
    </row>
    <row r="34" spans="1:5">
      <c r="A34" s="72" t="s">
        <v>11</v>
      </c>
      <c r="B34" s="72">
        <v>12.9</v>
      </c>
    </row>
    <row r="35" spans="1:5">
      <c r="A35">
        <v>-3</v>
      </c>
      <c r="B35" s="2">
        <f>B34-6</f>
        <v>6.9</v>
      </c>
    </row>
    <row r="36" spans="1:5">
      <c r="A36">
        <v>-2</v>
      </c>
      <c r="B36" s="2">
        <f>B34-4</f>
        <v>8.9</v>
      </c>
    </row>
    <row r="37" spans="1:5">
      <c r="A37">
        <v>-1</v>
      </c>
      <c r="B37" s="2">
        <f>B34-2</f>
        <v>10.9</v>
      </c>
    </row>
    <row r="38" spans="1:5">
      <c r="A38">
        <v>1</v>
      </c>
      <c r="B38" s="2">
        <f>B34+2</f>
        <v>14.9</v>
      </c>
    </row>
    <row r="39" spans="1:5">
      <c r="A39">
        <v>2</v>
      </c>
      <c r="B39" s="2">
        <f>B34+4</f>
        <v>16.899999999999999</v>
      </c>
    </row>
    <row r="40" spans="1:5">
      <c r="A40">
        <v>3</v>
      </c>
      <c r="B40" s="2">
        <f>B34+6</f>
        <v>18.899999999999999</v>
      </c>
    </row>
    <row r="42" spans="1:5">
      <c r="A42" s="72" t="s">
        <v>351</v>
      </c>
      <c r="B42" s="72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01" priority="7" stopIfTrue="1" operator="greaterThanOrEqual">
      <formula>18.15</formula>
    </cfRule>
    <cfRule type="cellIs" dxfId="100" priority="8" stopIfTrue="1" operator="greaterThanOrEqual">
      <formula>17.36</formula>
    </cfRule>
    <cfRule type="cellIs" dxfId="99" priority="9" operator="greaterThanOrEqual">
      <formula>16.57</formula>
    </cfRule>
    <cfRule type="cellIs" dxfId="98" priority="10" stopIfTrue="1" operator="between">
      <formula>13.72</formula>
      <formula>0.01</formula>
    </cfRule>
    <cfRule type="cellIs" dxfId="97" priority="11" stopIfTrue="1" operator="between">
      <formula>14.35</formula>
      <formula>0.01</formula>
    </cfRule>
    <cfRule type="cellIs" dxfId="96" priority="12" operator="between">
      <formula>15.03</formula>
      <formula>0.01</formula>
    </cfRule>
  </conditionalFormatting>
  <conditionalFormatting sqref="E33">
    <cfRule type="cellIs" dxfId="89" priority="1" stopIfTrue="1" operator="greaterThanOrEqual">
      <formula>0.43</formula>
    </cfRule>
    <cfRule type="cellIs" dxfId="88" priority="2" stopIfTrue="1" operator="greaterThanOrEqual">
      <formula>0.41</formula>
    </cfRule>
    <cfRule type="cellIs" dxfId="87" priority="3" operator="greaterThanOrEqual">
      <formula>0.39</formula>
    </cfRule>
    <cfRule type="cellIs" dxfId="86" priority="4" stopIfTrue="1" operator="between">
      <formula>0.32</formula>
      <formula>0.01</formula>
    </cfRule>
    <cfRule type="cellIs" dxfId="85" priority="5" stopIfTrue="1" operator="between">
      <formula>0.34</formula>
      <formula>0.01</formula>
    </cfRule>
    <cfRule type="cellIs" dxfId="84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130</v>
      </c>
      <c r="W3" s="38" t="s">
        <v>154</v>
      </c>
      <c r="X3" s="36"/>
      <c r="Y3" s="36"/>
    </row>
    <row r="4" spans="2:42">
      <c r="B4" s="37" t="s">
        <v>131</v>
      </c>
      <c r="C4" s="37" t="s">
        <v>132</v>
      </c>
      <c r="D4" s="37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37" t="s">
        <v>131</v>
      </c>
      <c r="X4" s="37" t="s">
        <v>132</v>
      </c>
      <c r="Y4" s="37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29" sqref="D29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280</v>
      </c>
      <c r="B4" s="12">
        <v>4</v>
      </c>
      <c r="C4" s="2">
        <f>SUM(((Table168[[#This Row],[Avg DPS]]*(Table168[[#This Row],[Range]]))+(Table168[[#This Row],[Avg DPS]]*Table168[[#This Row],[Arm Pen (%)]]))/100)</f>
        <v>1.6817117647058819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1" t="s">
        <v>86</v>
      </c>
      <c r="W4" s="59">
        <f>Table168[[#This Row],[Balance]]*$W$2</f>
        <v>139.28273177647057</v>
      </c>
    </row>
    <row r="5" spans="1:23">
      <c r="A5" s="4" t="s">
        <v>281</v>
      </c>
      <c r="B5" s="12">
        <v>4</v>
      </c>
      <c r="C5" s="2">
        <f>SUM(((Table168[[#This Row],[Avg DPS]]*(Table168[[#This Row],[Range]]))+(Table168[[#This Row],[Avg DPS]]*Table168[[#This Row],[Arm Pen (%)]]))/100)</f>
        <v>1.7758045454545452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59">
        <f>Table168[[#This Row],[Balance]]*$W$2</f>
        <v>147.07568406363634</v>
      </c>
    </row>
    <row r="6" spans="1:23">
      <c r="A6" s="4" t="s">
        <v>282</v>
      </c>
      <c r="B6" s="12">
        <v>4</v>
      </c>
      <c r="C6" s="2">
        <f>SUM(((Table168[[#This Row],[Avg DPS]]*(Table168[[#This Row],[Range]]))+(Table168[[#This Row],[Avg DPS]]*Table168[[#This Row],[Arm Pen (%)]]))/100)</f>
        <v>1.9028769230769231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1" t="s">
        <v>87</v>
      </c>
      <c r="W6" s="59">
        <f>Table168[[#This Row],[Balance]]*$W$2</f>
        <v>157.60007252307693</v>
      </c>
    </row>
    <row r="7" spans="1:23">
      <c r="A7" s="4" t="s">
        <v>294</v>
      </c>
      <c r="B7" s="12">
        <v>4</v>
      </c>
      <c r="C7" s="2">
        <f>SUM(((Table168[[#This Row],[Avg DPS]]*(Table168[[#This Row],[Range]]))+(Table168[[#This Row],[Avg DPS]]*Table168[[#This Row],[Arm Pen (%)]]))/100)</f>
        <v>1.6376134969325153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1" t="s">
        <v>87</v>
      </c>
      <c r="W7" s="59">
        <f>Table168[[#This Row],[Balance]]*$W$2</f>
        <v>135.63042504294478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1.7328947368421048</v>
      </c>
      <c r="D8" s="3">
        <f>SUM(Table168[[#This Row],[DPS]]*Table168[[#This Row],[Avg Accuracy]])</f>
        <v>3.947368421052631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0.625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0.55000000000000004</v>
      </c>
      <c r="S8">
        <v>0.4</v>
      </c>
      <c r="T8">
        <v>55</v>
      </c>
      <c r="U8">
        <v>1.4</v>
      </c>
      <c r="V8" s="18"/>
      <c r="W8" s="58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59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59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59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59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59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59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59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59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59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59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6"/>
      <c r="W19" s="60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6"/>
      <c r="W20" s="60"/>
    </row>
  </sheetData>
  <conditionalFormatting sqref="C4:C500">
    <cfRule type="cellIs" dxfId="135" priority="17" operator="greaterThan">
      <formula>1.74</formula>
    </cfRule>
  </conditionalFormatting>
  <conditionalFormatting sqref="O1:O1048576">
    <cfRule type="cellIs" dxfId="134" priority="16" operator="equal">
      <formula>0</formula>
    </cfRule>
  </conditionalFormatting>
  <conditionalFormatting sqref="E4:E500">
    <cfRule type="cellIs" dxfId="133" priority="15" operator="greaterThanOrEqual">
      <formula>6.64</formula>
    </cfRule>
    <cfRule type="cellIs" dxfId="132" priority="13" stopIfTrue="1" operator="greaterThanOrEqual">
      <formula>7.27</formula>
    </cfRule>
    <cfRule type="cellIs" dxfId="131" priority="14" stopIfTrue="1" operator="greaterThanOrEqual">
      <formula>6.95</formula>
    </cfRule>
    <cfRule type="cellIs" dxfId="130" priority="7" stopIfTrue="1" operator="between">
      <formula>5.5</formula>
      <formula>0.01</formula>
    </cfRule>
    <cfRule type="cellIs" dxfId="129" priority="8" stopIfTrue="1" operator="between">
      <formula>5.75</formula>
      <formula>0.01</formula>
    </cfRule>
    <cfRule type="cellIs" dxfId="128" priority="9" operator="between">
      <formula>6.02</formula>
      <formula>0.01</formula>
    </cfRule>
  </conditionalFormatting>
  <conditionalFormatting sqref="G4:G500">
    <cfRule type="cellIs" dxfId="119" priority="10" stopIfTrue="1" operator="greaterThanOrEqual">
      <formula>0.72</formula>
    </cfRule>
    <cfRule type="cellIs" dxfId="120" priority="11" stopIfTrue="1" operator="greaterThanOrEqual">
      <formula>0.69</formula>
    </cfRule>
    <cfRule type="cellIs" dxfId="121" priority="12" operator="greaterThanOrEqual">
      <formula>0.66</formula>
    </cfRule>
    <cfRule type="cellIs" dxfId="124" priority="1" stopIfTrue="1" operator="between">
      <formula>0.55</formula>
      <formula>0.01</formula>
    </cfRule>
    <cfRule type="cellIs" dxfId="123" priority="2" stopIfTrue="1" operator="between">
      <formula>0.57</formula>
      <formula>0.01</formula>
    </cfRule>
    <cfRule type="cellIs" dxfId="122" priority="3" operator="between">
      <formula>0.6</formula>
      <formula>0.01</formula>
    </cfRule>
  </conditionalFormatting>
  <conditionalFormatting sqref="F4:F500">
    <cfRule type="cellIs" dxfId="127" priority="6" operator="between">
      <formula>23.9</formula>
      <formula>0.01</formula>
    </cfRule>
    <cfRule type="cellIs" dxfId="126" priority="4" stopIfTrue="1" operator="between">
      <formula>19.9</formula>
      <formula>0.01</formula>
    </cfRule>
    <cfRule type="cellIs" dxfId="125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B14" sqref="B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4" t="s">
        <v>359</v>
      </c>
      <c r="B9" s="12">
        <v>4</v>
      </c>
      <c r="C9" s="2" t="e">
        <f>SUM(((Table1614[[#This Row],[Avg DPS]]*(Table1614[[#This Row],[Range]]))+(Table1614[[#This Row],[Avg 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19"/>
      <c r="W9" s="19"/>
    </row>
    <row r="10" spans="1:23" s="4" customFormat="1">
      <c r="A10" s="4" t="s">
        <v>375</v>
      </c>
      <c r="B10" s="12">
        <v>4</v>
      </c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A11" s="4"/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A13" s="4"/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A14" s="4"/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A15" s="4"/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A16" s="4"/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A17" s="4"/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77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4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A20" s="4"/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A21" s="4"/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A22" s="4"/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A23" s="4"/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A24" s="4"/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A25" s="4"/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A26" s="4"/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A27" s="4"/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A28" s="4"/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A29" s="4"/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A30" s="4"/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A31" s="4"/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10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500">
    <cfRule type="cellIs" dxfId="411" priority="19" operator="greaterThan">
      <formula>1.639</formula>
    </cfRule>
  </conditionalFormatting>
  <conditionalFormatting sqref="O1:O1048576">
    <cfRule type="cellIs" dxfId="410" priority="18" operator="equal">
      <formula>0</formula>
    </cfRule>
  </conditionalFormatting>
  <conditionalFormatting sqref="E4:E500">
    <cfRule type="cellIs" dxfId="409" priority="15" stopIfTrue="1" operator="greaterThanOrEqual">
      <formula>12.66</formula>
    </cfRule>
    <cfRule type="cellIs" dxfId="408" priority="16" stopIfTrue="1" operator="greaterThanOrEqual">
      <formula>12.11</formula>
    </cfRule>
    <cfRule type="cellIs" dxfId="407" priority="17" operator="greaterThanOrEqual">
      <formula>11.56</formula>
    </cfRule>
    <cfRule type="cellIs" dxfId="406" priority="12" stopIfTrue="1" operator="between">
      <formula>9.57</formula>
      <formula>0.01</formula>
    </cfRule>
    <cfRule type="cellIs" dxfId="405" priority="13" stopIfTrue="1" operator="between">
      <formula>10.01</formula>
      <formula>0.01</formula>
    </cfRule>
    <cfRule type="cellIs" dxfId="404" priority="14" operator="between">
      <formula>10.49</formula>
      <formula>0.01</formula>
    </cfRule>
  </conditionalFormatting>
  <conditionalFormatting sqref="F4:F500">
    <cfRule type="cellIs" dxfId="403" priority="10" stopIfTrue="1" operator="greaterThanOrEqual">
      <formula>22.9</formula>
    </cfRule>
    <cfRule type="cellIs" dxfId="402" priority="11" operator="greaterThanOrEqual">
      <formula>21.9</formula>
    </cfRule>
    <cfRule type="cellIs" dxfId="401" priority="7" stopIfTrue="1" operator="between">
      <formula>13.9</formula>
      <formula>0.01</formula>
    </cfRule>
    <cfRule type="cellIs" dxfId="400" priority="8" stopIfTrue="1" operator="between">
      <formula>15.9</formula>
      <formula>0.01</formula>
    </cfRule>
    <cfRule type="cellIs" dxfId="399" priority="9" operator="between">
      <formula>17.9</formula>
      <formula>0.01</formula>
    </cfRule>
  </conditionalFormatting>
  <conditionalFormatting sqref="G4:G500">
    <cfRule type="cellIs" dxfId="398" priority="4" stopIfTrue="1" operator="greaterThanOrEqual">
      <formula>0.59</formula>
    </cfRule>
    <cfRule type="cellIs" dxfId="397" priority="5" stopIfTrue="1" operator="greaterThanOrEqual">
      <formula>0.56</formula>
    </cfRule>
    <cfRule type="cellIs" dxfId="396" priority="6" operator="greaterThanOrEqual">
      <formula>0.54</formula>
    </cfRule>
    <cfRule type="cellIs" dxfId="395" priority="1" stopIfTrue="1" operator="between">
      <formula>0.44</formula>
      <formula>0.01</formula>
    </cfRule>
    <cfRule type="cellIs" dxfId="394" priority="2" stopIfTrue="1" operator="between">
      <formula>0.46</formula>
      <formula>0.01</formula>
    </cfRule>
    <cfRule type="cellIs" dxfId="393" priority="3" operator="between">
      <formula>0.49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9" sqref="A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286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19">
        <v>355</v>
      </c>
    </row>
    <row r="15" spans="1:23">
      <c r="A15" s="4" t="s">
        <v>368</v>
      </c>
      <c r="B15" s="12">
        <v>4</v>
      </c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0"/>
      <c r="W15" s="20"/>
    </row>
    <row r="16" spans="1:23">
      <c r="A16" s="4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19"/>
      <c r="W16" s="53"/>
    </row>
    <row r="17" spans="1:23">
      <c r="A17" s="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/>
    </row>
    <row r="18" spans="1:23">
      <c r="A18" s="14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/>
    </row>
    <row r="19" spans="1:23">
      <c r="A19" s="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/>
    </row>
    <row r="20" spans="1:23">
      <c r="A20" s="4"/>
      <c r="B20" s="4"/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A21" s="4"/>
      <c r="B21" s="4"/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A22" s="4"/>
      <c r="B22" s="4"/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A23" s="4"/>
      <c r="B23" s="4"/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A24" s="4"/>
      <c r="B24" s="4"/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A25" s="4"/>
      <c r="B25" s="4"/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A26" s="4"/>
      <c r="B26" s="12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A27" s="4"/>
      <c r="B27" s="12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A28" s="4"/>
      <c r="B28" s="12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A29" s="4"/>
      <c r="B29" s="12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A30" s="4"/>
      <c r="B30" s="12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A31" s="4"/>
      <c r="B31" s="12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10"/>
      <c r="B32" s="1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500">
    <cfRule type="cellIs" dxfId="384" priority="17" operator="greaterThan">
      <formula>2.599</formula>
    </cfRule>
  </conditionalFormatting>
  <conditionalFormatting sqref="O1:O1048576">
    <cfRule type="cellIs" dxfId="383" priority="16" operator="equal">
      <formula>0</formula>
    </cfRule>
  </conditionalFormatting>
  <conditionalFormatting sqref="E4:E500">
    <cfRule type="cellIs" dxfId="382" priority="13" stopIfTrue="1" operator="greaterThanOrEqual">
      <formula>14.19</formula>
    </cfRule>
    <cfRule type="cellIs" dxfId="381" priority="14" stopIfTrue="1" operator="greaterThanOrEqual">
      <formula>13.57</formula>
    </cfRule>
    <cfRule type="cellIs" dxfId="380" priority="15" operator="greaterThanOrEqual">
      <formula>12.96</formula>
    </cfRule>
    <cfRule type="cellIs" dxfId="379" priority="10" stopIfTrue="1" operator="between">
      <formula>10.73</formula>
      <formula>0.01</formula>
    </cfRule>
    <cfRule type="cellIs" dxfId="378" priority="11" stopIfTrue="1" operator="between">
      <formula>11.22</formula>
      <formula>0.01</formula>
    </cfRule>
    <cfRule type="cellIs" dxfId="377" priority="12" operator="between">
      <formula>11.75</formula>
      <formula>0.01</formula>
    </cfRule>
  </conditionalFormatting>
  <conditionalFormatting sqref="F4:F500">
    <cfRule type="cellIs" dxfId="376" priority="7" stopIfTrue="1" operator="between">
      <formula>16.9</formula>
      <formula>0.01</formula>
    </cfRule>
    <cfRule type="cellIs" dxfId="375" priority="8" stopIfTrue="1" operator="between">
      <formula>18.9</formula>
      <formula>0.01</formula>
    </cfRule>
    <cfRule type="cellIs" dxfId="374" priority="9" operator="between">
      <formula>20.9</formula>
      <formula>0.01</formula>
    </cfRule>
  </conditionalFormatting>
  <conditionalFormatting sqref="G4:G500">
    <cfRule type="cellIs" dxfId="373" priority="1" stopIfTrue="1" operator="between">
      <formula>0.44</formula>
      <formula>0.01</formula>
    </cfRule>
    <cfRule type="cellIs" dxfId="372" priority="2" stopIfTrue="1" operator="between">
      <formula>0.46</formula>
      <formula>0.01</formula>
    </cfRule>
    <cfRule type="cellIs" dxfId="371" priority="3" operator="between">
      <formula>0.49</formula>
      <formula>0.01</formula>
    </cfRule>
    <cfRule type="cellIs" dxfId="370" priority="4" stopIfTrue="1" operator="greaterThanOrEqual">
      <formula>0.59</formula>
    </cfRule>
    <cfRule type="cellIs" dxfId="369" priority="5" stopIfTrue="1" operator="greaterThanOrEqual">
      <formula>0.56</formula>
    </cfRule>
    <cfRule type="cellIs" dxfId="368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44" sqref="A44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1"/>
      <c r="Y4" s="61"/>
      <c r="Z4" s="61"/>
      <c r="AA4" s="61"/>
      <c r="AB4" s="6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1"/>
      <c r="Y5" s="61"/>
      <c r="Z5" s="61"/>
      <c r="AA5" s="61"/>
      <c r="AB5" s="61"/>
    </row>
    <row r="6" spans="1:28">
      <c r="A6" t="s">
        <v>267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1"/>
      <c r="Y6" s="61"/>
      <c r="Z6" s="61"/>
      <c r="AA6" s="61"/>
      <c r="AB6" s="61"/>
    </row>
    <row r="7" spans="1:28">
      <c r="A7" t="s">
        <v>268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1"/>
      <c r="Y7" s="61"/>
      <c r="Z7" s="61"/>
      <c r="AA7" s="61"/>
      <c r="AB7" s="6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1"/>
      <c r="Y8" s="61"/>
      <c r="Z8" s="61"/>
      <c r="AA8" s="61"/>
      <c r="AB8" s="61"/>
    </row>
    <row r="9" spans="1:28">
      <c r="A9" t="s">
        <v>269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1"/>
      <c r="Y9" s="61"/>
      <c r="Z9" s="61"/>
      <c r="AA9" s="61"/>
      <c r="AB9" s="61"/>
    </row>
    <row r="10" spans="1:28">
      <c r="A10" s="4" t="s">
        <v>270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1"/>
      <c r="Y10" s="61"/>
      <c r="Z10" s="61"/>
      <c r="AA10" s="61"/>
      <c r="AB10" s="61"/>
    </row>
    <row r="11" spans="1:28">
      <c r="A11" s="4" t="s">
        <v>271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1"/>
      <c r="Y11" s="61"/>
      <c r="Z11" s="61"/>
      <c r="AA11" s="61"/>
      <c r="AB11" s="6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1"/>
      <c r="Y12" s="61"/>
      <c r="Z12" s="61"/>
      <c r="AA12" s="61"/>
      <c r="AB12" s="6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1"/>
      <c r="Y16" s="61"/>
      <c r="Z16" s="61"/>
      <c r="AA16" s="61"/>
      <c r="AB16" s="6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1"/>
      <c r="Y17" s="61"/>
      <c r="Z17" s="61"/>
      <c r="AA17" s="61"/>
      <c r="AB17" s="6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1"/>
      <c r="Y18" s="61"/>
      <c r="Z18" s="61"/>
      <c r="AA18" s="61"/>
      <c r="AB18" s="61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274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1"/>
      <c r="Y23" s="61"/>
      <c r="Z23" s="61"/>
      <c r="AA23" s="61"/>
      <c r="AB23" s="61"/>
    </row>
    <row r="24" spans="1:28">
      <c r="A24" t="s">
        <v>275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1"/>
      <c r="Y24" s="61"/>
      <c r="Z24" s="61"/>
      <c r="AA24" s="61"/>
      <c r="AB24" s="61"/>
    </row>
    <row r="25" spans="1:28">
      <c r="A25" t="s">
        <v>276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1"/>
      <c r="Y25" s="61"/>
      <c r="Z25" s="61"/>
      <c r="AA25" s="61"/>
      <c r="AB25" s="61"/>
    </row>
    <row r="26" spans="1:28">
      <c r="A26" t="s">
        <v>295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297</v>
      </c>
      <c r="Y26" s="36">
        <v>30</v>
      </c>
      <c r="Z26" s="36">
        <v>1</v>
      </c>
      <c r="AA26" s="36">
        <v>12.9</v>
      </c>
      <c r="AB26" s="36" t="s">
        <v>302</v>
      </c>
    </row>
    <row r="27" spans="1:28">
      <c r="A27" t="s">
        <v>210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33" si="3">C27*$W$1</f>
        <v>362.85197210928641</v>
      </c>
      <c r="X27" s="61"/>
      <c r="Y27" s="61"/>
      <c r="Z27" s="61"/>
      <c r="AA27" s="61"/>
      <c r="AB27" s="61"/>
    </row>
    <row r="28" spans="1:28">
      <c r="A28" s="1" t="s">
        <v>209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1"/>
      <c r="Y28" s="61"/>
      <c r="Z28" s="61"/>
      <c r="AA28" s="61"/>
      <c r="AB28" s="61"/>
    </row>
    <row r="29" spans="1:28">
      <c r="A29" t="s">
        <v>211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1"/>
      <c r="Y29" s="61"/>
      <c r="Z29" s="61"/>
      <c r="AA29" s="61"/>
      <c r="AB29" s="61"/>
    </row>
    <row r="30" spans="1:28">
      <c r="A30" t="s">
        <v>212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1"/>
      <c r="Y30" s="61"/>
      <c r="Z30" s="61"/>
      <c r="AA30" s="61"/>
      <c r="AB30" s="61"/>
    </row>
    <row r="31" spans="1:28">
      <c r="A31" s="1" t="s">
        <v>213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1"/>
      <c r="Y31" s="61"/>
      <c r="Z31" s="61"/>
      <c r="AA31" s="61"/>
      <c r="AB31" s="61"/>
    </row>
    <row r="32" spans="1:28">
      <c r="A32" t="s">
        <v>214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1"/>
      <c r="Y32" s="61"/>
      <c r="Z32" s="61"/>
      <c r="AA32" s="61"/>
      <c r="AB32" s="61"/>
    </row>
    <row r="33" spans="1:28">
      <c r="A33" t="s">
        <v>215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1"/>
      <c r="Y33" s="61"/>
      <c r="Z33" s="61"/>
      <c r="AA33" s="61"/>
      <c r="AB33" s="61"/>
    </row>
    <row r="34" spans="1:28">
      <c r="A34" t="s">
        <v>287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36" t="s">
        <v>87</v>
      </c>
      <c r="W34" s="49"/>
      <c r="X34" s="61"/>
      <c r="Y34" s="61"/>
      <c r="Z34" s="61"/>
      <c r="AA34" s="61"/>
      <c r="AB34" s="61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36"/>
      <c r="Y35" s="36"/>
      <c r="Z35" s="36"/>
      <c r="AA35" s="36"/>
      <c r="AB35" s="36"/>
    </row>
    <row r="36" spans="1:28">
      <c r="A36" s="4" t="s">
        <v>358</v>
      </c>
      <c r="B36" s="12">
        <v>4</v>
      </c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36"/>
      <c r="Y36" s="36"/>
      <c r="Z36" s="36"/>
      <c r="AA36" s="36"/>
      <c r="AB36" s="36"/>
    </row>
    <row r="37" spans="1:28">
      <c r="A37" s="4" t="s">
        <v>360</v>
      </c>
      <c r="B37">
        <v>4</v>
      </c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4" t="s">
        <v>364</v>
      </c>
      <c r="B38">
        <v>4</v>
      </c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49"/>
      <c r="X38" s="61"/>
      <c r="Y38" s="61"/>
      <c r="Z38" s="61"/>
      <c r="AA38" s="61"/>
      <c r="AB38" s="61"/>
    </row>
    <row r="39" spans="1:28">
      <c r="A39" s="4" t="s">
        <v>369</v>
      </c>
      <c r="B39">
        <v>4</v>
      </c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36"/>
      <c r="Y39" s="36"/>
      <c r="Z39" s="36"/>
      <c r="AA39" s="36"/>
      <c r="AB39" s="36"/>
    </row>
    <row r="40" spans="1:28">
      <c r="A40" s="4" t="s">
        <v>370</v>
      </c>
      <c r="B40">
        <v>4</v>
      </c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36"/>
      <c r="Y40" s="36"/>
      <c r="Z40" s="36"/>
      <c r="AA40" s="36"/>
      <c r="AB40" s="36"/>
    </row>
    <row r="41" spans="1:28">
      <c r="A41" s="4" t="s">
        <v>371</v>
      </c>
      <c r="B41">
        <v>4</v>
      </c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36"/>
      <c r="Y41" s="36"/>
      <c r="Z41" s="36"/>
      <c r="AA41" s="36"/>
      <c r="AB41" s="36"/>
    </row>
    <row r="42" spans="1:28">
      <c r="A42" s="4" t="s">
        <v>374</v>
      </c>
      <c r="B42">
        <v>4</v>
      </c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36"/>
      <c r="Y42" s="36"/>
      <c r="Z42" s="36"/>
      <c r="AA42" s="36"/>
      <c r="AB42" s="36"/>
    </row>
    <row r="43" spans="1:28">
      <c r="A43" s="4"/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36"/>
      <c r="Y43" s="36"/>
      <c r="Z43" s="36"/>
      <c r="AA43" s="36"/>
      <c r="AB43" s="36"/>
    </row>
    <row r="44" spans="1:28">
      <c r="A44" s="4"/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36"/>
      <c r="Y44" s="36"/>
      <c r="Z44" s="36"/>
      <c r="AA44" s="36"/>
      <c r="AB44" s="36"/>
    </row>
    <row r="45" spans="1:28">
      <c r="A45" s="4"/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36"/>
      <c r="Y45" s="36"/>
      <c r="Z45" s="36"/>
      <c r="AA45" s="36"/>
      <c r="AB45" s="36"/>
    </row>
    <row r="46" spans="1:28">
      <c r="A46" s="4"/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36"/>
      <c r="Y46" s="36"/>
      <c r="Z46" s="36"/>
      <c r="AA46" s="36"/>
      <c r="AB46" s="36"/>
    </row>
    <row r="47" spans="1:28">
      <c r="A47" s="4"/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36"/>
      <c r="Y47" s="36"/>
      <c r="Z47" s="36"/>
      <c r="AA47" s="36"/>
      <c r="AB47" s="36"/>
    </row>
    <row r="48" spans="1:28">
      <c r="A48" s="4"/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36"/>
      <c r="Y48" s="36"/>
      <c r="Z48" s="36"/>
      <c r="AA48" s="36"/>
      <c r="AB48" s="36"/>
    </row>
    <row r="49" spans="1:28">
      <c r="A49" s="4"/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36"/>
      <c r="Y49" s="36"/>
      <c r="Z49" s="36"/>
      <c r="AA49" s="36"/>
      <c r="AB49" s="36"/>
    </row>
    <row r="50" spans="1:28">
      <c r="A50" s="4"/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36"/>
      <c r="Y50" s="36"/>
      <c r="Z50" s="36"/>
      <c r="AA50" s="36"/>
      <c r="AB50" s="36"/>
    </row>
    <row r="51" spans="1:28">
      <c r="A51" s="4"/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36"/>
      <c r="Y51" s="36"/>
      <c r="Z51" s="36"/>
      <c r="AA51" s="36"/>
      <c r="AB51" s="36"/>
    </row>
    <row r="52" spans="1:28">
      <c r="A52" s="4"/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36"/>
      <c r="Y52" s="36"/>
      <c r="Z52" s="36"/>
      <c r="AA52" s="36"/>
      <c r="AB52" s="36"/>
    </row>
    <row r="53" spans="1:28">
      <c r="A53" s="4"/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36"/>
      <c r="Y53" s="36"/>
      <c r="Z53" s="36"/>
      <c r="AA53" s="36"/>
      <c r="AB53" s="36"/>
    </row>
    <row r="54" spans="1:28">
      <c r="A54" s="4"/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36"/>
      <c r="Y54" s="36"/>
      <c r="Z54" s="36"/>
      <c r="AA54" s="36"/>
      <c r="AB54" s="36"/>
    </row>
    <row r="55" spans="1:28">
      <c r="A55" s="4"/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36"/>
      <c r="Y55" s="36"/>
      <c r="Z55" s="36"/>
      <c r="AA55" s="36"/>
      <c r="AB55" s="36"/>
    </row>
    <row r="56" spans="1:28">
      <c r="A56" s="4"/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36"/>
      <c r="Y56" s="36"/>
      <c r="Z56" s="36"/>
      <c r="AA56" s="36"/>
      <c r="AB56" s="36"/>
    </row>
    <row r="57" spans="1:28">
      <c r="A57" s="4"/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36"/>
      <c r="Y57" s="36"/>
      <c r="Z57" s="36"/>
      <c r="AA57" s="36"/>
      <c r="AB57" s="36"/>
    </row>
    <row r="58" spans="1:28">
      <c r="A58" s="4"/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36"/>
      <c r="Y58" s="36"/>
      <c r="Z58" s="36"/>
      <c r="AA58" s="36"/>
      <c r="AB58" s="36"/>
    </row>
    <row r="59" spans="1:28">
      <c r="A59" s="4"/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36"/>
      <c r="Y59" s="36"/>
      <c r="Z59" s="36"/>
      <c r="AA59" s="36"/>
      <c r="AB59" s="36"/>
    </row>
    <row r="60" spans="1:28">
      <c r="A60" s="4"/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36"/>
      <c r="Y60" s="36"/>
      <c r="Z60" s="36"/>
      <c r="AA60" s="36"/>
      <c r="AB60" s="36"/>
    </row>
    <row r="61" spans="1:28">
      <c r="A61" s="4"/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36"/>
      <c r="Y61" s="36"/>
      <c r="Z61" s="36"/>
      <c r="AA61" s="36"/>
      <c r="AB61" s="36"/>
    </row>
    <row r="62" spans="1:28">
      <c r="A62" s="4"/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36"/>
      <c r="Y62" s="36"/>
      <c r="Z62" s="36"/>
      <c r="AA62" s="36"/>
      <c r="AB62" s="36"/>
    </row>
    <row r="63" spans="1:28">
      <c r="A63" s="4"/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36"/>
      <c r="Y63" s="36"/>
      <c r="Z63" s="36"/>
      <c r="AA63" s="36"/>
      <c r="AB63" s="36"/>
    </row>
    <row r="64" spans="1:28">
      <c r="A64" s="4"/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36"/>
      <c r="Y64" s="36"/>
      <c r="Z64" s="36"/>
      <c r="AA64" s="36"/>
      <c r="AB64" s="36"/>
    </row>
    <row r="65" spans="1:28">
      <c r="A65" s="4"/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36"/>
      <c r="Y65" s="36"/>
      <c r="Z65" s="36"/>
      <c r="AA65" s="36"/>
      <c r="AB65" s="36"/>
    </row>
    <row r="66" spans="1:28">
      <c r="A66" s="4"/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36"/>
      <c r="Y66" s="36"/>
      <c r="Z66" s="36"/>
      <c r="AA66" s="36"/>
      <c r="AB66" s="36"/>
    </row>
    <row r="67" spans="1:28">
      <c r="A67" s="4"/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36"/>
      <c r="Y67" s="36"/>
      <c r="Z67" s="36"/>
      <c r="AA67" s="36"/>
      <c r="AB67" s="36"/>
    </row>
    <row r="68" spans="1:28">
      <c r="A68" s="4"/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36"/>
      <c r="Y68" s="36"/>
      <c r="Z68" s="36"/>
      <c r="AA68" s="36"/>
      <c r="AB68" s="36"/>
    </row>
    <row r="69" spans="1:28">
      <c r="A69" s="4"/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36"/>
      <c r="Y69" s="36"/>
      <c r="Z69" s="36"/>
      <c r="AA69" s="36"/>
      <c r="AB69" s="36"/>
    </row>
    <row r="70" spans="1:28">
      <c r="A70" s="4"/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36"/>
      <c r="Y70" s="36"/>
      <c r="Z70" s="36"/>
      <c r="AA70" s="36"/>
      <c r="AB70" s="36"/>
    </row>
    <row r="71" spans="1:28">
      <c r="A71" s="4"/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36"/>
      <c r="Y71" s="36"/>
      <c r="Z71" s="36"/>
      <c r="AA71" s="36"/>
      <c r="AB71" s="36"/>
    </row>
    <row r="72" spans="1:28">
      <c r="A72" s="4"/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36"/>
      <c r="Y72" s="36"/>
      <c r="Z72" s="36"/>
      <c r="AA72" s="36"/>
      <c r="AB72" s="36"/>
    </row>
    <row r="73" spans="1:28">
      <c r="A73" s="4"/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36"/>
      <c r="Y73" s="36"/>
      <c r="Z73" s="36"/>
      <c r="AA73" s="36"/>
      <c r="AB73" s="36"/>
    </row>
    <row r="74" spans="1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36"/>
      <c r="Y74" s="36"/>
      <c r="Z74" s="36"/>
      <c r="AA74" s="36"/>
      <c r="AB74" s="36"/>
    </row>
    <row r="75" spans="1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36"/>
      <c r="Y75" s="36"/>
      <c r="Z75" s="36"/>
      <c r="AA75" s="36"/>
      <c r="AB75" s="36"/>
    </row>
    <row r="76" spans="1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36"/>
      <c r="Y76" s="36"/>
      <c r="Z76" s="36"/>
      <c r="AA76" s="36"/>
      <c r="AB76" s="36"/>
    </row>
    <row r="77" spans="1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36"/>
      <c r="Y77" s="36"/>
      <c r="Z77" s="36"/>
      <c r="AA77" s="36"/>
      <c r="AB77" s="36"/>
    </row>
    <row r="78" spans="1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36"/>
      <c r="Y78" s="36"/>
      <c r="Z78" s="36"/>
      <c r="AA78" s="36"/>
      <c r="AB78" s="36"/>
    </row>
    <row r="79" spans="1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36"/>
      <c r="Y79" s="36"/>
      <c r="Z79" s="36"/>
      <c r="AA79" s="36"/>
      <c r="AB79" s="36"/>
    </row>
    <row r="80" spans="1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7">60/N106</f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359" priority="20" operator="greaterThan">
      <formula>3.2</formula>
    </cfRule>
  </conditionalFormatting>
  <conditionalFormatting sqref="O4:O500">
    <cfRule type="cellIs" dxfId="358" priority="19" operator="equal">
      <formula>0</formula>
    </cfRule>
  </conditionalFormatting>
  <conditionalFormatting sqref="F4:F500">
    <cfRule type="cellIs" dxfId="357" priority="10" stopIfTrue="1" operator="between">
      <formula>24.5</formula>
      <formula>0.01</formula>
    </cfRule>
    <cfRule type="cellIs" dxfId="356" priority="11" stopIfTrue="1" operator="between">
      <formula>26.5</formula>
      <formula>0.01</formula>
    </cfRule>
    <cfRule type="cellIs" dxfId="355" priority="12" operator="between">
      <formula>28.5</formula>
      <formula>0.01</formula>
    </cfRule>
    <cfRule type="cellIs" dxfId="354" priority="7" stopIfTrue="1" operator="greaterThanOrEqual">
      <formula>36.5</formula>
    </cfRule>
    <cfRule type="cellIs" dxfId="353" priority="8" stopIfTrue="1" operator="greaterThanOrEqual">
      <formula>34.5</formula>
    </cfRule>
    <cfRule type="cellIs" dxfId="352" priority="9" operator="greaterThanOrEqual">
      <formula>32.5</formula>
    </cfRule>
  </conditionalFormatting>
  <conditionalFormatting sqref="G4:G500">
    <cfRule type="cellIs" dxfId="351" priority="4" stopIfTrue="1" operator="between">
      <formula>0.54</formula>
      <formula>0.01</formula>
    </cfRule>
    <cfRule type="cellIs" dxfId="350" priority="5" stopIfTrue="1" operator="between">
      <formula>0.57</formula>
      <formula>0.01</formula>
    </cfRule>
    <cfRule type="cellIs" dxfId="349" priority="6" operator="between">
      <formula>0.6</formula>
      <formula>0.01</formula>
    </cfRule>
    <cfRule type="cellIs" dxfId="348" priority="1" stopIfTrue="1" operator="greaterThanOrEqual">
      <formula>0.72</formula>
    </cfRule>
    <cfRule type="cellIs" dxfId="347" priority="2" stopIfTrue="1" operator="greaterThanOrEqual">
      <formula>0.69</formula>
    </cfRule>
    <cfRule type="cellIs" dxfId="346" priority="3" operator="greaterThanOrEqual">
      <formula>0.66</formula>
    </cfRule>
  </conditionalFormatting>
  <conditionalFormatting sqref="E4:E500">
    <cfRule type="cellIs" dxfId="345" priority="14" stopIfTrue="1" operator="greaterThanOrEqual">
      <formula>11.97</formula>
    </cfRule>
    <cfRule type="cellIs" dxfId="344" priority="15" operator="greaterThanOrEqual">
      <formula>11.42</formula>
    </cfRule>
    <cfRule type="cellIs" dxfId="343" priority="16" stopIfTrue="1" operator="between">
      <formula>9.46</formula>
      <formula>0.01</formula>
    </cfRule>
    <cfRule type="cellIs" dxfId="342" priority="17" stopIfTrue="1" operator="between">
      <formula>9.89</formula>
      <formula>0.01</formula>
    </cfRule>
    <cfRule type="cellIs" dxfId="341" priority="18" operator="between">
      <formula>10.36</formula>
      <formula>0.01</formula>
    </cfRule>
    <cfRule type="cellIs" dxfId="340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C13" sqref="C13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1"/>
      <c r="Y4" s="61"/>
      <c r="Z4" s="61"/>
      <c r="AA4" s="61"/>
      <c r="AB4" s="61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1"/>
      <c r="Y5" s="61"/>
      <c r="Z5" s="61"/>
      <c r="AA5" s="61"/>
      <c r="AB5" s="61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227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232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1"/>
      <c r="Y10" s="61"/>
      <c r="Z10" s="61"/>
      <c r="AA10" s="61"/>
      <c r="AB10" s="61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4" t="s">
        <v>363</v>
      </c>
      <c r="B12" s="4">
        <v>4</v>
      </c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/>
      <c r="X12" s="61"/>
      <c r="Y12" s="61"/>
      <c r="Z12" s="61"/>
      <c r="AA12" s="61"/>
      <c r="AB12" s="61"/>
    </row>
    <row r="13" spans="1:28">
      <c r="A13" t="s">
        <v>373</v>
      </c>
      <c r="B13" s="4">
        <v>4</v>
      </c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/>
      <c r="X13" s="61"/>
      <c r="Y13" s="61"/>
      <c r="Z13" s="61"/>
      <c r="AA13" s="61"/>
      <c r="AB13" s="61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/>
      <c r="X14" s="61"/>
      <c r="Y14" s="61"/>
      <c r="Z14" s="61"/>
      <c r="AA14" s="61"/>
      <c r="AB14" s="61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/>
      <c r="X15" s="61"/>
      <c r="Y15" s="61"/>
      <c r="Z15" s="61"/>
      <c r="AA15" s="61"/>
      <c r="AB15" s="61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/>
      <c r="X16" s="61"/>
      <c r="Y16" s="61"/>
      <c r="Z16" s="61"/>
      <c r="AA16" s="61"/>
      <c r="AB16" s="61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/>
      <c r="X17" s="61"/>
      <c r="Y17" s="61"/>
      <c r="Z17" s="61"/>
      <c r="AA17" s="61"/>
      <c r="AB17" s="61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/>
      <c r="X18" s="61"/>
      <c r="Y18" s="61"/>
      <c r="Z18" s="61"/>
      <c r="AA18" s="61"/>
      <c r="AB18" s="61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/>
      <c r="X19" s="61"/>
      <c r="Y19" s="61"/>
      <c r="Z19" s="61"/>
      <c r="AA19" s="61"/>
      <c r="AB19" s="61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/>
      <c r="X23" s="61"/>
      <c r="Y23" s="61"/>
      <c r="Z23" s="61"/>
      <c r="AA23" s="61"/>
      <c r="AB23" s="61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/>
      <c r="X24" s="61"/>
      <c r="Y24" s="61"/>
      <c r="Z24" s="61"/>
      <c r="AA24" s="61"/>
      <c r="AB24" s="61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/>
      <c r="X25" s="61"/>
      <c r="Y25" s="61"/>
      <c r="Z25" s="61"/>
      <c r="AA25" s="61"/>
      <c r="AB25" s="61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/>
      <c r="X30" s="61"/>
      <c r="Y30" s="61"/>
      <c r="Z30" s="61"/>
      <c r="AA30" s="61"/>
      <c r="AB30" s="61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/>
      <c r="X31" s="61"/>
      <c r="Y31" s="61"/>
      <c r="Z31" s="61"/>
      <c r="AA31" s="61"/>
      <c r="AB31" s="61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/>
      <c r="X32" s="61"/>
      <c r="Y32" s="61"/>
      <c r="Z32" s="61"/>
      <c r="AA32" s="61"/>
      <c r="AB32" s="61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/>
      <c r="X34" s="61"/>
      <c r="Y34" s="61"/>
      <c r="Z34" s="61"/>
      <c r="AA34" s="61"/>
      <c r="AB34" s="61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/>
      <c r="X35" s="61"/>
      <c r="Y35" s="61"/>
      <c r="Z35" s="61"/>
      <c r="AA35" s="61"/>
      <c r="AB35" s="61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/>
      <c r="X36" s="61"/>
      <c r="Y36" s="61"/>
      <c r="Z36" s="61"/>
      <c r="AA36" s="61"/>
      <c r="AB36" s="61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/>
      <c r="X38" s="61"/>
      <c r="Y38" s="61"/>
      <c r="Z38" s="61"/>
      <c r="AA38" s="61"/>
      <c r="AB38" s="61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/>
      <c r="X39" s="61"/>
      <c r="Y39" s="61"/>
      <c r="Z39" s="61"/>
      <c r="AA39" s="61"/>
      <c r="AB39" s="61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/>
      <c r="X40" s="61"/>
      <c r="Y40" s="61"/>
      <c r="Z40" s="61"/>
      <c r="AA40" s="61"/>
      <c r="AB40" s="61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/>
      <c r="X41" s="61"/>
      <c r="Y41" s="61"/>
      <c r="Z41" s="61"/>
      <c r="AA41" s="61"/>
      <c r="AB41" s="61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4">60/N108</f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325" priority="21" operator="greaterThan">
      <formula>2.839</formula>
    </cfRule>
  </conditionalFormatting>
  <conditionalFormatting sqref="O4:O500">
    <cfRule type="cellIs" dxfId="324" priority="20" operator="equal">
      <formula>0</formula>
    </cfRule>
  </conditionalFormatting>
  <conditionalFormatting sqref="E4:E500">
    <cfRule type="cellIs" dxfId="323" priority="14" stopIfTrue="1" operator="greaterThanOrEqual">
      <formula>6.47</formula>
    </cfRule>
    <cfRule type="cellIs" dxfId="322" priority="15" stopIfTrue="1" operator="greaterThanOrEqual">
      <formula>6.19</formula>
    </cfRule>
    <cfRule type="cellIs" dxfId="321" priority="16" operator="greaterThanOrEqual">
      <formula>5.91</formula>
    </cfRule>
    <cfRule type="cellIs" dxfId="320" priority="17" stopIfTrue="1" operator="between">
      <formula>4.9</formula>
      <formula>0.01</formula>
    </cfRule>
    <cfRule type="cellIs" dxfId="319" priority="18" stopIfTrue="1" operator="between">
      <formula>5.12</formula>
      <formula>0.01</formula>
    </cfRule>
    <cfRule type="cellIs" dxfId="318" priority="19" operator="between">
      <formula>5.36</formula>
      <formula>0.01</formula>
    </cfRule>
  </conditionalFormatting>
  <conditionalFormatting sqref="F4:F500">
    <cfRule type="cellIs" dxfId="317" priority="8" stopIfTrue="1" operator="greaterThanOrEqual">
      <formula>42.9</formula>
    </cfRule>
    <cfRule type="cellIs" dxfId="316" priority="9" stopIfTrue="1" operator="greaterThanOrEqual">
      <formula>40.9</formula>
    </cfRule>
    <cfRule type="cellIs" dxfId="315" priority="10" operator="greaterThanOrEqual">
      <formula>38.9</formula>
    </cfRule>
    <cfRule type="cellIs" dxfId="314" priority="11" stopIfTrue="1" operator="between">
      <formula>30.9</formula>
      <formula>0.01</formula>
    </cfRule>
    <cfRule type="cellIs" dxfId="313" priority="12" stopIfTrue="1" operator="between">
      <formula>32.9</formula>
      <formula>0.01</formula>
    </cfRule>
    <cfRule type="cellIs" dxfId="312" priority="13" operator="between">
      <formula>34.9</formula>
      <formula>0.01</formula>
    </cfRule>
  </conditionalFormatting>
  <conditionalFormatting sqref="G4:G500">
    <cfRule type="cellIs" dxfId="311" priority="1" stopIfTrue="1" operator="greaterThanOrEqual">
      <formula>0.91</formula>
    </cfRule>
    <cfRule type="cellIs" dxfId="310" priority="3" stopIfTrue="1" operator="greaterThanOrEqual">
      <formula>0.87</formula>
    </cfRule>
    <cfRule type="cellIs" dxfId="309" priority="4" operator="greaterThanOrEqual">
      <formula>0.83</formula>
    </cfRule>
    <cfRule type="cellIs" dxfId="308" priority="5" stopIfTrue="1" operator="between">
      <formula>0.69</formula>
      <formula>0.01</formula>
    </cfRule>
    <cfRule type="cellIs" dxfId="307" priority="6" stopIfTrue="1" operator="between">
      <formula>0.72</formula>
      <formula>0.01</formula>
    </cfRule>
    <cfRule type="cellIs" dxfId="306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U25" sqref="U25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241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171.52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3.1902671052631582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9">
        <f>Table1681011[[#This Row],[Balance]]*$W$2</f>
        <v>547.1946138947369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3.0510066176470581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9">
        <f>Table1681011[[#This Row],[Balance]]*$W$2</f>
        <v>523.30865505882343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3.0248404255319148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9">
        <f>Table1681011[[#This Row],[Balance]]*$W$2</f>
        <v>518.82062978723411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3.0832852631578942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234</v>
      </c>
      <c r="B8" s="4">
        <v>3</v>
      </c>
      <c r="C8" s="2">
        <f>SUM(((Table1681011[[#This Row],[Avg DPS]]*(Table1681011[[#This Row],[Range]]))+(Table1681011[[#This Row],[Avg DPS]]*Table1681011[[#This Row],[Arm Pen (%)]]))/100)</f>
        <v>3.0229920212765955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9">
        <f>Table1681011[[#This Row],[Balance]]*$W$2</f>
        <v>518.50359148936172</v>
      </c>
    </row>
    <row r="9" spans="1:23">
      <c r="A9" s="4" t="s">
        <v>233</v>
      </c>
      <c r="B9" s="4">
        <v>3</v>
      </c>
      <c r="C9" s="2">
        <f>SUM(((Table1681011[[#This Row],[Avg DPS]]*(Table1681011[[#This Row],[Range]]))+(Table1681011[[#This Row],[Avg DPS]]*Table1681011[[#This Row],[Arm Pen (%)]]))/100)</f>
        <v>3.2827137096774184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229</v>
      </c>
      <c r="B10">
        <v>3</v>
      </c>
      <c r="C10" s="2">
        <f>SUM(((Table1681011[[#This Row],[Avg DPS]]*(Table1681011[[#This Row],[Range]]))+(Table1681011[[#This Row],[Avg DPS]]*Table1681011[[#This Row],[Arm Pen (%)]]))/100)</f>
        <v>2.6005959183673468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9">
        <f>Table1681011[[#This Row],[Balance]]*$W$2</f>
        <v>446.05421191836734</v>
      </c>
    </row>
    <row r="11" spans="1:23">
      <c r="A11" t="s">
        <v>230</v>
      </c>
      <c r="B11">
        <v>3</v>
      </c>
      <c r="C11" s="2">
        <f>SUM(((Table1681011[[#This Row],[Avg DPS]]*(Table1681011[[#This Row],[Range]]))+(Table1681011[[#This Row],[Avg DPS]]*Table1681011[[#This Row],[Arm Pen (%)]]))/100)</f>
        <v>3.1195442708333339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9">
        <f>Table1681011[[#This Row],[Balance]]*$W$2</f>
        <v>535.0642333333335</v>
      </c>
    </row>
    <row r="12" spans="1:23">
      <c r="A12" s="1" t="s">
        <v>228</v>
      </c>
      <c r="B12">
        <v>3</v>
      </c>
      <c r="C12" s="2">
        <f>SUM(((Table1681011[[#This Row],[Avg DPS]]*(Table1681011[[#This Row],[Range]]))+(Table1681011[[#This Row],[Avg DPS]]*Table1681011[[#This Row],[Arm Pen (%)]]))/100)</f>
        <v>3.0079687499999999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9">
        <f>Table1681011[[#This Row],[Balance]]*$W$2</f>
        <v>515.92679999999996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3.1842628865979385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9">
        <f>Table1681011[[#This Row],[Balance]]*$W$2</f>
        <v>546.16477030927842</v>
      </c>
    </row>
    <row r="14" spans="1:23">
      <c r="A14" t="s">
        <v>240</v>
      </c>
      <c r="B14">
        <v>4</v>
      </c>
      <c r="C14" s="2">
        <f>SUM(((Table1681011[[#This Row],[Avg DPS]]*(Table1681011[[#This Row],[Range]]))+(Table1681011[[#This Row],[Avg DPS]]*Table1681011[[#This Row],[Arm Pen (%)]]))/100)</f>
        <v>3.6653294117647057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9">
        <v>1500</v>
      </c>
    </row>
    <row r="15" spans="1:23">
      <c r="A15" s="44" t="s">
        <v>288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3.3824874999999999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9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3.088025</v>
      </c>
      <c r="D17" s="3">
        <f>SUM(Table1681011[[#This Row],[DPS]]*Table1681011[[#This Row],[Avg Accuracy]])</f>
        <v>3.7250000000000001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0.745</v>
      </c>
      <c r="H17">
        <v>25</v>
      </c>
      <c r="I17">
        <v>1.5</v>
      </c>
      <c r="J17">
        <v>38</v>
      </c>
      <c r="K17">
        <v>1</v>
      </c>
      <c r="L17">
        <v>1.5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0.88</v>
      </c>
      <c r="S17">
        <v>0.9</v>
      </c>
      <c r="T17">
        <v>100</v>
      </c>
      <c r="U17"/>
      <c r="V17" t="s">
        <v>86</v>
      </c>
      <c r="W17" s="49">
        <v>530</v>
      </c>
    </row>
    <row r="18" spans="1:23">
      <c r="A18" s="4" t="s">
        <v>367</v>
      </c>
      <c r="B18" s="4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/>
    </row>
  </sheetData>
  <conditionalFormatting sqref="C4:C500">
    <cfRule type="cellIs" dxfId="0" priority="20" operator="greaterThan">
      <formula>3.09</formula>
    </cfRule>
  </conditionalFormatting>
  <conditionalFormatting sqref="O1:O1048576">
    <cfRule type="cellIs" dxfId="19" priority="19" operator="equal">
      <formula>0</formula>
    </cfRule>
  </conditionalFormatting>
  <conditionalFormatting sqref="E4:E500">
    <cfRule type="cellIs" dxfId="18" priority="13" stopIfTrue="1" operator="greaterThanOrEqual">
      <formula>5.75</formula>
    </cfRule>
    <cfRule type="cellIs" dxfId="17" priority="14" stopIfTrue="1" operator="greaterThanOrEqual">
      <formula>5.5</formula>
    </cfRule>
    <cfRule type="cellIs" dxfId="16" priority="15" operator="greaterThanOrEqual">
      <formula>5.25</formula>
    </cfRule>
    <cfRule type="cellIs" dxfId="15" priority="16" stopIfTrue="1" operator="between">
      <formula>4.35</formula>
      <formula>0.01</formula>
    </cfRule>
    <cfRule type="cellIs" dxfId="14" priority="17" stopIfTrue="1" operator="between">
      <formula>4.55</formula>
      <formula>0.01</formula>
    </cfRule>
    <cfRule type="cellIs" dxfId="13" priority="18" operator="between">
      <formula>4.76</formula>
      <formula>0.01</formula>
    </cfRule>
  </conditionalFormatting>
  <conditionalFormatting sqref="F4:F500">
    <cfRule type="cellIs" dxfId="12" priority="7" stopIfTrue="1" operator="greaterThanOrEqual">
      <formula>50.9</formula>
    </cfRule>
    <cfRule type="cellIs" dxfId="11" priority="8" stopIfTrue="1" operator="greaterThanOrEqual">
      <formula>48.9</formula>
    </cfRule>
    <cfRule type="cellIs" dxfId="10" priority="9" operator="greaterThanOrEqual">
      <formula>46.9</formula>
    </cfRule>
    <cfRule type="cellIs" dxfId="9" priority="10" stopIfTrue="1" operator="between">
      <formula>38.9</formula>
      <formula>0.01</formula>
    </cfRule>
    <cfRule type="cellIs" dxfId="8" priority="11" stopIfTrue="1" operator="between">
      <formula>40.9</formula>
      <formula>0.01</formula>
    </cfRule>
    <cfRule type="cellIs" dxfId="7" priority="12" operator="between">
      <formula>42.9</formula>
      <formula>0.01</formula>
    </cfRule>
  </conditionalFormatting>
  <conditionalFormatting sqref="G4:G500">
    <cfRule type="cellIs" dxfId="6" priority="4" stopIfTrue="1" operator="between">
      <formula>0.65</formula>
      <formula>0.01</formula>
    </cfRule>
    <cfRule type="cellIs" dxfId="5" priority="5" stopIfTrue="1" operator="between">
      <formula>0.68</formula>
      <formula>0.01</formula>
    </cfRule>
    <cfRule type="cellIs" dxfId="4" priority="6" operator="between">
      <formula>0.71</formula>
      <formula>0.01</formula>
    </cfRule>
    <cfRule type="cellIs" dxfId="3" priority="3" operator="greaterThanOrEqual">
      <formula>0.79</formula>
    </cfRule>
    <cfRule type="cellIs" dxfId="2" priority="2" stopIfTrue="1" operator="greaterThanOrEqual">
      <formula>0.83</formula>
    </cfRule>
    <cfRule type="cellIs" dxfId="1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7" sqref="H17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239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285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>
      <selection activeCell="U20" sqref="U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244</v>
      </c>
      <c r="W1">
        <v>150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3.5750177419354832</v>
      </c>
      <c r="D4" s="3">
        <f>SUM(Table168101112[[#This Row],[DPS]]*Table168101112[[#This Row],[Avg Accuracy]])</f>
        <v>8.1435483870967733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21.29032258064516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536.25266129032252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2.7378750000000003</v>
      </c>
      <c r="D5" s="3">
        <f>SUM(Table168101112[[#This Row],[DPS]]*Table168101112[[#This Row],[Avg Accuracy]])</f>
        <v>6.8618421052631584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18.421052631578949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410.68125000000003</v>
      </c>
    </row>
    <row r="6" spans="1:23">
      <c r="A6" t="s">
        <v>272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2.9195065789473684</v>
      </c>
      <c r="D6" s="3">
        <f>SUM(Table168101112[[#This Row],[DPS]]*Table168101112[[#This Row],[Avg Accuracy]])</f>
        <v>7.1381578947368425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18.421052631578949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437.92598684210526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3.1544217391304348</v>
      </c>
      <c r="D7" s="3">
        <f>SUM(Table168101112[[#This Row],[DPS]]*Table168101112[[#This Row],[Avg Accuracy]])</f>
        <v>7.3529644268774703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18.49802371541502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473.16326086956519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2.359594263963849</v>
      </c>
      <c r="D8" s="3">
        <f>SUM(Table168101112[[#This Row],[DPS]]*Table168101112[[#This Row],[Avg Accuracy]])</f>
        <v>6.9604550559405576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20.322496513695057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353.93913959457734</v>
      </c>
    </row>
    <row r="9" spans="1:23">
      <c r="A9" s="14" t="s">
        <v>235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511.45305098684207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2.6797037671232871</v>
      </c>
      <c r="D10" s="3">
        <f>SUM(Table168101112[[#This Row],[DPS]]*Table168101112[[#This Row],[Avg Accuracy]])</f>
        <v>6.888698630136985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18.493150684931503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10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401.95556506849306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2.8211532335962466</v>
      </c>
      <c r="D11" s="3">
        <f>SUM(Table168101112[[#This Row],[DPS]]*Table168101112[[#This Row],[Avg Accuracy]])</f>
        <v>6.7330626100149082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12</v>
      </c>
      <c r="I11">
        <v>1</v>
      </c>
      <c r="J11">
        <v>16</v>
      </c>
      <c r="K11">
        <v>6</v>
      </c>
      <c r="L11">
        <v>1.6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 t="s">
        <v>365</v>
      </c>
      <c r="B13" s="4">
        <v>4</v>
      </c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A14" t="s">
        <v>366</v>
      </c>
      <c r="B14">
        <v>4</v>
      </c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500">
    <cfRule type="cellIs" dxfId="77" priority="19" operator="greaterThan">
      <formula>3.51</formula>
    </cfRule>
  </conditionalFormatting>
  <conditionalFormatting sqref="E4:E500">
    <cfRule type="cellIs" dxfId="64" priority="13" stopIfTrue="1" operator="greaterThanOrEqual">
      <formula>20.79</formula>
    </cfRule>
    <cfRule type="cellIs" dxfId="63" priority="14" stopIfTrue="1" operator="greaterThanOrEqual">
      <formula>19.89</formula>
    </cfRule>
    <cfRule type="cellIs" dxfId="62" priority="15" operator="greaterThanOrEqual">
      <formula>18.98</formula>
    </cfRule>
    <cfRule type="cellIs" dxfId="59" priority="16" stopIfTrue="1" operator="between">
      <formula>15.72</formula>
      <formula>0.01</formula>
    </cfRule>
    <cfRule type="cellIs" dxfId="60" priority="17" stopIfTrue="1" operator="between">
      <formula>16.44</formula>
      <formula>0.01</formula>
    </cfRule>
    <cfRule type="cellIs" dxfId="61" priority="18" operator="between">
      <formula>17.22</formula>
      <formula>0.01</formula>
    </cfRule>
  </conditionalFormatting>
  <conditionalFormatting sqref="F4:F500">
    <cfRule type="cellIs" dxfId="76" priority="7" stopIfTrue="1" operator="greaterThanOrEqual">
      <formula>31.9</formula>
    </cfRule>
    <cfRule type="cellIs" dxfId="75" priority="8" stopIfTrue="1" operator="greaterThanOrEqual">
      <formula>29.9</formula>
    </cfRule>
    <cfRule type="cellIs" dxfId="74" priority="9" operator="greaterThanOrEqual">
      <formula>27.9</formula>
    </cfRule>
    <cfRule type="cellIs" dxfId="73" priority="10" stopIfTrue="1" operator="between">
      <formula>19.9</formula>
      <formula>0.01</formula>
    </cfRule>
    <cfRule type="cellIs" dxfId="72" priority="11" stopIfTrue="1" operator="between">
      <formula>21.9</formula>
      <formula>0.01</formula>
    </cfRule>
    <cfRule type="cellIs" dxfId="71" priority="12" operator="between">
      <formula>23.9</formula>
      <formula>0.01</formula>
    </cfRule>
  </conditionalFormatting>
  <conditionalFormatting sqref="G4:G500">
    <cfRule type="cellIs" dxfId="70" priority="1" stopIfTrue="1" operator="greaterThanOrEqual">
      <formula>0.43</formula>
    </cfRule>
    <cfRule type="cellIs" dxfId="69" priority="2" stopIfTrue="1" operator="greaterThanOrEqual">
      <formula>0.41</formula>
    </cfRule>
    <cfRule type="cellIs" dxfId="68" priority="3" operator="greaterThanOrEqual">
      <formula>0.39</formula>
    </cfRule>
    <cfRule type="cellIs" dxfId="67" priority="4" stopIfTrue="1" operator="between">
      <formula>0.32</formula>
      <formula>0.01</formula>
    </cfRule>
    <cfRule type="cellIs" dxfId="66" priority="5" stopIfTrue="1" operator="between">
      <formula>0.34</formula>
      <formula>0.01</formula>
    </cfRule>
    <cfRule type="cellIs" dxfId="65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2025-06-12T09:44:19Z</dcterms:modified>
</cp:coreProperties>
</file>