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7743E5A8-6429-9D4D-832C-C15ED923798A}" xr6:coauthVersionLast="36" xr6:coauthVersionMax="36" xr10:uidLastSave="{00000000-0000-0000-0000-000000000000}"/>
  <bookViews>
    <workbookView xWindow="0" yWindow="460" windowWidth="19200" windowHeight="6980" xr2:uid="{00000000-000D-0000-FFFF-FFFF00000000}"/>
  </bookViews>
  <sheets>
    <sheet name="【試算表】" sheetId="12" r:id="rId1"/>
    <sheet name="（参考）入力例" sheetId="8" r:id="rId2"/>
  </sheets>
  <definedNames>
    <definedName name="_xlnm.Print_Area" localSheetId="1">'（参考）入力例'!$A$1:$J$40</definedName>
    <definedName name="_xlnm.Print_Area" localSheetId="0">【試算表】!$A$1:$J$39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2" l="1"/>
  <c r="P23" i="12" l="1"/>
  <c r="AH37" i="12" l="1"/>
  <c r="AE37" i="12"/>
  <c r="AH36" i="12"/>
  <c r="AE36" i="12"/>
  <c r="AH35" i="12"/>
  <c r="AE35" i="12"/>
  <c r="G35" i="12"/>
  <c r="AH34" i="12"/>
  <c r="AE34" i="12"/>
  <c r="AH33" i="12"/>
  <c r="AE33" i="12"/>
  <c r="AH32" i="12"/>
  <c r="P21" i="12" s="1"/>
  <c r="AE32" i="12"/>
  <c r="AH31" i="12"/>
  <c r="AE31" i="12"/>
  <c r="I31" i="12"/>
  <c r="G30" i="12"/>
  <c r="E30" i="12"/>
  <c r="E27" i="12"/>
  <c r="E22" i="12"/>
  <c r="E21" i="12"/>
  <c r="E23" i="12"/>
  <c r="E20" i="12"/>
  <c r="D20" i="12"/>
  <c r="P19" i="12"/>
  <c r="D19" i="12"/>
  <c r="D17" i="12" s="1"/>
  <c r="D18" i="12"/>
  <c r="P17" i="12"/>
  <c r="E17" i="12" s="1"/>
  <c r="D16" i="12"/>
  <c r="P15" i="12"/>
  <c r="E15" i="12" s="1"/>
  <c r="P14" i="12"/>
  <c r="D14" i="12"/>
  <c r="I13" i="12"/>
  <c r="G13" i="12"/>
  <c r="G11" i="12"/>
  <c r="G10" i="12" s="1"/>
  <c r="G31" i="12" s="1"/>
  <c r="E11" i="12"/>
  <c r="E18" i="12" s="1"/>
  <c r="A5" i="12"/>
  <c r="J3" i="12"/>
  <c r="J2" i="12"/>
  <c r="AH33" i="8"/>
  <c r="P21" i="8" s="1"/>
  <c r="AH34" i="8"/>
  <c r="AH35" i="8"/>
  <c r="AH36" i="8"/>
  <c r="AH37" i="8"/>
  <c r="AH31" i="8"/>
  <c r="AE33" i="8"/>
  <c r="P19" i="8" s="1"/>
  <c r="AE34" i="8"/>
  <c r="AE35" i="8"/>
  <c r="AE36" i="8"/>
  <c r="AE37" i="8"/>
  <c r="AE31" i="8"/>
  <c r="AH32" i="8"/>
  <c r="AE32" i="8"/>
  <c r="E19" i="8" l="1"/>
  <c r="E19" i="12"/>
  <c r="E28" i="12"/>
  <c r="D15" i="12"/>
  <c r="G36" i="12"/>
  <c r="E14" i="12"/>
  <c r="E16" i="12"/>
  <c r="E10" i="12"/>
  <c r="G25" i="12"/>
  <c r="G24" i="12"/>
  <c r="G35" i="8"/>
  <c r="I31" i="8"/>
  <c r="G30" i="8"/>
  <c r="E30" i="8"/>
  <c r="E27" i="8"/>
  <c r="E23" i="8"/>
  <c r="P24" i="8"/>
  <c r="E22" i="8" s="1"/>
  <c r="P23" i="8"/>
  <c r="E21" i="8" s="1"/>
  <c r="E20" i="8"/>
  <c r="D20" i="8"/>
  <c r="D19" i="8"/>
  <c r="D15" i="8" s="1"/>
  <c r="D18" i="8"/>
  <c r="P17" i="8"/>
  <c r="E17" i="8" s="1"/>
  <c r="D16" i="8"/>
  <c r="P15" i="8"/>
  <c r="E15" i="8" s="1"/>
  <c r="P14" i="8"/>
  <c r="D14" i="8"/>
  <c r="I13" i="8"/>
  <c r="G13" i="8"/>
  <c r="G11" i="8"/>
  <c r="G10" i="8" s="1"/>
  <c r="G31" i="8" s="1"/>
  <c r="E11" i="8"/>
  <c r="E16" i="8" s="1"/>
  <c r="A5" i="8"/>
  <c r="J3" i="8"/>
  <c r="J2" i="8"/>
  <c r="E24" i="12" l="1"/>
  <c r="E25" i="12" s="1"/>
  <c r="E31" i="12"/>
  <c r="G32" i="12" s="1"/>
  <c r="G33" i="12" s="1"/>
  <c r="E18" i="8"/>
  <c r="E14" i="8"/>
  <c r="D17" i="8"/>
  <c r="G25" i="8"/>
  <c r="E28" i="8"/>
  <c r="G36" i="8"/>
  <c r="E10" i="8"/>
  <c r="G24" i="8"/>
  <c r="E39" i="12" l="1"/>
  <c r="H39" i="12" s="1"/>
  <c r="E38" i="12"/>
  <c r="E31" i="8"/>
  <c r="G32" i="8" s="1"/>
  <c r="G33" i="8" s="1"/>
  <c r="E24" i="8"/>
  <c r="E38" i="8" l="1"/>
  <c r="E25" i="8"/>
  <c r="E39" i="8" s="1"/>
  <c r="H39" i="8" s="1"/>
</calcChain>
</file>

<file path=xl/sharedStrings.xml><?xml version="1.0" encoding="utf-8"?>
<sst xmlns="http://schemas.openxmlformats.org/spreadsheetml/2006/main" count="425" uniqueCount="146">
  <si>
    <t>発行日：</t>
    <rPh sb="0" eb="2">
      <t>ハッコウ</t>
    </rPh>
    <rPh sb="2" eb="3">
      <t>ビ</t>
    </rPh>
    <phoneticPr fontId="1"/>
  </si>
  <si>
    <t>お客さまが現在お乗りの車情報</t>
    <rPh sb="1" eb="2">
      <t>キャク</t>
    </rPh>
    <rPh sb="5" eb="7">
      <t>ゲンザイ</t>
    </rPh>
    <rPh sb="8" eb="9">
      <t>ノ</t>
    </rPh>
    <rPh sb="11" eb="12">
      <t>クルマ</t>
    </rPh>
    <rPh sb="12" eb="14">
      <t>ジョウホウ</t>
    </rPh>
    <phoneticPr fontId="1"/>
  </si>
  <si>
    <t>担当スタッフ：</t>
    <rPh sb="0" eb="2">
      <t>タントウ</t>
    </rPh>
    <phoneticPr fontId="1"/>
  </si>
  <si>
    <t>スタッフ名「入力」⇒</t>
    <rPh sb="4" eb="5">
      <t>メイ</t>
    </rPh>
    <rPh sb="6" eb="8">
      <t>ニュウリョク</t>
    </rPh>
    <phoneticPr fontId="1"/>
  </si>
  <si>
    <t>❶車の排気量を「選択」⇒</t>
    <rPh sb="1" eb="2">
      <t>クルマ</t>
    </rPh>
    <rPh sb="3" eb="6">
      <t>ハイキリョウ</t>
    </rPh>
    <rPh sb="8" eb="10">
      <t>センタク</t>
    </rPh>
    <phoneticPr fontId="1"/>
  </si>
  <si>
    <t>1L超～1.5L以下</t>
    <rPh sb="8" eb="10">
      <t>イカ</t>
    </rPh>
    <phoneticPr fontId="1"/>
  </si>
  <si>
    <t>今のおクルマに
乗り続ける場合</t>
    <rPh sb="0" eb="1">
      <t>イマ</t>
    </rPh>
    <rPh sb="8" eb="9">
      <t>ノ</t>
    </rPh>
    <rPh sb="10" eb="11">
      <t>ツヅ</t>
    </rPh>
    <rPh sb="13" eb="15">
      <t>バアイ</t>
    </rPh>
    <phoneticPr fontId="1"/>
  </si>
  <si>
    <t>KINTOを
ご利用いただく場合</t>
    <rPh sb="8" eb="10">
      <t>リヨウ</t>
    </rPh>
    <rPh sb="14" eb="16">
      <t>バアイ</t>
    </rPh>
    <phoneticPr fontId="1"/>
  </si>
  <si>
    <t>備考</t>
    <rPh sb="0" eb="2">
      <t>ビコウ</t>
    </rPh>
    <phoneticPr fontId="1"/>
  </si>
  <si>
    <t>お客様氏名「入力」⇒</t>
    <rPh sb="1" eb="3">
      <t>キャクサマ</t>
    </rPh>
    <rPh sb="3" eb="5">
      <t>シメイ</t>
    </rPh>
    <rPh sb="6" eb="8">
      <t>ニュウリョク</t>
    </rPh>
    <phoneticPr fontId="1"/>
  </si>
  <si>
    <t>様</t>
    <rPh sb="0" eb="1">
      <t>サマ</t>
    </rPh>
    <phoneticPr fontId="1"/>
  </si>
  <si>
    <t>　金額比較表</t>
    <rPh sb="1" eb="3">
      <t>キンガク</t>
    </rPh>
    <rPh sb="3" eb="5">
      <t>ヒカク</t>
    </rPh>
    <rPh sb="5" eb="6">
      <t>ヒョウ</t>
    </rPh>
    <phoneticPr fontId="1"/>
  </si>
  <si>
    <t>❷年式を「選択」⇒</t>
    <rPh sb="1" eb="3">
      <t>ネンシキ</t>
    </rPh>
    <rPh sb="5" eb="7">
      <t>センタク</t>
    </rPh>
    <phoneticPr fontId="1"/>
  </si>
  <si>
    <t>2019年9月30日以前</t>
  </si>
  <si>
    <t>KINTO提案車種「入力」⇒</t>
    <rPh sb="5" eb="7">
      <t>テイアン</t>
    </rPh>
    <rPh sb="7" eb="9">
      <t>シャシュ</t>
    </rPh>
    <rPh sb="10" eb="12">
      <t>ニュウリョク</t>
    </rPh>
    <phoneticPr fontId="1"/>
  </si>
  <si>
    <t>❸車両重量を「選択」⇒</t>
    <rPh sb="1" eb="3">
      <t>シャリョウ</t>
    </rPh>
    <rPh sb="3" eb="5">
      <t>ジュウリョウ</t>
    </rPh>
    <rPh sb="7" eb="9">
      <t>センタク</t>
    </rPh>
    <phoneticPr fontId="1"/>
  </si>
  <si>
    <t>「アクア・ポルテ」クラス</t>
  </si>
  <si>
    <t>期間</t>
    <rPh sb="0" eb="2">
      <t>キカン</t>
    </rPh>
    <phoneticPr fontId="1"/>
  </si>
  <si>
    <t>ヵ月</t>
    <rPh sb="1" eb="2">
      <t>ゲツ</t>
    </rPh>
    <phoneticPr fontId="1"/>
  </si>
  <si>
    <t>❹車検回数「選択」⇒</t>
    <rPh sb="1" eb="3">
      <t>シャケン</t>
    </rPh>
    <rPh sb="3" eb="5">
      <t>カイスウ</t>
    </rPh>
    <rPh sb="6" eb="8">
      <t>センタク</t>
    </rPh>
    <phoneticPr fontId="1"/>
  </si>
  <si>
    <t>車検２回目以降</t>
    <rPh sb="0" eb="2">
      <t>シャケン</t>
    </rPh>
    <rPh sb="3" eb="7">
      <t>カイメイコウ</t>
    </rPh>
    <phoneticPr fontId="1"/>
  </si>
  <si>
    <t>年</t>
    <rPh sb="0" eb="1">
      <t>ネン</t>
    </rPh>
    <phoneticPr fontId="1"/>
  </si>
  <si>
    <t>❺エコカー「選択」⇒</t>
    <rPh sb="6" eb="8">
      <t>センタク</t>
    </rPh>
    <phoneticPr fontId="1"/>
  </si>
  <si>
    <t>エコカー</t>
  </si>
  <si>
    <t>自動車税</t>
    <rPh sb="0" eb="3">
      <t>ジドウシャ</t>
    </rPh>
    <rPh sb="3" eb="4">
      <t>ゼイ</t>
    </rPh>
    <phoneticPr fontId="1"/>
  </si>
  <si>
    <t>重量税</t>
    <rPh sb="0" eb="3">
      <t>ジュウリョウゼイ</t>
    </rPh>
    <phoneticPr fontId="1"/>
  </si>
  <si>
    <t>車両+オプション代</t>
    <rPh sb="0" eb="2">
      <t>シャリョウ</t>
    </rPh>
    <rPh sb="8" eb="9">
      <t>ダイ</t>
    </rPh>
    <phoneticPr fontId="1"/>
  </si>
  <si>
    <t>円/月</t>
    <rPh sb="0" eb="1">
      <t>エン</t>
    </rPh>
    <rPh sb="2" eb="3">
      <t>ツキ</t>
    </rPh>
    <phoneticPr fontId="1"/>
  </si>
  <si>
    <t>KINTO</t>
    <phoneticPr fontId="1"/>
  </si>
  <si>
    <t>/月</t>
    <rPh sb="1" eb="2">
      <t>ツキ</t>
    </rPh>
    <phoneticPr fontId="1"/>
  </si>
  <si>
    <t>➏車種を「選択」⇒</t>
    <rPh sb="1" eb="3">
      <t>シャシュ</t>
    </rPh>
    <rPh sb="5" eb="7">
      <t>センタク</t>
    </rPh>
    <phoneticPr fontId="1"/>
  </si>
  <si>
    <t>自家用乗用</t>
  </si>
  <si>
    <t>用途区分</t>
  </si>
  <si>
    <t>総排気量</t>
  </si>
  <si>
    <t>新車登録時期別の税額</t>
  </si>
  <si>
    <t>車両重量</t>
  </si>
  <si>
    <t>2年自家用（継続検査等時）</t>
  </si>
  <si>
    <t>円</t>
    <rPh sb="0" eb="1">
      <t>エン</t>
    </rPh>
    <phoneticPr fontId="1"/>
  </si>
  <si>
    <t>/年</t>
    <rPh sb="1" eb="2">
      <t>ネン</t>
    </rPh>
    <phoneticPr fontId="1"/>
  </si>
  <si>
    <t>自動計算</t>
    <rPh sb="0" eb="2">
      <t>ジドウ</t>
    </rPh>
    <rPh sb="2" eb="4">
      <t>ケイサン</t>
    </rPh>
    <phoneticPr fontId="1"/>
  </si>
  <si>
    <t>2019年10月1日以降</t>
  </si>
  <si>
    <t>初回車検</t>
    <rPh sb="0" eb="2">
      <t>ショカイ</t>
    </rPh>
    <rPh sb="2" eb="4">
      <t>シャケン</t>
    </rPh>
    <phoneticPr fontId="1"/>
  </si>
  <si>
    <t>車検時に国に治める税金です</t>
    <rPh sb="0" eb="2">
      <t>シャケン</t>
    </rPh>
    <rPh sb="2" eb="3">
      <t>ジ</t>
    </rPh>
    <rPh sb="4" eb="5">
      <t>クニ</t>
    </rPh>
    <rPh sb="6" eb="7">
      <t>オサ</t>
    </rPh>
    <rPh sb="9" eb="11">
      <t>ゼイキン</t>
    </rPh>
    <phoneticPr fontId="1"/>
  </si>
  <si>
    <t>/2年</t>
    <rPh sb="2" eb="3">
      <t>ネン</t>
    </rPh>
    <phoneticPr fontId="1"/>
  </si>
  <si>
    <t>自家用乗用車</t>
    <phoneticPr fontId="1"/>
  </si>
  <si>
    <t>1L以下</t>
    <phoneticPr fontId="1"/>
  </si>
  <si>
    <t>免税</t>
  </si>
  <si>
    <t>50％減</t>
  </si>
  <si>
    <t>エコカー以外</t>
    <phoneticPr fontId="1"/>
  </si>
  <si>
    <t>13年経過</t>
  </si>
  <si>
    <t>18年経過</t>
  </si>
  <si>
    <t>任意保険</t>
    <rPh sb="0" eb="2">
      <t>ニンイ</t>
    </rPh>
    <rPh sb="2" eb="4">
      <t>ホケン</t>
    </rPh>
    <phoneticPr fontId="1"/>
  </si>
  <si>
    <t>その他</t>
    <rPh sb="2" eb="3">
      <t>タ</t>
    </rPh>
    <phoneticPr fontId="1"/>
  </si>
  <si>
    <t>0.5t以下</t>
  </si>
  <si>
    <t xml:space="preserve">自賠責保険 </t>
    <rPh sb="0" eb="3">
      <t>ジバイセキ</t>
    </rPh>
    <rPh sb="3" eb="5">
      <t>ホケン</t>
    </rPh>
    <phoneticPr fontId="1"/>
  </si>
  <si>
    <t>車検時に加入いただいております</t>
    <rPh sb="0" eb="2">
      <t>シャケン</t>
    </rPh>
    <rPh sb="2" eb="3">
      <t>ジ</t>
    </rPh>
    <rPh sb="4" eb="6">
      <t>カニュウ</t>
    </rPh>
    <phoneticPr fontId="1"/>
  </si>
  <si>
    <t>自賠責</t>
    <rPh sb="0" eb="3">
      <t>ジバイセキ</t>
    </rPh>
    <phoneticPr fontId="1"/>
  </si>
  <si>
    <t>1.5L超～2.0L以下</t>
  </si>
  <si>
    <t>「軽・パッソ」クラス</t>
    <rPh sb="1" eb="2">
      <t>ケイ</t>
    </rPh>
    <phoneticPr fontId="1"/>
  </si>
  <si>
    <t>0.5t超~1t以下</t>
    <rPh sb="4" eb="5">
      <t>チョウ</t>
    </rPh>
    <rPh sb="8" eb="10">
      <t>イカ</t>
    </rPh>
    <phoneticPr fontId="1"/>
  </si>
  <si>
    <t>ＪＡＦ</t>
    <phoneticPr fontId="1"/>
  </si>
  <si>
    <t>JAF</t>
    <phoneticPr fontId="1"/>
  </si>
  <si>
    <t>2.0L超～2.5L以下</t>
  </si>
  <si>
    <t>「アクア・ポルテ」クラス</t>
    <phoneticPr fontId="1"/>
  </si>
  <si>
    <t>1t超~1.5t以下</t>
    <rPh sb="2" eb="3">
      <t>チョウ</t>
    </rPh>
    <rPh sb="8" eb="10">
      <t>イカ</t>
    </rPh>
    <phoneticPr fontId="1"/>
  </si>
  <si>
    <t>車検</t>
    <rPh sb="0" eb="2">
      <t>シャケン</t>
    </rPh>
    <phoneticPr fontId="1"/>
  </si>
  <si>
    <t>2.5L超～3.0L以下</t>
  </si>
  <si>
    <t>「プリウス・カローラ」クラス</t>
    <phoneticPr fontId="1"/>
  </si>
  <si>
    <t>定期点検</t>
    <rPh sb="0" eb="2">
      <t>テイキ</t>
    </rPh>
    <rPh sb="2" eb="4">
      <t>テンケン</t>
    </rPh>
    <phoneticPr fontId="1"/>
  </si>
  <si>
    <t>車検回数</t>
    <rPh sb="0" eb="2">
      <t>シャケン</t>
    </rPh>
    <rPh sb="2" eb="4">
      <t>カイスウ</t>
    </rPh>
    <phoneticPr fontId="1"/>
  </si>
  <si>
    <t>回</t>
    <rPh sb="0" eb="1">
      <t>カイ</t>
    </rPh>
    <phoneticPr fontId="1"/>
  </si>
  <si>
    <t>3.0L超～3.5L以下</t>
  </si>
  <si>
    <t>「クラウン」クラス</t>
    <phoneticPr fontId="1"/>
  </si>
  <si>
    <t>1.5t超~2t以下</t>
    <rPh sb="4" eb="5">
      <t>チョウ</t>
    </rPh>
    <rPh sb="8" eb="10">
      <t>イカ</t>
    </rPh>
    <phoneticPr fontId="1"/>
  </si>
  <si>
    <t>メンテナンス</t>
    <phoneticPr fontId="1"/>
  </si>
  <si>
    <t>①</t>
    <phoneticPr fontId="1"/>
  </si>
  <si>
    <t>タイヤ</t>
    <phoneticPr fontId="1"/>
  </si>
  <si>
    <t>定期点検（３年分）</t>
    <rPh sb="0" eb="2">
      <t>テイキ</t>
    </rPh>
    <rPh sb="2" eb="4">
      <t>テンケン</t>
    </rPh>
    <rPh sb="6" eb="8">
      <t>ネンブン</t>
    </rPh>
    <phoneticPr fontId="1"/>
  </si>
  <si>
    <t>3.5L超～4.0L以下</t>
  </si>
  <si>
    <t>「エスクァイア」クラス</t>
    <phoneticPr fontId="1"/>
  </si>
  <si>
    <t>②</t>
    <phoneticPr fontId="1"/>
  </si>
  <si>
    <t>バッテリー</t>
    <phoneticPr fontId="1"/>
  </si>
  <si>
    <t>定期点検回数（３年分）</t>
    <rPh sb="0" eb="2">
      <t>テイキ</t>
    </rPh>
    <rPh sb="2" eb="4">
      <t>テンケン</t>
    </rPh>
    <rPh sb="4" eb="6">
      <t>カイスウ</t>
    </rPh>
    <rPh sb="8" eb="10">
      <t>ネンブン</t>
    </rPh>
    <phoneticPr fontId="1"/>
  </si>
  <si>
    <t>4.0L超～4.5L以下</t>
  </si>
  <si>
    <t>「エスティマ」クラス</t>
    <phoneticPr fontId="1"/>
  </si>
  <si>
    <t>故障修理　等</t>
    <rPh sb="0" eb="2">
      <t>コショウ</t>
    </rPh>
    <rPh sb="2" eb="4">
      <t>シュウリ</t>
    </rPh>
    <rPh sb="5" eb="6">
      <t>トウ</t>
    </rPh>
    <phoneticPr fontId="1"/>
  </si>
  <si>
    <t>タイヤ交換「選択」⇒</t>
    <rPh sb="3" eb="5">
      <t>コウカン</t>
    </rPh>
    <rPh sb="6" eb="8">
      <t>センタク</t>
    </rPh>
    <phoneticPr fontId="1"/>
  </si>
  <si>
    <t>有り</t>
  </si>
  <si>
    <t>➀</t>
    <phoneticPr fontId="1"/>
  </si>
  <si>
    <t>4.5L超～6.0L以下</t>
  </si>
  <si>
    <t>「アルファード」クラス</t>
    <phoneticPr fontId="1"/>
  </si>
  <si>
    <t>支払総額</t>
    <rPh sb="0" eb="2">
      <t>シハライ</t>
    </rPh>
    <rPh sb="2" eb="4">
      <t>ソウガク</t>
    </rPh>
    <phoneticPr fontId="1"/>
  </si>
  <si>
    <r>
      <t xml:space="preserve">KINTOはクレカ払い
</t>
    </r>
    <r>
      <rPr>
        <sz val="12"/>
        <color theme="1"/>
        <rFont val="Meiryo UI"/>
        <family val="3"/>
        <charset val="128"/>
      </rPr>
      <t>※クレカなら平均1％のポイント還元</t>
    </r>
    <rPh sb="9" eb="10">
      <t>バラ</t>
    </rPh>
    <rPh sb="18" eb="20">
      <t>ヘイキン</t>
    </rPh>
    <rPh sb="27" eb="29">
      <t>カンゲン</t>
    </rPh>
    <phoneticPr fontId="1"/>
  </si>
  <si>
    <t>バッテリー交換「選択」⇒</t>
    <rPh sb="5" eb="7">
      <t>コウカン</t>
    </rPh>
    <rPh sb="8" eb="10">
      <t>センタク</t>
    </rPh>
    <phoneticPr fontId="1"/>
  </si>
  <si>
    <t>6.0L超</t>
  </si>
  <si>
    <t>「センチュリー」クラス</t>
    <phoneticPr fontId="1"/>
  </si>
  <si>
    <t>2t超~2.5t以下</t>
    <rPh sb="2" eb="3">
      <t>チョウ</t>
    </rPh>
    <rPh sb="8" eb="10">
      <t>イカ</t>
    </rPh>
    <phoneticPr fontId="1"/>
  </si>
  <si>
    <t>支払総額をＫＩＮＴＯ利用料に充てられる月数</t>
    <rPh sb="10" eb="12">
      <t>リヨウ</t>
    </rPh>
    <rPh sb="12" eb="13">
      <t>リョウ</t>
    </rPh>
    <rPh sb="14" eb="15">
      <t>ア</t>
    </rPh>
    <rPh sb="19" eb="21">
      <t>ゲッスウ</t>
    </rPh>
    <phoneticPr fontId="1"/>
  </si>
  <si>
    <t>-</t>
    <phoneticPr fontId="1"/>
  </si>
  <si>
    <t>故障修理</t>
    <rPh sb="0" eb="2">
      <t>コショウ</t>
    </rPh>
    <rPh sb="2" eb="4">
      <t>シュウリ</t>
    </rPh>
    <phoneticPr fontId="1"/>
  </si>
  <si>
    <t>自家用乗用軽自動車</t>
  </si>
  <si>
    <t>軽</t>
    <rPh sb="0" eb="1">
      <t>ケイ</t>
    </rPh>
    <phoneticPr fontId="1"/>
  </si>
  <si>
    <t>乗用最重量クラス</t>
    <rPh sb="0" eb="2">
      <t>ジョウヨウ</t>
    </rPh>
    <rPh sb="2" eb="3">
      <t>サイ</t>
    </rPh>
    <rPh sb="3" eb="5">
      <t>ジュウリョウ</t>
    </rPh>
    <phoneticPr fontId="1"/>
  </si>
  <si>
    <t>2.5t超～3t以下</t>
    <rPh sb="4" eb="5">
      <t>チョウ</t>
    </rPh>
    <rPh sb="8" eb="10">
      <t>イカ</t>
    </rPh>
    <phoneticPr fontId="1"/>
  </si>
  <si>
    <t>現保有車の下取り金額</t>
    <rPh sb="0" eb="1">
      <t>ゲン</t>
    </rPh>
    <rPh sb="1" eb="3">
      <t>ホユウ</t>
    </rPh>
    <rPh sb="3" eb="4">
      <t>クルマ</t>
    </rPh>
    <rPh sb="5" eb="7">
      <t>シタド</t>
    </rPh>
    <rPh sb="8" eb="10">
      <t>キンガク</t>
    </rPh>
    <phoneticPr fontId="1"/>
  </si>
  <si>
    <t>⇐ 3年後に下取りの価値がある場合がありますが、</t>
    <rPh sb="3" eb="5">
      <t>ネンゴ</t>
    </rPh>
    <rPh sb="6" eb="8">
      <t>シタド</t>
    </rPh>
    <rPh sb="10" eb="12">
      <t>カチ</t>
    </rPh>
    <rPh sb="15" eb="17">
      <t>バアイ</t>
    </rPh>
    <phoneticPr fontId="1"/>
  </si>
  <si>
    <t>下取り金額をＫＩＮＴＯ利用料に充てられる月数</t>
    <rPh sb="0" eb="2">
      <t>シタド</t>
    </rPh>
    <rPh sb="3" eb="5">
      <t>キンガク</t>
    </rPh>
    <rPh sb="11" eb="13">
      <t>リヨウ</t>
    </rPh>
    <rPh sb="13" eb="14">
      <t>リョウ</t>
    </rPh>
    <rPh sb="15" eb="16">
      <t>ア</t>
    </rPh>
    <rPh sb="20" eb="22">
      <t>ゲッスウ</t>
    </rPh>
    <phoneticPr fontId="1"/>
  </si>
  <si>
    <t>　　この試算上は「現時点の下取り」にて試算をしています。</t>
    <rPh sb="4" eb="6">
      <t>シサン</t>
    </rPh>
    <rPh sb="6" eb="7">
      <t>ジョウ</t>
    </rPh>
    <rPh sb="9" eb="12">
      <t>ゲンジテン</t>
    </rPh>
    <rPh sb="13" eb="15">
      <t>シタド</t>
    </rPh>
    <rPh sb="19" eb="21">
      <t>シサン</t>
    </rPh>
    <phoneticPr fontId="1"/>
  </si>
  <si>
    <t>下取り額</t>
    <rPh sb="0" eb="2">
      <t>シタド</t>
    </rPh>
    <rPh sb="3" eb="4">
      <t>ガク</t>
    </rPh>
    <phoneticPr fontId="1"/>
  </si>
  <si>
    <t>燃費(実燃費）</t>
    <rPh sb="0" eb="2">
      <t>ネンピ</t>
    </rPh>
    <rPh sb="3" eb="4">
      <t>ジツ</t>
    </rPh>
    <rPh sb="4" eb="6">
      <t>ネンピ</t>
    </rPh>
    <phoneticPr fontId="1"/>
  </si>
  <si>
    <t>km/L</t>
    <phoneticPr fontId="1"/>
  </si>
  <si>
    <t>実燃費</t>
    <rPh sb="0" eb="1">
      <t>ジツ</t>
    </rPh>
    <rPh sb="1" eb="3">
      <t>ネンピ</t>
    </rPh>
    <phoneticPr fontId="1"/>
  </si>
  <si>
    <r>
      <rPr>
        <sz val="10"/>
        <color theme="1"/>
        <rFont val="Meiryo UI"/>
        <family val="3"/>
        <charset val="128"/>
      </rPr>
      <t>お客さまがお乗りの車</t>
    </r>
    <r>
      <rPr>
        <sz val="11"/>
        <color theme="1"/>
        <rFont val="Meiryo UI"/>
        <family val="3"/>
        <charset val="128"/>
      </rPr>
      <t xml:space="preserve">
⇩</t>
    </r>
    <rPh sb="1" eb="2">
      <t>キャク</t>
    </rPh>
    <rPh sb="6" eb="7">
      <t>ノ</t>
    </rPh>
    <rPh sb="9" eb="10">
      <t>クルマ</t>
    </rPh>
    <phoneticPr fontId="1"/>
  </si>
  <si>
    <t>KINTO選択車
⇩</t>
    <rPh sb="5" eb="7">
      <t>センタク</t>
    </rPh>
    <rPh sb="7" eb="8">
      <t>クルマ</t>
    </rPh>
    <phoneticPr fontId="1"/>
  </si>
  <si>
    <t>用途区分</t>
    <rPh sb="0" eb="2">
      <t>ヨウト</t>
    </rPh>
    <rPh sb="2" eb="4">
      <t>クブン</t>
    </rPh>
    <phoneticPr fontId="1"/>
  </si>
  <si>
    <t>金額</t>
    <rPh sb="0" eb="2">
      <t>キンガク</t>
    </rPh>
    <phoneticPr fontId="1"/>
  </si>
  <si>
    <t>ｵｲﾙ等</t>
    <rPh sb="3" eb="4">
      <t>トウ</t>
    </rPh>
    <phoneticPr fontId="1"/>
  </si>
  <si>
    <t>計</t>
    <rPh sb="0" eb="1">
      <t>ケイ</t>
    </rPh>
    <phoneticPr fontId="1"/>
  </si>
  <si>
    <t>P10&amp;12点</t>
    <rPh sb="6" eb="7">
      <t>テン</t>
    </rPh>
    <phoneticPr fontId="1"/>
  </si>
  <si>
    <t>ガソリン代(提案年間)</t>
    <rPh sb="4" eb="5">
      <t>ダイ</t>
    </rPh>
    <rPh sb="6" eb="8">
      <t>テイアン</t>
    </rPh>
    <rPh sb="8" eb="9">
      <t>ネン</t>
    </rPh>
    <rPh sb="9" eb="10">
      <t>カン</t>
    </rPh>
    <phoneticPr fontId="1"/>
  </si>
  <si>
    <t>自家用乗用</t>
    <rPh sb="0" eb="3">
      <t>ジカヨウ</t>
    </rPh>
    <rPh sb="3" eb="5">
      <t>ジョウヨウ</t>
    </rPh>
    <phoneticPr fontId="1"/>
  </si>
  <si>
    <t>現保有⇔新車でのガソリン代差(提案年間)</t>
    <rPh sb="0" eb="1">
      <t>ゲン</t>
    </rPh>
    <rPh sb="1" eb="3">
      <t>ホユウ</t>
    </rPh>
    <rPh sb="4" eb="6">
      <t>シンシャ</t>
    </rPh>
    <rPh sb="12" eb="13">
      <t>ダイ</t>
    </rPh>
    <rPh sb="13" eb="14">
      <t>サ</t>
    </rPh>
    <rPh sb="15" eb="17">
      <t>テイアン</t>
    </rPh>
    <rPh sb="17" eb="18">
      <t>ネン</t>
    </rPh>
    <rPh sb="18" eb="19">
      <t>カン</t>
    </rPh>
    <phoneticPr fontId="1"/>
  </si>
  <si>
    <t>燃費</t>
    <rPh sb="0" eb="2">
      <t>ネンピ</t>
    </rPh>
    <phoneticPr fontId="1"/>
  </si>
  <si>
    <t>自家用普通貨物</t>
    <rPh sb="0" eb="3">
      <t>ジカヨウ</t>
    </rPh>
    <rPh sb="3" eb="5">
      <t>フツウ</t>
    </rPh>
    <rPh sb="5" eb="7">
      <t>カモツ</t>
    </rPh>
    <phoneticPr fontId="1"/>
  </si>
  <si>
    <t>燃費改善をＫＩＮＴＯ利用料に充てられる月数</t>
    <rPh sb="0" eb="2">
      <t>ネンピ</t>
    </rPh>
    <rPh sb="2" eb="4">
      <t>カイゼン</t>
    </rPh>
    <rPh sb="10" eb="12">
      <t>リヨウ</t>
    </rPh>
    <rPh sb="12" eb="13">
      <t>リョウ</t>
    </rPh>
    <rPh sb="14" eb="15">
      <t>ア</t>
    </rPh>
    <rPh sb="19" eb="21">
      <t>ゲッスウ</t>
    </rPh>
    <phoneticPr fontId="1"/>
  </si>
  <si>
    <t>ガソリン代</t>
    <rPh sb="4" eb="5">
      <t>ダイ</t>
    </rPh>
    <phoneticPr fontId="1"/>
  </si>
  <si>
    <t>円/L</t>
    <rPh sb="0" eb="1">
      <t>エン</t>
    </rPh>
    <phoneticPr fontId="1"/>
  </si>
  <si>
    <t>、</t>
    <phoneticPr fontId="1"/>
  </si>
  <si>
    <t>自家用小型貨物</t>
    <rPh sb="0" eb="3">
      <t>ジカヨウ</t>
    </rPh>
    <rPh sb="3" eb="5">
      <t>コガタ</t>
    </rPh>
    <rPh sb="5" eb="7">
      <t>カモツ</t>
    </rPh>
    <phoneticPr fontId="1"/>
  </si>
  <si>
    <t>新車購入時の補助・キャンペーン等</t>
    <rPh sb="0" eb="2">
      <t>シンシャ</t>
    </rPh>
    <rPh sb="2" eb="5">
      <t>コウニュウジ</t>
    </rPh>
    <rPh sb="6" eb="8">
      <t>ホジョ</t>
    </rPh>
    <rPh sb="15" eb="16">
      <t>トウ</t>
    </rPh>
    <phoneticPr fontId="1"/>
  </si>
  <si>
    <t>サポカー補助金・キャンペーン　等ある場合</t>
    <rPh sb="4" eb="7">
      <t>ホジョキン</t>
    </rPh>
    <rPh sb="15" eb="16">
      <t>トウ</t>
    </rPh>
    <rPh sb="18" eb="20">
      <t>バアイ</t>
    </rPh>
    <phoneticPr fontId="1"/>
  </si>
  <si>
    <t>走行距離</t>
    <rPh sb="0" eb="2">
      <t>ソウコウ</t>
    </rPh>
    <rPh sb="2" eb="4">
      <t>キョリ</t>
    </rPh>
    <phoneticPr fontId="1"/>
  </si>
  <si>
    <t>km/月</t>
    <rPh sb="3" eb="4">
      <t>ツキ</t>
    </rPh>
    <phoneticPr fontId="1"/>
  </si>
  <si>
    <t>で試算</t>
    <rPh sb="1" eb="3">
      <t>シサン</t>
    </rPh>
    <phoneticPr fontId="1"/>
  </si>
  <si>
    <t>購入補助をＫＩＮＴＯ利用料に充てられる月数</t>
    <rPh sb="0" eb="2">
      <t>コウニュウ</t>
    </rPh>
    <rPh sb="2" eb="4">
      <t>ホジョ</t>
    </rPh>
    <rPh sb="10" eb="12">
      <t>リヨウ</t>
    </rPh>
    <rPh sb="12" eb="13">
      <t>リョウ</t>
    </rPh>
    <rPh sb="14" eb="15">
      <t>ア</t>
    </rPh>
    <rPh sb="19" eb="21">
      <t>ゲッスウ</t>
    </rPh>
    <phoneticPr fontId="1"/>
  </si>
  <si>
    <t>支払額＋下取り+燃費改善＋購入補助の総額</t>
    <rPh sb="0" eb="2">
      <t>シハライ</t>
    </rPh>
    <rPh sb="2" eb="3">
      <t>ガク</t>
    </rPh>
    <rPh sb="4" eb="6">
      <t>シタド</t>
    </rPh>
    <rPh sb="8" eb="10">
      <t>ネンピ</t>
    </rPh>
    <rPh sb="10" eb="12">
      <t>カイゼン</t>
    </rPh>
    <rPh sb="13" eb="15">
      <t>コウニュウ</t>
    </rPh>
    <rPh sb="15" eb="17">
      <t>ホジョ</t>
    </rPh>
    <rPh sb="18" eb="19">
      <t>ソウ</t>
    </rPh>
    <rPh sb="19" eb="20">
      <t>ガク</t>
    </rPh>
    <phoneticPr fontId="1"/>
  </si>
  <si>
    <t>サポカー補助金</t>
    <rPh sb="4" eb="7">
      <t>ホジョキン</t>
    </rPh>
    <phoneticPr fontId="1"/>
  </si>
  <si>
    <t>維持費＋下取り＋燃費改善＋購入補助を充てられる月数</t>
    <rPh sb="0" eb="3">
      <t>イジヒ</t>
    </rPh>
    <rPh sb="4" eb="6">
      <t>シタド</t>
    </rPh>
    <rPh sb="8" eb="10">
      <t>ネンピ</t>
    </rPh>
    <rPh sb="10" eb="12">
      <t>カイゼン</t>
    </rPh>
    <rPh sb="13" eb="15">
      <t>コウニュウ</t>
    </rPh>
    <rPh sb="15" eb="17">
      <t>ホジョ</t>
    </rPh>
    <rPh sb="18" eb="19">
      <t>ア</t>
    </rPh>
    <rPh sb="23" eb="25">
      <t>ゲッスウ</t>
    </rPh>
    <phoneticPr fontId="1"/>
  </si>
  <si>
    <t>⇒ ⇒ ⇒ ⇒ ⇒ ⇒ ⇒</t>
    <phoneticPr fontId="1"/>
  </si>
  <si>
    <t>ヵ月分は今とご負担変わりません！</t>
    <rPh sb="1" eb="3">
      <t>ゲツブン</t>
    </rPh>
    <rPh sb="4" eb="5">
      <t>イマ</t>
    </rPh>
    <rPh sb="7" eb="9">
      <t>フタン</t>
    </rPh>
    <rPh sb="9" eb="10">
      <t>カ</t>
    </rPh>
    <phoneticPr fontId="1"/>
  </si>
  <si>
    <t>キャンペーン</t>
    <phoneticPr fontId="1"/>
  </si>
  <si>
    <t>〇〇</t>
    <phoneticPr fontId="1"/>
  </si>
  <si>
    <t>ヤリスHV”X” （1.5L 2WD）</t>
    <phoneticPr fontId="1"/>
  </si>
  <si>
    <t>「プリウス・カローラ」クラス</t>
  </si>
  <si>
    <t>無し</t>
  </si>
  <si>
    <t>ヵ月分 実質無料でお乗りいただけます！</t>
    <rPh sb="1" eb="3">
      <t>ゲツブン</t>
    </rPh>
    <rPh sb="4" eb="6">
      <t>ジッシツ</t>
    </rPh>
    <rPh sb="6" eb="8">
      <t>ムリョウ</t>
    </rPh>
    <rPh sb="10" eb="11">
      <t>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</si>
</sst>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\ \(\ 0\ &quot;年&quot;&quot;分&quot;\ \)"/>
    <numFmt numFmtId="178" formatCode="\(\ #,##0\ &quot;円&quot;&quot;相&quot;&quot;当&quot;&quot;還&quot;&quot;元&quot;\)"/>
    <numFmt numFmtId="179" formatCode="\ \(\ &quot;車&quot;&quot;検&quot;\ 0\ &quot;回&quot;&quot;分&quot;\ \)"/>
  </numFmts>
  <fonts count="2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2"/>
      <color theme="1"/>
      <name val="Meiryo UI"/>
      <family val="3"/>
      <charset val="128"/>
    </font>
    <font>
      <b/>
      <u/>
      <sz val="18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4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2"/>
      <color theme="1"/>
      <name val="Arial Rounded MT Bold"/>
      <family val="2"/>
    </font>
    <font>
      <sz val="14"/>
      <name val="Arial Rounded MT Bold"/>
      <family val="2"/>
    </font>
    <font>
      <b/>
      <sz val="14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FF0000"/>
      <name val="Arial Rounded MT Bold"/>
      <family val="2"/>
    </font>
    <font>
      <sz val="11"/>
      <color theme="1"/>
      <name val="Arial Rounded MT Bold"/>
      <family val="2"/>
    </font>
    <font>
      <sz val="14"/>
      <color theme="1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26F8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double">
        <color rgb="FFFF0000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double">
        <color rgb="FFFF0000"/>
      </right>
      <top style="medium">
        <color theme="1"/>
      </top>
      <bottom style="medium">
        <color theme="1"/>
      </bottom>
      <diagonal/>
    </border>
    <border>
      <left/>
      <right style="double">
        <color rgb="FFFF0000"/>
      </right>
      <top style="medium">
        <color theme="1"/>
      </top>
      <bottom/>
      <diagonal/>
    </border>
    <border>
      <left style="double">
        <color rgb="FFFF000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rgb="FFFF0000"/>
      </left>
      <right/>
      <top style="medium">
        <color theme="1"/>
      </top>
      <bottom style="medium">
        <color theme="1"/>
      </bottom>
      <diagonal/>
    </border>
    <border>
      <left style="double">
        <color rgb="FFFF0000"/>
      </left>
      <right/>
      <top style="medium">
        <color theme="1"/>
      </top>
      <bottom/>
      <diagonal/>
    </border>
    <border>
      <left style="double">
        <color rgb="FFFF0000"/>
      </left>
      <right/>
      <top/>
      <bottom style="medium">
        <color theme="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8" fontId="9" fillId="0" borderId="0" xfId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38" fontId="8" fillId="0" borderId="0" xfId="0" applyNumberFormat="1" applyFont="1" applyAlignment="1">
      <alignment vertical="center"/>
    </xf>
    <xf numFmtId="0" fontId="8" fillId="0" borderId="0" xfId="0" applyFont="1" applyAlignment="1"/>
    <xf numFmtId="38" fontId="11" fillId="5" borderId="0" xfId="0" applyNumberFormat="1" applyFont="1" applyFill="1" applyAlignment="1">
      <alignment vertical="center"/>
    </xf>
    <xf numFmtId="176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176" fontId="8" fillId="0" borderId="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1" fillId="6" borderId="20" xfId="0" applyFont="1" applyFill="1" applyBorder="1" applyAlignment="1">
      <alignment vertical="center"/>
    </xf>
    <xf numFmtId="38" fontId="11" fillId="0" borderId="20" xfId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38" fontId="11" fillId="0" borderId="21" xfId="1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31" xfId="0" applyNumberFormat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34" xfId="0" applyNumberForma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38" fontId="9" fillId="0" borderId="33" xfId="1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3" fontId="2" fillId="0" borderId="31" xfId="0" applyNumberFormat="1" applyFont="1" applyBorder="1" applyAlignment="1">
      <alignment vertical="center"/>
    </xf>
    <xf numFmtId="177" fontId="8" fillId="4" borderId="5" xfId="0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center" vertical="center" wrapText="1"/>
    </xf>
    <xf numFmtId="38" fontId="16" fillId="0" borderId="3" xfId="1" applyFont="1" applyBorder="1" applyAlignment="1">
      <alignment horizontal="right" vertical="center"/>
    </xf>
    <xf numFmtId="38" fontId="16" fillId="0" borderId="4" xfId="1" applyFont="1" applyBorder="1" applyAlignment="1">
      <alignment horizontal="right" vertical="center"/>
    </xf>
    <xf numFmtId="38" fontId="17" fillId="2" borderId="3" xfId="1" quotePrefix="1" applyFont="1" applyFill="1" applyBorder="1" applyAlignment="1">
      <alignment horizontal="right" vertical="center"/>
    </xf>
    <xf numFmtId="0" fontId="16" fillId="5" borderId="0" xfId="0" applyFont="1" applyFill="1" applyAlignment="1">
      <alignment horizontal="center" vertical="center"/>
    </xf>
    <xf numFmtId="38" fontId="16" fillId="5" borderId="3" xfId="1" applyFont="1" applyFill="1" applyBorder="1" applyAlignment="1">
      <alignment horizontal="right" vertical="center"/>
    </xf>
    <xf numFmtId="38" fontId="17" fillId="2" borderId="3" xfId="1" applyFont="1" applyFill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38" fontId="16" fillId="5" borderId="4" xfId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38" fontId="16" fillId="5" borderId="17" xfId="1" quotePrefix="1" applyFont="1" applyFill="1" applyBorder="1" applyAlignment="1">
      <alignment horizontal="right" vertical="center"/>
    </xf>
    <xf numFmtId="38" fontId="17" fillId="2" borderId="11" xfId="1" quotePrefix="1" applyFont="1" applyFill="1" applyBorder="1" applyAlignment="1">
      <alignment horizontal="right" vertical="center"/>
    </xf>
    <xf numFmtId="38" fontId="16" fillId="5" borderId="1" xfId="1" applyFont="1" applyFill="1" applyBorder="1" applyAlignment="1">
      <alignment horizontal="right" vertical="center"/>
    </xf>
    <xf numFmtId="38" fontId="18" fillId="0" borderId="3" xfId="1" applyFont="1" applyBorder="1" applyAlignment="1">
      <alignment horizontal="right" vertical="center"/>
    </xf>
    <xf numFmtId="38" fontId="18" fillId="0" borderId="4" xfId="1" applyFont="1" applyBorder="1" applyAlignment="1">
      <alignment horizontal="right" vertical="center"/>
    </xf>
    <xf numFmtId="178" fontId="20" fillId="0" borderId="11" xfId="1" quotePrefix="1" applyNumberFormat="1" applyFont="1" applyBorder="1" applyAlignment="1">
      <alignment horizontal="right" vertical="center"/>
    </xf>
    <xf numFmtId="38" fontId="16" fillId="0" borderId="6" xfId="1" applyFont="1" applyBorder="1" applyAlignment="1">
      <alignment horizontal="right" vertical="center"/>
    </xf>
    <xf numFmtId="0" fontId="8" fillId="0" borderId="7" xfId="0" applyFont="1" applyBorder="1" applyAlignment="1">
      <alignment vertical="center"/>
    </xf>
    <xf numFmtId="0" fontId="8" fillId="4" borderId="36" xfId="0" applyFont="1" applyFill="1" applyBorder="1" applyAlignment="1">
      <alignment vertical="center"/>
    </xf>
    <xf numFmtId="0" fontId="8" fillId="4" borderId="37" xfId="0" applyFont="1" applyFill="1" applyBorder="1" applyAlignment="1">
      <alignment vertical="center"/>
    </xf>
    <xf numFmtId="0" fontId="8" fillId="4" borderId="38" xfId="0" applyFont="1" applyFill="1" applyBorder="1" applyAlignment="1">
      <alignment vertical="center"/>
    </xf>
    <xf numFmtId="38" fontId="16" fillId="0" borderId="36" xfId="1" applyFont="1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38" fontId="18" fillId="0" borderId="35" xfId="1" applyFont="1" applyBorder="1" applyAlignment="1">
      <alignment horizontal="right" vertical="center"/>
    </xf>
    <xf numFmtId="0" fontId="8" fillId="0" borderId="38" xfId="0" applyFont="1" applyBorder="1" applyAlignment="1">
      <alignment vertical="center"/>
    </xf>
    <xf numFmtId="179" fontId="8" fillId="4" borderId="5" xfId="0" applyNumberFormat="1" applyFont="1" applyFill="1" applyBorder="1" applyAlignment="1">
      <alignment horizontal="left" vertical="center"/>
    </xf>
    <xf numFmtId="38" fontId="19" fillId="2" borderId="17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13" fillId="0" borderId="50" xfId="0" applyFont="1" applyBorder="1" applyAlignment="1">
      <alignment horizontal="left" vertical="center"/>
    </xf>
    <xf numFmtId="38" fontId="11" fillId="0" borderId="51" xfId="1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38" fontId="6" fillId="0" borderId="26" xfId="1" applyFont="1" applyBorder="1" applyAlignment="1">
      <alignment vertical="center"/>
    </xf>
    <xf numFmtId="38" fontId="6" fillId="0" borderId="25" xfId="1" applyFont="1" applyBorder="1" applyAlignment="1">
      <alignment vertical="center"/>
    </xf>
    <xf numFmtId="38" fontId="6" fillId="0" borderId="23" xfId="1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59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8" fillId="0" borderId="61" xfId="0" applyFont="1" applyBorder="1" applyAlignment="1">
      <alignment vertical="center"/>
    </xf>
    <xf numFmtId="38" fontId="16" fillId="0" borderId="62" xfId="1" applyFont="1" applyBorder="1" applyAlignment="1">
      <alignment horizontal="right" vertical="center"/>
    </xf>
    <xf numFmtId="0" fontId="13" fillId="0" borderId="47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0" borderId="18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176" fontId="8" fillId="0" borderId="6" xfId="0" applyNumberFormat="1" applyFont="1" applyBorder="1" applyAlignment="1">
      <alignment vertical="center" wrapText="1"/>
    </xf>
    <xf numFmtId="176" fontId="8" fillId="0" borderId="8" xfId="0" applyNumberFormat="1" applyFont="1" applyBorder="1" applyAlignment="1">
      <alignment vertical="center" wrapText="1"/>
    </xf>
    <xf numFmtId="176" fontId="8" fillId="0" borderId="9" xfId="0" applyNumberFormat="1" applyFont="1" applyBorder="1" applyAlignment="1">
      <alignment vertical="center" wrapText="1"/>
    </xf>
    <xf numFmtId="176" fontId="8" fillId="0" borderId="10" xfId="0" applyNumberFormat="1" applyFont="1" applyBorder="1" applyAlignment="1">
      <alignment vertical="center" wrapText="1"/>
    </xf>
    <xf numFmtId="176" fontId="8" fillId="0" borderId="11" xfId="0" applyNumberFormat="1" applyFont="1" applyBorder="1" applyAlignment="1">
      <alignment vertical="center" wrapText="1"/>
    </xf>
    <xf numFmtId="176" fontId="8" fillId="0" borderId="13" xfId="0" applyNumberFormat="1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38" fontId="16" fillId="0" borderId="14" xfId="1" applyFont="1" applyBorder="1" applyAlignment="1">
      <alignment horizontal="right" vertical="center"/>
    </xf>
    <xf numFmtId="38" fontId="16" fillId="0" borderId="15" xfId="1" applyFont="1" applyBorder="1" applyAlignment="1">
      <alignment horizontal="right" vertical="center"/>
    </xf>
    <xf numFmtId="0" fontId="8" fillId="4" borderId="42" xfId="0" applyFont="1" applyFill="1" applyBorder="1" applyAlignment="1">
      <alignment vertical="center"/>
    </xf>
    <xf numFmtId="0" fontId="8" fillId="4" borderId="43" xfId="0" applyFont="1" applyFill="1" applyBorder="1" applyAlignment="1">
      <alignment vertical="center"/>
    </xf>
    <xf numFmtId="0" fontId="8" fillId="0" borderId="40" xfId="0" applyFont="1" applyBorder="1" applyAlignment="1">
      <alignment vertical="center" wrapText="1"/>
    </xf>
    <xf numFmtId="0" fontId="8" fillId="0" borderId="41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38" fontId="18" fillId="0" borderId="14" xfId="1" applyFont="1" applyBorder="1" applyAlignment="1">
      <alignment horizontal="right" vertical="center"/>
    </xf>
    <xf numFmtId="38" fontId="18" fillId="0" borderId="16" xfId="1" applyFont="1" applyBorder="1" applyAlignment="1">
      <alignment horizontal="righ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26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17540</xdr:rowOff>
    </xdr:from>
    <xdr:ext cx="5764480" cy="35356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458950" y="55640"/>
          <a:ext cx="5764480" cy="353564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>
            <a:lnSpc>
              <a:spcPts val="2100"/>
            </a:lnSpc>
          </a:pPr>
          <a:r>
            <a:rPr kumimoji="1" lang="ja-JP" altLang="en-US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計算用</a:t>
          </a:r>
          <a:r>
            <a:rPr kumimoji="1" lang="en-US" altLang="ja-JP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 </a:t>
          </a:r>
          <a:r>
            <a:rPr kumimoji="1" lang="ja-JP" altLang="en-US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赤枠は直接入力　・　ｵﾚﾝｼﾞ枠は選択 </a:t>
          </a:r>
          <a:r>
            <a:rPr kumimoji="1" lang="en-US" altLang="ja-JP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endParaRPr kumimoji="1" lang="ja-JP" altLang="en-US" sz="2000" b="0">
            <a:solidFill>
              <a:srgbClr val="FF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17540</xdr:rowOff>
    </xdr:from>
    <xdr:ext cx="5764480" cy="35356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460682" y="54650"/>
          <a:ext cx="5764480" cy="353564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>
            <a:lnSpc>
              <a:spcPts val="2100"/>
            </a:lnSpc>
          </a:pPr>
          <a:r>
            <a:rPr kumimoji="1" lang="ja-JP" altLang="en-US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計算用</a:t>
          </a:r>
          <a:r>
            <a:rPr kumimoji="1" lang="en-US" altLang="ja-JP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 </a:t>
          </a:r>
          <a:r>
            <a:rPr kumimoji="1" lang="ja-JP" altLang="en-US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赤枠は直接入力　・　ｵﾚﾝｼﾞ枠は選択 </a:t>
          </a:r>
          <a:r>
            <a:rPr kumimoji="1" lang="en-US" altLang="ja-JP" sz="2000" b="0">
              <a:solidFill>
                <a:srgbClr val="FF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endParaRPr kumimoji="1" lang="ja-JP" altLang="en-US" sz="2000" b="0">
            <a:solidFill>
              <a:srgbClr val="FF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showGridLines="0" tabSelected="1" view="pageBreakPreview" topLeftCell="C1" zoomScale="90" zoomScaleNormal="90" zoomScaleSheetLayoutView="90" workbookViewId="0">
      <selection activeCell="L30" sqref="L30"/>
    </sheetView>
  </sheetViews>
  <sheetFormatPr baseColWidth="10" defaultColWidth="8.5" defaultRowHeight="18"/>
  <cols>
    <col min="1" max="1" width="4.5" style="6" customWidth="1"/>
    <col min="2" max="2" width="18" style="1" customWidth="1"/>
    <col min="3" max="3" width="4.6640625" style="1" customWidth="1"/>
    <col min="4" max="4" width="33.5" style="1" customWidth="1"/>
    <col min="5" max="5" width="19" style="1" customWidth="1"/>
    <col min="6" max="6" width="7.1640625" style="1" customWidth="1"/>
    <col min="7" max="7" width="19" style="1" customWidth="1"/>
    <col min="8" max="8" width="6.5" style="1" bestFit="1" customWidth="1"/>
    <col min="9" max="9" width="16" style="1" customWidth="1"/>
    <col min="10" max="10" width="24" style="1" customWidth="1"/>
    <col min="11" max="11" width="3.5" style="1" customWidth="1"/>
    <col min="12" max="12" width="8.5" style="1"/>
    <col min="13" max="13" width="24" style="1" bestFit="1" customWidth="1"/>
    <col min="14" max="14" width="12" style="1" customWidth="1"/>
    <col min="15" max="15" width="8.5" style="1"/>
    <col min="16" max="16" width="15.1640625" style="1" bestFit="1" customWidth="1"/>
    <col min="17" max="17" width="12.33203125" style="1" customWidth="1"/>
    <col min="18" max="18" width="8.5" style="1"/>
    <col min="19" max="19" width="22" style="1" customWidth="1"/>
    <col min="20" max="20" width="20" style="1" customWidth="1"/>
    <col min="21" max="21" width="3.5" style="1" customWidth="1"/>
    <col min="22" max="22" width="19.1640625" style="1" customWidth="1"/>
    <col min="23" max="23" width="20.1640625" style="1" customWidth="1"/>
    <col min="24" max="25" width="18.6640625" style="1" bestFit="1" customWidth="1"/>
    <col min="26" max="26" width="8.5" style="1"/>
    <col min="27" max="27" width="18.1640625" style="1" bestFit="1" customWidth="1"/>
    <col min="28" max="28" width="13.6640625" style="1" bestFit="1" customWidth="1"/>
    <col min="29" max="16384" width="8.5" style="1"/>
  </cols>
  <sheetData>
    <row r="1" spans="1:34" ht="3.75" customHeight="1">
      <c r="B1" s="2"/>
      <c r="C1" s="2"/>
      <c r="D1" s="2"/>
      <c r="E1" s="2"/>
      <c r="F1" s="2"/>
      <c r="G1" s="2"/>
      <c r="H1" s="2"/>
      <c r="I1" s="2"/>
      <c r="J1" s="2"/>
    </row>
    <row r="2" spans="1:34" ht="15.75" customHeight="1">
      <c r="E2" s="2"/>
      <c r="F2" s="2"/>
      <c r="H2" s="6"/>
      <c r="I2" s="126" t="s">
        <v>0</v>
      </c>
      <c r="J2" s="20">
        <f ca="1">+TODAY()</f>
        <v>44228</v>
      </c>
      <c r="S2" s="175" t="s">
        <v>1</v>
      </c>
      <c r="T2" s="175"/>
      <c r="U2" s="175"/>
      <c r="V2" s="175"/>
    </row>
    <row r="3" spans="1:34" ht="15.75" customHeight="1">
      <c r="E3" s="2"/>
      <c r="F3" s="2"/>
      <c r="H3" s="6"/>
      <c r="I3" s="126" t="s">
        <v>2</v>
      </c>
      <c r="J3" s="21">
        <f>N5</f>
        <v>0</v>
      </c>
      <c r="S3" s="175"/>
      <c r="T3" s="175"/>
      <c r="U3" s="175"/>
      <c r="V3" s="175"/>
    </row>
    <row r="4" spans="1:34" ht="7.5" customHeight="1" thickBot="1">
      <c r="E4" s="2"/>
      <c r="F4" s="2"/>
      <c r="H4" s="6"/>
      <c r="I4" s="126"/>
      <c r="J4" s="21"/>
      <c r="S4" s="124"/>
      <c r="T4" s="124"/>
      <c r="U4" s="124"/>
      <c r="V4" s="124"/>
    </row>
    <row r="5" spans="1:34" ht="26.5" customHeight="1" thickTop="1" thickBot="1">
      <c r="A5" s="176" t="str">
        <f>+N7&amp;O7&amp;P7</f>
        <v>様　金額比較表</v>
      </c>
      <c r="B5" s="176"/>
      <c r="C5" s="176"/>
      <c r="D5" s="176"/>
      <c r="E5" s="176"/>
      <c r="F5" s="176"/>
      <c r="G5" s="176"/>
      <c r="H5" s="176"/>
      <c r="I5" s="176"/>
      <c r="J5" s="176"/>
      <c r="K5" s="125"/>
      <c r="L5" s="125"/>
      <c r="M5" s="35" t="s">
        <v>3</v>
      </c>
      <c r="N5" s="32"/>
      <c r="O5" s="125"/>
      <c r="P5" s="125"/>
      <c r="Q5" s="125"/>
      <c r="R5" s="125"/>
      <c r="S5" s="35" t="s">
        <v>4</v>
      </c>
      <c r="T5" s="91" t="s">
        <v>5</v>
      </c>
      <c r="U5" s="36"/>
      <c r="V5" s="36"/>
      <c r="W5" s="36"/>
      <c r="X5" s="36"/>
    </row>
    <row r="6" spans="1:34" ht="10.5" customHeight="1" thickTop="1" thickBot="1">
      <c r="B6" s="2"/>
      <c r="C6" s="2"/>
      <c r="D6" s="2"/>
      <c r="E6" s="2"/>
      <c r="F6" s="2"/>
      <c r="G6" s="2"/>
      <c r="H6" s="2"/>
      <c r="I6" s="2"/>
      <c r="J6" s="2"/>
      <c r="M6" s="35"/>
    </row>
    <row r="7" spans="1:34" ht="22.5" customHeight="1" thickTop="1" thickBot="1">
      <c r="B7" s="3"/>
      <c r="C7" s="3"/>
      <c r="D7" s="3"/>
      <c r="E7" s="177" t="s">
        <v>6</v>
      </c>
      <c r="F7" s="178"/>
      <c r="G7" s="181" t="s">
        <v>7</v>
      </c>
      <c r="H7" s="181"/>
      <c r="I7" s="183" t="s">
        <v>8</v>
      </c>
      <c r="J7" s="183"/>
      <c r="K7" s="26"/>
      <c r="L7" s="26"/>
      <c r="M7" s="35" t="s">
        <v>9</v>
      </c>
      <c r="N7" s="33"/>
      <c r="O7" s="1" t="s">
        <v>10</v>
      </c>
      <c r="P7" s="1" t="s">
        <v>11</v>
      </c>
      <c r="S7" s="35" t="s">
        <v>12</v>
      </c>
      <c r="T7" s="91" t="s">
        <v>13</v>
      </c>
      <c r="U7" s="26"/>
      <c r="V7" s="26"/>
    </row>
    <row r="8" spans="1:34" ht="22.5" customHeight="1" thickTop="1" thickBot="1">
      <c r="B8" s="3"/>
      <c r="C8" s="3"/>
      <c r="D8" s="3"/>
      <c r="E8" s="179"/>
      <c r="F8" s="180"/>
      <c r="G8" s="182"/>
      <c r="H8" s="182"/>
      <c r="I8" s="184"/>
      <c r="J8" s="184"/>
      <c r="L8" s="26"/>
      <c r="M8" s="35" t="s">
        <v>14</v>
      </c>
      <c r="N8" s="185"/>
      <c r="O8" s="186"/>
      <c r="P8" s="186"/>
      <c r="Q8" s="186"/>
      <c r="R8" s="187"/>
      <c r="S8" s="35" t="s">
        <v>15</v>
      </c>
      <c r="T8" s="91" t="s">
        <v>16</v>
      </c>
      <c r="V8" s="26"/>
    </row>
    <row r="9" spans="1:34" ht="6" customHeight="1" thickTop="1" thickBot="1">
      <c r="B9" s="4"/>
      <c r="C9" s="4"/>
      <c r="D9" s="4"/>
      <c r="E9" s="62"/>
      <c r="F9" s="5"/>
      <c r="G9" s="5"/>
      <c r="H9" s="5"/>
      <c r="I9" s="5"/>
      <c r="J9" s="5"/>
      <c r="L9" s="26"/>
      <c r="M9" s="35"/>
    </row>
    <row r="10" spans="1:34" ht="19" customHeight="1" thickTop="1" thickBot="1">
      <c r="A10" s="161">
        <v>1</v>
      </c>
      <c r="B10" s="162" t="s">
        <v>17</v>
      </c>
      <c r="C10" s="163"/>
      <c r="D10" s="164"/>
      <c r="E10" s="63">
        <f>E11*12</f>
        <v>0</v>
      </c>
      <c r="F10" s="28" t="s">
        <v>18</v>
      </c>
      <c r="G10" s="75">
        <f>G11*12</f>
        <v>0</v>
      </c>
      <c r="H10" s="9" t="s">
        <v>18</v>
      </c>
      <c r="I10" s="10"/>
      <c r="J10" s="11"/>
      <c r="S10" s="35" t="s">
        <v>19</v>
      </c>
      <c r="T10" s="91" t="s">
        <v>20</v>
      </c>
    </row>
    <row r="11" spans="1:34" ht="19" customHeight="1" thickTop="1" thickBot="1">
      <c r="A11" s="161"/>
      <c r="B11" s="165"/>
      <c r="C11" s="166"/>
      <c r="D11" s="167"/>
      <c r="E11" s="63">
        <f>P11</f>
        <v>0</v>
      </c>
      <c r="F11" s="28" t="s">
        <v>21</v>
      </c>
      <c r="G11" s="75">
        <f>P11</f>
        <v>0</v>
      </c>
      <c r="H11" s="9" t="s">
        <v>21</v>
      </c>
      <c r="I11" s="10"/>
      <c r="J11" s="11"/>
      <c r="K11" s="16"/>
      <c r="L11" s="16"/>
      <c r="M11" s="16"/>
      <c r="N11" s="92" t="s">
        <v>17</v>
      </c>
      <c r="O11" s="93"/>
      <c r="P11" s="29"/>
      <c r="Q11" s="93" t="s">
        <v>21</v>
      </c>
      <c r="R11" s="96"/>
      <c r="S11" s="35" t="s">
        <v>22</v>
      </c>
      <c r="T11" s="91" t="s">
        <v>23</v>
      </c>
      <c r="V11" s="133" t="s">
        <v>24</v>
      </c>
      <c r="W11" s="133"/>
      <c r="X11" s="168"/>
      <c r="Y11" s="168"/>
      <c r="AA11" s="37" t="s">
        <v>25</v>
      </c>
    </row>
    <row r="12" spans="1:34" ht="7.5" customHeight="1" thickTop="1" thickBot="1">
      <c r="A12" s="126"/>
      <c r="B12" s="12"/>
      <c r="C12" s="12"/>
      <c r="D12" s="12"/>
      <c r="E12" s="64"/>
      <c r="F12" s="13"/>
      <c r="G12" s="76"/>
      <c r="H12" s="12"/>
      <c r="I12" s="12"/>
      <c r="J12" s="12"/>
      <c r="K12" s="16"/>
      <c r="L12" s="16"/>
      <c r="M12" s="16"/>
      <c r="N12" s="94"/>
      <c r="O12" s="22"/>
      <c r="P12" s="22"/>
      <c r="Q12" s="22"/>
      <c r="R12" s="97"/>
      <c r="S12" s="22"/>
      <c r="T12" s="16"/>
      <c r="V12" s="133"/>
      <c r="W12" s="133"/>
      <c r="X12" s="133"/>
      <c r="Y12" s="133"/>
    </row>
    <row r="13" spans="1:34" ht="19" customHeight="1" thickTop="1" thickBot="1">
      <c r="A13" s="126">
        <v>2</v>
      </c>
      <c r="B13" s="153" t="s">
        <v>26</v>
      </c>
      <c r="C13" s="154"/>
      <c r="D13" s="14"/>
      <c r="E13" s="121"/>
      <c r="F13" s="28" t="s">
        <v>27</v>
      </c>
      <c r="G13" s="169">
        <f>P13</f>
        <v>0</v>
      </c>
      <c r="H13" s="171" t="s">
        <v>27</v>
      </c>
      <c r="I13" s="12">
        <f>N8</f>
        <v>0</v>
      </c>
      <c r="J13" s="11"/>
      <c r="K13" s="16"/>
      <c r="L13" s="16"/>
      <c r="M13" s="16"/>
      <c r="N13" s="94" t="s">
        <v>28</v>
      </c>
      <c r="O13" s="22"/>
      <c r="P13" s="30"/>
      <c r="Q13" s="22" t="s">
        <v>29</v>
      </c>
      <c r="R13" s="97"/>
      <c r="S13" s="95" t="s">
        <v>30</v>
      </c>
      <c r="T13" s="91" t="s">
        <v>31</v>
      </c>
      <c r="V13" s="38" t="s">
        <v>32</v>
      </c>
      <c r="W13" s="137" t="s">
        <v>33</v>
      </c>
      <c r="X13" s="173" t="s">
        <v>34</v>
      </c>
      <c r="Y13" s="174"/>
      <c r="AA13" s="49"/>
      <c r="AB13" s="50" t="s">
        <v>35</v>
      </c>
      <c r="AC13" s="50" t="s">
        <v>36</v>
      </c>
      <c r="AD13" s="50"/>
      <c r="AE13" s="50"/>
      <c r="AF13" s="50"/>
      <c r="AG13" s="50"/>
      <c r="AH13" s="51"/>
    </row>
    <row r="14" spans="1:34" ht="19" customHeight="1" thickTop="1">
      <c r="A14" s="126">
        <v>3</v>
      </c>
      <c r="B14" s="153" t="s">
        <v>24</v>
      </c>
      <c r="C14" s="154"/>
      <c r="D14" s="61">
        <f>+P11</f>
        <v>0</v>
      </c>
      <c r="E14" s="63">
        <f>P14*E11</f>
        <v>0</v>
      </c>
      <c r="F14" s="28" t="s">
        <v>37</v>
      </c>
      <c r="G14" s="170"/>
      <c r="H14" s="172"/>
      <c r="I14" s="12"/>
      <c r="J14" s="11"/>
      <c r="K14" s="16"/>
      <c r="L14" s="16"/>
      <c r="M14" s="16"/>
      <c r="N14" s="94" t="s">
        <v>24</v>
      </c>
      <c r="O14" s="22"/>
      <c r="P14" s="103">
        <f>IF(T7=X14,VLOOKUP($T$5,$W$15:$X$25,2,FALSE),VLOOKUP($T$5,$W$15:$Y$25,3,FALSE))</f>
        <v>34500</v>
      </c>
      <c r="Q14" s="22" t="s">
        <v>38</v>
      </c>
      <c r="R14" s="98" t="s">
        <v>39</v>
      </c>
      <c r="S14" s="22"/>
      <c r="T14" s="16"/>
      <c r="V14" s="39"/>
      <c r="W14" s="40"/>
      <c r="X14" s="40" t="s">
        <v>13</v>
      </c>
      <c r="Y14" s="41" t="s">
        <v>40</v>
      </c>
      <c r="AA14" s="52"/>
      <c r="AB14" s="26"/>
      <c r="AC14" s="151" t="s">
        <v>41</v>
      </c>
      <c r="AD14" s="151"/>
      <c r="AE14" s="151" t="s">
        <v>20</v>
      </c>
      <c r="AF14" s="151"/>
      <c r="AG14" s="151"/>
      <c r="AH14" s="152"/>
    </row>
    <row r="15" spans="1:34" ht="19" customHeight="1" thickBot="1">
      <c r="A15" s="126">
        <v>4</v>
      </c>
      <c r="B15" s="153" t="s">
        <v>25</v>
      </c>
      <c r="C15" s="154"/>
      <c r="D15" s="87">
        <f>+D19</f>
        <v>0</v>
      </c>
      <c r="E15" s="63">
        <f>P15</f>
        <v>0</v>
      </c>
      <c r="F15" s="28" t="s">
        <v>37</v>
      </c>
      <c r="G15" s="170"/>
      <c r="H15" s="172"/>
      <c r="I15" s="12" t="s">
        <v>42</v>
      </c>
      <c r="J15" s="11"/>
      <c r="K15" s="16"/>
      <c r="L15" s="16"/>
      <c r="M15" s="16"/>
      <c r="N15" s="94" t="s">
        <v>25</v>
      </c>
      <c r="O15" s="22"/>
      <c r="P15" s="104">
        <f>VLOOKUP(T8,$AA$16:$AF$26,IF(T10=AC14,4,IF(T11=AE15,5,6)),FALSE)*P20*2</f>
        <v>0</v>
      </c>
      <c r="Q15" s="22" t="s">
        <v>43</v>
      </c>
      <c r="R15" s="98" t="s">
        <v>39</v>
      </c>
      <c r="S15" s="22"/>
      <c r="T15" s="16"/>
      <c r="V15" s="39" t="s">
        <v>44</v>
      </c>
      <c r="W15" s="42" t="s">
        <v>45</v>
      </c>
      <c r="X15" s="43">
        <v>29500</v>
      </c>
      <c r="Y15" s="44">
        <v>25000</v>
      </c>
      <c r="AA15" s="52"/>
      <c r="AB15" s="26"/>
      <c r="AC15" s="26" t="s">
        <v>46</v>
      </c>
      <c r="AD15" s="26" t="s">
        <v>47</v>
      </c>
      <c r="AE15" s="26" t="s">
        <v>23</v>
      </c>
      <c r="AF15" s="26" t="s">
        <v>48</v>
      </c>
      <c r="AG15" s="26" t="s">
        <v>49</v>
      </c>
      <c r="AH15" s="53" t="s">
        <v>50</v>
      </c>
    </row>
    <row r="16" spans="1:34" ht="19" customHeight="1" thickTop="1" thickBot="1">
      <c r="A16" s="126">
        <v>5</v>
      </c>
      <c r="B16" s="134" t="s">
        <v>51</v>
      </c>
      <c r="C16" s="135"/>
      <c r="D16" s="61">
        <f>+P11</f>
        <v>0</v>
      </c>
      <c r="E16" s="63">
        <f>P16*E11</f>
        <v>0</v>
      </c>
      <c r="F16" s="28" t="s">
        <v>37</v>
      </c>
      <c r="G16" s="170"/>
      <c r="H16" s="172"/>
      <c r="I16" s="12"/>
      <c r="J16" s="11"/>
      <c r="K16" s="16"/>
      <c r="L16" s="16"/>
      <c r="M16" s="16"/>
      <c r="N16" s="94" t="s">
        <v>51</v>
      </c>
      <c r="O16" s="22"/>
      <c r="P16" s="30"/>
      <c r="Q16" s="22" t="s">
        <v>38</v>
      </c>
      <c r="R16" s="97"/>
      <c r="S16" s="22"/>
      <c r="T16" s="16"/>
      <c r="V16" s="39"/>
      <c r="W16" s="42" t="s">
        <v>5</v>
      </c>
      <c r="X16" s="43">
        <v>34500</v>
      </c>
      <c r="Y16" s="44">
        <v>30500</v>
      </c>
      <c r="AA16" s="52" t="s">
        <v>52</v>
      </c>
      <c r="AB16" s="26" t="s">
        <v>53</v>
      </c>
      <c r="AC16" s="26">
        <v>0</v>
      </c>
      <c r="AD16" s="58">
        <v>2500</v>
      </c>
      <c r="AE16" s="58">
        <v>5000</v>
      </c>
      <c r="AF16" s="58">
        <v>8200</v>
      </c>
      <c r="AG16" s="26">
        <v>11400</v>
      </c>
      <c r="AH16" s="53">
        <v>12600</v>
      </c>
    </row>
    <row r="17" spans="1:36" ht="19" customHeight="1" thickTop="1" thickBot="1">
      <c r="A17" s="126">
        <v>6</v>
      </c>
      <c r="B17" s="127" t="s">
        <v>54</v>
      </c>
      <c r="C17" s="128"/>
      <c r="D17" s="87">
        <f>+D19</f>
        <v>0</v>
      </c>
      <c r="E17" s="63">
        <f t="shared" ref="E17" si="0">P17</f>
        <v>0</v>
      </c>
      <c r="F17" s="28" t="s">
        <v>37</v>
      </c>
      <c r="G17" s="170"/>
      <c r="H17" s="172"/>
      <c r="I17" s="12" t="s">
        <v>55</v>
      </c>
      <c r="J17" s="11"/>
      <c r="K17" s="16"/>
      <c r="L17" s="16"/>
      <c r="M17" s="16"/>
      <c r="N17" s="94" t="s">
        <v>56</v>
      </c>
      <c r="O17" s="22"/>
      <c r="P17" s="105">
        <f>VLOOKUP(T13,$V$31:$W$34,2,FALSE)*P20</f>
        <v>0</v>
      </c>
      <c r="Q17" s="22"/>
      <c r="R17" s="98" t="s">
        <v>39</v>
      </c>
      <c r="S17" s="22"/>
      <c r="T17" s="16"/>
      <c r="V17" s="39"/>
      <c r="W17" s="42" t="s">
        <v>57</v>
      </c>
      <c r="X17" s="43">
        <v>39500</v>
      </c>
      <c r="Y17" s="44">
        <v>36000</v>
      </c>
      <c r="AA17" s="52" t="s">
        <v>58</v>
      </c>
      <c r="AB17" s="26" t="s">
        <v>59</v>
      </c>
      <c r="AC17" s="26">
        <v>0</v>
      </c>
      <c r="AD17" s="58">
        <v>5000</v>
      </c>
      <c r="AE17" s="58">
        <v>10000</v>
      </c>
      <c r="AF17" s="58">
        <v>16400</v>
      </c>
      <c r="AG17" s="26">
        <v>22800</v>
      </c>
      <c r="AH17" s="53">
        <v>25200</v>
      </c>
    </row>
    <row r="18" spans="1:36" ht="19" customHeight="1" thickTop="1" thickBot="1">
      <c r="A18" s="126">
        <v>7</v>
      </c>
      <c r="B18" s="127" t="s">
        <v>60</v>
      </c>
      <c r="C18" s="128"/>
      <c r="D18" s="61">
        <f>+P11</f>
        <v>0</v>
      </c>
      <c r="E18" s="63">
        <f>+P18*E11</f>
        <v>0</v>
      </c>
      <c r="F18" s="28" t="s">
        <v>37</v>
      </c>
      <c r="G18" s="170"/>
      <c r="H18" s="172"/>
      <c r="I18" s="12"/>
      <c r="J18" s="11"/>
      <c r="K18" s="16"/>
      <c r="L18" s="16"/>
      <c r="M18" s="16"/>
      <c r="N18" s="94" t="s">
        <v>61</v>
      </c>
      <c r="O18" s="22"/>
      <c r="P18" s="30"/>
      <c r="Q18" s="22"/>
      <c r="R18" s="97"/>
      <c r="S18" s="22"/>
      <c r="T18" s="16"/>
      <c r="V18" s="39"/>
      <c r="W18" s="42" t="s">
        <v>62</v>
      </c>
      <c r="X18" s="43">
        <v>45000</v>
      </c>
      <c r="Y18" s="44">
        <v>43500</v>
      </c>
      <c r="AA18" s="52" t="s">
        <v>63</v>
      </c>
      <c r="AB18" s="26" t="s">
        <v>64</v>
      </c>
      <c r="AC18" s="26">
        <v>0</v>
      </c>
      <c r="AD18" s="58">
        <v>7500</v>
      </c>
      <c r="AE18" s="58">
        <v>15000</v>
      </c>
      <c r="AF18" s="58">
        <v>24600</v>
      </c>
      <c r="AG18" s="26">
        <v>34200</v>
      </c>
      <c r="AH18" s="53">
        <v>37800</v>
      </c>
    </row>
    <row r="19" spans="1:36" ht="19" customHeight="1" thickTop="1" thickBot="1">
      <c r="A19" s="126">
        <v>8</v>
      </c>
      <c r="B19" s="134" t="s">
        <v>65</v>
      </c>
      <c r="C19" s="135"/>
      <c r="D19" s="87">
        <f>+P20</f>
        <v>0</v>
      </c>
      <c r="E19" s="155">
        <f>+P19+P21</f>
        <v>0</v>
      </c>
      <c r="F19" s="28" t="s">
        <v>37</v>
      </c>
      <c r="G19" s="170"/>
      <c r="H19" s="172"/>
      <c r="I19" s="12"/>
      <c r="J19" s="11"/>
      <c r="K19" s="16"/>
      <c r="L19" s="16"/>
      <c r="M19" s="23"/>
      <c r="N19" s="94" t="s">
        <v>65</v>
      </c>
      <c r="O19" s="22"/>
      <c r="P19" s="105">
        <f>VLOOKUP(T8,$AA$31:$AH$40,5,FALSE)*P20</f>
        <v>0</v>
      </c>
      <c r="Q19" s="22"/>
      <c r="R19" s="98" t="s">
        <v>39</v>
      </c>
      <c r="S19" s="22"/>
      <c r="T19" s="16"/>
      <c r="V19" s="39"/>
      <c r="W19" s="42" t="s">
        <v>66</v>
      </c>
      <c r="X19" s="43">
        <v>51000</v>
      </c>
      <c r="Y19" s="44">
        <v>50000</v>
      </c>
      <c r="AA19" s="52" t="s">
        <v>67</v>
      </c>
      <c r="AB19" s="26" t="s">
        <v>64</v>
      </c>
      <c r="AC19" s="26">
        <v>0</v>
      </c>
      <c r="AD19" s="58">
        <v>7500</v>
      </c>
      <c r="AE19" s="58">
        <v>15000</v>
      </c>
      <c r="AF19" s="58">
        <v>24600</v>
      </c>
      <c r="AG19" s="26">
        <v>34200</v>
      </c>
      <c r="AH19" s="53">
        <v>37800</v>
      </c>
    </row>
    <row r="20" spans="1:36" ht="19" customHeight="1" thickTop="1" thickBot="1">
      <c r="A20" s="126">
        <v>9</v>
      </c>
      <c r="B20" s="130" t="s">
        <v>68</v>
      </c>
      <c r="C20" s="131"/>
      <c r="D20" s="61">
        <f>+P11</f>
        <v>0</v>
      </c>
      <c r="E20" s="156">
        <f>P20</f>
        <v>0</v>
      </c>
      <c r="F20" s="28" t="s">
        <v>37</v>
      </c>
      <c r="G20" s="170"/>
      <c r="H20" s="172"/>
      <c r="I20" s="12"/>
      <c r="J20" s="11"/>
      <c r="K20" s="16"/>
      <c r="L20" s="16"/>
      <c r="M20" s="23"/>
      <c r="N20" s="94" t="s">
        <v>69</v>
      </c>
      <c r="O20" s="22"/>
      <c r="P20" s="31"/>
      <c r="Q20" s="22" t="s">
        <v>70</v>
      </c>
      <c r="R20" s="97"/>
      <c r="S20" s="22"/>
      <c r="T20" s="16"/>
      <c r="V20" s="39"/>
      <c r="W20" s="42" t="s">
        <v>71</v>
      </c>
      <c r="X20" s="43">
        <v>58000</v>
      </c>
      <c r="Y20" s="44">
        <v>57000</v>
      </c>
      <c r="AA20" s="52" t="s">
        <v>72</v>
      </c>
      <c r="AB20" s="26" t="s">
        <v>73</v>
      </c>
      <c r="AC20" s="26">
        <v>0</v>
      </c>
      <c r="AD20" s="58">
        <v>10000</v>
      </c>
      <c r="AE20" s="58">
        <v>20000</v>
      </c>
      <c r="AF20" s="58">
        <v>32800</v>
      </c>
      <c r="AG20" s="26">
        <v>45600</v>
      </c>
      <c r="AH20" s="53">
        <v>50400</v>
      </c>
    </row>
    <row r="21" spans="1:36" ht="19" customHeight="1" thickTop="1" thickBot="1">
      <c r="A21" s="126">
        <v>10</v>
      </c>
      <c r="B21" s="157" t="s">
        <v>74</v>
      </c>
      <c r="C21" s="15" t="s">
        <v>75</v>
      </c>
      <c r="D21" s="15" t="s">
        <v>76</v>
      </c>
      <c r="E21" s="63">
        <f>+P23</f>
        <v>58800</v>
      </c>
      <c r="F21" s="28" t="s">
        <v>37</v>
      </c>
      <c r="G21" s="170"/>
      <c r="H21" s="172"/>
      <c r="I21" s="12"/>
      <c r="J21" s="11"/>
      <c r="K21" s="16"/>
      <c r="L21" s="16"/>
      <c r="M21" s="23"/>
      <c r="N21" s="94" t="s">
        <v>77</v>
      </c>
      <c r="O21" s="22"/>
      <c r="P21" s="105">
        <f>+VLOOKUP(T8,$AA$31:$AJ$37,8,FALSE)*P22</f>
        <v>0</v>
      </c>
      <c r="Q21" s="22"/>
      <c r="R21" s="98" t="s">
        <v>39</v>
      </c>
      <c r="S21" s="22"/>
      <c r="T21" s="16"/>
      <c r="V21" s="39"/>
      <c r="W21" s="42" t="s">
        <v>78</v>
      </c>
      <c r="X21" s="43">
        <v>66500</v>
      </c>
      <c r="Y21" s="44">
        <v>65500</v>
      </c>
      <c r="AA21" s="52" t="s">
        <v>79</v>
      </c>
      <c r="AB21" s="26" t="s">
        <v>73</v>
      </c>
      <c r="AC21" s="26">
        <v>0</v>
      </c>
      <c r="AD21" s="58">
        <v>10000</v>
      </c>
      <c r="AE21" s="58">
        <v>20000</v>
      </c>
      <c r="AF21" s="58">
        <v>32800</v>
      </c>
      <c r="AG21" s="26">
        <v>45600</v>
      </c>
      <c r="AH21" s="53">
        <v>50400</v>
      </c>
    </row>
    <row r="22" spans="1:36" ht="19" customHeight="1" thickTop="1" thickBot="1">
      <c r="A22" s="126">
        <v>11</v>
      </c>
      <c r="B22" s="158"/>
      <c r="C22" s="15" t="s">
        <v>80</v>
      </c>
      <c r="D22" s="15" t="s">
        <v>81</v>
      </c>
      <c r="E22" s="63">
        <f>P24</f>
        <v>32890</v>
      </c>
      <c r="F22" s="28" t="s">
        <v>37</v>
      </c>
      <c r="G22" s="170"/>
      <c r="H22" s="172"/>
      <c r="I22" s="12"/>
      <c r="J22" s="11"/>
      <c r="K22" s="16"/>
      <c r="L22" s="16"/>
      <c r="M22" s="16"/>
      <c r="N22" s="122" t="s">
        <v>82</v>
      </c>
      <c r="O22" s="22"/>
      <c r="P22" s="31"/>
      <c r="Q22" s="22" t="s">
        <v>70</v>
      </c>
      <c r="R22" s="97"/>
      <c r="S22" s="22"/>
      <c r="T22" s="16"/>
      <c r="V22" s="39"/>
      <c r="W22" s="42" t="s">
        <v>83</v>
      </c>
      <c r="X22" s="43">
        <v>76500</v>
      </c>
      <c r="Y22" s="44">
        <v>75500</v>
      </c>
      <c r="AA22" s="52" t="s">
        <v>84</v>
      </c>
      <c r="AB22" s="26" t="s">
        <v>73</v>
      </c>
      <c r="AC22" s="26">
        <v>0</v>
      </c>
      <c r="AD22" s="58">
        <v>10000</v>
      </c>
      <c r="AE22" s="58">
        <v>20000</v>
      </c>
      <c r="AF22" s="58">
        <v>32800</v>
      </c>
      <c r="AG22" s="26">
        <v>45600</v>
      </c>
      <c r="AH22" s="53">
        <v>50400</v>
      </c>
    </row>
    <row r="23" spans="1:36" ht="19" customHeight="1" thickTop="1" thickBot="1">
      <c r="A23" s="126">
        <v>13</v>
      </c>
      <c r="B23" s="127" t="s">
        <v>85</v>
      </c>
      <c r="C23" s="128"/>
      <c r="D23" s="129"/>
      <c r="E23" s="78">
        <f>P25</f>
        <v>0</v>
      </c>
      <c r="F23" s="136" t="s">
        <v>37</v>
      </c>
      <c r="G23" s="170"/>
      <c r="H23" s="172"/>
      <c r="I23" s="79"/>
      <c r="J23" s="138"/>
      <c r="K23" s="16"/>
      <c r="L23" s="16"/>
      <c r="M23" s="126" t="s">
        <v>86</v>
      </c>
      <c r="N23" s="90" t="s">
        <v>87</v>
      </c>
      <c r="O23" s="22" t="s">
        <v>88</v>
      </c>
      <c r="P23" s="103">
        <f>+IF(N23="有り",VLOOKUP(T8,$AA$31:$AJ$37,9,FALSE),0)</f>
        <v>58800</v>
      </c>
      <c r="Q23" s="22"/>
      <c r="R23" s="98" t="s">
        <v>39</v>
      </c>
      <c r="S23" s="22"/>
      <c r="T23" s="16"/>
      <c r="V23" s="39"/>
      <c r="W23" s="42" t="s">
        <v>89</v>
      </c>
      <c r="X23" s="43">
        <v>88000</v>
      </c>
      <c r="Y23" s="44">
        <v>87000</v>
      </c>
      <c r="AA23" s="52" t="s">
        <v>90</v>
      </c>
      <c r="AB23" s="26" t="s">
        <v>73</v>
      </c>
      <c r="AC23" s="26">
        <v>0</v>
      </c>
      <c r="AD23" s="58">
        <v>10000</v>
      </c>
      <c r="AE23" s="58">
        <v>20000</v>
      </c>
      <c r="AF23" s="58">
        <v>32800</v>
      </c>
      <c r="AG23" s="26">
        <v>45600</v>
      </c>
      <c r="AH23" s="53">
        <v>50400</v>
      </c>
    </row>
    <row r="24" spans="1:36" ht="18.75" customHeight="1" thickTop="1" thickBot="1">
      <c r="A24" s="126">
        <v>14</v>
      </c>
      <c r="B24" s="80" t="s">
        <v>91</v>
      </c>
      <c r="C24" s="81"/>
      <c r="D24" s="82"/>
      <c r="E24" s="83">
        <f>(E13*E10)+E14+E15+E16+E17+E18+E19+E20+E21+E22+E23</f>
        <v>91690</v>
      </c>
      <c r="F24" s="84" t="s">
        <v>37</v>
      </c>
      <c r="G24" s="85">
        <f>(G13*G10)-((G13*G10)*0.01)</f>
        <v>0</v>
      </c>
      <c r="H24" s="86" t="s">
        <v>37</v>
      </c>
      <c r="I24" s="159" t="s">
        <v>92</v>
      </c>
      <c r="J24" s="160"/>
      <c r="K24" s="16"/>
      <c r="L24" s="16"/>
      <c r="M24" s="126" t="s">
        <v>93</v>
      </c>
      <c r="N24" s="90" t="s">
        <v>87</v>
      </c>
      <c r="O24" s="22" t="s">
        <v>80</v>
      </c>
      <c r="P24" s="104">
        <f>+IF(N24="有り",VLOOKUP(T8,$AA$31:$AJ$37,10,FALSE),0)</f>
        <v>32890</v>
      </c>
      <c r="Q24" s="22"/>
      <c r="R24" s="98" t="s">
        <v>39</v>
      </c>
      <c r="S24" s="22"/>
      <c r="T24" s="16"/>
      <c r="V24" s="39"/>
      <c r="W24" s="42" t="s">
        <v>94</v>
      </c>
      <c r="X24" s="43">
        <v>111000</v>
      </c>
      <c r="Y24" s="44">
        <v>110000</v>
      </c>
      <c r="AA24" s="52" t="s">
        <v>95</v>
      </c>
      <c r="AB24" s="26" t="s">
        <v>96</v>
      </c>
      <c r="AC24" s="26">
        <v>0</v>
      </c>
      <c r="AD24" s="58">
        <v>12500</v>
      </c>
      <c r="AE24" s="58">
        <v>25000</v>
      </c>
      <c r="AF24" s="58">
        <v>41000</v>
      </c>
      <c r="AG24" s="26">
        <v>57000</v>
      </c>
      <c r="AH24" s="53">
        <v>63000</v>
      </c>
    </row>
    <row r="25" spans="1:36" ht="18.75" customHeight="1" thickTop="1" thickBot="1">
      <c r="A25" s="126">
        <v>15</v>
      </c>
      <c r="B25" s="89" t="s">
        <v>97</v>
      </c>
      <c r="C25" s="135"/>
      <c r="D25" s="14"/>
      <c r="E25" s="65" t="e">
        <f>E24/G13</f>
        <v>#DIV/0!</v>
      </c>
      <c r="F25" s="9" t="s">
        <v>18</v>
      </c>
      <c r="G25" s="77">
        <f>+G13*G10*0.01</f>
        <v>0</v>
      </c>
      <c r="H25" s="9" t="s">
        <v>98</v>
      </c>
      <c r="I25" s="149"/>
      <c r="J25" s="150"/>
      <c r="K25" s="16"/>
      <c r="L25" s="16"/>
      <c r="M25" s="16"/>
      <c r="N25" s="101" t="s">
        <v>99</v>
      </c>
      <c r="O25" s="102"/>
      <c r="P25" s="30"/>
      <c r="Q25" s="99"/>
      <c r="R25" s="100"/>
      <c r="S25" s="22"/>
      <c r="T25" s="16"/>
      <c r="V25" s="45" t="s">
        <v>100</v>
      </c>
      <c r="W25" s="46" t="s">
        <v>101</v>
      </c>
      <c r="X25" s="47">
        <v>10800</v>
      </c>
      <c r="Y25" s="48">
        <v>10800</v>
      </c>
      <c r="AA25" s="52" t="s">
        <v>102</v>
      </c>
      <c r="AB25" s="26" t="s">
        <v>103</v>
      </c>
      <c r="AC25" s="26">
        <v>0</v>
      </c>
      <c r="AD25" s="58">
        <v>15000</v>
      </c>
      <c r="AE25" s="58">
        <v>30000</v>
      </c>
      <c r="AF25" s="58">
        <v>49200</v>
      </c>
      <c r="AG25" s="26">
        <v>68400</v>
      </c>
      <c r="AH25" s="53">
        <v>75600</v>
      </c>
    </row>
    <row r="26" spans="1:36" ht="7.5" customHeight="1" thickBot="1">
      <c r="A26" s="126"/>
      <c r="B26" s="16"/>
      <c r="C26" s="16"/>
      <c r="D26" s="16"/>
      <c r="E26" s="66"/>
      <c r="F26" s="16"/>
      <c r="G26" s="16"/>
      <c r="H26" s="16"/>
      <c r="I26" s="16"/>
      <c r="J26" s="16"/>
      <c r="K26" s="16"/>
      <c r="L26" s="16"/>
      <c r="M26" s="16"/>
      <c r="N26" s="22"/>
      <c r="O26" s="22"/>
      <c r="P26" s="24"/>
      <c r="Q26" s="22"/>
      <c r="R26" s="22"/>
      <c r="S26" s="16"/>
      <c r="T26" s="16"/>
      <c r="AA26" s="54"/>
      <c r="AB26" s="55"/>
      <c r="AC26" s="56"/>
      <c r="AD26" s="56"/>
      <c r="AE26" s="56"/>
      <c r="AF26" s="56"/>
      <c r="AG26" s="56"/>
      <c r="AH26" s="57"/>
    </row>
    <row r="27" spans="1:36" ht="18.75" customHeight="1" thickTop="1" thickBot="1">
      <c r="A27" s="126">
        <v>16</v>
      </c>
      <c r="B27" s="134" t="s">
        <v>104</v>
      </c>
      <c r="C27" s="135"/>
      <c r="D27" s="14"/>
      <c r="E27" s="67">
        <f>P28</f>
        <v>0</v>
      </c>
      <c r="F27" s="9" t="s">
        <v>37</v>
      </c>
      <c r="G27" s="16" t="s">
        <v>105</v>
      </c>
      <c r="H27" s="16"/>
      <c r="I27" s="16"/>
      <c r="J27" s="16"/>
      <c r="K27" s="16"/>
      <c r="L27" s="16"/>
      <c r="M27" s="16"/>
      <c r="N27" s="22"/>
      <c r="O27" s="22"/>
      <c r="P27" s="24"/>
      <c r="Q27" s="22"/>
      <c r="R27" s="22"/>
      <c r="S27" s="16"/>
      <c r="T27" s="16"/>
      <c r="AB27" s="7"/>
    </row>
    <row r="28" spans="1:36" ht="18.75" customHeight="1" thickTop="1" thickBot="1">
      <c r="A28" s="126">
        <v>17</v>
      </c>
      <c r="B28" s="89" t="s">
        <v>106</v>
      </c>
      <c r="C28" s="135"/>
      <c r="D28" s="14"/>
      <c r="E28" s="68" t="e">
        <f>E27/G13</f>
        <v>#DIV/0!</v>
      </c>
      <c r="F28" s="9" t="s">
        <v>18</v>
      </c>
      <c r="G28" s="16" t="s">
        <v>107</v>
      </c>
      <c r="H28" s="16"/>
      <c r="I28" s="17"/>
      <c r="J28" s="16"/>
      <c r="K28" s="16"/>
      <c r="L28" s="16"/>
      <c r="M28" s="16"/>
      <c r="N28" s="106" t="s">
        <v>108</v>
      </c>
      <c r="O28" s="107"/>
      <c r="P28" s="30"/>
      <c r="Q28" s="113"/>
      <c r="R28" s="114"/>
      <c r="S28" s="16"/>
      <c r="T28" s="16"/>
      <c r="V28" s="37" t="s">
        <v>56</v>
      </c>
      <c r="AA28" s="37" t="s">
        <v>74</v>
      </c>
      <c r="AB28" s="7"/>
    </row>
    <row r="29" spans="1:36" ht="7.5" customHeight="1" thickBot="1">
      <c r="A29" s="126"/>
      <c r="B29" s="126"/>
      <c r="C29" s="126"/>
      <c r="D29" s="126"/>
      <c r="E29" s="69"/>
      <c r="F29" s="126"/>
      <c r="G29" s="126"/>
      <c r="H29" s="126"/>
      <c r="I29" s="126"/>
      <c r="J29" s="126"/>
      <c r="K29" s="16"/>
      <c r="L29" s="16"/>
      <c r="M29" s="16"/>
      <c r="N29" s="22"/>
      <c r="O29" s="22"/>
      <c r="P29" s="24"/>
      <c r="Q29" s="22"/>
      <c r="R29" s="22"/>
      <c r="S29" s="16"/>
      <c r="T29" s="16"/>
      <c r="AB29" s="7"/>
    </row>
    <row r="30" spans="1:36" ht="18.75" customHeight="1" thickTop="1">
      <c r="A30" s="126">
        <v>18</v>
      </c>
      <c r="B30" s="134" t="s">
        <v>109</v>
      </c>
      <c r="C30" s="135"/>
      <c r="D30" s="14"/>
      <c r="E30" s="70">
        <f>P32</f>
        <v>0</v>
      </c>
      <c r="F30" s="9" t="s">
        <v>110</v>
      </c>
      <c r="G30" s="70">
        <f>Q32</f>
        <v>0</v>
      </c>
      <c r="H30" s="9" t="s">
        <v>110</v>
      </c>
      <c r="I30" s="25" t="s">
        <v>111</v>
      </c>
      <c r="J30" s="11"/>
      <c r="K30" s="16"/>
      <c r="L30" s="16"/>
      <c r="M30" s="16"/>
      <c r="N30" s="22"/>
      <c r="O30" s="22"/>
      <c r="P30" s="139" t="s">
        <v>112</v>
      </c>
      <c r="Q30" s="139" t="s">
        <v>113</v>
      </c>
      <c r="R30" s="22"/>
      <c r="S30" s="16"/>
      <c r="T30" s="16"/>
      <c r="V30" s="49" t="s">
        <v>114</v>
      </c>
      <c r="W30" s="59" t="s">
        <v>115</v>
      </c>
      <c r="AA30" s="49"/>
      <c r="AB30" s="50"/>
      <c r="AC30" s="123" t="s">
        <v>65</v>
      </c>
      <c r="AD30" s="123" t="s">
        <v>116</v>
      </c>
      <c r="AE30" s="123" t="s">
        <v>117</v>
      </c>
      <c r="AF30" s="123" t="s">
        <v>118</v>
      </c>
      <c r="AG30" s="123" t="s">
        <v>116</v>
      </c>
      <c r="AH30" s="123" t="s">
        <v>117</v>
      </c>
      <c r="AI30" s="123" t="s">
        <v>76</v>
      </c>
      <c r="AJ30" s="59" t="s">
        <v>81</v>
      </c>
    </row>
    <row r="31" spans="1:36" ht="19" customHeight="1" thickBot="1">
      <c r="A31" s="126">
        <v>19</v>
      </c>
      <c r="B31" s="134" t="s">
        <v>119</v>
      </c>
      <c r="C31" s="131"/>
      <c r="D31" s="132"/>
      <c r="E31" s="70" t="e">
        <f>P35/P32*P33*E10</f>
        <v>#DIV/0!</v>
      </c>
      <c r="F31" s="9" t="s">
        <v>37</v>
      </c>
      <c r="G31" s="70" t="e">
        <f>P35/Q32*P33*G10</f>
        <v>#DIV/0!</v>
      </c>
      <c r="H31" s="9" t="s">
        <v>37</v>
      </c>
      <c r="I31" s="141" t="str">
        <f>N33&amp;P33&amp;Q33&amp;R33&amp;N35&amp;P35&amp;Q35&amp;R35</f>
        <v>ガソリン代円/L、走行距離km/月で試算</v>
      </c>
      <c r="J31" s="142"/>
      <c r="K31" s="16"/>
      <c r="L31" s="16"/>
      <c r="M31" s="16"/>
      <c r="P31" s="140"/>
      <c r="Q31" s="140"/>
      <c r="S31" s="16"/>
      <c r="T31" s="16"/>
      <c r="V31" s="52" t="s">
        <v>120</v>
      </c>
      <c r="W31" s="60">
        <v>22210</v>
      </c>
      <c r="AA31" s="52" t="s">
        <v>58</v>
      </c>
      <c r="AB31" s="26"/>
      <c r="AC31" s="26">
        <v>50000</v>
      </c>
      <c r="AD31" s="26">
        <v>18000</v>
      </c>
      <c r="AE31" s="26">
        <f>+AC31+AD31</f>
        <v>68000</v>
      </c>
      <c r="AF31" s="26">
        <v>30000</v>
      </c>
      <c r="AG31" s="26">
        <v>32000</v>
      </c>
      <c r="AH31" s="26">
        <f>+AF31+AG31</f>
        <v>62000</v>
      </c>
      <c r="AI31" s="26">
        <v>48000</v>
      </c>
      <c r="AJ31" s="53">
        <v>27000</v>
      </c>
    </row>
    <row r="32" spans="1:36" ht="19" customHeight="1" thickTop="1" thickBot="1">
      <c r="A32" s="126">
        <v>20</v>
      </c>
      <c r="B32" s="134" t="s">
        <v>121</v>
      </c>
      <c r="C32" s="131"/>
      <c r="D32" s="132"/>
      <c r="E32" s="71"/>
      <c r="F32" s="16"/>
      <c r="G32" s="74" t="e">
        <f>E31-G31</f>
        <v>#DIV/0!</v>
      </c>
      <c r="H32" s="11" t="s">
        <v>37</v>
      </c>
      <c r="I32" s="143"/>
      <c r="J32" s="144"/>
      <c r="K32" s="16"/>
      <c r="L32" s="16"/>
      <c r="M32" s="16"/>
      <c r="N32" s="92" t="s">
        <v>122</v>
      </c>
      <c r="O32" s="112"/>
      <c r="P32" s="34"/>
      <c r="Q32" s="30"/>
      <c r="R32" s="119" t="s">
        <v>110</v>
      </c>
      <c r="S32" s="16"/>
      <c r="T32" s="16"/>
      <c r="V32" s="52" t="s">
        <v>123</v>
      </c>
      <c r="W32" s="53">
        <v>21620</v>
      </c>
      <c r="AA32" s="52" t="s">
        <v>63</v>
      </c>
      <c r="AB32" s="26"/>
      <c r="AC32" s="26">
        <v>54000</v>
      </c>
      <c r="AD32" s="26">
        <v>19000</v>
      </c>
      <c r="AE32" s="26">
        <f>+AC32+AD32</f>
        <v>73000</v>
      </c>
      <c r="AF32" s="26">
        <v>32000</v>
      </c>
      <c r="AG32" s="26">
        <v>36000</v>
      </c>
      <c r="AH32" s="26">
        <f>+AF32+AG32</f>
        <v>68000</v>
      </c>
      <c r="AI32" s="26">
        <v>58800</v>
      </c>
      <c r="AJ32" s="53">
        <v>32890</v>
      </c>
    </row>
    <row r="33" spans="1:36" ht="19" customHeight="1" thickTop="1" thickBot="1">
      <c r="A33" s="126">
        <v>21</v>
      </c>
      <c r="B33" s="89" t="s">
        <v>124</v>
      </c>
      <c r="C33" s="135"/>
      <c r="D33" s="14"/>
      <c r="E33" s="71"/>
      <c r="F33" s="16"/>
      <c r="G33" s="68" t="e">
        <f>G32/G13</f>
        <v>#DIV/0!</v>
      </c>
      <c r="H33" s="9" t="s">
        <v>18</v>
      </c>
      <c r="I33" s="145"/>
      <c r="J33" s="146"/>
      <c r="K33" s="16"/>
      <c r="L33" s="16"/>
      <c r="M33" s="16"/>
      <c r="N33" s="106" t="s">
        <v>125</v>
      </c>
      <c r="O33" s="107"/>
      <c r="P33" s="30"/>
      <c r="Q33" s="120" t="s">
        <v>126</v>
      </c>
      <c r="R33" s="114" t="s">
        <v>127</v>
      </c>
      <c r="S33" s="16"/>
      <c r="T33" s="16"/>
      <c r="V33" s="52" t="s">
        <v>128</v>
      </c>
      <c r="W33" s="53">
        <v>15860</v>
      </c>
      <c r="AA33" s="52" t="s">
        <v>67</v>
      </c>
      <c r="AB33" s="26"/>
      <c r="AC33" s="26">
        <v>56000</v>
      </c>
      <c r="AD33" s="26">
        <v>20000</v>
      </c>
      <c r="AE33" s="26">
        <f t="shared" ref="AE33:AE37" si="1">+AC33+AD33</f>
        <v>76000</v>
      </c>
      <c r="AF33" s="26">
        <v>37000</v>
      </c>
      <c r="AG33" s="26">
        <v>39000</v>
      </c>
      <c r="AH33" s="26">
        <f t="shared" ref="AH33:AH37" si="2">+AF33+AG33</f>
        <v>76000</v>
      </c>
      <c r="AI33" s="26">
        <v>71600</v>
      </c>
      <c r="AJ33" s="53">
        <v>37510</v>
      </c>
    </row>
    <row r="34" spans="1:36" ht="7.5" customHeight="1" thickBot="1">
      <c r="A34" s="126"/>
      <c r="B34" s="18"/>
      <c r="C34" s="16"/>
      <c r="D34" s="16"/>
      <c r="E34" s="6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2"/>
      <c r="R34" s="16"/>
      <c r="S34" s="16"/>
      <c r="T34" s="16"/>
      <c r="V34" s="54" t="s">
        <v>101</v>
      </c>
      <c r="W34" s="57">
        <v>21780</v>
      </c>
      <c r="AA34" s="52" t="s">
        <v>72</v>
      </c>
      <c r="AB34" s="26"/>
      <c r="AC34" s="26">
        <v>71000</v>
      </c>
      <c r="AD34" s="26">
        <v>21000</v>
      </c>
      <c r="AE34" s="26">
        <f t="shared" si="1"/>
        <v>92000</v>
      </c>
      <c r="AF34" s="26">
        <v>43000</v>
      </c>
      <c r="AG34" s="26">
        <v>40000</v>
      </c>
      <c r="AH34" s="26">
        <f t="shared" si="2"/>
        <v>83000</v>
      </c>
      <c r="AI34" s="26">
        <v>102400</v>
      </c>
      <c r="AJ34" s="53">
        <v>43890</v>
      </c>
    </row>
    <row r="35" spans="1:36" ht="18.75" customHeight="1" thickTop="1" thickBot="1">
      <c r="A35" s="126">
        <v>22</v>
      </c>
      <c r="B35" s="134" t="s">
        <v>129</v>
      </c>
      <c r="C35" s="135"/>
      <c r="D35" s="14"/>
      <c r="E35" s="66"/>
      <c r="F35" s="16"/>
      <c r="G35" s="74">
        <f>+P38+P39</f>
        <v>0</v>
      </c>
      <c r="H35" s="11" t="s">
        <v>37</v>
      </c>
      <c r="I35" s="147" t="s">
        <v>130</v>
      </c>
      <c r="J35" s="148"/>
      <c r="K35" s="16"/>
      <c r="L35" s="16"/>
      <c r="M35" s="16"/>
      <c r="N35" s="106" t="s">
        <v>131</v>
      </c>
      <c r="O35" s="107"/>
      <c r="P35" s="30"/>
      <c r="Q35" s="113" t="s">
        <v>132</v>
      </c>
      <c r="R35" s="114" t="s">
        <v>133</v>
      </c>
      <c r="S35" s="16"/>
      <c r="T35" s="16"/>
      <c r="AA35" s="52" t="s">
        <v>79</v>
      </c>
      <c r="AB35" s="26"/>
      <c r="AC35" s="26">
        <v>56000</v>
      </c>
      <c r="AD35" s="26">
        <v>20000</v>
      </c>
      <c r="AE35" s="26">
        <f t="shared" si="1"/>
        <v>76000</v>
      </c>
      <c r="AF35" s="26">
        <v>37000</v>
      </c>
      <c r="AG35" s="26">
        <v>39000</v>
      </c>
      <c r="AH35" s="26">
        <f t="shared" si="2"/>
        <v>76000</v>
      </c>
      <c r="AI35" s="26">
        <v>71600</v>
      </c>
      <c r="AJ35" s="53">
        <v>37510</v>
      </c>
    </row>
    <row r="36" spans="1:36" ht="19" customHeight="1">
      <c r="A36" s="126">
        <v>23</v>
      </c>
      <c r="B36" s="89" t="s">
        <v>134</v>
      </c>
      <c r="C36" s="135"/>
      <c r="D36" s="14"/>
      <c r="E36" s="66"/>
      <c r="F36" s="16"/>
      <c r="G36" s="68" t="e">
        <f>G35/G13</f>
        <v>#DIV/0!</v>
      </c>
      <c r="H36" s="9" t="s">
        <v>18</v>
      </c>
      <c r="I36" s="149"/>
      <c r="J36" s="150"/>
      <c r="K36" s="16"/>
      <c r="L36" s="16"/>
      <c r="M36" s="16"/>
      <c r="S36" s="16"/>
      <c r="T36" s="16"/>
      <c r="AA36" s="52" t="s">
        <v>84</v>
      </c>
      <c r="AB36" s="26"/>
      <c r="AC36" s="26">
        <v>65000</v>
      </c>
      <c r="AD36" s="26">
        <v>21000</v>
      </c>
      <c r="AE36" s="26">
        <f t="shared" si="1"/>
        <v>86000</v>
      </c>
      <c r="AF36" s="26">
        <v>41000</v>
      </c>
      <c r="AG36" s="26">
        <v>40000</v>
      </c>
      <c r="AH36" s="26">
        <f t="shared" si="2"/>
        <v>81000</v>
      </c>
      <c r="AI36" s="26">
        <v>102400</v>
      </c>
      <c r="AJ36" s="53">
        <v>28930</v>
      </c>
    </row>
    <row r="37" spans="1:36" ht="7.5" customHeight="1" thickBot="1">
      <c r="A37" s="126"/>
      <c r="B37" s="18"/>
      <c r="C37" s="16"/>
      <c r="D37" s="16"/>
      <c r="E37" s="66"/>
      <c r="F37" s="16"/>
      <c r="G37" s="16"/>
      <c r="H37" s="16"/>
      <c r="I37" s="16"/>
      <c r="J37" s="16"/>
      <c r="K37" s="16"/>
      <c r="L37" s="16"/>
      <c r="M37" s="16"/>
      <c r="S37" s="16"/>
      <c r="T37" s="16"/>
      <c r="AA37" s="54" t="s">
        <v>90</v>
      </c>
      <c r="AB37" s="56"/>
      <c r="AC37" s="56">
        <v>71000</v>
      </c>
      <c r="AD37" s="56">
        <v>21000</v>
      </c>
      <c r="AE37" s="26">
        <f t="shared" si="1"/>
        <v>92000</v>
      </c>
      <c r="AF37" s="56">
        <v>43000</v>
      </c>
      <c r="AG37" s="56">
        <v>40000</v>
      </c>
      <c r="AH37" s="26">
        <f t="shared" si="2"/>
        <v>83000</v>
      </c>
      <c r="AI37" s="56">
        <v>102400</v>
      </c>
      <c r="AJ37" s="57">
        <v>43890</v>
      </c>
    </row>
    <row r="38" spans="1:36" ht="18.75" customHeight="1" thickTop="1" thickBot="1">
      <c r="A38" s="126">
        <v>24</v>
      </c>
      <c r="B38" s="134" t="s">
        <v>135</v>
      </c>
      <c r="C38" s="135"/>
      <c r="D38" s="135"/>
      <c r="E38" s="72" t="e">
        <f>E24+E27+G32+G35</f>
        <v>#DIV/0!</v>
      </c>
      <c r="F38" s="11" t="s">
        <v>37</v>
      </c>
      <c r="G38" s="16"/>
      <c r="H38" s="16"/>
      <c r="I38" s="126"/>
      <c r="J38" s="19"/>
      <c r="K38" s="16"/>
      <c r="L38" s="16"/>
      <c r="M38" s="16"/>
      <c r="N38" s="108" t="s">
        <v>136</v>
      </c>
      <c r="O38" s="109"/>
      <c r="P38" s="34"/>
      <c r="Q38" s="115" t="s">
        <v>37</v>
      </c>
      <c r="R38" s="116"/>
      <c r="S38" s="16"/>
      <c r="T38" s="16"/>
      <c r="AA38" s="50"/>
      <c r="AB38" s="50"/>
      <c r="AC38" s="50"/>
      <c r="AD38" s="50"/>
      <c r="AE38" s="50"/>
      <c r="AF38" s="50"/>
      <c r="AG38" s="50"/>
      <c r="AH38" s="50"/>
    </row>
    <row r="39" spans="1:36" ht="19" customHeight="1" thickTop="1" thickBot="1">
      <c r="A39" s="126">
        <v>25</v>
      </c>
      <c r="B39" s="89" t="s">
        <v>137</v>
      </c>
      <c r="C39" s="135"/>
      <c r="D39" s="14"/>
      <c r="E39" s="73" t="e">
        <f>ROUNDUP(E25+E28+G33+G36,0)</f>
        <v>#DIV/0!</v>
      </c>
      <c r="F39" s="9" t="s">
        <v>18</v>
      </c>
      <c r="G39" s="27" t="s">
        <v>138</v>
      </c>
      <c r="H39" s="88" t="e">
        <f>+E39</f>
        <v>#DIV/0!</v>
      </c>
      <c r="I39" s="16" t="s">
        <v>139</v>
      </c>
      <c r="J39" s="16"/>
      <c r="M39" s="16"/>
      <c r="N39" s="110" t="s">
        <v>140</v>
      </c>
      <c r="O39" s="111"/>
      <c r="P39" s="30"/>
      <c r="Q39" s="117" t="s">
        <v>37</v>
      </c>
      <c r="R39" s="118"/>
      <c r="S39" s="16"/>
      <c r="T39" s="16"/>
      <c r="AA39" s="26"/>
      <c r="AB39" s="26"/>
      <c r="AC39" s="26"/>
      <c r="AD39" s="26"/>
      <c r="AE39" s="26"/>
      <c r="AF39" s="26"/>
      <c r="AG39" s="26"/>
      <c r="AH39" s="26"/>
    </row>
    <row r="40" spans="1:36" ht="7.5" customHeight="1" thickTop="1">
      <c r="B40" s="2"/>
      <c r="C40" s="2"/>
      <c r="D40" s="2"/>
      <c r="E40" s="8"/>
      <c r="F40" s="2"/>
      <c r="G40" s="2"/>
      <c r="H40" s="2"/>
      <c r="I40" s="2"/>
      <c r="J40" s="2"/>
      <c r="M40" s="16"/>
      <c r="N40" s="16"/>
      <c r="O40" s="16"/>
      <c r="P40" s="16"/>
      <c r="Q40" s="16"/>
      <c r="R40" s="16"/>
      <c r="S40" s="16"/>
      <c r="T40" s="16"/>
      <c r="AA40" s="26"/>
      <c r="AB40" s="26"/>
      <c r="AC40" s="26"/>
      <c r="AD40" s="26"/>
      <c r="AE40" s="26"/>
      <c r="AF40" s="26"/>
      <c r="AG40" s="26"/>
      <c r="AH40" s="26"/>
    </row>
    <row r="41" spans="1:36" ht="7.5" customHeight="1">
      <c r="S41" s="16"/>
      <c r="T41" s="16"/>
      <c r="AA41" s="26"/>
      <c r="AB41" s="26"/>
      <c r="AC41" s="26"/>
      <c r="AD41" s="26"/>
      <c r="AE41" s="26"/>
      <c r="AF41" s="26"/>
      <c r="AG41" s="26"/>
      <c r="AH41" s="26"/>
    </row>
    <row r="42" spans="1:36" ht="19" customHeight="1">
      <c r="AA42" s="26"/>
      <c r="AB42" s="26"/>
      <c r="AC42" s="26"/>
      <c r="AD42" s="26"/>
      <c r="AE42" s="26"/>
      <c r="AF42" s="26"/>
      <c r="AG42" s="26"/>
      <c r="AH42" s="26"/>
    </row>
    <row r="43" spans="1:36" ht="3" customHeight="1">
      <c r="AA43" s="26"/>
    </row>
  </sheetData>
  <mergeCells count="24">
    <mergeCell ref="S2:V3"/>
    <mergeCell ref="A5:J5"/>
    <mergeCell ref="E7:F8"/>
    <mergeCell ref="G7:H8"/>
    <mergeCell ref="I7:J8"/>
    <mergeCell ref="N8:R8"/>
    <mergeCell ref="A10:A11"/>
    <mergeCell ref="B10:D11"/>
    <mergeCell ref="X11:Y11"/>
    <mergeCell ref="B13:C13"/>
    <mergeCell ref="G13:G23"/>
    <mergeCell ref="H13:H23"/>
    <mergeCell ref="X13:Y13"/>
    <mergeCell ref="B14:C14"/>
    <mergeCell ref="AE14:AH14"/>
    <mergeCell ref="B15:C15"/>
    <mergeCell ref="E19:E20"/>
    <mergeCell ref="B21:B22"/>
    <mergeCell ref="I24:J25"/>
    <mergeCell ref="P30:P31"/>
    <mergeCell ref="Q30:Q31"/>
    <mergeCell ref="I31:J33"/>
    <mergeCell ref="I35:J36"/>
    <mergeCell ref="AC14:AD14"/>
  </mergeCells>
  <phoneticPr fontId="1"/>
  <dataValidations count="7">
    <dataValidation type="list" allowBlank="1" showInputMessage="1" showErrorMessage="1" sqref="N23:N24" xr:uid="{00000000-0002-0000-0000-000000000000}">
      <formula1>"有り,無し"</formula1>
    </dataValidation>
    <dataValidation type="list" allowBlank="1" showInputMessage="1" showErrorMessage="1" sqref="T8" xr:uid="{00000000-0002-0000-0000-000001000000}">
      <formula1>$AA$16:$AA$25</formula1>
    </dataValidation>
    <dataValidation type="list" allowBlank="1" showInputMessage="1" showErrorMessage="1" sqref="T13" xr:uid="{00000000-0002-0000-0000-000002000000}">
      <formula1>"自家用乗用,自家用貨物車,軽"</formula1>
    </dataValidation>
    <dataValidation type="list" allowBlank="1" showInputMessage="1" showErrorMessage="1" sqref="T10" xr:uid="{00000000-0002-0000-0000-000003000000}">
      <formula1>$AC$14:$AH$14</formula1>
    </dataValidation>
    <dataValidation type="list" allowBlank="1" showInputMessage="1" showErrorMessage="1" sqref="T11" xr:uid="{00000000-0002-0000-0000-000004000000}">
      <formula1>$AE$15:$AF$15</formula1>
    </dataValidation>
    <dataValidation type="list" allowBlank="1" showInputMessage="1" showErrorMessage="1" sqref="T7" xr:uid="{00000000-0002-0000-0000-000005000000}">
      <formula1>$X$14:$Y$14</formula1>
    </dataValidation>
    <dataValidation type="list" allowBlank="1" showInputMessage="1" showErrorMessage="1" sqref="T5" xr:uid="{00000000-0002-0000-0000-000006000000}">
      <formula1>$W$15:$W$25</formula1>
    </dataValidation>
  </dataValidations>
  <pageMargins left="0" right="0" top="0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3"/>
  <sheetViews>
    <sheetView showGridLines="0" view="pageBreakPreview" zoomScale="77" zoomScaleNormal="90" workbookViewId="0">
      <selection activeCell="J2" sqref="J2"/>
    </sheetView>
  </sheetViews>
  <sheetFormatPr baseColWidth="10" defaultColWidth="8.5" defaultRowHeight="18"/>
  <cols>
    <col min="1" max="1" width="4.5" style="6" customWidth="1"/>
    <col min="2" max="2" width="18" style="1" customWidth="1"/>
    <col min="3" max="3" width="4.6640625" style="1" customWidth="1"/>
    <col min="4" max="4" width="33.5" style="1" customWidth="1"/>
    <col min="5" max="5" width="19" style="1" customWidth="1"/>
    <col min="6" max="6" width="7.1640625" style="1" customWidth="1"/>
    <col min="7" max="7" width="19" style="1" customWidth="1"/>
    <col min="8" max="8" width="6.5" style="1" bestFit="1" customWidth="1"/>
    <col min="9" max="9" width="16" style="1" customWidth="1"/>
    <col min="10" max="10" width="24" style="1" customWidth="1"/>
    <col min="11" max="11" width="3.5" style="1" customWidth="1"/>
    <col min="12" max="12" width="8.5" style="1"/>
    <col min="13" max="13" width="24" style="1" bestFit="1" customWidth="1"/>
    <col min="14" max="14" width="12" style="1" customWidth="1"/>
    <col min="15" max="15" width="8.5" style="1"/>
    <col min="16" max="16" width="15.1640625" style="1" bestFit="1" customWidth="1"/>
    <col min="17" max="17" width="12.33203125" style="1" customWidth="1"/>
    <col min="18" max="18" width="8.5" style="1"/>
    <col min="19" max="19" width="22" style="1" customWidth="1"/>
    <col min="20" max="20" width="20" style="1" customWidth="1"/>
    <col min="21" max="21" width="3.5" style="1" customWidth="1"/>
    <col min="22" max="22" width="19.1640625" style="1" customWidth="1"/>
    <col min="23" max="23" width="20.1640625" style="1" customWidth="1"/>
    <col min="24" max="25" width="18.6640625" style="1" bestFit="1" customWidth="1"/>
    <col min="26" max="26" width="8.5" style="1"/>
    <col min="27" max="27" width="18.1640625" style="1" bestFit="1" customWidth="1"/>
    <col min="28" max="28" width="13.6640625" style="1" bestFit="1" customWidth="1"/>
    <col min="29" max="16384" width="8.5" style="1"/>
  </cols>
  <sheetData>
    <row r="1" spans="1:34" ht="3.75" customHeight="1">
      <c r="B1" s="2"/>
      <c r="C1" s="2"/>
      <c r="D1" s="2"/>
      <c r="E1" s="2"/>
      <c r="F1" s="2"/>
      <c r="G1" s="2"/>
      <c r="H1" s="2"/>
      <c r="I1" s="2"/>
      <c r="J1" s="2"/>
    </row>
    <row r="2" spans="1:34" ht="15.75" customHeight="1">
      <c r="E2" s="2"/>
      <c r="F2" s="2"/>
      <c r="H2" s="6"/>
      <c r="I2" s="126" t="s">
        <v>0</v>
      </c>
      <c r="J2" s="20">
        <f ca="1">+TODAY()</f>
        <v>44228</v>
      </c>
      <c r="S2" s="175" t="s">
        <v>1</v>
      </c>
      <c r="T2" s="175"/>
      <c r="U2" s="175"/>
      <c r="V2" s="175"/>
    </row>
    <row r="3" spans="1:34" ht="15.75" customHeight="1">
      <c r="E3" s="2"/>
      <c r="F3" s="2"/>
      <c r="H3" s="6"/>
      <c r="I3" s="126" t="s">
        <v>2</v>
      </c>
      <c r="J3" s="21" t="str">
        <f>N5</f>
        <v>〇〇</v>
      </c>
      <c r="S3" s="175"/>
      <c r="T3" s="175"/>
      <c r="U3" s="175"/>
      <c r="V3" s="175"/>
    </row>
    <row r="4" spans="1:34" ht="7.5" customHeight="1" thickBot="1">
      <c r="E4" s="2"/>
      <c r="F4" s="2"/>
      <c r="H4" s="6"/>
      <c r="I4" s="126"/>
      <c r="J4" s="21"/>
      <c r="S4" s="124"/>
      <c r="T4" s="124"/>
      <c r="U4" s="124"/>
      <c r="V4" s="124"/>
    </row>
    <row r="5" spans="1:34" ht="26.5" customHeight="1" thickTop="1" thickBot="1">
      <c r="A5" s="176" t="str">
        <f>+N7&amp;O7&amp;P7</f>
        <v>〇〇様　金額比較表</v>
      </c>
      <c r="B5" s="176"/>
      <c r="C5" s="176"/>
      <c r="D5" s="176"/>
      <c r="E5" s="176"/>
      <c r="F5" s="176"/>
      <c r="G5" s="176"/>
      <c r="H5" s="176"/>
      <c r="I5" s="176"/>
      <c r="J5" s="176"/>
      <c r="K5" s="125"/>
      <c r="L5" s="125"/>
      <c r="M5" s="35" t="s">
        <v>3</v>
      </c>
      <c r="N5" s="32" t="s">
        <v>141</v>
      </c>
      <c r="O5" s="125"/>
      <c r="P5" s="125"/>
      <c r="Q5" s="125"/>
      <c r="R5" s="125"/>
      <c r="S5" s="35" t="s">
        <v>4</v>
      </c>
      <c r="T5" s="91" t="s">
        <v>5</v>
      </c>
      <c r="U5" s="36"/>
      <c r="V5" s="36"/>
      <c r="W5" s="36"/>
      <c r="X5" s="36"/>
    </row>
    <row r="6" spans="1:34" ht="10.5" customHeight="1" thickTop="1" thickBot="1">
      <c r="B6" s="2"/>
      <c r="C6" s="2"/>
      <c r="D6" s="2"/>
      <c r="E6" s="2"/>
      <c r="F6" s="2"/>
      <c r="G6" s="2"/>
      <c r="H6" s="2"/>
      <c r="I6" s="2"/>
      <c r="J6" s="2"/>
      <c r="M6" s="35"/>
    </row>
    <row r="7" spans="1:34" ht="22.5" customHeight="1" thickTop="1" thickBot="1">
      <c r="B7" s="3"/>
      <c r="C7" s="3"/>
      <c r="D7" s="3"/>
      <c r="E7" s="177" t="s">
        <v>6</v>
      </c>
      <c r="F7" s="178"/>
      <c r="G7" s="181" t="s">
        <v>7</v>
      </c>
      <c r="H7" s="181"/>
      <c r="I7" s="183" t="s">
        <v>8</v>
      </c>
      <c r="J7" s="183"/>
      <c r="K7" s="26"/>
      <c r="L7" s="26"/>
      <c r="M7" s="35" t="s">
        <v>9</v>
      </c>
      <c r="N7" s="33" t="s">
        <v>141</v>
      </c>
      <c r="O7" s="1" t="s">
        <v>10</v>
      </c>
      <c r="P7" s="1" t="s">
        <v>11</v>
      </c>
      <c r="S7" s="35" t="s">
        <v>12</v>
      </c>
      <c r="T7" s="91" t="s">
        <v>13</v>
      </c>
      <c r="U7" s="26"/>
      <c r="V7" s="26"/>
    </row>
    <row r="8" spans="1:34" ht="22.5" customHeight="1" thickTop="1" thickBot="1">
      <c r="B8" s="3"/>
      <c r="C8" s="3"/>
      <c r="D8" s="3"/>
      <c r="E8" s="179"/>
      <c r="F8" s="180"/>
      <c r="G8" s="182"/>
      <c r="H8" s="182"/>
      <c r="I8" s="184"/>
      <c r="J8" s="184"/>
      <c r="L8" s="26"/>
      <c r="M8" s="35" t="s">
        <v>14</v>
      </c>
      <c r="N8" s="185" t="s">
        <v>142</v>
      </c>
      <c r="O8" s="186"/>
      <c r="P8" s="186"/>
      <c r="Q8" s="186"/>
      <c r="R8" s="187"/>
      <c r="S8" s="35" t="s">
        <v>15</v>
      </c>
      <c r="T8" s="91" t="s">
        <v>143</v>
      </c>
      <c r="V8" s="26"/>
    </row>
    <row r="9" spans="1:34" ht="6" customHeight="1" thickTop="1" thickBot="1">
      <c r="B9" s="4"/>
      <c r="C9" s="4"/>
      <c r="D9" s="4"/>
      <c r="E9" s="62"/>
      <c r="F9" s="5"/>
      <c r="G9" s="5"/>
      <c r="H9" s="5"/>
      <c r="I9" s="5"/>
      <c r="J9" s="5"/>
      <c r="L9" s="26"/>
      <c r="M9" s="35"/>
    </row>
    <row r="10" spans="1:34" ht="19" customHeight="1" thickTop="1" thickBot="1">
      <c r="A10" s="161">
        <v>1</v>
      </c>
      <c r="B10" s="162" t="s">
        <v>17</v>
      </c>
      <c r="C10" s="163"/>
      <c r="D10" s="164"/>
      <c r="E10" s="63">
        <f>E11*12</f>
        <v>36</v>
      </c>
      <c r="F10" s="28" t="s">
        <v>18</v>
      </c>
      <c r="G10" s="75">
        <f>G11*12</f>
        <v>36</v>
      </c>
      <c r="H10" s="9" t="s">
        <v>18</v>
      </c>
      <c r="I10" s="10"/>
      <c r="J10" s="11"/>
      <c r="S10" s="35" t="s">
        <v>19</v>
      </c>
      <c r="T10" s="91" t="s">
        <v>20</v>
      </c>
    </row>
    <row r="11" spans="1:34" ht="19" customHeight="1" thickTop="1" thickBot="1">
      <c r="A11" s="161"/>
      <c r="B11" s="165"/>
      <c r="C11" s="166"/>
      <c r="D11" s="167"/>
      <c r="E11" s="63">
        <f>P11</f>
        <v>3</v>
      </c>
      <c r="F11" s="28" t="s">
        <v>21</v>
      </c>
      <c r="G11" s="75">
        <f>P11</f>
        <v>3</v>
      </c>
      <c r="H11" s="9" t="s">
        <v>21</v>
      </c>
      <c r="I11" s="10"/>
      <c r="J11" s="11"/>
      <c r="K11" s="16"/>
      <c r="L11" s="16"/>
      <c r="M11" s="16"/>
      <c r="N11" s="92" t="s">
        <v>17</v>
      </c>
      <c r="O11" s="93"/>
      <c r="P11" s="29">
        <v>3</v>
      </c>
      <c r="Q11" s="93" t="s">
        <v>21</v>
      </c>
      <c r="R11" s="96"/>
      <c r="S11" s="35" t="s">
        <v>22</v>
      </c>
      <c r="T11" s="91" t="s">
        <v>23</v>
      </c>
      <c r="V11" s="133" t="s">
        <v>24</v>
      </c>
      <c r="W11" s="133"/>
      <c r="X11" s="168"/>
      <c r="Y11" s="168"/>
      <c r="AA11" s="37" t="s">
        <v>25</v>
      </c>
    </row>
    <row r="12" spans="1:34" ht="7.5" customHeight="1" thickTop="1" thickBot="1">
      <c r="A12" s="126"/>
      <c r="B12" s="12"/>
      <c r="C12" s="12"/>
      <c r="D12" s="12"/>
      <c r="E12" s="64"/>
      <c r="F12" s="13"/>
      <c r="G12" s="76"/>
      <c r="H12" s="12"/>
      <c r="I12" s="12"/>
      <c r="J12" s="12"/>
      <c r="K12" s="16"/>
      <c r="L12" s="16"/>
      <c r="M12" s="16"/>
      <c r="N12" s="94"/>
      <c r="O12" s="22"/>
      <c r="P12" s="22"/>
      <c r="Q12" s="22"/>
      <c r="R12" s="97"/>
      <c r="S12" s="22"/>
      <c r="T12" s="16"/>
      <c r="V12" s="133"/>
      <c r="W12" s="133"/>
      <c r="X12" s="133"/>
      <c r="Y12" s="133"/>
    </row>
    <row r="13" spans="1:34" ht="19" customHeight="1" thickTop="1" thickBot="1">
      <c r="A13" s="126">
        <v>2</v>
      </c>
      <c r="B13" s="153" t="s">
        <v>26</v>
      </c>
      <c r="C13" s="154"/>
      <c r="D13" s="14"/>
      <c r="E13" s="121"/>
      <c r="F13" s="28" t="s">
        <v>27</v>
      </c>
      <c r="G13" s="169">
        <f>P13</f>
        <v>47300</v>
      </c>
      <c r="H13" s="171" t="s">
        <v>27</v>
      </c>
      <c r="I13" s="12" t="str">
        <f>N8</f>
        <v>ヤリスHV”X” （1.5L 2WD）</v>
      </c>
      <c r="J13" s="11"/>
      <c r="K13" s="16"/>
      <c r="L13" s="16"/>
      <c r="M13" s="16"/>
      <c r="N13" s="94" t="s">
        <v>28</v>
      </c>
      <c r="O13" s="22"/>
      <c r="P13" s="30">
        <v>47300</v>
      </c>
      <c r="Q13" s="22" t="s">
        <v>29</v>
      </c>
      <c r="R13" s="97"/>
      <c r="S13" s="95" t="s">
        <v>30</v>
      </c>
      <c r="T13" s="91" t="s">
        <v>31</v>
      </c>
      <c r="V13" s="38" t="s">
        <v>32</v>
      </c>
      <c r="W13" s="137" t="s">
        <v>33</v>
      </c>
      <c r="X13" s="173" t="s">
        <v>34</v>
      </c>
      <c r="Y13" s="174"/>
      <c r="AA13" s="49"/>
      <c r="AB13" s="50" t="s">
        <v>35</v>
      </c>
      <c r="AC13" s="50" t="s">
        <v>36</v>
      </c>
      <c r="AD13" s="50"/>
      <c r="AE13" s="50"/>
      <c r="AF13" s="50"/>
      <c r="AG13" s="50"/>
      <c r="AH13" s="51"/>
    </row>
    <row r="14" spans="1:34" ht="19" customHeight="1" thickTop="1">
      <c r="A14" s="126">
        <v>3</v>
      </c>
      <c r="B14" s="153" t="s">
        <v>24</v>
      </c>
      <c r="C14" s="154"/>
      <c r="D14" s="61">
        <f>+P11</f>
        <v>3</v>
      </c>
      <c r="E14" s="63">
        <f>P14*E11</f>
        <v>103500</v>
      </c>
      <c r="F14" s="28" t="s">
        <v>37</v>
      </c>
      <c r="G14" s="170"/>
      <c r="H14" s="172"/>
      <c r="I14" s="12"/>
      <c r="J14" s="11"/>
      <c r="K14" s="16"/>
      <c r="L14" s="16"/>
      <c r="M14" s="16"/>
      <c r="N14" s="94" t="s">
        <v>24</v>
      </c>
      <c r="O14" s="22"/>
      <c r="P14" s="103">
        <f>IF(T7=X14,VLOOKUP($T$5,$W$15:$X$25,2,FALSE),VLOOKUP($T$5,$W$15:$Y$25,3,FALSE))</f>
        <v>34500</v>
      </c>
      <c r="Q14" s="22" t="s">
        <v>38</v>
      </c>
      <c r="R14" s="98" t="s">
        <v>39</v>
      </c>
      <c r="S14" s="22"/>
      <c r="T14" s="16"/>
      <c r="V14" s="39"/>
      <c r="W14" s="40"/>
      <c r="X14" s="40" t="s">
        <v>13</v>
      </c>
      <c r="Y14" s="41" t="s">
        <v>40</v>
      </c>
      <c r="AA14" s="52"/>
      <c r="AB14" s="26"/>
      <c r="AC14" s="151" t="s">
        <v>41</v>
      </c>
      <c r="AD14" s="151"/>
      <c r="AE14" s="151" t="s">
        <v>20</v>
      </c>
      <c r="AF14" s="151"/>
      <c r="AG14" s="151"/>
      <c r="AH14" s="152"/>
    </row>
    <row r="15" spans="1:34" ht="19" customHeight="1" thickBot="1">
      <c r="A15" s="126">
        <v>4</v>
      </c>
      <c r="B15" s="153" t="s">
        <v>25</v>
      </c>
      <c r="C15" s="154"/>
      <c r="D15" s="87">
        <f>+D19</f>
        <v>1</v>
      </c>
      <c r="E15" s="63">
        <f>P15</f>
        <v>30000</v>
      </c>
      <c r="F15" s="28" t="s">
        <v>37</v>
      </c>
      <c r="G15" s="170"/>
      <c r="H15" s="172"/>
      <c r="I15" s="12" t="s">
        <v>42</v>
      </c>
      <c r="J15" s="11"/>
      <c r="K15" s="16"/>
      <c r="L15" s="16"/>
      <c r="M15" s="16"/>
      <c r="N15" s="94" t="s">
        <v>25</v>
      </c>
      <c r="O15" s="22"/>
      <c r="P15" s="104">
        <f>VLOOKUP(T8,$AA$16:$AF$26,IF(T10=AC14,4,IF(T11=AE15,5,6)),FALSE)*P20*2</f>
        <v>30000</v>
      </c>
      <c r="Q15" s="22" t="s">
        <v>43</v>
      </c>
      <c r="R15" s="98" t="s">
        <v>39</v>
      </c>
      <c r="S15" s="22"/>
      <c r="T15" s="16"/>
      <c r="V15" s="39" t="s">
        <v>44</v>
      </c>
      <c r="W15" s="42" t="s">
        <v>45</v>
      </c>
      <c r="X15" s="43">
        <v>29500</v>
      </c>
      <c r="Y15" s="44">
        <v>25000</v>
      </c>
      <c r="AA15" s="52"/>
      <c r="AB15" s="26"/>
      <c r="AC15" s="26" t="s">
        <v>46</v>
      </c>
      <c r="AD15" s="26" t="s">
        <v>47</v>
      </c>
      <c r="AE15" s="26" t="s">
        <v>23</v>
      </c>
      <c r="AF15" s="26" t="s">
        <v>48</v>
      </c>
      <c r="AG15" s="26" t="s">
        <v>49</v>
      </c>
      <c r="AH15" s="53" t="s">
        <v>50</v>
      </c>
    </row>
    <row r="16" spans="1:34" ht="19" customHeight="1" thickTop="1" thickBot="1">
      <c r="A16" s="126">
        <v>5</v>
      </c>
      <c r="B16" s="134" t="s">
        <v>51</v>
      </c>
      <c r="C16" s="135"/>
      <c r="D16" s="61">
        <f>+P11</f>
        <v>3</v>
      </c>
      <c r="E16" s="63">
        <f>P16*E11</f>
        <v>240000</v>
      </c>
      <c r="F16" s="28" t="s">
        <v>37</v>
      </c>
      <c r="G16" s="170"/>
      <c r="H16" s="172"/>
      <c r="I16" s="12"/>
      <c r="J16" s="11"/>
      <c r="K16" s="16"/>
      <c r="L16" s="16"/>
      <c r="M16" s="16"/>
      <c r="N16" s="94" t="s">
        <v>51</v>
      </c>
      <c r="O16" s="22"/>
      <c r="P16" s="30">
        <v>80000</v>
      </c>
      <c r="Q16" s="22" t="s">
        <v>38</v>
      </c>
      <c r="R16" s="97"/>
      <c r="S16" s="22"/>
      <c r="T16" s="16"/>
      <c r="V16" s="39"/>
      <c r="W16" s="42" t="s">
        <v>5</v>
      </c>
      <c r="X16" s="43">
        <v>34500</v>
      </c>
      <c r="Y16" s="44">
        <v>30500</v>
      </c>
      <c r="AA16" s="52" t="s">
        <v>52</v>
      </c>
      <c r="AB16" s="26" t="s">
        <v>53</v>
      </c>
      <c r="AC16" s="26">
        <v>0</v>
      </c>
      <c r="AD16" s="58">
        <v>2500</v>
      </c>
      <c r="AE16" s="58">
        <v>5000</v>
      </c>
      <c r="AF16" s="58">
        <v>8200</v>
      </c>
      <c r="AG16" s="26">
        <v>11400</v>
      </c>
      <c r="AH16" s="53">
        <v>12600</v>
      </c>
    </row>
    <row r="17" spans="1:36" ht="19" customHeight="1" thickTop="1" thickBot="1">
      <c r="A17" s="126">
        <v>6</v>
      </c>
      <c r="B17" s="127" t="s">
        <v>54</v>
      </c>
      <c r="C17" s="128"/>
      <c r="D17" s="87">
        <f>+D19</f>
        <v>1</v>
      </c>
      <c r="E17" s="63">
        <f t="shared" ref="E17" si="0">P17</f>
        <v>22210</v>
      </c>
      <c r="F17" s="28" t="s">
        <v>37</v>
      </c>
      <c r="G17" s="170"/>
      <c r="H17" s="172"/>
      <c r="I17" s="12" t="s">
        <v>55</v>
      </c>
      <c r="J17" s="11"/>
      <c r="K17" s="16"/>
      <c r="L17" s="16"/>
      <c r="M17" s="16"/>
      <c r="N17" s="94" t="s">
        <v>56</v>
      </c>
      <c r="O17" s="22"/>
      <c r="P17" s="105">
        <f>VLOOKUP(T13,$V$31:$W$34,2,FALSE)*P20</f>
        <v>22210</v>
      </c>
      <c r="Q17" s="22"/>
      <c r="R17" s="98" t="s">
        <v>39</v>
      </c>
      <c r="S17" s="22"/>
      <c r="T17" s="16"/>
      <c r="V17" s="39"/>
      <c r="W17" s="42" t="s">
        <v>57</v>
      </c>
      <c r="X17" s="43">
        <v>39500</v>
      </c>
      <c r="Y17" s="44">
        <v>36000</v>
      </c>
      <c r="AA17" s="52" t="s">
        <v>58</v>
      </c>
      <c r="AB17" s="26" t="s">
        <v>59</v>
      </c>
      <c r="AC17" s="26">
        <v>0</v>
      </c>
      <c r="AD17" s="58">
        <v>5000</v>
      </c>
      <c r="AE17" s="58">
        <v>10000</v>
      </c>
      <c r="AF17" s="58">
        <v>16400</v>
      </c>
      <c r="AG17" s="26">
        <v>22800</v>
      </c>
      <c r="AH17" s="53">
        <v>25200</v>
      </c>
    </row>
    <row r="18" spans="1:36" ht="19" customHeight="1" thickTop="1" thickBot="1">
      <c r="A18" s="126">
        <v>7</v>
      </c>
      <c r="B18" s="127" t="s">
        <v>60</v>
      </c>
      <c r="C18" s="128"/>
      <c r="D18" s="61">
        <f>+P11</f>
        <v>3</v>
      </c>
      <c r="E18" s="63">
        <f>+P18*E11</f>
        <v>12000</v>
      </c>
      <c r="F18" s="28" t="s">
        <v>37</v>
      </c>
      <c r="G18" s="170"/>
      <c r="H18" s="172"/>
      <c r="I18" s="12"/>
      <c r="J18" s="11"/>
      <c r="K18" s="16"/>
      <c r="L18" s="16"/>
      <c r="M18" s="16"/>
      <c r="N18" s="94" t="s">
        <v>61</v>
      </c>
      <c r="O18" s="22"/>
      <c r="P18" s="30">
        <v>4000</v>
      </c>
      <c r="Q18" s="22"/>
      <c r="R18" s="97"/>
      <c r="S18" s="22"/>
      <c r="T18" s="16"/>
      <c r="V18" s="39"/>
      <c r="W18" s="42" t="s">
        <v>62</v>
      </c>
      <c r="X18" s="43">
        <v>45000</v>
      </c>
      <c r="Y18" s="44">
        <v>43500</v>
      </c>
      <c r="AA18" s="52" t="s">
        <v>63</v>
      </c>
      <c r="AB18" s="26" t="s">
        <v>64</v>
      </c>
      <c r="AC18" s="26">
        <v>0</v>
      </c>
      <c r="AD18" s="58">
        <v>7500</v>
      </c>
      <c r="AE18" s="58">
        <v>15000</v>
      </c>
      <c r="AF18" s="58">
        <v>24600</v>
      </c>
      <c r="AG18" s="26">
        <v>34200</v>
      </c>
      <c r="AH18" s="53">
        <v>37800</v>
      </c>
    </row>
    <row r="19" spans="1:36" ht="19" customHeight="1" thickTop="1" thickBot="1">
      <c r="A19" s="126">
        <v>8</v>
      </c>
      <c r="B19" s="134" t="s">
        <v>65</v>
      </c>
      <c r="C19" s="135"/>
      <c r="D19" s="87">
        <f>+P20</f>
        <v>1</v>
      </c>
      <c r="E19" s="155">
        <f>+P19+P21</f>
        <v>152000</v>
      </c>
      <c r="F19" s="28" t="s">
        <v>37</v>
      </c>
      <c r="G19" s="170"/>
      <c r="H19" s="172"/>
      <c r="I19" s="12"/>
      <c r="J19" s="11"/>
      <c r="K19" s="16"/>
      <c r="L19" s="16"/>
      <c r="M19" s="23"/>
      <c r="N19" s="94" t="s">
        <v>65</v>
      </c>
      <c r="O19" s="22"/>
      <c r="P19" s="105">
        <f>VLOOKUP(T8,$AA$31:$AH$40,5,FALSE)*P20</f>
        <v>76000</v>
      </c>
      <c r="Q19" s="22"/>
      <c r="R19" s="98" t="s">
        <v>39</v>
      </c>
      <c r="S19" s="22"/>
      <c r="T19" s="16"/>
      <c r="V19" s="39"/>
      <c r="W19" s="42" t="s">
        <v>66</v>
      </c>
      <c r="X19" s="43">
        <v>51000</v>
      </c>
      <c r="Y19" s="44">
        <v>50000</v>
      </c>
      <c r="AA19" s="52" t="s">
        <v>67</v>
      </c>
      <c r="AB19" s="26" t="s">
        <v>64</v>
      </c>
      <c r="AC19" s="26">
        <v>0</v>
      </c>
      <c r="AD19" s="58">
        <v>7500</v>
      </c>
      <c r="AE19" s="58">
        <v>15000</v>
      </c>
      <c r="AF19" s="58">
        <v>24600</v>
      </c>
      <c r="AG19" s="26">
        <v>34200</v>
      </c>
      <c r="AH19" s="53">
        <v>37800</v>
      </c>
    </row>
    <row r="20" spans="1:36" ht="19" customHeight="1" thickTop="1" thickBot="1">
      <c r="A20" s="126">
        <v>9</v>
      </c>
      <c r="B20" s="130" t="s">
        <v>68</v>
      </c>
      <c r="C20" s="131"/>
      <c r="D20" s="61">
        <f>+P11</f>
        <v>3</v>
      </c>
      <c r="E20" s="156">
        <f>P20</f>
        <v>1</v>
      </c>
      <c r="F20" s="28" t="s">
        <v>37</v>
      </c>
      <c r="G20" s="170"/>
      <c r="H20" s="172"/>
      <c r="I20" s="12"/>
      <c r="J20" s="11"/>
      <c r="K20" s="16"/>
      <c r="L20" s="16"/>
      <c r="M20" s="23"/>
      <c r="N20" s="94" t="s">
        <v>69</v>
      </c>
      <c r="O20" s="22"/>
      <c r="P20" s="31">
        <v>1</v>
      </c>
      <c r="Q20" s="22" t="s">
        <v>70</v>
      </c>
      <c r="R20" s="97"/>
      <c r="S20" s="22"/>
      <c r="T20" s="16"/>
      <c r="V20" s="39"/>
      <c r="W20" s="42" t="s">
        <v>71</v>
      </c>
      <c r="X20" s="43">
        <v>58000</v>
      </c>
      <c r="Y20" s="44">
        <v>57000</v>
      </c>
      <c r="AA20" s="52" t="s">
        <v>72</v>
      </c>
      <c r="AB20" s="26" t="s">
        <v>73</v>
      </c>
      <c r="AC20" s="26">
        <v>0</v>
      </c>
      <c r="AD20" s="58">
        <v>10000</v>
      </c>
      <c r="AE20" s="58">
        <v>20000</v>
      </c>
      <c r="AF20" s="58">
        <v>32800</v>
      </c>
      <c r="AG20" s="26">
        <v>45600</v>
      </c>
      <c r="AH20" s="53">
        <v>50400</v>
      </c>
    </row>
    <row r="21" spans="1:36" ht="19" customHeight="1" thickTop="1" thickBot="1">
      <c r="A21" s="126">
        <v>10</v>
      </c>
      <c r="B21" s="157" t="s">
        <v>74</v>
      </c>
      <c r="C21" s="15" t="s">
        <v>75</v>
      </c>
      <c r="D21" s="15" t="s">
        <v>76</v>
      </c>
      <c r="E21" s="63">
        <f>+P23</f>
        <v>39000</v>
      </c>
      <c r="F21" s="28" t="s">
        <v>37</v>
      </c>
      <c r="G21" s="170"/>
      <c r="H21" s="172"/>
      <c r="I21" s="12"/>
      <c r="J21" s="11"/>
      <c r="K21" s="16"/>
      <c r="L21" s="16"/>
      <c r="M21" s="23"/>
      <c r="N21" s="94" t="s">
        <v>77</v>
      </c>
      <c r="O21" s="22"/>
      <c r="P21" s="105">
        <f>+VLOOKUP(T8,$AA$31:$AH$40,8,FALSE)*P20</f>
        <v>76000</v>
      </c>
      <c r="Q21" s="22"/>
      <c r="R21" s="98" t="s">
        <v>39</v>
      </c>
      <c r="S21" s="22"/>
      <c r="T21" s="16"/>
      <c r="V21" s="39"/>
      <c r="W21" s="42" t="s">
        <v>78</v>
      </c>
      <c r="X21" s="43">
        <v>66500</v>
      </c>
      <c r="Y21" s="44">
        <v>65500</v>
      </c>
      <c r="AA21" s="52" t="s">
        <v>79</v>
      </c>
      <c r="AB21" s="26" t="s">
        <v>73</v>
      </c>
      <c r="AC21" s="26">
        <v>0</v>
      </c>
      <c r="AD21" s="58">
        <v>10000</v>
      </c>
      <c r="AE21" s="58">
        <v>20000</v>
      </c>
      <c r="AF21" s="58">
        <v>32800</v>
      </c>
      <c r="AG21" s="26">
        <v>45600</v>
      </c>
      <c r="AH21" s="53">
        <v>50400</v>
      </c>
    </row>
    <row r="22" spans="1:36" ht="19" customHeight="1" thickTop="1" thickBot="1">
      <c r="A22" s="126">
        <v>11</v>
      </c>
      <c r="B22" s="158"/>
      <c r="C22" s="15" t="s">
        <v>80</v>
      </c>
      <c r="D22" s="15" t="s">
        <v>81</v>
      </c>
      <c r="E22" s="63">
        <f>P24</f>
        <v>0</v>
      </c>
      <c r="F22" s="28" t="s">
        <v>37</v>
      </c>
      <c r="G22" s="170"/>
      <c r="H22" s="172"/>
      <c r="I22" s="12"/>
      <c r="J22" s="11"/>
      <c r="K22" s="16"/>
      <c r="L22" s="16"/>
      <c r="M22" s="16"/>
      <c r="N22" s="122" t="s">
        <v>82</v>
      </c>
      <c r="O22" s="22"/>
      <c r="P22" s="31">
        <v>1</v>
      </c>
      <c r="Q22" s="22" t="s">
        <v>70</v>
      </c>
      <c r="R22" s="97"/>
      <c r="S22" s="22"/>
      <c r="T22" s="16"/>
      <c r="V22" s="39"/>
      <c r="W22" s="42" t="s">
        <v>83</v>
      </c>
      <c r="X22" s="43">
        <v>76500</v>
      </c>
      <c r="Y22" s="44">
        <v>75500</v>
      </c>
      <c r="AA22" s="52" t="s">
        <v>84</v>
      </c>
      <c r="AB22" s="26" t="s">
        <v>73</v>
      </c>
      <c r="AC22" s="26">
        <v>0</v>
      </c>
      <c r="AD22" s="58">
        <v>10000</v>
      </c>
      <c r="AE22" s="58">
        <v>20000</v>
      </c>
      <c r="AF22" s="58">
        <v>32800</v>
      </c>
      <c r="AG22" s="26">
        <v>45600</v>
      </c>
      <c r="AH22" s="53">
        <v>50400</v>
      </c>
    </row>
    <row r="23" spans="1:36" ht="19" customHeight="1" thickTop="1" thickBot="1">
      <c r="A23" s="126">
        <v>13</v>
      </c>
      <c r="B23" s="127" t="s">
        <v>85</v>
      </c>
      <c r="C23" s="128"/>
      <c r="D23" s="129"/>
      <c r="E23" s="78">
        <f>P25</f>
        <v>100000</v>
      </c>
      <c r="F23" s="136" t="s">
        <v>37</v>
      </c>
      <c r="G23" s="170"/>
      <c r="H23" s="172"/>
      <c r="I23" s="79"/>
      <c r="J23" s="138"/>
      <c r="K23" s="16"/>
      <c r="L23" s="16"/>
      <c r="M23" s="126" t="s">
        <v>86</v>
      </c>
      <c r="N23" s="90" t="s">
        <v>87</v>
      </c>
      <c r="O23" s="22" t="s">
        <v>88</v>
      </c>
      <c r="P23" s="103">
        <f>+IF(N23="有り",VLOOKUP(T8,$AA$31:$AH$40,7,FALSE),0)</f>
        <v>39000</v>
      </c>
      <c r="Q23" s="22"/>
      <c r="R23" s="98" t="s">
        <v>39</v>
      </c>
      <c r="S23" s="22"/>
      <c r="T23" s="16"/>
      <c r="V23" s="39"/>
      <c r="W23" s="42" t="s">
        <v>89</v>
      </c>
      <c r="X23" s="43">
        <v>88000</v>
      </c>
      <c r="Y23" s="44">
        <v>87000</v>
      </c>
      <c r="AA23" s="52" t="s">
        <v>90</v>
      </c>
      <c r="AB23" s="26" t="s">
        <v>73</v>
      </c>
      <c r="AC23" s="26">
        <v>0</v>
      </c>
      <c r="AD23" s="58">
        <v>10000</v>
      </c>
      <c r="AE23" s="58">
        <v>20000</v>
      </c>
      <c r="AF23" s="58">
        <v>32800</v>
      </c>
      <c r="AG23" s="26">
        <v>45600</v>
      </c>
      <c r="AH23" s="53">
        <v>50400</v>
      </c>
    </row>
    <row r="24" spans="1:36" ht="18.75" customHeight="1" thickTop="1" thickBot="1">
      <c r="A24" s="126">
        <v>14</v>
      </c>
      <c r="B24" s="80" t="s">
        <v>91</v>
      </c>
      <c r="C24" s="81"/>
      <c r="D24" s="82"/>
      <c r="E24" s="83">
        <f>(E13*E10)+E14+E15+E16+E17+E18+E19+E20+E21+E22+E23</f>
        <v>698711</v>
      </c>
      <c r="F24" s="84" t="s">
        <v>37</v>
      </c>
      <c r="G24" s="85">
        <f>(G13*G10)-((G13*G10)*0.01)</f>
        <v>1685772</v>
      </c>
      <c r="H24" s="86" t="s">
        <v>37</v>
      </c>
      <c r="I24" s="159" t="s">
        <v>92</v>
      </c>
      <c r="J24" s="160"/>
      <c r="K24" s="16"/>
      <c r="L24" s="16"/>
      <c r="M24" s="126" t="s">
        <v>93</v>
      </c>
      <c r="N24" s="90" t="s">
        <v>144</v>
      </c>
      <c r="O24" s="22" t="s">
        <v>80</v>
      </c>
      <c r="P24" s="104">
        <f>+IF(N24="有り",VLOOKUP(T9,$AA$31:$AH$40,8,FALSE),0)</f>
        <v>0</v>
      </c>
      <c r="Q24" s="22"/>
      <c r="R24" s="98" t="s">
        <v>39</v>
      </c>
      <c r="S24" s="22"/>
      <c r="T24" s="16"/>
      <c r="V24" s="39"/>
      <c r="W24" s="42" t="s">
        <v>94</v>
      </c>
      <c r="X24" s="43">
        <v>111000</v>
      </c>
      <c r="Y24" s="44">
        <v>110000</v>
      </c>
      <c r="AA24" s="52" t="s">
        <v>95</v>
      </c>
      <c r="AB24" s="26" t="s">
        <v>96</v>
      </c>
      <c r="AC24" s="26">
        <v>0</v>
      </c>
      <c r="AD24" s="58">
        <v>12500</v>
      </c>
      <c r="AE24" s="58">
        <v>25000</v>
      </c>
      <c r="AF24" s="58">
        <v>41000</v>
      </c>
      <c r="AG24" s="26">
        <v>57000</v>
      </c>
      <c r="AH24" s="53">
        <v>63000</v>
      </c>
    </row>
    <row r="25" spans="1:36" ht="18.75" customHeight="1" thickTop="1" thickBot="1">
      <c r="A25" s="126">
        <v>15</v>
      </c>
      <c r="B25" s="89" t="s">
        <v>97</v>
      </c>
      <c r="C25" s="135"/>
      <c r="D25" s="14"/>
      <c r="E25" s="65">
        <f>E24/G13</f>
        <v>14.771902748414377</v>
      </c>
      <c r="F25" s="9" t="s">
        <v>18</v>
      </c>
      <c r="G25" s="77">
        <f>+G13*G10*0.01</f>
        <v>17028</v>
      </c>
      <c r="H25" s="9" t="s">
        <v>98</v>
      </c>
      <c r="I25" s="149"/>
      <c r="J25" s="150"/>
      <c r="K25" s="16"/>
      <c r="L25" s="16"/>
      <c r="M25" s="16"/>
      <c r="N25" s="101" t="s">
        <v>99</v>
      </c>
      <c r="O25" s="102"/>
      <c r="P25" s="30">
        <v>100000</v>
      </c>
      <c r="Q25" s="99"/>
      <c r="R25" s="100"/>
      <c r="S25" s="22"/>
      <c r="T25" s="16"/>
      <c r="V25" s="45" t="s">
        <v>100</v>
      </c>
      <c r="W25" s="46" t="s">
        <v>101</v>
      </c>
      <c r="X25" s="47">
        <v>10800</v>
      </c>
      <c r="Y25" s="48">
        <v>10800</v>
      </c>
      <c r="AA25" s="52" t="s">
        <v>102</v>
      </c>
      <c r="AB25" s="26" t="s">
        <v>103</v>
      </c>
      <c r="AC25" s="26">
        <v>0</v>
      </c>
      <c r="AD25" s="58">
        <v>15000</v>
      </c>
      <c r="AE25" s="58">
        <v>30000</v>
      </c>
      <c r="AF25" s="58">
        <v>49200</v>
      </c>
      <c r="AG25" s="26">
        <v>68400</v>
      </c>
      <c r="AH25" s="53">
        <v>75600</v>
      </c>
    </row>
    <row r="26" spans="1:36" ht="7.5" customHeight="1" thickBot="1">
      <c r="A26" s="126"/>
      <c r="B26" s="16"/>
      <c r="C26" s="16"/>
      <c r="D26" s="16"/>
      <c r="E26" s="66"/>
      <c r="F26" s="16"/>
      <c r="G26" s="16"/>
      <c r="H26" s="16"/>
      <c r="I26" s="16"/>
      <c r="J26" s="16"/>
      <c r="K26" s="16"/>
      <c r="L26" s="16"/>
      <c r="M26" s="16"/>
      <c r="N26" s="22"/>
      <c r="O26" s="22"/>
      <c r="P26" s="24"/>
      <c r="Q26" s="22"/>
      <c r="R26" s="22"/>
      <c r="S26" s="16"/>
      <c r="T26" s="16"/>
      <c r="AA26" s="54"/>
      <c r="AB26" s="55"/>
      <c r="AC26" s="56"/>
      <c r="AD26" s="56"/>
      <c r="AE26" s="56"/>
      <c r="AF26" s="56"/>
      <c r="AG26" s="56"/>
      <c r="AH26" s="57"/>
    </row>
    <row r="27" spans="1:36" ht="18.75" customHeight="1" thickTop="1" thickBot="1">
      <c r="A27" s="126">
        <v>16</v>
      </c>
      <c r="B27" s="134" t="s">
        <v>104</v>
      </c>
      <c r="C27" s="135"/>
      <c r="D27" s="14"/>
      <c r="E27" s="67">
        <f>P28</f>
        <v>500000</v>
      </c>
      <c r="F27" s="9" t="s">
        <v>37</v>
      </c>
      <c r="G27" s="16" t="s">
        <v>105</v>
      </c>
      <c r="H27" s="16"/>
      <c r="I27" s="16"/>
      <c r="J27" s="16"/>
      <c r="K27" s="16"/>
      <c r="L27" s="16"/>
      <c r="M27" s="16"/>
      <c r="N27" s="22"/>
      <c r="O27" s="22"/>
      <c r="P27" s="24"/>
      <c r="Q27" s="22"/>
      <c r="R27" s="22"/>
      <c r="S27" s="16"/>
      <c r="T27" s="16"/>
      <c r="AB27" s="7"/>
    </row>
    <row r="28" spans="1:36" ht="18.75" customHeight="1" thickTop="1" thickBot="1">
      <c r="A28" s="126">
        <v>17</v>
      </c>
      <c r="B28" s="89" t="s">
        <v>106</v>
      </c>
      <c r="C28" s="135"/>
      <c r="D28" s="14"/>
      <c r="E28" s="68">
        <f>E27/G13</f>
        <v>10.570824524312897</v>
      </c>
      <c r="F28" s="9" t="s">
        <v>18</v>
      </c>
      <c r="G28" s="16" t="s">
        <v>107</v>
      </c>
      <c r="H28" s="16"/>
      <c r="I28" s="17"/>
      <c r="J28" s="16"/>
      <c r="K28" s="16"/>
      <c r="L28" s="16"/>
      <c r="M28" s="16"/>
      <c r="N28" s="106" t="s">
        <v>108</v>
      </c>
      <c r="O28" s="107"/>
      <c r="P28" s="30">
        <v>500000</v>
      </c>
      <c r="Q28" s="113"/>
      <c r="R28" s="114"/>
      <c r="S28" s="16"/>
      <c r="T28" s="16"/>
      <c r="V28" s="37" t="s">
        <v>56</v>
      </c>
      <c r="AA28" s="37" t="s">
        <v>74</v>
      </c>
      <c r="AB28" s="7"/>
    </row>
    <row r="29" spans="1:36" ht="7.5" customHeight="1" thickBot="1">
      <c r="A29" s="126"/>
      <c r="B29" s="126"/>
      <c r="C29" s="126"/>
      <c r="D29" s="126"/>
      <c r="E29" s="69"/>
      <c r="F29" s="126"/>
      <c r="G29" s="126"/>
      <c r="H29" s="126"/>
      <c r="I29" s="126"/>
      <c r="J29" s="126"/>
      <c r="K29" s="16"/>
      <c r="L29" s="16"/>
      <c r="M29" s="16"/>
      <c r="N29" s="22"/>
      <c r="O29" s="22"/>
      <c r="P29" s="24"/>
      <c r="Q29" s="22"/>
      <c r="R29" s="22"/>
      <c r="S29" s="16"/>
      <c r="T29" s="16"/>
      <c r="AB29" s="7"/>
    </row>
    <row r="30" spans="1:36" ht="18.75" customHeight="1" thickTop="1">
      <c r="A30" s="126">
        <v>18</v>
      </c>
      <c r="B30" s="134" t="s">
        <v>109</v>
      </c>
      <c r="C30" s="135"/>
      <c r="D30" s="14"/>
      <c r="E30" s="70">
        <f>P32</f>
        <v>18</v>
      </c>
      <c r="F30" s="9" t="s">
        <v>110</v>
      </c>
      <c r="G30" s="70">
        <f>Q32</f>
        <v>25</v>
      </c>
      <c r="H30" s="9" t="s">
        <v>110</v>
      </c>
      <c r="I30" s="25" t="s">
        <v>111</v>
      </c>
      <c r="J30" s="11"/>
      <c r="K30" s="16"/>
      <c r="L30" s="16"/>
      <c r="M30" s="16"/>
      <c r="N30" s="22"/>
      <c r="O30" s="22"/>
      <c r="P30" s="139" t="s">
        <v>112</v>
      </c>
      <c r="Q30" s="139" t="s">
        <v>113</v>
      </c>
      <c r="R30" s="22"/>
      <c r="S30" s="16"/>
      <c r="T30" s="16"/>
      <c r="V30" s="49" t="s">
        <v>114</v>
      </c>
      <c r="W30" s="59" t="s">
        <v>115</v>
      </c>
      <c r="AA30" s="49"/>
      <c r="AB30" s="50"/>
      <c r="AC30" s="123" t="s">
        <v>65</v>
      </c>
      <c r="AD30" s="123" t="s">
        <v>116</v>
      </c>
      <c r="AE30" s="123" t="s">
        <v>117</v>
      </c>
      <c r="AF30" s="123" t="s">
        <v>118</v>
      </c>
      <c r="AG30" s="123" t="s">
        <v>116</v>
      </c>
      <c r="AH30" s="123" t="s">
        <v>117</v>
      </c>
      <c r="AI30" s="123" t="s">
        <v>76</v>
      </c>
      <c r="AJ30" s="59" t="s">
        <v>81</v>
      </c>
    </row>
    <row r="31" spans="1:36" ht="19" customHeight="1" thickBot="1">
      <c r="A31" s="126">
        <v>19</v>
      </c>
      <c r="B31" s="134" t="s">
        <v>119</v>
      </c>
      <c r="C31" s="131"/>
      <c r="D31" s="132"/>
      <c r="E31" s="70">
        <f>P35/P32*P33*E10</f>
        <v>280000</v>
      </c>
      <c r="F31" s="9" t="s">
        <v>37</v>
      </c>
      <c r="G31" s="70">
        <f>P35/Q32*P33*G10</f>
        <v>201600</v>
      </c>
      <c r="H31" s="9" t="s">
        <v>37</v>
      </c>
      <c r="I31" s="141" t="str">
        <f>N33&amp;P33&amp;Q33&amp;R33&amp;N35&amp;P35&amp;Q35&amp;R35</f>
        <v>ガソリン代140円/L、走行距離1000km/月で試算</v>
      </c>
      <c r="J31" s="142"/>
      <c r="K31" s="16"/>
      <c r="L31" s="16"/>
      <c r="M31" s="16"/>
      <c r="P31" s="140"/>
      <c r="Q31" s="140"/>
      <c r="S31" s="16"/>
      <c r="T31" s="16"/>
      <c r="V31" s="52" t="s">
        <v>120</v>
      </c>
      <c r="W31" s="60">
        <v>22210</v>
      </c>
      <c r="AA31" s="52" t="s">
        <v>58</v>
      </c>
      <c r="AB31" s="26"/>
      <c r="AC31" s="26"/>
      <c r="AD31" s="26"/>
      <c r="AE31" s="26">
        <f>+AC31+AD31</f>
        <v>0</v>
      </c>
      <c r="AF31" s="26"/>
      <c r="AG31" s="26"/>
      <c r="AH31" s="26">
        <f>+AF31+AG31</f>
        <v>0</v>
      </c>
      <c r="AI31" s="26"/>
      <c r="AJ31" s="53"/>
    </row>
    <row r="32" spans="1:36" ht="19" customHeight="1" thickTop="1" thickBot="1">
      <c r="A32" s="126">
        <v>20</v>
      </c>
      <c r="B32" s="134" t="s">
        <v>121</v>
      </c>
      <c r="C32" s="131"/>
      <c r="D32" s="132"/>
      <c r="E32" s="71"/>
      <c r="F32" s="16"/>
      <c r="G32" s="74">
        <f>E31-G31</f>
        <v>78400</v>
      </c>
      <c r="H32" s="11" t="s">
        <v>37</v>
      </c>
      <c r="I32" s="143"/>
      <c r="J32" s="144"/>
      <c r="K32" s="16"/>
      <c r="L32" s="16"/>
      <c r="M32" s="16"/>
      <c r="N32" s="92" t="s">
        <v>122</v>
      </c>
      <c r="O32" s="112"/>
      <c r="P32" s="34">
        <v>18</v>
      </c>
      <c r="Q32" s="30">
        <v>25</v>
      </c>
      <c r="R32" s="119" t="s">
        <v>110</v>
      </c>
      <c r="S32" s="16"/>
      <c r="T32" s="16"/>
      <c r="V32" s="52" t="s">
        <v>123</v>
      </c>
      <c r="W32" s="53">
        <v>21620</v>
      </c>
      <c r="AA32" s="52" t="s">
        <v>63</v>
      </c>
      <c r="AB32" s="26"/>
      <c r="AC32" s="26">
        <v>54000</v>
      </c>
      <c r="AD32" s="26">
        <v>19000</v>
      </c>
      <c r="AE32" s="26">
        <f>+AC32+AD32</f>
        <v>73000</v>
      </c>
      <c r="AF32" s="26">
        <v>32000</v>
      </c>
      <c r="AG32" s="26">
        <v>36000</v>
      </c>
      <c r="AH32" s="26">
        <f>+AF32+AG32</f>
        <v>68000</v>
      </c>
      <c r="AI32" s="26">
        <v>58800</v>
      </c>
      <c r="AJ32" s="53">
        <v>32890</v>
      </c>
    </row>
    <row r="33" spans="1:36" ht="19" customHeight="1" thickTop="1" thickBot="1">
      <c r="A33" s="126">
        <v>21</v>
      </c>
      <c r="B33" s="89" t="s">
        <v>124</v>
      </c>
      <c r="C33" s="135"/>
      <c r="D33" s="14"/>
      <c r="E33" s="71"/>
      <c r="F33" s="16"/>
      <c r="G33" s="68">
        <f>G32/G13</f>
        <v>1.6575052854122621</v>
      </c>
      <c r="H33" s="9" t="s">
        <v>18</v>
      </c>
      <c r="I33" s="145"/>
      <c r="J33" s="146"/>
      <c r="K33" s="16"/>
      <c r="L33" s="16"/>
      <c r="M33" s="16"/>
      <c r="N33" s="106" t="s">
        <v>125</v>
      </c>
      <c r="O33" s="107"/>
      <c r="P33" s="30">
        <v>140</v>
      </c>
      <c r="Q33" s="120" t="s">
        <v>126</v>
      </c>
      <c r="R33" s="114" t="s">
        <v>127</v>
      </c>
      <c r="S33" s="16"/>
      <c r="T33" s="16"/>
      <c r="V33" s="52" t="s">
        <v>128</v>
      </c>
      <c r="W33" s="53">
        <v>15860</v>
      </c>
      <c r="AA33" s="52" t="s">
        <v>67</v>
      </c>
      <c r="AB33" s="26"/>
      <c r="AC33" s="26">
        <v>56000</v>
      </c>
      <c r="AD33" s="26">
        <v>20000</v>
      </c>
      <c r="AE33" s="26">
        <f t="shared" ref="AE33:AE37" si="1">+AC33+AD33</f>
        <v>76000</v>
      </c>
      <c r="AF33" s="26">
        <v>37000</v>
      </c>
      <c r="AG33" s="26">
        <v>39000</v>
      </c>
      <c r="AH33" s="26">
        <f t="shared" ref="AH33:AH37" si="2">+AF33+AG33</f>
        <v>76000</v>
      </c>
      <c r="AI33" s="26">
        <v>71600</v>
      </c>
      <c r="AJ33" s="53">
        <v>37510</v>
      </c>
    </row>
    <row r="34" spans="1:36" ht="7.5" customHeight="1" thickBot="1">
      <c r="A34" s="126"/>
      <c r="B34" s="18"/>
      <c r="C34" s="16"/>
      <c r="D34" s="16"/>
      <c r="E34" s="6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2"/>
      <c r="R34" s="16"/>
      <c r="S34" s="16"/>
      <c r="T34" s="16"/>
      <c r="V34" s="54" t="s">
        <v>101</v>
      </c>
      <c r="W34" s="57">
        <v>21780</v>
      </c>
      <c r="AA34" s="52" t="s">
        <v>72</v>
      </c>
      <c r="AB34" s="26"/>
      <c r="AC34" s="26">
        <v>71000</v>
      </c>
      <c r="AD34" s="26">
        <v>21000</v>
      </c>
      <c r="AE34" s="26">
        <f t="shared" si="1"/>
        <v>92000</v>
      </c>
      <c r="AF34" s="26">
        <v>43000</v>
      </c>
      <c r="AG34" s="26">
        <v>40000</v>
      </c>
      <c r="AH34" s="26">
        <f t="shared" si="2"/>
        <v>83000</v>
      </c>
      <c r="AI34" s="26">
        <v>102400</v>
      </c>
      <c r="AJ34" s="53">
        <v>43890</v>
      </c>
    </row>
    <row r="35" spans="1:36" ht="18.75" customHeight="1" thickTop="1" thickBot="1">
      <c r="A35" s="126">
        <v>22</v>
      </c>
      <c r="B35" s="134" t="s">
        <v>129</v>
      </c>
      <c r="C35" s="135"/>
      <c r="D35" s="14"/>
      <c r="E35" s="66"/>
      <c r="F35" s="16"/>
      <c r="G35" s="74">
        <f>+P38+P39</f>
        <v>230000</v>
      </c>
      <c r="H35" s="11" t="s">
        <v>37</v>
      </c>
      <c r="I35" s="147" t="s">
        <v>130</v>
      </c>
      <c r="J35" s="148"/>
      <c r="K35" s="16"/>
      <c r="L35" s="16"/>
      <c r="M35" s="16"/>
      <c r="N35" s="106" t="s">
        <v>131</v>
      </c>
      <c r="O35" s="107"/>
      <c r="P35" s="30">
        <v>1000</v>
      </c>
      <c r="Q35" s="113" t="s">
        <v>132</v>
      </c>
      <c r="R35" s="114" t="s">
        <v>133</v>
      </c>
      <c r="S35" s="16"/>
      <c r="T35" s="16"/>
      <c r="AA35" s="52" t="s">
        <v>79</v>
      </c>
      <c r="AB35" s="26"/>
      <c r="AC35" s="26">
        <v>56000</v>
      </c>
      <c r="AD35" s="26">
        <v>20000</v>
      </c>
      <c r="AE35" s="26">
        <f t="shared" si="1"/>
        <v>76000</v>
      </c>
      <c r="AF35" s="26">
        <v>37000</v>
      </c>
      <c r="AG35" s="26">
        <v>39000</v>
      </c>
      <c r="AH35" s="26">
        <f t="shared" si="2"/>
        <v>76000</v>
      </c>
      <c r="AI35" s="26">
        <v>71600</v>
      </c>
      <c r="AJ35" s="53">
        <v>37510</v>
      </c>
    </row>
    <row r="36" spans="1:36" ht="19" customHeight="1">
      <c r="A36" s="126">
        <v>23</v>
      </c>
      <c r="B36" s="89" t="s">
        <v>134</v>
      </c>
      <c r="C36" s="135"/>
      <c r="D36" s="14"/>
      <c r="E36" s="66"/>
      <c r="F36" s="16"/>
      <c r="G36" s="68">
        <f>G35/G13</f>
        <v>4.8625792811839323</v>
      </c>
      <c r="H36" s="9" t="s">
        <v>18</v>
      </c>
      <c r="I36" s="149"/>
      <c r="J36" s="150"/>
      <c r="K36" s="16"/>
      <c r="L36" s="16"/>
      <c r="M36" s="16"/>
      <c r="S36" s="16"/>
      <c r="T36" s="16"/>
      <c r="AA36" s="52" t="s">
        <v>84</v>
      </c>
      <c r="AB36" s="26"/>
      <c r="AC36" s="26">
        <v>65000</v>
      </c>
      <c r="AD36" s="26">
        <v>21000</v>
      </c>
      <c r="AE36" s="26">
        <f t="shared" si="1"/>
        <v>86000</v>
      </c>
      <c r="AF36" s="26">
        <v>41000</v>
      </c>
      <c r="AG36" s="26">
        <v>40000</v>
      </c>
      <c r="AH36" s="26">
        <f t="shared" si="2"/>
        <v>81000</v>
      </c>
      <c r="AI36" s="26">
        <v>102400</v>
      </c>
      <c r="AJ36" s="53">
        <v>28930</v>
      </c>
    </row>
    <row r="37" spans="1:36" ht="7.5" customHeight="1" thickBot="1">
      <c r="A37" s="126"/>
      <c r="B37" s="18"/>
      <c r="C37" s="16"/>
      <c r="D37" s="16"/>
      <c r="E37" s="66"/>
      <c r="F37" s="16"/>
      <c r="G37" s="16"/>
      <c r="H37" s="16"/>
      <c r="I37" s="16"/>
      <c r="J37" s="16"/>
      <c r="K37" s="16"/>
      <c r="L37" s="16"/>
      <c r="M37" s="16"/>
      <c r="S37" s="16"/>
      <c r="T37" s="16"/>
      <c r="AA37" s="54" t="s">
        <v>90</v>
      </c>
      <c r="AB37" s="56"/>
      <c r="AC37" s="56">
        <v>71000</v>
      </c>
      <c r="AD37" s="56">
        <v>21000</v>
      </c>
      <c r="AE37" s="26">
        <f t="shared" si="1"/>
        <v>92000</v>
      </c>
      <c r="AF37" s="56">
        <v>43000</v>
      </c>
      <c r="AG37" s="56">
        <v>40000</v>
      </c>
      <c r="AH37" s="26">
        <f t="shared" si="2"/>
        <v>83000</v>
      </c>
      <c r="AI37" s="56">
        <v>102400</v>
      </c>
      <c r="AJ37" s="57">
        <v>43890</v>
      </c>
    </row>
    <row r="38" spans="1:36" ht="18.75" customHeight="1" thickTop="1" thickBot="1">
      <c r="A38" s="126">
        <v>24</v>
      </c>
      <c r="B38" s="134" t="s">
        <v>135</v>
      </c>
      <c r="C38" s="135"/>
      <c r="D38" s="135"/>
      <c r="E38" s="72">
        <f>E24+E27+G32+G35</f>
        <v>1507111</v>
      </c>
      <c r="F38" s="11" t="s">
        <v>37</v>
      </c>
      <c r="G38" s="16"/>
      <c r="H38" s="16"/>
      <c r="I38" s="126"/>
      <c r="J38" s="19"/>
      <c r="K38" s="16"/>
      <c r="L38" s="16"/>
      <c r="M38" s="16"/>
      <c r="N38" s="108" t="s">
        <v>136</v>
      </c>
      <c r="O38" s="109"/>
      <c r="P38" s="34">
        <v>100000</v>
      </c>
      <c r="Q38" s="115" t="s">
        <v>37</v>
      </c>
      <c r="R38" s="116"/>
      <c r="S38" s="16"/>
      <c r="T38" s="16"/>
      <c r="AA38" s="50"/>
      <c r="AB38" s="50"/>
      <c r="AC38" s="50"/>
      <c r="AD38" s="50"/>
      <c r="AE38" s="50"/>
      <c r="AF38" s="50"/>
      <c r="AG38" s="50"/>
      <c r="AH38" s="50"/>
    </row>
    <row r="39" spans="1:36" ht="19" customHeight="1" thickTop="1" thickBot="1">
      <c r="A39" s="126">
        <v>25</v>
      </c>
      <c r="B39" s="89" t="s">
        <v>137</v>
      </c>
      <c r="C39" s="135"/>
      <c r="D39" s="14"/>
      <c r="E39" s="73">
        <f>ROUNDUP(E25+E28+G33+G36,0)</f>
        <v>32</v>
      </c>
      <c r="F39" s="9" t="s">
        <v>18</v>
      </c>
      <c r="G39" s="27" t="s">
        <v>138</v>
      </c>
      <c r="H39" s="88">
        <f>+E39</f>
        <v>32</v>
      </c>
      <c r="I39" s="16" t="s">
        <v>145</v>
      </c>
      <c r="J39" s="16"/>
      <c r="M39" s="16"/>
      <c r="N39" s="110" t="s">
        <v>140</v>
      </c>
      <c r="O39" s="111"/>
      <c r="P39" s="30">
        <v>130000</v>
      </c>
      <c r="Q39" s="117" t="s">
        <v>37</v>
      </c>
      <c r="R39" s="118"/>
      <c r="S39" s="16"/>
      <c r="T39" s="16"/>
      <c r="AA39" s="26"/>
      <c r="AB39" s="26"/>
      <c r="AC39" s="26"/>
      <c r="AD39" s="26"/>
      <c r="AE39" s="26"/>
      <c r="AF39" s="26"/>
      <c r="AG39" s="26"/>
      <c r="AH39" s="26"/>
    </row>
    <row r="40" spans="1:36" ht="7.5" customHeight="1" thickTop="1">
      <c r="B40" s="2"/>
      <c r="C40" s="2"/>
      <c r="D40" s="2"/>
      <c r="E40" s="8"/>
      <c r="F40" s="2"/>
      <c r="G40" s="2"/>
      <c r="H40" s="2"/>
      <c r="I40" s="2"/>
      <c r="J40" s="2"/>
      <c r="M40" s="16"/>
      <c r="N40" s="16"/>
      <c r="O40" s="16"/>
      <c r="P40" s="16"/>
      <c r="Q40" s="16"/>
      <c r="R40" s="16"/>
      <c r="S40" s="16"/>
      <c r="T40" s="16"/>
      <c r="AA40" s="26"/>
      <c r="AB40" s="26"/>
      <c r="AC40" s="26"/>
      <c r="AD40" s="26"/>
      <c r="AE40" s="26"/>
      <c r="AF40" s="26"/>
      <c r="AG40" s="26"/>
      <c r="AH40" s="26"/>
    </row>
    <row r="41" spans="1:36" ht="7.5" customHeight="1">
      <c r="S41" s="16"/>
      <c r="T41" s="16"/>
      <c r="AA41" s="26"/>
      <c r="AB41" s="26"/>
      <c r="AC41" s="26"/>
      <c r="AD41" s="26"/>
      <c r="AE41" s="26"/>
      <c r="AF41" s="26"/>
      <c r="AG41" s="26"/>
      <c r="AH41" s="26"/>
    </row>
    <row r="42" spans="1:36" ht="19" customHeight="1">
      <c r="AA42" s="26"/>
      <c r="AB42" s="26"/>
      <c r="AC42" s="26"/>
      <c r="AD42" s="26"/>
      <c r="AE42" s="26"/>
      <c r="AF42" s="26"/>
      <c r="AG42" s="26"/>
      <c r="AH42" s="26"/>
    </row>
    <row r="43" spans="1:36" ht="3" customHeight="1">
      <c r="AA43" s="26"/>
    </row>
  </sheetData>
  <mergeCells count="24">
    <mergeCell ref="I31:J33"/>
    <mergeCell ref="I35:J36"/>
    <mergeCell ref="P30:P31"/>
    <mergeCell ref="Q30:Q31"/>
    <mergeCell ref="AC14:AD14"/>
    <mergeCell ref="AE14:AH14"/>
    <mergeCell ref="B15:C15"/>
    <mergeCell ref="E19:E20"/>
    <mergeCell ref="B21:B22"/>
    <mergeCell ref="I24:J25"/>
    <mergeCell ref="A10:A11"/>
    <mergeCell ref="B10:D11"/>
    <mergeCell ref="X11:Y11"/>
    <mergeCell ref="B13:C13"/>
    <mergeCell ref="G13:G23"/>
    <mergeCell ref="H13:H23"/>
    <mergeCell ref="X13:Y13"/>
    <mergeCell ref="B14:C14"/>
    <mergeCell ref="S2:V3"/>
    <mergeCell ref="A5:J5"/>
    <mergeCell ref="E7:F8"/>
    <mergeCell ref="G7:H8"/>
    <mergeCell ref="I7:J8"/>
    <mergeCell ref="N8:R8"/>
  </mergeCells>
  <phoneticPr fontId="1"/>
  <dataValidations count="7">
    <dataValidation type="list" allowBlank="1" showInputMessage="1" showErrorMessage="1" sqref="T5" xr:uid="{00000000-0002-0000-0100-000000000000}">
      <formula1>$W$15:$W$25</formula1>
    </dataValidation>
    <dataValidation type="list" allowBlank="1" showInputMessage="1" showErrorMessage="1" sqref="T7" xr:uid="{00000000-0002-0000-0100-000001000000}">
      <formula1>$X$14:$Y$14</formula1>
    </dataValidation>
    <dataValidation type="list" allowBlank="1" showInputMessage="1" showErrorMessage="1" sqref="T11" xr:uid="{00000000-0002-0000-0100-000002000000}">
      <formula1>$AE$15:$AF$15</formula1>
    </dataValidation>
    <dataValidation type="list" allowBlank="1" showInputMessage="1" showErrorMessage="1" sqref="T10" xr:uid="{00000000-0002-0000-0100-000003000000}">
      <formula1>$AC$14:$AH$14</formula1>
    </dataValidation>
    <dataValidation type="list" allowBlank="1" showInputMessage="1" showErrorMessage="1" sqref="T13" xr:uid="{00000000-0002-0000-0100-000004000000}">
      <formula1>"自家用乗用,自家用貨物車,軽"</formula1>
    </dataValidation>
    <dataValidation type="list" allowBlank="1" showInputMessage="1" showErrorMessage="1" sqref="T8" xr:uid="{00000000-0002-0000-0100-000005000000}">
      <formula1>$AA$16:$AA$25</formula1>
    </dataValidation>
    <dataValidation type="list" allowBlank="1" showInputMessage="1" showErrorMessage="1" sqref="N23:N24" xr:uid="{00000000-0002-0000-0100-000006000000}">
      <formula1>"有り,無し"</formula1>
    </dataValidation>
  </dataValidations>
  <pageMargins left="0" right="0" top="0" bottom="0" header="0" footer="0"/>
  <pageSetup paperSize="9" scale="8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d31f24ce-303f-4d05-95ba-6e61816529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B4A59C98993A4E9602653511FB95C5" ma:contentTypeVersion="13" ma:contentTypeDescription="新しいドキュメントを作成します。" ma:contentTypeScope="" ma:versionID="388d5654c8e19b9f97c13c66d6c7335b">
  <xsd:schema xmlns:xsd="http://www.w3.org/2001/XMLSchema" xmlns:xs="http://www.w3.org/2001/XMLSchema" xmlns:p="http://schemas.microsoft.com/office/2006/metadata/properties" xmlns:ns2="d31f24ce-303f-4d05-95ba-6e618165293d" xmlns:ns3="45eb14b4-f98c-4831-b173-b379b2f40617" targetNamespace="http://schemas.microsoft.com/office/2006/metadata/properties" ma:root="true" ma:fieldsID="a77226ba540c776903ddd40c33e65e68" ns2:_="" ns3:_="">
    <xsd:import namespace="d31f24ce-303f-4d05-95ba-6e618165293d"/>
    <xsd:import namespace="45eb14b4-f98c-4831-b173-b379b2f406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f24ce-303f-4d05-95ba-6e61816529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8" nillable="true" ma:displayName="承認の状態" ma:internalName="_x627f__x8a8d__x306e__x72b6__x614b_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b14b4-f98c-4831-b173-b379b2f406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C297C-0111-4934-BD37-48DAD063E17C}">
  <ds:schemaRefs>
    <ds:schemaRef ds:uri="http://purl.org/dc/terms/"/>
    <ds:schemaRef ds:uri="45eb14b4-f98c-4831-b173-b379b2f406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31f24ce-303f-4d05-95ba-6e618165293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7E8172C-E546-48C7-9028-2DAFA2676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CF6C6-2DDB-4388-8B3B-ABA7B065D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1f24ce-303f-4d05-95ba-6e618165293d"/>
    <ds:schemaRef ds:uri="45eb14b4-f98c-4831-b173-b379b2f40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【試算表】</vt:lpstr>
      <vt:lpstr>（参考）入力例</vt:lpstr>
      <vt:lpstr>'（参考）入力例'!Print_Area</vt:lpstr>
      <vt:lpstr>【試算表】!Print_Area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2021-02-01T07:58:52Z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0x010100C4B4A59C98993A4E9602653511FB95C5</vt:lpwstr>
  </property>
  <property fmtid="{D5CDD505-2E9C-101B-9397-08002B2CF9AE}" pid="3" name="_dlc_DocIdItemGuid">
    <vt:lpwstr>52a7e509-bf2b-4cba-9282-0f0ce847e8d0</vt:lpwstr>
  </property>
</Properties>
</file>