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kar\Downloads\"/>
    </mc:Choice>
  </mc:AlternateContent>
  <xr:revisionPtr revIDLastSave="0" documentId="13_ncr:1_{075410BF-311C-474A-8D23-22D2A9CB01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shboard" sheetId="1" r:id="rId1"/>
    <sheet name="Projects" sheetId="5" r:id="rId2"/>
    <sheet name="Tasks" sheetId="4" r:id="rId3"/>
    <sheet name="Advanced Project Plan Template" sheetId="3" r:id="rId4"/>
  </sheets>
  <externalReferences>
    <externalReference r:id="rId5"/>
  </externalReferences>
  <definedNames>
    <definedName name="FNAT_rng_All_Projects" hidden="1">Projects!$B$5:$B$15</definedName>
    <definedName name="FNAT_rng_Project" hidden="1">Dashboard!$K$1</definedName>
    <definedName name="FNAT_rng_Tasks" hidden="1">Table1[Project]</definedName>
    <definedName name="rng_TemplateMode">[1]Setup!$K$20</definedName>
    <definedName name="rngCategories">[1]Calculations!$K$14:$K$19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25" i="1" l="1"/>
  <c r="F24" i="1"/>
  <c r="F23" i="1"/>
  <c r="F22" i="1"/>
  <c r="F21" i="1"/>
  <c r="F20" i="1"/>
  <c r="F19" i="1"/>
  <c r="G15" i="5" l="1"/>
  <c r="H15" i="5" s="1"/>
  <c r="F15" i="5"/>
  <c r="E15" i="5" a="1"/>
  <c r="E15" i="5" s="1"/>
  <c r="D15" i="5" a="1"/>
  <c r="D15" i="5" s="1"/>
  <c r="C15" i="5"/>
  <c r="G14" i="5"/>
  <c r="H14" i="5" s="1"/>
  <c r="F14" i="5"/>
  <c r="E14" i="5" a="1"/>
  <c r="E14" i="5" s="1"/>
  <c r="D14" i="5" a="1"/>
  <c r="D14" i="5" s="1"/>
  <c r="C14" i="5"/>
  <c r="G13" i="5"/>
  <c r="H13" i="5" s="1"/>
  <c r="F13" i="5"/>
  <c r="E13" i="5" a="1"/>
  <c r="E13" i="5" s="1"/>
  <c r="D13" i="5" a="1"/>
  <c r="D13" i="5" s="1"/>
  <c r="C13" i="5"/>
  <c r="G12" i="5"/>
  <c r="H12" i="5" s="1"/>
  <c r="F12" i="5"/>
  <c r="E12" i="5" a="1"/>
  <c r="E12" i="5" s="1"/>
  <c r="D12" i="5" a="1"/>
  <c r="D12" i="5" s="1"/>
  <c r="C12" i="5"/>
  <c r="G11" i="5"/>
  <c r="H11" i="5" s="1"/>
  <c r="F11" i="5"/>
  <c r="E11" i="5" a="1"/>
  <c r="E11" i="5" s="1"/>
  <c r="D11" i="5" a="1"/>
  <c r="D11" i="5" s="1"/>
  <c r="C11" i="5"/>
  <c r="G10" i="5"/>
  <c r="H10" i="5" s="1"/>
  <c r="F10" i="5"/>
  <c r="E10" i="5" a="1"/>
  <c r="E10" i="5" s="1"/>
  <c r="D10" i="5" a="1"/>
  <c r="D10" i="5" s="1"/>
  <c r="C10" i="5"/>
  <c r="G9" i="5"/>
  <c r="H9" i="5" s="1"/>
  <c r="F9" i="5"/>
  <c r="E9" i="5" a="1"/>
  <c r="E9" i="5" s="1"/>
  <c r="D9" i="5" a="1"/>
  <c r="D9" i="5" s="1"/>
  <c r="C9" i="5"/>
  <c r="G8" i="5"/>
  <c r="H8" i="5" s="1"/>
  <c r="F8" i="5"/>
  <c r="E8" i="5" a="1"/>
  <c r="E8" i="5" s="1"/>
  <c r="D8" i="5" a="1"/>
  <c r="D8" i="5" s="1"/>
  <c r="C8" i="5"/>
  <c r="G7" i="5"/>
  <c r="H7" i="5" s="1"/>
  <c r="F7" i="5"/>
  <c r="E7" i="5" a="1"/>
  <c r="E7" i="5" s="1"/>
  <c r="D7" i="5" a="1"/>
  <c r="D7" i="5" s="1"/>
  <c r="C7" i="5"/>
  <c r="G6" i="5"/>
  <c r="H6" i="5" s="1"/>
  <c r="F6" i="5"/>
  <c r="E6" i="5" a="1"/>
  <c r="E6" i="5" s="1"/>
  <c r="D6" i="5" a="1"/>
  <c r="D6" i="5" s="1"/>
  <c r="C6" i="5"/>
  <c r="G5" i="5"/>
  <c r="F5" i="5"/>
  <c r="E5" i="5"/>
  <c r="D5" i="5"/>
  <c r="G10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C5" i="5"/>
  <c r="L1" i="1" s="1"/>
  <c r="J28" i="1" a="1"/>
  <c r="J28" i="1" s="1"/>
  <c r="J27" i="1" a="1"/>
  <c r="J27" i="1" s="1"/>
  <c r="J26" i="1" a="1"/>
  <c r="J26" i="1" s="1"/>
  <c r="J25" i="1" a="1"/>
  <c r="J25" i="1" s="1"/>
  <c r="G25" i="1"/>
  <c r="J24" i="1" a="1"/>
  <c r="J24" i="1" s="1"/>
  <c r="G24" i="1"/>
  <c r="J23" i="1" a="1"/>
  <c r="J23" i="1" s="1"/>
  <c r="G23" i="1"/>
  <c r="J22" i="1" a="1"/>
  <c r="J22" i="1" s="1"/>
  <c r="G22" i="1"/>
  <c r="J21" i="1" a="1"/>
  <c r="J21" i="1" s="1"/>
  <c r="G21" i="1"/>
  <c r="J20" i="1" a="1"/>
  <c r="J20" i="1" s="1"/>
  <c r="G20" i="1"/>
  <c r="J19" i="1" a="1"/>
  <c r="J19" i="1" s="1"/>
  <c r="G19" i="1"/>
  <c r="J18" i="1" a="1"/>
  <c r="J18" i="1" s="1"/>
  <c r="G18" i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/>
  <c r="G11" i="1" l="1"/>
  <c r="G15" i="1"/>
  <c r="G12" i="1"/>
  <c r="G13" i="1" s="1"/>
  <c r="O5" i="1"/>
  <c r="L5" i="1"/>
  <c r="M5" i="1"/>
  <c r="P5" i="1"/>
  <c r="O7" i="1"/>
  <c r="M7" i="1"/>
  <c r="P7" i="1"/>
  <c r="L7" i="1"/>
  <c r="P9" i="1"/>
  <c r="O9" i="1"/>
  <c r="M9" i="1"/>
  <c r="L9" i="1"/>
  <c r="O25" i="1"/>
  <c r="M25" i="1"/>
  <c r="L25" i="1"/>
  <c r="P25" i="1"/>
  <c r="M22" i="1"/>
  <c r="L22" i="1"/>
  <c r="O22" i="1"/>
  <c r="P22" i="1"/>
  <c r="L21" i="1"/>
  <c r="P21" i="1"/>
  <c r="M21" i="1"/>
  <c r="O21" i="1"/>
  <c r="P14" i="1"/>
  <c r="O14" i="1"/>
  <c r="M14" i="1"/>
  <c r="L14" i="1"/>
  <c r="P27" i="1"/>
  <c r="O27" i="1"/>
  <c r="M27" i="1"/>
  <c r="L27" i="1"/>
  <c r="R28" i="1"/>
  <c r="K28" i="1" s="1"/>
  <c r="P28" i="1"/>
  <c r="O28" i="1"/>
  <c r="M28" i="1"/>
  <c r="L28" i="1"/>
  <c r="P8" i="1"/>
  <c r="M8" i="1"/>
  <c r="L8" i="1"/>
  <c r="O8" i="1"/>
  <c r="P6" i="1"/>
  <c r="O6" i="1"/>
  <c r="M6" i="1"/>
  <c r="L6" i="1"/>
  <c r="M13" i="1"/>
  <c r="L13" i="1"/>
  <c r="P13" i="1"/>
  <c r="O13" i="1"/>
  <c r="O16" i="1"/>
  <c r="L16" i="1"/>
  <c r="P16" i="1"/>
  <c r="M16" i="1"/>
  <c r="O17" i="1"/>
  <c r="L17" i="1"/>
  <c r="P17" i="1"/>
  <c r="M17" i="1"/>
  <c r="M12" i="1"/>
  <c r="P12" i="1"/>
  <c r="L12" i="1"/>
  <c r="O12" i="1"/>
  <c r="P19" i="1"/>
  <c r="O19" i="1"/>
  <c r="M19" i="1"/>
  <c r="L19" i="1"/>
  <c r="P24" i="1"/>
  <c r="M24" i="1"/>
  <c r="O24" i="1"/>
  <c r="L24" i="1"/>
  <c r="P18" i="1"/>
  <c r="O18" i="1"/>
  <c r="L18" i="1"/>
  <c r="M18" i="1"/>
  <c r="L20" i="1"/>
  <c r="M20" i="1"/>
  <c r="P20" i="1"/>
  <c r="O20" i="1"/>
  <c r="M23" i="1"/>
  <c r="P23" i="1"/>
  <c r="L23" i="1"/>
  <c r="O23" i="1"/>
  <c r="P10" i="1"/>
  <c r="M10" i="1"/>
  <c r="O10" i="1"/>
  <c r="L10" i="1"/>
  <c r="O11" i="1"/>
  <c r="M11" i="1"/>
  <c r="L11" i="1"/>
  <c r="P11" i="1"/>
  <c r="P26" i="1"/>
  <c r="O26" i="1"/>
  <c r="L26" i="1"/>
  <c r="M26" i="1"/>
  <c r="O15" i="1"/>
  <c r="M15" i="1"/>
  <c r="L15" i="1"/>
  <c r="P15" i="1"/>
  <c r="P4" i="1"/>
  <c r="L4" i="1"/>
  <c r="O4" i="1"/>
  <c r="M4" i="1"/>
  <c r="H5" i="5"/>
  <c r="R13" i="1"/>
  <c r="K13" i="1" s="1"/>
  <c r="G14" i="1"/>
  <c r="R5" i="1"/>
  <c r="K5" i="1" s="1"/>
  <c r="R6" i="1"/>
  <c r="K6" i="1" s="1"/>
  <c r="R12" i="1"/>
  <c r="K12" i="1" s="1"/>
  <c r="R20" i="1"/>
  <c r="K20" i="1" s="1"/>
  <c r="R24" i="1"/>
  <c r="K24" i="1" s="1"/>
  <c r="R7" i="1"/>
  <c r="K7" i="1" s="1"/>
  <c r="R4" i="1"/>
  <c r="K4" i="1" s="1"/>
  <c r="R8" i="1"/>
  <c r="K8" i="1" s="1"/>
  <c r="R26" i="1"/>
  <c r="K26" i="1" s="1"/>
  <c r="R21" i="1"/>
  <c r="K21" i="1" s="1"/>
  <c r="R22" i="1"/>
  <c r="K22" i="1" s="1"/>
  <c r="R23" i="1"/>
  <c r="K23" i="1" s="1"/>
  <c r="R25" i="1"/>
  <c r="K25" i="1" s="1"/>
  <c r="R15" i="1"/>
  <c r="K15" i="1" s="1"/>
  <c r="R17" i="1"/>
  <c r="K17" i="1" s="1"/>
  <c r="R10" i="1"/>
  <c r="K10" i="1" s="1"/>
  <c r="R18" i="1"/>
  <c r="K18" i="1" s="1"/>
  <c r="R11" i="1"/>
  <c r="K11" i="1" s="1"/>
  <c r="R19" i="1"/>
  <c r="K19" i="1" s="1"/>
  <c r="R16" i="1"/>
  <c r="K16" i="1" s="1"/>
  <c r="R27" i="1"/>
  <c r="K27" i="1" s="1"/>
  <c r="R9" i="1"/>
  <c r="K9" i="1" s="1"/>
  <c r="R14" i="1"/>
  <c r="K14" i="1" s="1"/>
  <c r="Q14" i="1" l="1"/>
  <c r="Q18" i="1"/>
  <c r="N27" i="1"/>
  <c r="N25" i="1"/>
  <c r="Q26" i="1"/>
  <c r="N19" i="1"/>
  <c r="N6" i="1"/>
  <c r="Q27" i="1"/>
  <c r="N14" i="1"/>
  <c r="Q25" i="1"/>
  <c r="N15" i="1"/>
  <c r="N4" i="1"/>
  <c r="N23" i="1"/>
  <c r="Q12" i="1"/>
  <c r="Q4" i="1"/>
  <c r="Q10" i="1"/>
  <c r="Q19" i="1"/>
  <c r="Q6" i="1"/>
  <c r="N5" i="1"/>
  <c r="N26" i="1"/>
  <c r="N18" i="1"/>
  <c r="N17" i="1"/>
  <c r="N20" i="1"/>
  <c r="Q15" i="1"/>
  <c r="Q24" i="1"/>
  <c r="Q13" i="1"/>
  <c r="Q20" i="1"/>
  <c r="Q17" i="1"/>
  <c r="N11" i="1"/>
  <c r="N16" i="1"/>
  <c r="Q28" i="1"/>
  <c r="N24" i="1"/>
  <c r="Q23" i="1"/>
  <c r="Q16" i="1"/>
  <c r="N21" i="1"/>
  <c r="Q21" i="1"/>
  <c r="N28" i="1"/>
  <c r="Q22" i="1"/>
  <c r="Q8" i="1"/>
  <c r="N7" i="1"/>
  <c r="Q9" i="1"/>
  <c r="N8" i="1"/>
  <c r="Q11" i="1"/>
  <c r="Q7" i="1"/>
  <c r="N12" i="1"/>
  <c r="N13" i="1"/>
  <c r="N10" i="1"/>
  <c r="N9" i="1"/>
  <c r="N22" i="1"/>
  <c r="Q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<sst xmlns="http://schemas.openxmlformats.org/spreadsheetml/2006/main" count="296" uniqueCount="133">
  <si>
    <t>Start Date</t>
  </si>
  <si>
    <t>Task ID</t>
  </si>
  <si>
    <t>Task</t>
  </si>
  <si>
    <t>Days Req.</t>
  </si>
  <si>
    <t>End Date</t>
  </si>
  <si>
    <t>Status</t>
  </si>
  <si>
    <t>Days Comp.</t>
  </si>
  <si>
    <t>Overall Progress</t>
  </si>
  <si>
    <t>Person 1</t>
  </si>
  <si>
    <t>Progress</t>
  </si>
  <si>
    <t>Person 2</t>
  </si>
  <si>
    <t>Person 3</t>
  </si>
  <si>
    <t>Person 4</t>
  </si>
  <si>
    <t>Person 5</t>
  </si>
  <si>
    <t>Gantt. Scroll</t>
  </si>
  <si>
    <t>1-25%</t>
  </si>
  <si>
    <t>26-50%</t>
  </si>
  <si>
    <t>51-75%</t>
  </si>
  <si>
    <t>76-99%</t>
  </si>
  <si>
    <t>Completed(100%)</t>
  </si>
  <si>
    <t>Inprogress(1-99%)</t>
  </si>
  <si>
    <t>Not Started(0%)</t>
  </si>
  <si>
    <t>Project</t>
  </si>
  <si>
    <t>All Projects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</si>
  <si>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</si>
  <si>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</si>
  <si>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</si>
  <si>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</si>
  <si>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</si>
  <si>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</si>
  <si>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</si>
  <si>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</si>
  <si>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</si>
  <si>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</si>
  <si>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Start</t>
  </si>
  <si>
    <t>End</t>
  </si>
  <si>
    <t>Days</t>
  </si>
  <si>
    <t>Projects</t>
  </si>
  <si>
    <t>Tasks</t>
  </si>
  <si>
    <t>%Progress</t>
  </si>
  <si>
    <t>Responsible</t>
  </si>
  <si>
    <t>Remaining</t>
  </si>
  <si>
    <t>Days Required</t>
  </si>
  <si>
    <t>Dashboard</t>
  </si>
  <si>
    <t>Project Management</t>
  </si>
  <si>
    <t>Project 1 - Task 1</t>
  </si>
  <si>
    <t>Project 3 - Task 1</t>
  </si>
  <si>
    <t>Project 1 - Task 2</t>
  </si>
  <si>
    <t>Project 1 - Task 3</t>
  </si>
  <si>
    <t>Project 1 - Task 4</t>
  </si>
  <si>
    <t>Project 1 - Task 5</t>
  </si>
  <si>
    <t>Project 1 - Task 6</t>
  </si>
  <si>
    <t>Project 1 - Task 7</t>
  </si>
  <si>
    <t>Project 1 - Task 8</t>
  </si>
  <si>
    <t>Project 1 - Task 9</t>
  </si>
  <si>
    <t>Project 2 - Task 1</t>
  </si>
  <si>
    <t>Project 2 - Task 2</t>
  </si>
  <si>
    <t>Project 2 - Task 3</t>
  </si>
  <si>
    <t>Project 2 - Task 4</t>
  </si>
  <si>
    <t>Project 2 - Task 5</t>
  </si>
  <si>
    <t>Project 2 - Task 6</t>
  </si>
  <si>
    <t>Project 2 - Task 7</t>
  </si>
  <si>
    <t>Project 2 - Task 8</t>
  </si>
  <si>
    <t>Project 2 - Task 9</t>
  </si>
  <si>
    <t>Project 2 - Task 10</t>
  </si>
  <si>
    <t>Project 3 - Task 2</t>
  </si>
  <si>
    <t>Project 3 - Task 3</t>
  </si>
  <si>
    <t>Project 3 - Task 4</t>
  </si>
  <si>
    <t>Project 3 - Task 5</t>
  </si>
  <si>
    <t>Project 3 - Task 6</t>
  </si>
  <si>
    <t>Project 4 - Task 1</t>
  </si>
  <si>
    <t>Project 4 - Task 2</t>
  </si>
  <si>
    <t>Project 4 - Task 3</t>
  </si>
  <si>
    <t>Project 4 - Task 4</t>
  </si>
  <si>
    <t>Project 4 - Task 5</t>
  </si>
  <si>
    <t>Project 4 - Task 6</t>
  </si>
  <si>
    <t>Project 4 - Task 7</t>
  </si>
  <si>
    <t>Project 5 - Task 1</t>
  </si>
  <si>
    <t>Project 5 - Task 2</t>
  </si>
  <si>
    <t>Project 5 - Task 3</t>
  </si>
  <si>
    <t>Project 5 - Task 4</t>
  </si>
  <si>
    <t>Project 5 - Task 5</t>
  </si>
  <si>
    <t>Project 5 - Task 6</t>
  </si>
  <si>
    <t>Project 5 - Task 7</t>
  </si>
  <si>
    <t>Project 5 - Task 8</t>
  </si>
  <si>
    <t>Project 6 - Task 1</t>
  </si>
  <si>
    <t>Project 6 - Task 2</t>
  </si>
  <si>
    <t>Project 6 - Task 3</t>
  </si>
  <si>
    <t>Project 6 - Task 4</t>
  </si>
  <si>
    <t>Project 6 - Task 5</t>
  </si>
  <si>
    <t>Project 6 - Task 6</t>
  </si>
  <si>
    <t>Project 6 - Task 7</t>
  </si>
  <si>
    <t>Project 6 - Task 8</t>
  </si>
  <si>
    <t>Project 7 - Task 1</t>
  </si>
  <si>
    <t>Project 7 - Task 2</t>
  </si>
  <si>
    <t>Project 7 - Task 3</t>
  </si>
  <si>
    <t>Project 7 - Task 4</t>
  </si>
  <si>
    <t>Project 7 - Task 5</t>
  </si>
  <si>
    <t>Project 7 - Task 6</t>
  </si>
  <si>
    <t>Project 7 - Task 7</t>
  </si>
  <si>
    <t>Project 7 - Task 8</t>
  </si>
  <si>
    <t>Project 7 - Task 9</t>
  </si>
  <si>
    <t>Project 8 - Task 1</t>
  </si>
  <si>
    <t>Project 8 - Task 2</t>
  </si>
  <si>
    <t>Project 8 - Task 3</t>
  </si>
  <si>
    <t>Project 8 - Task 4</t>
  </si>
  <si>
    <t>Project 8 - Task 5</t>
  </si>
  <si>
    <t>Project 8 - Task 6</t>
  </si>
  <si>
    <t>Project 8 - Task 7</t>
  </si>
  <si>
    <t>Project 8 - Task 8</t>
  </si>
  <si>
    <t>Project 8 - Task 9</t>
  </si>
  <si>
    <t>Project 8 - Task 10</t>
  </si>
  <si>
    <t>Project 8 - Task 11</t>
  </si>
  <si>
    <t>Project 9 - Task 1</t>
  </si>
  <si>
    <t>Project 9 - Task 2</t>
  </si>
  <si>
    <t>Project 9 - Task 3</t>
  </si>
  <si>
    <t>Project 9 - Task 4</t>
  </si>
  <si>
    <t>Project 10 - Task 1</t>
  </si>
  <si>
    <t>Project 10 - Task 2</t>
  </si>
  <si>
    <t>Project 10 - Task 3</t>
  </si>
  <si>
    <t>Project 10 - Task 4</t>
  </si>
  <si>
    <t>Project 10 - Task 5</t>
  </si>
  <si>
    <t>Project 10 - Task 6</t>
  </si>
  <si>
    <t>Project 10 - Task 7</t>
  </si>
  <si>
    <t>Project 10 - Task 8</t>
  </si>
  <si>
    <t>Overall
Progress</t>
  </si>
  <si>
    <t>Top Tasks</t>
  </si>
  <si>
    <t>TOTAL TASKS</t>
  </si>
  <si>
    <r>
      <t xml:space="preserve">Project Management Template By </t>
    </r>
    <r>
      <rPr>
        <sz val="10"/>
        <color theme="7"/>
        <rFont val="Calibri"/>
        <family val="2"/>
        <scheme val="minor"/>
      </rPr>
      <t>Excelx.com</t>
    </r>
    <r>
      <rPr>
        <sz val="10"/>
        <color theme="9"/>
        <rFont val="Calibri"/>
        <family val="2"/>
        <scheme val="minor"/>
      </rPr>
      <t xml:space="preserve"> | Powered by </t>
    </r>
    <r>
      <rPr>
        <sz val="10"/>
        <color theme="7"/>
        <rFont val="Calibri"/>
        <family val="2"/>
        <scheme val="minor"/>
      </rPr>
      <t>Analysistabs®</t>
    </r>
  </si>
  <si>
    <t>ℹ️ This is a free template that you can use to plan a small project with up to 25 tasks.
👉 Check out our premium templates for managing multiple projects and accessing more features.</t>
  </si>
  <si>
    <r>
      <t xml:space="preserve">Developer by: </t>
    </r>
    <r>
      <rPr>
        <b/>
        <sz val="10"/>
        <color theme="9"/>
        <rFont val="Bahnschrift"/>
        <family val="2"/>
      </rPr>
      <t>PNRao</t>
    </r>
  </si>
  <si>
    <r>
      <t>Please let us know your feedback.
📧 Email:</t>
    </r>
    <r>
      <rPr>
        <sz val="11"/>
        <color theme="7"/>
        <rFont val="Calibri"/>
        <family val="2"/>
        <scheme val="minor"/>
      </rPr>
      <t xml:space="preserve"> info@analysistabs.com</t>
    </r>
  </si>
  <si>
    <t>Please Select a Project to View Related Tasks &amp; Gantt: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</si>
</sst>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;@"/>
    <numFmt numFmtId="165" formatCode="[$-409]d\-mmm\-yyyy;@"/>
    <numFmt numFmtId="166" formatCode="[$-409]d\-mmm;@"/>
    <numFmt numFmtId="167" formatCode="[$-409]dd\-mmm\-yy;@"/>
    <numFmt numFmtId="168" formatCode=";;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theme="9"/>
      <name val="Calibri"/>
      <family val="2"/>
      <scheme val="minor"/>
    </font>
    <font>
      <b/>
      <sz val="10"/>
      <color theme="1" tint="0.749992370372631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i/>
      <sz val="11"/>
      <color theme="3" tint="0.249977111117893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A0C8"/>
      <name val="Calibri"/>
      <family val="1"/>
      <charset val="2"/>
      <scheme val="minor"/>
    </font>
    <font>
      <b/>
      <sz val="18"/>
      <color theme="0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22"/>
      <color theme="0"/>
      <name val="Bahnschrift"/>
      <family val="2"/>
    </font>
    <font>
      <sz val="8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u/>
      <sz val="11"/>
      <color theme="7"/>
      <name val="Calibri"/>
      <family val="2"/>
      <scheme val="minor"/>
    </font>
    <font>
      <sz val="10"/>
      <color theme="7"/>
      <name val="Calibri"/>
      <family val="2"/>
      <scheme val="minor"/>
    </font>
    <font>
      <b/>
      <sz val="10"/>
      <color theme="9"/>
      <name val="Bahnschrift"/>
      <family val="2"/>
    </font>
    <font>
      <sz val="10"/>
      <color theme="3" tint="0.249977111117893"/>
      <name val="Bahnschrift"/>
      <family val="2"/>
    </font>
    <font>
      <sz val="10"/>
      <color theme="1"/>
      <name val="Bahnschrift"/>
      <family val="2"/>
    </font>
    <font>
      <b/>
      <sz val="10"/>
      <color theme="0"/>
      <name val="Bahnschrift"/>
      <family val="2"/>
    </font>
    <font>
      <sz val="11"/>
      <color theme="1"/>
      <name val="Bahnschrift"/>
      <family val="2"/>
    </font>
    <font>
      <sz val="10"/>
      <color theme="9"/>
      <name val="Bahnschrift"/>
      <family val="2"/>
    </font>
    <font>
      <sz val="10"/>
      <color theme="2" tint="-4.9989318521683403E-2"/>
      <name val="Bahnschrift"/>
      <family val="2"/>
    </font>
    <font>
      <sz val="11"/>
      <color theme="7" tint="-0.249977111117893"/>
      <name val="Bahnschrift"/>
      <family val="2"/>
    </font>
    <font>
      <sz val="12"/>
      <color theme="0"/>
      <name val="Bahnschrift"/>
      <family val="2"/>
    </font>
    <font>
      <sz val="9"/>
      <color theme="1"/>
      <name val="Bahnschrift"/>
      <family val="2"/>
    </font>
    <font>
      <i/>
      <sz val="9"/>
      <color theme="1"/>
      <name val="Bahnschrift"/>
      <family val="2"/>
    </font>
    <font>
      <i/>
      <sz val="11"/>
      <color theme="9"/>
      <name val="Bahnschrift"/>
      <family val="2"/>
    </font>
    <font>
      <sz val="10"/>
      <color theme="7"/>
      <name val="Bahnschrift"/>
      <family val="2"/>
    </font>
    <font>
      <b/>
      <sz val="8"/>
      <color theme="7" tint="-0.499984740745262"/>
      <name val="Bahnschrift"/>
      <family val="2"/>
    </font>
    <font>
      <b/>
      <sz val="18"/>
      <color theme="0"/>
      <name val="Bahnschrift"/>
      <family val="2"/>
    </font>
    <font>
      <sz val="12"/>
      <color theme="2"/>
      <name val="Bahnschrift"/>
      <family val="2"/>
    </font>
    <font>
      <sz val="12"/>
      <color theme="7" tint="-0.249977111117893"/>
      <name val="Bahnschrift"/>
      <family val="2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F2FA"/>
        <bgColor indexed="64"/>
      </patternFill>
    </fill>
    <fill>
      <patternFill patternType="solid">
        <fgColor rgb="FFE8F7FC"/>
        <bgColor indexed="64"/>
      </patternFill>
    </fill>
    <fill>
      <patternFill patternType="solid">
        <fgColor theme="7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2" tint="-9.9887081514938816E-2"/>
      </right>
      <top/>
      <bottom/>
      <diagonal/>
    </border>
    <border>
      <left/>
      <right/>
      <top/>
      <bottom style="thin">
        <color theme="2" tint="-9.9887081514938816E-2"/>
      </bottom>
      <diagonal/>
    </border>
    <border>
      <left/>
      <right style="thin">
        <color theme="2" tint="-9.9887081514938816E-2"/>
      </right>
      <top/>
      <bottom style="thin">
        <color theme="2" tint="-9.9887081514938816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thin">
        <color theme="2" tint="-9.985656300546282E-2"/>
      </bottom>
      <diagonal/>
    </border>
    <border>
      <left/>
      <right/>
      <top style="thick">
        <color theme="2"/>
      </top>
      <bottom/>
      <diagonal/>
    </border>
    <border>
      <left style="thin">
        <color theme="1" tint="0.89996032593768116"/>
      </left>
      <right/>
      <top style="thin">
        <color theme="1" tint="0.89996032593768116"/>
      </top>
      <bottom/>
      <diagonal/>
    </border>
    <border>
      <left/>
      <right/>
      <top style="thin">
        <color theme="1" tint="0.89996032593768116"/>
      </top>
      <bottom/>
      <diagonal/>
    </border>
    <border>
      <left style="thin">
        <color theme="1" tint="0.89996032593768116"/>
      </left>
      <right/>
      <top/>
      <bottom/>
      <diagonal/>
    </border>
    <border>
      <left style="thin">
        <color theme="1" tint="0.89996032593768116"/>
      </left>
      <right/>
      <top/>
      <bottom style="thin">
        <color theme="1" tint="0.89996032593768116"/>
      </bottom>
      <diagonal/>
    </border>
    <border>
      <left/>
      <right/>
      <top/>
      <bottom style="thin">
        <color theme="1" tint="0.89996032593768116"/>
      </bottom>
      <diagonal/>
    </border>
    <border>
      <left style="thin">
        <color theme="2" tint="-9.9887081514938816E-2"/>
      </left>
      <right/>
      <top/>
      <bottom style="thin">
        <color theme="1" tint="0.89996032593768116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thin">
        <color theme="1" tint="0.89996032593768116"/>
      </bottom>
      <diagonal/>
    </border>
    <border>
      <left/>
      <right style="thin">
        <color theme="7" tint="0.79998168889431442"/>
      </right>
      <top/>
      <bottom/>
      <diagonal/>
    </border>
    <border>
      <left style="thin">
        <color theme="7" tint="0.79998168889431442"/>
      </left>
      <right style="thin">
        <color theme="7" tint="0.79998168889431442"/>
      </right>
      <top/>
      <bottom/>
      <diagonal/>
    </border>
    <border>
      <left style="thin">
        <color theme="7" tint="0.79998168889431442"/>
      </left>
      <right style="thin">
        <color theme="2" tint="-9.9887081514938816E-2"/>
      </right>
      <top/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2" tint="-9.985656300546282E-2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2" tint="-9.9887081514938816E-2"/>
      </right>
      <top/>
      <bottom style="thin">
        <color theme="0"/>
      </bottom>
      <diagonal/>
    </border>
    <border>
      <left style="thin">
        <color theme="2" tint="-9.985656300546282E-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2" tint="-9.9887081514938816E-2"/>
      </right>
      <top style="thin">
        <color theme="0"/>
      </top>
      <bottom style="thin">
        <color theme="0"/>
      </bottom>
      <diagonal/>
    </border>
    <border>
      <left style="thin">
        <color theme="2" tint="-9.985656300546282E-2"/>
      </left>
      <right style="thin">
        <color theme="2" tint="-9.985656300546282E-2"/>
      </right>
      <top/>
      <bottom style="thin">
        <color theme="1" tint="0.89996032593768116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/>
      <diagonal/>
    </border>
    <border>
      <left style="thin">
        <color theme="2" tint="-9.985656300546282E-2"/>
      </left>
      <right style="thin">
        <color theme="2" tint="-9.985656300546282E-2"/>
      </right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</borders>
  <cellStyleXfs count="6">
    <xf numFmtId="0" fontId="0" fillId="0" borderId="0"/>
    <xf numFmtId="0" fontId="2" fillId="2" borderId="1" applyNumberFormat="0" applyAlignment="0">
      <alignment horizontal="left" indent="1"/>
    </xf>
    <xf numFmtId="0" fontId="2" fillId="3" borderId="1">
      <alignment horizontal="left" indent="1"/>
    </xf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5" fillId="5" borderId="0" xfId="0" applyFont="1" applyFill="1"/>
    <xf numFmtId="164" fontId="5" fillId="5" borderId="0" xfId="3" applyNumberFormat="1" applyFont="1" applyFill="1" applyBorder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14" fontId="5" fillId="0" borderId="4" xfId="0" applyNumberFormat="1" applyFont="1" applyBorder="1" applyProtection="1">
      <protection locked="0"/>
    </xf>
    <xf numFmtId="14" fontId="5" fillId="0" borderId="5" xfId="0" applyNumberFormat="1" applyFont="1" applyBorder="1" applyProtection="1">
      <protection locked="0"/>
    </xf>
    <xf numFmtId="0" fontId="0" fillId="7" borderId="0" xfId="0" applyFill="1"/>
    <xf numFmtId="0" fontId="0" fillId="9" borderId="0" xfId="0" applyFill="1"/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7" xfId="0" applyBorder="1"/>
    <xf numFmtId="0" fontId="5" fillId="0" borderId="7" xfId="0" applyFont="1" applyBorder="1"/>
    <xf numFmtId="0" fontId="14" fillId="6" borderId="6" xfId="0" applyFont="1" applyFill="1" applyBorder="1" applyAlignment="1" applyProtection="1">
      <alignment horizontal="left" indent="1"/>
      <protection locked="0"/>
    </xf>
    <xf numFmtId="0" fontId="7" fillId="11" borderId="0" xfId="0" applyFont="1" applyFill="1" applyAlignment="1">
      <alignment vertical="center"/>
    </xf>
    <xf numFmtId="0" fontId="0" fillId="3" borderId="0" xfId="0" applyFill="1"/>
    <xf numFmtId="0" fontId="14" fillId="6" borderId="14" xfId="0" applyFont="1" applyFill="1" applyBorder="1" applyAlignment="1" applyProtection="1">
      <alignment horizontal="left" indent="1"/>
      <protection locked="0"/>
    </xf>
    <xf numFmtId="14" fontId="5" fillId="0" borderId="12" xfId="0" applyNumberFormat="1" applyFont="1" applyBorder="1" applyProtection="1">
      <protection locked="0"/>
    </xf>
    <xf numFmtId="0" fontId="0" fillId="0" borderId="0" xfId="0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9" fillId="8" borderId="9" xfId="0" applyFont="1" applyFill="1" applyBorder="1" applyAlignment="1">
      <alignment vertical="center"/>
    </xf>
    <xf numFmtId="0" fontId="0" fillId="5" borderId="0" xfId="0" applyFill="1"/>
    <xf numFmtId="14" fontId="6" fillId="3" borderId="0" xfId="0" applyNumberFormat="1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/>
    </xf>
    <xf numFmtId="0" fontId="0" fillId="3" borderId="0" xfId="0" applyFill="1" applyProtection="1">
      <protection locked="0"/>
    </xf>
    <xf numFmtId="0" fontId="19" fillId="12" borderId="9" xfId="0" applyFont="1" applyFill="1" applyBorder="1" applyAlignment="1">
      <alignment vertical="center"/>
    </xf>
    <xf numFmtId="0" fontId="19" fillId="12" borderId="0" xfId="0" applyFont="1" applyFill="1" applyAlignment="1">
      <alignment horizontal="left" vertical="center" indent="1"/>
    </xf>
    <xf numFmtId="0" fontId="0" fillId="12" borderId="0" xfId="0" applyFill="1"/>
    <xf numFmtId="0" fontId="5" fillId="7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 indent="1"/>
    </xf>
    <xf numFmtId="0" fontId="0" fillId="7" borderId="18" xfId="0" applyFill="1" applyBorder="1"/>
    <xf numFmtId="9" fontId="0" fillId="7" borderId="18" xfId="5" applyFont="1" applyFill="1" applyBorder="1" applyAlignment="1">
      <alignment horizontal="center"/>
    </xf>
    <xf numFmtId="0" fontId="0" fillId="17" borderId="0" xfId="0" applyFill="1"/>
    <xf numFmtId="0" fontId="0" fillId="17" borderId="0" xfId="0" applyFill="1" applyProtection="1">
      <protection locked="0"/>
    </xf>
    <xf numFmtId="0" fontId="0" fillId="16" borderId="0" xfId="0" applyFill="1" applyProtection="1">
      <protection locked="0"/>
    </xf>
    <xf numFmtId="0" fontId="0" fillId="16" borderId="0" xfId="0" applyFill="1" applyAlignment="1" applyProtection="1">
      <alignment horizontal="left"/>
      <protection locked="0"/>
    </xf>
    <xf numFmtId="0" fontId="0" fillId="5" borderId="0" xfId="0" applyFill="1" applyProtection="1">
      <protection locked="0"/>
    </xf>
    <xf numFmtId="0" fontId="0" fillId="5" borderId="10" xfId="0" applyFill="1" applyBorder="1" applyProtection="1">
      <protection locked="0"/>
    </xf>
    <xf numFmtId="0" fontId="0" fillId="17" borderId="0" xfId="0" applyFill="1" applyAlignment="1" applyProtection="1">
      <alignment horizontal="right" vertical="center" wrapText="1" indent="1"/>
      <protection locked="0"/>
    </xf>
    <xf numFmtId="0" fontId="0" fillId="17" borderId="0" xfId="0" applyFill="1" applyAlignment="1" applyProtection="1">
      <alignment horizontal="right" vertical="center" indent="1"/>
      <protection locked="0"/>
    </xf>
    <xf numFmtId="0" fontId="0" fillId="17" borderId="0" xfId="0" applyFill="1" applyAlignment="1" applyProtection="1">
      <alignment horizontal="right" indent="1"/>
      <protection locked="0"/>
    </xf>
    <xf numFmtId="168" fontId="18" fillId="16" borderId="0" xfId="0" applyNumberFormat="1" applyFont="1" applyFill="1" applyAlignment="1">
      <alignment horizontal="left" vertical="center"/>
    </xf>
    <xf numFmtId="168" fontId="12" fillId="16" borderId="0" xfId="0" applyNumberFormat="1" applyFont="1" applyFill="1" applyAlignment="1">
      <alignment horizontal="left" vertical="center"/>
    </xf>
    <xf numFmtId="168" fontId="13" fillId="16" borderId="0" xfId="0" applyNumberFormat="1" applyFont="1" applyFill="1" applyAlignment="1">
      <alignment horizontal="left" vertical="center"/>
    </xf>
    <xf numFmtId="0" fontId="27" fillId="16" borderId="0" xfId="0" applyFont="1" applyFill="1" applyAlignment="1">
      <alignment horizontal="center" vertical="center"/>
    </xf>
    <xf numFmtId="0" fontId="10" fillId="5" borderId="0" xfId="0" applyFont="1" applyFill="1"/>
    <xf numFmtId="0" fontId="24" fillId="5" borderId="0" xfId="4" applyFont="1" applyFill="1" applyBorder="1"/>
    <xf numFmtId="0" fontId="20" fillId="5" borderId="0" xfId="0" applyFont="1" applyFill="1"/>
    <xf numFmtId="0" fontId="10" fillId="5" borderId="0" xfId="0" applyFont="1" applyFill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indent="1"/>
    </xf>
    <xf numFmtId="167" fontId="5" fillId="5" borderId="0" xfId="0" applyNumberFormat="1" applyFont="1" applyFill="1" applyAlignment="1">
      <alignment horizontal="center"/>
    </xf>
    <xf numFmtId="9" fontId="5" fillId="5" borderId="0" xfId="5" applyFont="1" applyFill="1" applyBorder="1" applyAlignment="1" applyProtection="1">
      <alignment horizontal="center"/>
    </xf>
    <xf numFmtId="0" fontId="14" fillId="5" borderId="0" xfId="0" applyFont="1" applyFill="1" applyAlignment="1" applyProtection="1">
      <alignment horizontal="left" indent="1"/>
      <protection locked="0"/>
    </xf>
    <xf numFmtId="14" fontId="5" fillId="5" borderId="0" xfId="0" applyNumberFormat="1" applyFont="1" applyFill="1" applyProtection="1">
      <protection locked="0"/>
    </xf>
    <xf numFmtId="0" fontId="5" fillId="5" borderId="0" xfId="0" applyFont="1" applyFill="1" applyProtection="1">
      <protection locked="0"/>
    </xf>
    <xf numFmtId="0" fontId="0" fillId="16" borderId="0" xfId="0" applyFill="1"/>
    <xf numFmtId="0" fontId="29" fillId="2" borderId="0" xfId="0" applyFont="1" applyFill="1" applyAlignment="1">
      <alignment horizontal="left" vertical="center" indent="1"/>
    </xf>
    <xf numFmtId="0" fontId="29" fillId="2" borderId="0" xfId="0" applyFont="1" applyFill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30" fillId="3" borderId="9" xfId="0" applyFont="1" applyFill="1" applyBorder="1"/>
    <xf numFmtId="0" fontId="29" fillId="2" borderId="0" xfId="0" applyFont="1" applyFill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5" fillId="5" borderId="0" xfId="5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17" borderId="11" xfId="0" applyFont="1" applyFill="1" applyBorder="1" applyAlignment="1">
      <alignment vertical="center"/>
    </xf>
    <xf numFmtId="0" fontId="10" fillId="17" borderId="12" xfId="0" applyFont="1" applyFill="1" applyBorder="1" applyAlignment="1">
      <alignment vertical="center"/>
    </xf>
    <xf numFmtId="0" fontId="24" fillId="17" borderId="12" xfId="4" applyFont="1" applyFill="1" applyBorder="1" applyAlignment="1">
      <alignment vertical="center"/>
    </xf>
    <xf numFmtId="0" fontId="20" fillId="17" borderId="12" xfId="0" applyFont="1" applyFill="1" applyBorder="1" applyAlignment="1">
      <alignment vertical="center"/>
    </xf>
    <xf numFmtId="0" fontId="28" fillId="17" borderId="0" xfId="0" applyFont="1" applyFill="1" applyAlignment="1">
      <alignment horizontal="right"/>
    </xf>
    <xf numFmtId="0" fontId="28" fillId="17" borderId="10" xfId="0" applyFont="1" applyFill="1" applyBorder="1" applyAlignment="1" applyProtection="1">
      <alignment horizontal="right"/>
      <protection locked="0"/>
    </xf>
    <xf numFmtId="14" fontId="5" fillId="0" borderId="19" xfId="0" applyNumberFormat="1" applyFont="1" applyBorder="1" applyProtection="1">
      <protection locked="0"/>
    </xf>
    <xf numFmtId="14" fontId="5" fillId="0" borderId="20" xfId="0" applyNumberFormat="1" applyFont="1" applyBorder="1" applyProtection="1">
      <protection locked="0"/>
    </xf>
    <xf numFmtId="14" fontId="5" fillId="0" borderId="21" xfId="0" applyNumberFormat="1" applyFont="1" applyBorder="1" applyProtection="1">
      <protection locked="0"/>
    </xf>
    <xf numFmtId="14" fontId="5" fillId="0" borderId="22" xfId="0" applyNumberFormat="1" applyFont="1" applyBorder="1" applyProtection="1">
      <protection locked="0"/>
    </xf>
    <xf numFmtId="14" fontId="5" fillId="0" borderId="23" xfId="0" applyNumberFormat="1" applyFont="1" applyBorder="1" applyProtection="1">
      <protection locked="0"/>
    </xf>
    <xf numFmtId="14" fontId="5" fillId="0" borderId="24" xfId="0" applyNumberFormat="1" applyFont="1" applyBorder="1" applyProtection="1">
      <protection locked="0"/>
    </xf>
    <xf numFmtId="0" fontId="14" fillId="7" borderId="6" xfId="0" applyFont="1" applyFill="1" applyBorder="1" applyAlignment="1" applyProtection="1">
      <alignment horizontal="left" indent="1"/>
      <protection locked="0"/>
    </xf>
    <xf numFmtId="14" fontId="5" fillId="7" borderId="22" xfId="0" applyNumberFormat="1" applyFont="1" applyFill="1" applyBorder="1" applyProtection="1">
      <protection locked="0"/>
    </xf>
    <xf numFmtId="14" fontId="5" fillId="7" borderId="23" xfId="0" applyNumberFormat="1" applyFont="1" applyFill="1" applyBorder="1" applyProtection="1">
      <protection locked="0"/>
    </xf>
    <xf numFmtId="14" fontId="5" fillId="7" borderId="24" xfId="0" applyNumberFormat="1" applyFont="1" applyFill="1" applyBorder="1" applyProtection="1">
      <protection locked="0"/>
    </xf>
    <xf numFmtId="0" fontId="5" fillId="6" borderId="26" xfId="0" applyFont="1" applyFill="1" applyBorder="1" applyAlignment="1">
      <alignment horizontal="left" vertical="center" indent="1"/>
    </xf>
    <xf numFmtId="167" fontId="5" fillId="6" borderId="26" xfId="0" applyNumberFormat="1" applyFont="1" applyFill="1" applyBorder="1" applyAlignment="1">
      <alignment horizontal="left" vertical="center" indent="1"/>
    </xf>
    <xf numFmtId="0" fontId="5" fillId="6" borderId="26" xfId="0" applyFont="1" applyFill="1" applyBorder="1" applyAlignment="1">
      <alignment horizontal="center" vertical="center"/>
    </xf>
    <xf numFmtId="9" fontId="5" fillId="6" borderId="26" xfId="5" applyFont="1" applyFill="1" applyBorder="1" applyAlignment="1" applyProtection="1">
      <alignment horizontal="left" vertical="center" indent="1"/>
    </xf>
    <xf numFmtId="0" fontId="5" fillId="6" borderId="27" xfId="5" applyNumberFormat="1" applyFont="1" applyFill="1" applyBorder="1" applyAlignment="1" applyProtection="1">
      <alignment horizontal="center" vertical="center"/>
    </xf>
    <xf numFmtId="0" fontId="5" fillId="7" borderId="27" xfId="0" applyFont="1" applyFill="1" applyBorder="1" applyAlignment="1">
      <alignment horizontal="left" vertical="center" indent="1"/>
    </xf>
    <xf numFmtId="167" fontId="5" fillId="7" borderId="27" xfId="0" applyNumberFormat="1" applyFont="1" applyFill="1" applyBorder="1" applyAlignment="1">
      <alignment horizontal="left" vertical="center" indent="1"/>
    </xf>
    <xf numFmtId="0" fontId="5" fillId="7" borderId="27" xfId="0" applyFont="1" applyFill="1" applyBorder="1" applyAlignment="1">
      <alignment horizontal="center" vertical="center"/>
    </xf>
    <xf numFmtId="9" fontId="5" fillId="7" borderId="27" xfId="5" applyFont="1" applyFill="1" applyBorder="1" applyAlignment="1" applyProtection="1">
      <alignment horizontal="left" vertical="center" indent="1"/>
    </xf>
    <xf numFmtId="0" fontId="5" fillId="7" borderId="27" xfId="5" applyNumberFormat="1" applyFont="1" applyFill="1" applyBorder="1" applyAlignment="1" applyProtection="1">
      <alignment horizontal="center" vertical="center"/>
    </xf>
    <xf numFmtId="0" fontId="5" fillId="6" borderId="27" xfId="0" applyFont="1" applyFill="1" applyBorder="1" applyAlignment="1">
      <alignment horizontal="left" vertical="center" indent="1"/>
    </xf>
    <xf numFmtId="167" fontId="5" fillId="6" borderId="27" xfId="0" applyNumberFormat="1" applyFont="1" applyFill="1" applyBorder="1" applyAlignment="1">
      <alignment horizontal="left" vertical="center" indent="1"/>
    </xf>
    <xf numFmtId="0" fontId="5" fillId="6" borderId="27" xfId="0" applyFont="1" applyFill="1" applyBorder="1" applyAlignment="1">
      <alignment horizontal="center" vertical="center"/>
    </xf>
    <xf numFmtId="9" fontId="5" fillId="6" borderId="27" xfId="5" applyFont="1" applyFill="1" applyBorder="1" applyAlignment="1" applyProtection="1">
      <alignment horizontal="left" vertical="center" indent="1"/>
    </xf>
    <xf numFmtId="0" fontId="5" fillId="6" borderId="25" xfId="0" applyFont="1" applyFill="1" applyBorder="1" applyAlignment="1">
      <alignment horizontal="left" vertical="center" indent="1"/>
    </xf>
    <xf numFmtId="167" fontId="5" fillId="6" borderId="25" xfId="0" applyNumberFormat="1" applyFont="1" applyFill="1" applyBorder="1" applyAlignment="1">
      <alignment horizontal="left" vertical="center" indent="1"/>
    </xf>
    <xf numFmtId="0" fontId="5" fillId="6" borderId="25" xfId="0" applyFont="1" applyFill="1" applyBorder="1" applyAlignment="1">
      <alignment horizontal="center" vertical="center"/>
    </xf>
    <xf numFmtId="9" fontId="5" fillId="6" borderId="25" xfId="5" applyFont="1" applyFill="1" applyBorder="1" applyAlignment="1" applyProtection="1">
      <alignment horizontal="left" vertical="center" indent="1"/>
    </xf>
    <xf numFmtId="0" fontId="5" fillId="6" borderId="25" xfId="5" applyNumberFormat="1" applyFont="1" applyFill="1" applyBorder="1" applyAlignment="1" applyProtection="1">
      <alignment horizontal="center" vertical="center"/>
    </xf>
    <xf numFmtId="9" fontId="0" fillId="7" borderId="18" xfId="5" applyFont="1" applyFill="1" applyBorder="1" applyAlignment="1">
      <alignment horizontal="left"/>
    </xf>
    <xf numFmtId="0" fontId="0" fillId="7" borderId="18" xfId="0" applyFill="1" applyBorder="1" applyAlignment="1">
      <alignment horizontal="center"/>
    </xf>
    <xf numFmtId="14" fontId="0" fillId="7" borderId="18" xfId="0" applyNumberFormat="1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33" fillId="0" borderId="18" xfId="0" applyFont="1" applyBorder="1" applyAlignment="1" applyProtection="1">
      <alignment horizontal="left" indent="1"/>
      <protection locked="0"/>
    </xf>
    <xf numFmtId="0" fontId="34" fillId="2" borderId="18" xfId="0" applyFont="1" applyFill="1" applyBorder="1" applyAlignment="1">
      <alignment vertical="center"/>
    </xf>
    <xf numFmtId="0" fontId="34" fillId="18" borderId="18" xfId="0" applyFont="1" applyFill="1" applyBorder="1" applyAlignment="1">
      <alignment horizontal="left" vertical="center"/>
    </xf>
    <xf numFmtId="0" fontId="34" fillId="18" borderId="18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67" fontId="0" fillId="0" borderId="0" xfId="0" applyNumberFormat="1" applyAlignment="1" applyProtection="1">
      <alignment horizontal="left" vertical="center"/>
      <protection locked="0"/>
    </xf>
    <xf numFmtId="9" fontId="0" fillId="0" borderId="0" xfId="0" applyNumberFormat="1" applyAlignment="1" applyProtection="1">
      <alignment horizontal="left" vertical="center"/>
      <protection locked="0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11" fillId="5" borderId="28" xfId="0" applyFont="1" applyFill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0" fillId="0" borderId="28" xfId="0" applyBorder="1"/>
    <xf numFmtId="0" fontId="35" fillId="12" borderId="0" xfId="0" applyFont="1" applyFill="1" applyAlignment="1" applyProtection="1">
      <alignment horizontal="center" vertical="center"/>
      <protection locked="0"/>
    </xf>
    <xf numFmtId="0" fontId="36" fillId="12" borderId="9" xfId="0" applyFont="1" applyFill="1" applyBorder="1" applyAlignment="1">
      <alignment horizontal="left" vertical="center" indent="2"/>
    </xf>
    <xf numFmtId="0" fontId="27" fillId="16" borderId="10" xfId="0" applyFont="1" applyFill="1" applyBorder="1" applyAlignment="1" applyProtection="1">
      <alignment horizontal="right" vertical="center"/>
      <protection locked="0"/>
    </xf>
    <xf numFmtId="0" fontId="26" fillId="12" borderId="10" xfId="0" applyFont="1" applyFill="1" applyBorder="1" applyAlignment="1" applyProtection="1">
      <alignment horizontal="right" vertical="center"/>
      <protection locked="0"/>
    </xf>
    <xf numFmtId="0" fontId="26" fillId="12" borderId="0" xfId="0" applyFont="1" applyFill="1" applyAlignment="1">
      <alignment horizontal="center" vertical="center"/>
    </xf>
    <xf numFmtId="165" fontId="38" fillId="17" borderId="0" xfId="0" applyNumberFormat="1" applyFont="1" applyFill="1" applyAlignment="1">
      <alignment horizontal="left" vertical="center"/>
    </xf>
    <xf numFmtId="9" fontId="38" fillId="17" borderId="0" xfId="5" applyFont="1" applyFill="1" applyBorder="1" applyAlignment="1" applyProtection="1">
      <alignment horizontal="left" vertical="center"/>
    </xf>
    <xf numFmtId="9" fontId="32" fillId="17" borderId="0" xfId="0" applyNumberFormat="1" applyFont="1" applyFill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166" fontId="39" fillId="14" borderId="15" xfId="3" applyNumberFormat="1" applyFont="1" applyFill="1" applyBorder="1" applyAlignment="1">
      <alignment horizontal="center" vertical="center"/>
    </xf>
    <xf numFmtId="166" fontId="39" fillId="14" borderId="16" xfId="0" applyNumberFormat="1" applyFont="1" applyFill="1" applyBorder="1" applyAlignment="1">
      <alignment horizontal="center" vertical="center"/>
    </xf>
    <xf numFmtId="166" fontId="39" fillId="14" borderId="16" xfId="3" applyNumberFormat="1" applyFont="1" applyFill="1" applyBorder="1" applyAlignment="1">
      <alignment horizontal="center" vertical="center"/>
    </xf>
    <xf numFmtId="166" fontId="39" fillId="14" borderId="17" xfId="0" applyNumberFormat="1" applyFont="1" applyFill="1" applyBorder="1" applyAlignment="1">
      <alignment horizontal="center" vertical="center"/>
    </xf>
    <xf numFmtId="14" fontId="40" fillId="13" borderId="0" xfId="0" applyNumberFormat="1" applyFont="1" applyFill="1" applyAlignment="1">
      <alignment vertical="center"/>
    </xf>
    <xf numFmtId="0" fontId="42" fillId="12" borderId="9" xfId="0" applyFont="1" applyFill="1" applyBorder="1" applyAlignment="1" applyProtection="1">
      <alignment horizontal="left" vertical="center" indent="1"/>
      <protection locked="0"/>
    </xf>
    <xf numFmtId="0" fontId="41" fillId="2" borderId="8" xfId="0" applyFont="1" applyFill="1" applyBorder="1" applyAlignment="1">
      <alignment horizontal="right" vertical="center" indent="1"/>
    </xf>
    <xf numFmtId="0" fontId="41" fillId="2" borderId="9" xfId="0" applyFont="1" applyFill="1" applyBorder="1" applyAlignment="1">
      <alignment horizontal="right" vertical="center" indent="1"/>
    </xf>
    <xf numFmtId="0" fontId="23" fillId="16" borderId="28" xfId="0" applyFont="1" applyFill="1" applyBorder="1" applyAlignment="1">
      <alignment horizontal="left" vertical="center" wrapText="1" indent="1"/>
    </xf>
    <xf numFmtId="0" fontId="0" fillId="12" borderId="28" xfId="0" applyFill="1" applyBorder="1" applyAlignment="1">
      <alignment horizontal="center"/>
    </xf>
    <xf numFmtId="0" fontId="31" fillId="17" borderId="13" xfId="0" applyFont="1" applyFill="1" applyBorder="1" applyAlignment="1">
      <alignment horizontal="right" vertical="center" indent="1"/>
    </xf>
    <xf numFmtId="0" fontId="31" fillId="17" borderId="12" xfId="0" applyFont="1" applyFill="1" applyBorder="1" applyAlignment="1">
      <alignment horizontal="right" vertical="center" indent="1"/>
    </xf>
    <xf numFmtId="0" fontId="16" fillId="16" borderId="28" xfId="0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 wrapText="1"/>
    </xf>
    <xf numFmtId="0" fontId="37" fillId="15" borderId="9" xfId="0" applyFont="1" applyFill="1" applyBorder="1" applyAlignment="1">
      <alignment horizontal="left" vertical="center" indent="1"/>
    </xf>
    <xf numFmtId="0" fontId="28" fillId="17" borderId="0" xfId="0" applyFont="1" applyFill="1" applyAlignment="1" applyProtection="1">
      <alignment horizontal="right" vertical="center"/>
      <protection locked="0"/>
    </xf>
    <xf numFmtId="14" fontId="17" fillId="13" borderId="0" xfId="0" applyNumberFormat="1" applyFont="1" applyFill="1" applyAlignment="1">
      <alignment horizontal="center" vertical="center"/>
    </xf>
    <xf numFmtId="0" fontId="0" fillId="5" borderId="10" xfId="0" applyFill="1" applyBorder="1" applyAlignment="1" applyProtection="1">
      <alignment horizontal="left" indent="1"/>
      <protection locked="0"/>
    </xf>
    <xf numFmtId="0" fontId="0" fillId="5" borderId="0" xfId="0" applyFill="1" applyAlignment="1" applyProtection="1">
      <alignment horizontal="left" indent="1"/>
      <protection locked="0"/>
    </xf>
    <xf numFmtId="0" fontId="28" fillId="17" borderId="0" xfId="0" applyFont="1" applyFill="1" applyAlignment="1" applyProtection="1">
      <alignment horizontal="right" vertical="center" wrapText="1"/>
      <protection locked="0"/>
    </xf>
    <xf numFmtId="0" fontId="21" fillId="2" borderId="18" xfId="0" applyFont="1" applyFill="1" applyBorder="1" applyAlignment="1">
      <alignment horizontal="center" vertical="center"/>
    </xf>
    <xf numFmtId="0" fontId="23" fillId="16" borderId="9" xfId="0" applyFont="1" applyFill="1" applyBorder="1" applyAlignment="1">
      <alignment horizontal="left" vertical="center" wrapText="1" indent="1"/>
    </xf>
    <xf numFmtId="0" fontId="23" fillId="16" borderId="0" xfId="0" applyFont="1" applyFill="1" applyAlignment="1">
      <alignment horizontal="left" vertical="center" wrapText="1" indent="1"/>
    </xf>
  </cellXfs>
  <cellStyles count="6">
    <cellStyle name="Day Header 1" xfId="1" xr:uid="{00000000-0005-0000-0000-000000000000}"/>
    <cellStyle name="Day Header 2" xfId="2" xr:uid="{00000000-0005-0000-0000-000001000000}"/>
    <cellStyle name="Good" xfId="3" builtinId="26"/>
    <cellStyle name="Hyperlink" xfId="4" builtinId="8"/>
    <cellStyle name="Normal" xfId="0" builtinId="0"/>
    <cellStyle name="Percent" xfId="5" builtinId="5"/>
  </cellStyles>
  <dxfs count="22">
    <dxf>
      <font>
        <color theme="0" tint="-4.9989318521683403E-2"/>
      </font>
    </dxf>
    <dxf>
      <font>
        <color theme="3" tint="0.89996032593768116"/>
      </font>
    </dxf>
    <dxf>
      <fill>
        <patternFill>
          <bgColor rgb="FFFF7C80"/>
        </patternFill>
      </fill>
    </dxf>
    <dxf>
      <fill>
        <patternFill>
          <bgColor rgb="FF00CC99"/>
        </patternFill>
      </fill>
    </dxf>
    <dxf>
      <font>
        <color theme="2"/>
      </font>
    </dxf>
    <dxf>
      <font>
        <color theme="2"/>
      </font>
    </dxf>
    <dxf>
      <numFmt numFmtId="13" formatCode="0%"/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numFmt numFmtId="167" formatCode="[$-409]dd\-mmm\-yy;@"/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theme="2" tint="-9.9887081514938816E-2"/>
        </top>
      </border>
    </dxf>
    <dxf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i val="0"/>
        <color theme="0"/>
      </font>
      <fill>
        <patternFill>
          <bgColor theme="7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top style="thin">
          <color theme="9" tint="0.79998168889431442"/>
        </top>
        <bottom style="thin">
          <color theme="9" tint="0.79998168889431442"/>
        </bottom>
      </border>
    </dxf>
  </dxfs>
  <tableStyles count="1" defaultTableStyle="TableStyleMedium2" defaultPivotStyle="PivotStyleLight16">
    <tableStyle name="TableStyleAnalysistabs" pivot="0" count="7" xr9:uid="{A89101B4-4DEB-4830-8418-31C346787C56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</tableStyles>
  <colors>
    <mruColors>
      <color rgb="FFE8F7FC"/>
      <color rgb="FFDAF2FA"/>
      <color rgb="FFFF7C80"/>
      <color rgb="FF00CC99"/>
      <color rgb="FFDDDDDD"/>
      <color rgb="FF99CCFF"/>
      <color rgb="FF00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04781982897299"/>
          <c:y val="5.9663895612115547E-2"/>
          <c:w val="0.63118719837439685"/>
          <c:h val="0.90110265214772045"/>
        </c:manualLayout>
      </c:layout>
      <c:doughnutChart>
        <c:varyColors val="1"/>
        <c:ser>
          <c:idx val="0"/>
          <c:order val="0"/>
          <c:spPr>
            <a:solidFill>
              <a:srgbClr val="FF7C80"/>
            </a:solidFill>
            <a:effectLst>
              <a:outerShdw blurRad="63500" sx="102000" sy="102000" algn="ctr" rotWithShape="0">
                <a:schemeClr val="accent4">
                  <a:lumMod val="50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chemeClr val="accent4"/>
              </a:solidFill>
              <a:effectLst>
                <a:outerShdw blurRad="63500" sx="102000" sy="102000" algn="ctr" rotWithShape="0">
                  <a:schemeClr val="accent4">
                    <a:lumMod val="50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8CB9-4A4C-9DC6-376D0CA5D64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effectLst>
                <a:outerShdw blurRad="63500" sx="102000" sy="102000" algn="ctr" rotWithShape="0">
                  <a:schemeClr val="accent4">
                    <a:lumMod val="50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2-8CB9-4A4C-9DC6-376D0CA5D640}"/>
              </c:ext>
            </c:extLst>
          </c:dPt>
          <c:val>
            <c:numRef>
              <c:f>Dashboard!$G$12:$G$13</c:f>
              <c:numCache>
                <c:formatCode>0%</c:formatCode>
                <c:ptCount val="2"/>
                <c:pt idx="0">
                  <c:v>0.48812499999999986</c:v>
                </c:pt>
                <c:pt idx="1">
                  <c:v>0.51187500000000008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B9-4A4C-9DC6-376D0CA5D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4697519142887073"/>
          <c:y val="1.4812502751871445E-2"/>
          <c:w val="0.60459713736049125"/>
          <c:h val="0.9648682548028945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Projects!$G$4</c:f>
              <c:strCache>
                <c:ptCount val="1"/>
                <c:pt idx="0">
                  <c:v>%Progress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0EE-4166-B45C-437E54179BA1}"/>
              </c:ext>
            </c:extLst>
          </c:dPt>
          <c:dLbls>
            <c:numFmt formatCode="[=0]\ ;0%" sourceLinked="0"/>
            <c:spPr>
              <a:noFill/>
            </c:spPr>
            <c:txPr>
              <a:bodyPr/>
              <a:lstStyle/>
              <a:p>
                <a:pPr>
                  <a:defRPr b="0">
                    <a:solidFill>
                      <a:schemeClr val="bg1"/>
                    </a:solidFill>
                    <a:latin typeface="Bahnschrift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Projects!$B$5:$B$15</c:f>
              <c:strCache>
                <c:ptCount val="11"/>
                <c:pt idx="0">
                  <c:v>All Projects</c:v>
                </c:pt>
                <c:pt idx="1">
                  <c:v>Project 1</c:v>
                </c:pt>
                <c:pt idx="2">
                  <c:v>Project 2</c:v>
                </c:pt>
                <c:pt idx="3">
                  <c:v>Project 3</c:v>
                </c:pt>
                <c:pt idx="4">
                  <c:v>Project 4</c:v>
                </c:pt>
                <c:pt idx="5">
                  <c:v>Project 5</c:v>
                </c:pt>
                <c:pt idx="6">
                  <c:v>Project 6</c:v>
                </c:pt>
                <c:pt idx="7">
                  <c:v>Project 7</c:v>
                </c:pt>
                <c:pt idx="8">
                  <c:v>Project 8</c:v>
                </c:pt>
                <c:pt idx="9">
                  <c:v>Project 9</c:v>
                </c:pt>
                <c:pt idx="10">
                  <c:v>Project 10</c:v>
                </c:pt>
              </c:strCache>
            </c:strRef>
          </c:cat>
          <c:val>
            <c:numRef>
              <c:f>Projects!$G$5:$G$15</c:f>
              <c:numCache>
                <c:formatCode>0%</c:formatCode>
                <c:ptCount val="11"/>
                <c:pt idx="0">
                  <c:v>0.48812499999999986</c:v>
                </c:pt>
                <c:pt idx="1">
                  <c:v>0.49499999999999994</c:v>
                </c:pt>
                <c:pt idx="2">
                  <c:v>0.54999999999999993</c:v>
                </c:pt>
                <c:pt idx="3">
                  <c:v>0.74</c:v>
                </c:pt>
                <c:pt idx="4">
                  <c:v>0.23571428571428574</c:v>
                </c:pt>
                <c:pt idx="5">
                  <c:v>0.67500000000000004</c:v>
                </c:pt>
                <c:pt idx="6">
                  <c:v>0.5</c:v>
                </c:pt>
                <c:pt idx="7">
                  <c:v>0.41111111111111115</c:v>
                </c:pt>
                <c:pt idx="8">
                  <c:v>0.41818181818181821</c:v>
                </c:pt>
                <c:pt idx="9">
                  <c:v>0.57499999999999996</c:v>
                </c:pt>
                <c:pt idx="10">
                  <c:v>0.40625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9-411D-8447-6089E4F704CF}"/>
            </c:ext>
          </c:extLst>
        </c:ser>
        <c:ser>
          <c:idx val="1"/>
          <c:order val="1"/>
          <c:tx>
            <c:strRef>
              <c:f>Projects!$H$4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</c:spPr>
          <c:invertIfNegative val="0"/>
          <c:cat>
            <c:strRef>
              <c:f>Projects!$B$5:$B$15</c:f>
              <c:strCache>
                <c:ptCount val="11"/>
                <c:pt idx="0">
                  <c:v>All Projects</c:v>
                </c:pt>
                <c:pt idx="1">
                  <c:v>Project 1</c:v>
                </c:pt>
                <c:pt idx="2">
                  <c:v>Project 2</c:v>
                </c:pt>
                <c:pt idx="3">
                  <c:v>Project 3</c:v>
                </c:pt>
                <c:pt idx="4">
                  <c:v>Project 4</c:v>
                </c:pt>
                <c:pt idx="5">
                  <c:v>Project 5</c:v>
                </c:pt>
                <c:pt idx="6">
                  <c:v>Project 6</c:v>
                </c:pt>
                <c:pt idx="7">
                  <c:v>Project 7</c:v>
                </c:pt>
                <c:pt idx="8">
                  <c:v>Project 8</c:v>
                </c:pt>
                <c:pt idx="9">
                  <c:v>Project 9</c:v>
                </c:pt>
                <c:pt idx="10">
                  <c:v>Project 10</c:v>
                </c:pt>
              </c:strCache>
            </c:strRef>
          </c:cat>
          <c:val>
            <c:numRef>
              <c:f>Projects!$H$5:$H$15</c:f>
              <c:numCache>
                <c:formatCode>0%</c:formatCode>
                <c:ptCount val="11"/>
                <c:pt idx="0">
                  <c:v>0.51187500000000008</c:v>
                </c:pt>
                <c:pt idx="1">
                  <c:v>0.50500000000000012</c:v>
                </c:pt>
                <c:pt idx="2">
                  <c:v>0.45000000000000007</c:v>
                </c:pt>
                <c:pt idx="3">
                  <c:v>0.26</c:v>
                </c:pt>
                <c:pt idx="4">
                  <c:v>0.76428571428571423</c:v>
                </c:pt>
                <c:pt idx="5">
                  <c:v>0.32499999999999996</c:v>
                </c:pt>
                <c:pt idx="6">
                  <c:v>0.5</c:v>
                </c:pt>
                <c:pt idx="7">
                  <c:v>0.5888888888888888</c:v>
                </c:pt>
                <c:pt idx="8">
                  <c:v>0.58181818181818179</c:v>
                </c:pt>
                <c:pt idx="9">
                  <c:v>0.42500000000000004</c:v>
                </c:pt>
                <c:pt idx="10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9-411D-8447-6089E4F70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100"/>
        <c:axId val="65108608"/>
        <c:axId val="65114496"/>
      </c:barChart>
      <c:catAx>
        <c:axId val="6510860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Bahnschrift" panose="020B0502040204020203" pitchFamily="34" charset="0"/>
              </a:defRPr>
            </a:pPr>
            <a:endParaRPr lang="en-US"/>
          </a:p>
        </c:txPr>
        <c:crossAx val="65114496"/>
        <c:crosses val="autoZero"/>
        <c:auto val="1"/>
        <c:lblAlgn val="ctr"/>
        <c:lblOffset val="100"/>
        <c:noMultiLvlLbl val="0"/>
      </c:catAx>
      <c:valAx>
        <c:axId val="65114496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651086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Z$1" horiz="1" max="100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sistabs.org/product/simple-multiple-project-tracking-template-excel/?utm_source=xlx&amp;utm_medium=xlmpplan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hyperlink" Target="https://analysistabs.org/?utm_source=xlx&amp;utm_medium=xlmpplan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analysistabs.org/?utm_source=xlx&amp;utm_medium=xlmpplan" TargetMode="External"/><Relationship Id="rId1" Type="http://schemas.openxmlformats.org/officeDocument/2006/relationships/hyperlink" Target="https://analysistabs.org/product/simple-multiple-project-tracking-template-excel/?utm_source=xlx&amp;utm_medium=xlmpplan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sistabs.org/?utm_source=xlx&amp;utm_medium=xlmppl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0</xdr:row>
          <xdr:rowOff>137160</xdr:rowOff>
        </xdr:from>
        <xdr:to>
          <xdr:col>24</xdr:col>
          <xdr:colOff>259080</xdr:colOff>
          <xdr:row>0</xdr:row>
          <xdr:rowOff>403860</xdr:rowOff>
        </xdr:to>
        <xdr:sp macro="" textlink="">
          <xdr:nvSpPr>
            <xdr:cNvPr id="1056" name="Scroll Bar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1685925</xdr:colOff>
      <xdr:row>3</xdr:row>
      <xdr:rowOff>21770</xdr:rowOff>
    </xdr:from>
    <xdr:to>
      <xdr:col>6</xdr:col>
      <xdr:colOff>1219200</xdr:colOff>
      <xdr:row>8</xdr:row>
      <xdr:rowOff>130627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78105</xdr:colOff>
      <xdr:row>5</xdr:row>
      <xdr:rowOff>47625</xdr:rowOff>
    </xdr:from>
    <xdr:to>
      <xdr:col>6</xdr:col>
      <xdr:colOff>992505</xdr:colOff>
      <xdr:row>6</xdr:row>
      <xdr:rowOff>180976</xdr:rowOff>
    </xdr:to>
    <xdr:sp macro="" textlink="$G$12:$G$12">
      <xdr:nvSpPr>
        <xdr:cNvPr id="1027" name="Ribbon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/>
        </xdr:cNvSpPr>
      </xdr:nvSpPr>
      <xdr:spPr bwMode="auto">
        <a:xfrm>
          <a:off x="4564380" y="1333500"/>
          <a:ext cx="914400" cy="323851"/>
        </a:xfrm>
        <a:prstGeom prst="rect">
          <a:avLst/>
        </a:prstGeom>
        <a:noFill/>
        <a:ln>
          <a:noFill/>
        </a:ln>
      </xdr:spPr>
      <xdr:txBody>
        <a:bodyPr lIns="0" tIns="0" rIns="0" bIns="0" anchor="ctr"/>
        <a:lstStyle/>
        <a:p>
          <a:pPr algn="ctr"/>
          <a:fld id="{FF521F5B-1B51-43E4-A00E-53D9FD9E7D42}" type="TxLink">
            <a:rPr lang="en-US" sz="1800" b="0" i="0" u="none" strike="noStrike">
              <a:solidFill>
                <a:schemeClr val="accent4"/>
              </a:solidFill>
              <a:latin typeface="Bahnschrift" panose="020B0502040204020203" pitchFamily="34" charset="0"/>
            </a:rPr>
            <a:pPr algn="ctr"/>
            <a:t>49%</a:t>
          </a:fld>
          <a:endParaRPr lang="en-US" sz="1800" b="0">
            <a:solidFill>
              <a:schemeClr val="accent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54429</xdr:colOff>
      <xdr:row>3</xdr:row>
      <xdr:rowOff>59872</xdr:rowOff>
    </xdr:from>
    <xdr:to>
      <xdr:col>3</xdr:col>
      <xdr:colOff>1426030</xdr:colOff>
      <xdr:row>26</xdr:row>
      <xdr:rowOff>125186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756557</xdr:colOff>
      <xdr:row>30</xdr:row>
      <xdr:rowOff>92528</xdr:rowOff>
    </xdr:from>
    <xdr:to>
      <xdr:col>12</xdr:col>
      <xdr:colOff>506185</xdr:colOff>
      <xdr:row>31</xdr:row>
      <xdr:rowOff>244928</xdr:rowOff>
    </xdr:to>
    <xdr:sp macro="" textlink="">
      <xdr:nvSpPr>
        <xdr:cNvPr id="3" name="Rounded 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29FD22-C11B-4814-90E6-09B7C400CFBF}"/>
            </a:ext>
          </a:extLst>
        </xdr:cNvPr>
        <xdr:cNvSpPr/>
      </xdr:nvSpPr>
      <xdr:spPr>
        <a:xfrm>
          <a:off x="7766957" y="7200899"/>
          <a:ext cx="2264228" cy="457200"/>
        </a:xfrm>
        <a:prstGeom prst="roundRect">
          <a:avLst>
            <a:gd name="adj" fmla="val 20218"/>
          </a:avLst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600" b="0" i="0">
              <a:solidFill>
                <a:schemeClr val="lt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4</a:t>
          </a:r>
          <a:r>
            <a:rPr lang="nl-NL" sz="1600" b="0" i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Get the Full Version</a:t>
          </a:r>
          <a:endParaRPr lang="nl-NL" sz="2000" b="0" i="0">
            <a:solidFill>
              <a:schemeClr val="bg1"/>
            </a:solidFill>
            <a:effectLst/>
            <a:latin typeface="Webdings" panose="05030102010509060703" pitchFamily="18" charset="2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473527</xdr:colOff>
      <xdr:row>29</xdr:row>
      <xdr:rowOff>195942</xdr:rowOff>
    </xdr:from>
    <xdr:to>
      <xdr:col>26</xdr:col>
      <xdr:colOff>65314</xdr:colOff>
      <xdr:row>32</xdr:row>
      <xdr:rowOff>76200</xdr:rowOff>
    </xdr:to>
    <xdr:sp macro="" textlink="">
      <xdr:nvSpPr>
        <xdr:cNvPr id="5" name="Rounded Rectangle 6">
          <a:hlinkClick xmlns:r="http://schemas.openxmlformats.org/officeDocument/2006/relationships" r:id="rId4" tooltip="120+ Premium Project Management Templates"/>
          <a:extLst>
            <a:ext uri="{FF2B5EF4-FFF2-40B4-BE49-F238E27FC236}">
              <a16:creationId xmlns:a16="http://schemas.microsoft.com/office/drawing/2014/main" id="{599E19FE-1865-410D-B59C-838A34ED8505}"/>
            </a:ext>
          </a:extLst>
        </xdr:cNvPr>
        <xdr:cNvSpPr/>
      </xdr:nvSpPr>
      <xdr:spPr>
        <a:xfrm>
          <a:off x="14015356" y="5927271"/>
          <a:ext cx="3380015" cy="794658"/>
        </a:xfrm>
        <a:prstGeom prst="roundRect">
          <a:avLst>
            <a:gd name="adj" fmla="val 16216"/>
          </a:avLst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600" b="1" i="0">
              <a:solidFill>
                <a:schemeClr val="bg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4</a:t>
          </a:r>
          <a:r>
            <a:rPr lang="nl-NL" sz="1600" b="1" i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Check</a:t>
          </a:r>
          <a:r>
            <a:rPr lang="nl-NL" sz="1600" b="1" i="0" baseline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120+ Premium</a:t>
          </a:r>
          <a:br>
            <a:rPr lang="nl-NL" sz="1600" b="1" i="0" baseline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</a:br>
          <a:r>
            <a:rPr lang="nl-NL" sz="1600" b="1" i="0" baseline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Project Management Templates</a:t>
          </a:r>
          <a:endParaRPr lang="nl-NL" sz="1600" b="1" i="0">
            <a:solidFill>
              <a:schemeClr val="bg1"/>
            </a:solidFill>
            <a:effectLst/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3</xdr:row>
      <xdr:rowOff>66675</xdr:rowOff>
    </xdr:from>
    <xdr:to>
      <xdr:col>0</xdr:col>
      <xdr:colOff>1571625</xdr:colOff>
      <xdr:row>10</xdr:row>
      <xdr:rowOff>76200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4" y="572861"/>
          <a:ext cx="1409701" cy="1647825"/>
        </a:xfrm>
        <a:prstGeom prst="wedgeRoundRectCallout">
          <a:avLst>
            <a:gd name="adj1" fmla="val 66612"/>
            <a:gd name="adj2" fmla="val -20905"/>
            <a:gd name="adj3" fmla="val 16667"/>
          </a:avLst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4"/>
              </a:solidFill>
            </a:rPr>
            <a:t>1. </a:t>
          </a:r>
        </a:p>
        <a:p>
          <a:pPr algn="l"/>
          <a:r>
            <a:rPr lang="en-IN" sz="1600" b="1">
              <a:solidFill>
                <a:schemeClr val="accent4"/>
              </a:solidFill>
            </a:rPr>
            <a:t>Input Your</a:t>
          </a:r>
          <a:r>
            <a:rPr lang="en-IN" sz="1600" b="1" baseline="0">
              <a:solidFill>
                <a:schemeClr val="accent4"/>
              </a:solidFill>
            </a:rPr>
            <a:t> Project Titles Here</a:t>
          </a:r>
          <a:endParaRPr lang="en-IN" sz="1600" b="1">
            <a:solidFill>
              <a:schemeClr val="accent4"/>
            </a:solidFill>
          </a:endParaRPr>
        </a:p>
      </xdr:txBody>
    </xdr:sp>
    <xdr:clientData/>
  </xdr:twoCellAnchor>
  <xdr:twoCellAnchor>
    <xdr:from>
      <xdr:col>6</xdr:col>
      <xdr:colOff>480062</xdr:colOff>
      <xdr:row>17</xdr:row>
      <xdr:rowOff>136071</xdr:rowOff>
    </xdr:from>
    <xdr:to>
      <xdr:col>7</xdr:col>
      <xdr:colOff>1005842</xdr:colOff>
      <xdr:row>20</xdr:row>
      <xdr:rowOff>38099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AF7CEB-C395-4102-9D57-E6674770D9AF}"/>
            </a:ext>
          </a:extLst>
        </xdr:cNvPr>
        <xdr:cNvSpPr/>
      </xdr:nvSpPr>
      <xdr:spPr>
        <a:xfrm>
          <a:off x="7991205" y="4479471"/>
          <a:ext cx="2926080" cy="457199"/>
        </a:xfrm>
        <a:prstGeom prst="roundRect">
          <a:avLst>
            <a:gd name="adj" fmla="val 20218"/>
          </a:avLst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600" b="0" i="0">
              <a:solidFill>
                <a:schemeClr val="lt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4</a:t>
          </a:r>
          <a:r>
            <a:rPr lang="nl-NL" sz="1600" b="0" i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Get the Full Version</a:t>
          </a:r>
          <a:endParaRPr lang="nl-NL" sz="2000" b="0" i="0">
            <a:solidFill>
              <a:schemeClr val="bg1"/>
            </a:solidFill>
            <a:effectLst/>
            <a:latin typeface="Webdings" panose="05030102010509060703" pitchFamily="18" charset="2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97974</xdr:colOff>
      <xdr:row>20</xdr:row>
      <xdr:rowOff>185056</xdr:rowOff>
    </xdr:from>
    <xdr:to>
      <xdr:col>7</xdr:col>
      <xdr:colOff>1387930</xdr:colOff>
      <xdr:row>20</xdr:row>
      <xdr:rowOff>979714</xdr:rowOff>
    </xdr:to>
    <xdr:sp macro="" textlink="">
      <xdr:nvSpPr>
        <xdr:cNvPr id="8" name="Rounded Rectangle 6">
          <a:hlinkClick xmlns:r="http://schemas.openxmlformats.org/officeDocument/2006/relationships" r:id="rId2" tooltip="120+ Premium Project Management Templates"/>
          <a:extLst>
            <a:ext uri="{FF2B5EF4-FFF2-40B4-BE49-F238E27FC236}">
              <a16:creationId xmlns:a16="http://schemas.microsoft.com/office/drawing/2014/main" id="{90842229-B9BE-4F54-827B-A957E26C59BE}"/>
            </a:ext>
          </a:extLst>
        </xdr:cNvPr>
        <xdr:cNvSpPr/>
      </xdr:nvSpPr>
      <xdr:spPr>
        <a:xfrm>
          <a:off x="7609117" y="5083627"/>
          <a:ext cx="3690256" cy="794658"/>
        </a:xfrm>
        <a:prstGeom prst="roundRect">
          <a:avLst>
            <a:gd name="adj" fmla="val 16216"/>
          </a:avLst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600" b="1" i="0">
              <a:solidFill>
                <a:schemeClr val="bg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4</a:t>
          </a:r>
          <a:r>
            <a:rPr lang="nl-NL" sz="1600" b="1" i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Check</a:t>
          </a:r>
          <a:r>
            <a:rPr lang="nl-NL" sz="1600" b="1" i="0" baseline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120+ Premium</a:t>
          </a:r>
          <a:br>
            <a:rPr lang="nl-NL" sz="1600" b="1" i="0" baseline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</a:br>
          <a:r>
            <a:rPr lang="nl-NL" sz="1600" b="1" i="0" baseline="0">
              <a:solidFill>
                <a:schemeClr val="bg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Project Management Templates</a:t>
          </a:r>
          <a:endParaRPr lang="nl-NL" sz="1600" b="1" i="0">
            <a:solidFill>
              <a:schemeClr val="bg1"/>
            </a:solidFill>
            <a:effectLst/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57150</xdr:rowOff>
    </xdr:from>
    <xdr:to>
      <xdr:col>11</xdr:col>
      <xdr:colOff>66675</xdr:colOff>
      <xdr:row>7</xdr:row>
      <xdr:rowOff>47625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943850" y="57150"/>
          <a:ext cx="2219325" cy="1447800"/>
        </a:xfrm>
        <a:prstGeom prst="wedgeRoundRectCallout">
          <a:avLst>
            <a:gd name="adj1" fmla="val -58610"/>
            <a:gd name="adj2" fmla="val -22377"/>
            <a:gd name="adj3" fmla="val 16667"/>
          </a:avLst>
        </a:prstGeom>
        <a:solidFill>
          <a:schemeClr val="bg1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4"/>
              </a:solidFill>
            </a:rPr>
            <a:t>2.</a:t>
          </a:r>
        </a:p>
        <a:p>
          <a:pPr algn="l"/>
          <a:r>
            <a:rPr lang="en-IN" sz="1600" b="1">
              <a:solidFill>
                <a:schemeClr val="accent4"/>
              </a:solidFill>
            </a:rPr>
            <a:t> Input Your</a:t>
          </a:r>
          <a:r>
            <a:rPr lang="en-IN" sz="1600" b="1" baseline="0">
              <a:solidFill>
                <a:schemeClr val="accent4"/>
              </a:solidFill>
            </a:rPr>
            <a:t> Tasks of Your Project and Respective Timelines</a:t>
          </a:r>
          <a:endParaRPr lang="en-IN" sz="1600" b="1">
            <a:solidFill>
              <a:schemeClr val="accent4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133350</xdr:rowOff>
    </xdr:from>
    <xdr:to>
      <xdr:col>16</xdr:col>
      <xdr:colOff>19050</xdr:colOff>
      <xdr:row>116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10991850"/>
          <a:ext cx="9163050" cy="510540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nl-NL"/>
        </a:p>
      </xdr:txBody>
    </xdr:sp>
    <xdr:clientData/>
  </xdr:twoCellAnchor>
  <xdr:twoCellAnchor editAs="oneCell">
    <xdr:from>
      <xdr:col>1</xdr:col>
      <xdr:colOff>485775</xdr:colOff>
      <xdr:row>37</xdr:row>
      <xdr:rowOff>114300</xdr:rowOff>
    </xdr:from>
    <xdr:to>
      <xdr:col>14</xdr:col>
      <xdr:colOff>276225</xdr:colOff>
      <xdr:row>82</xdr:row>
      <xdr:rowOff>161925</xdr:rowOff>
    </xdr:to>
    <xdr:pic>
      <xdr:nvPicPr>
        <xdr:cNvPr id="4140" name="Picture 3">
          <a:extLst>
            <a:ext uri="{FF2B5EF4-FFF2-40B4-BE49-F238E27FC236}">
              <a16:creationId xmlns:a16="http://schemas.microsoft.com/office/drawing/2014/main" id="{00000000-0008-0000-0400-00002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66800"/>
          <a:ext cx="7715250" cy="862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590550</xdr:colOff>
      <xdr:row>1</xdr:row>
      <xdr:rowOff>19050</xdr:rowOff>
    </xdr:from>
    <xdr:to>
      <xdr:col>11</xdr:col>
      <xdr:colOff>466725</xdr:colOff>
      <xdr:row>4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90550" y="209550"/>
          <a:ext cx="5972175" cy="638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2000" b="1" i="0">
              <a:solidFill>
                <a:schemeClr val="accent4"/>
              </a:solidFill>
              <a:effectLst/>
              <a:latin typeface="Bell Gothic Std Black" pitchFamily="34" charset="0"/>
              <a:ea typeface="+mn-ea"/>
              <a:cs typeface="+mn-cs"/>
            </a:rPr>
            <a:t>Ultimate Project Plan Advanced Excel Template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400" b="0" i="0">
              <a:solidFill>
                <a:schemeClr val="accent6"/>
              </a:solidFill>
              <a:effectLst/>
              <a:latin typeface="Bell Gothic Std Black" pitchFamily="34" charset="0"/>
              <a:ea typeface="+mn-ea"/>
              <a:cs typeface="+mn-cs"/>
            </a:rPr>
            <a:t>The Most Powerful Project Planning Template on the Market</a:t>
          </a:r>
          <a:endParaRPr lang="nl-NL" sz="1050">
            <a:solidFill>
              <a:schemeClr val="accent6"/>
            </a:solidFill>
            <a:latin typeface="Bell Gothic Std Black" pitchFamily="34" charset="0"/>
          </a:endParaRPr>
        </a:p>
      </xdr:txBody>
    </xdr:sp>
    <xdr:clientData/>
  </xdr:twoCellAnchor>
  <xdr:twoCellAnchor>
    <xdr:from>
      <xdr:col>12</xdr:col>
      <xdr:colOff>57151</xdr:colOff>
      <xdr:row>2</xdr:row>
      <xdr:rowOff>9525</xdr:rowOff>
    </xdr:from>
    <xdr:to>
      <xdr:col>14</xdr:col>
      <xdr:colOff>381001</xdr:colOff>
      <xdr:row>4</xdr:row>
      <xdr:rowOff>66675</xdr:rowOff>
    </xdr:to>
    <xdr:sp macro="" textlink="">
      <xdr:nvSpPr>
        <xdr:cNvPr id="7" name="Rectangle 6">
          <a:hlinkClick xmlns:r="http://schemas.openxmlformats.org/officeDocument/2006/relationships" r:id="rId3" tooltip="Ultimate Project Plan Advanced Excel Templat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762751" y="390525"/>
          <a:ext cx="1543050" cy="438150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View Details </a:t>
          </a:r>
          <a:r>
            <a:rPr lang="nl-NL" sz="1600" b="1" i="0">
              <a:solidFill>
                <a:schemeClr val="bg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</xdr:col>
      <xdr:colOff>285750</xdr:colOff>
      <xdr:row>85</xdr:row>
      <xdr:rowOff>19050</xdr:rowOff>
    </xdr:from>
    <xdr:to>
      <xdr:col>11</xdr:col>
      <xdr:colOff>161925</xdr:colOff>
      <xdr:row>89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85750" y="10115550"/>
          <a:ext cx="5972175" cy="762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2000" b="1" i="0">
              <a:solidFill>
                <a:schemeClr val="accent4"/>
              </a:solidFill>
              <a:effectLst/>
              <a:latin typeface="Bell Gothic Std Black" pitchFamily="34" charset="0"/>
              <a:ea typeface="+mn-ea"/>
              <a:cs typeface="+mn-cs"/>
            </a:rPr>
            <a:t>Our Most Popular Project Management </a:t>
          </a:r>
          <a:r>
            <a:rPr lang="nl-NL" sz="2000" b="1" i="0" baseline="0">
              <a:solidFill>
                <a:schemeClr val="accent4"/>
              </a:solidFill>
              <a:effectLst/>
              <a:latin typeface="Bell Gothic Std Black" pitchFamily="34" charset="0"/>
              <a:ea typeface="+mn-ea"/>
              <a:cs typeface="+mn-cs"/>
            </a:rPr>
            <a:t>Templates </a:t>
          </a:r>
          <a:endParaRPr lang="nl-NL" sz="2000" b="1" i="0">
            <a:solidFill>
              <a:schemeClr val="accent4"/>
            </a:solidFill>
            <a:effectLst/>
            <a:latin typeface="Bell Gothic Std Black" pitchFamily="34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400" b="0" i="0">
              <a:solidFill>
                <a:schemeClr val="accent6"/>
              </a:solidFill>
              <a:effectLst/>
              <a:latin typeface="Bell Gothic Std Black" pitchFamily="34" charset="0"/>
              <a:ea typeface="+mn-ea"/>
              <a:cs typeface="+mn-cs"/>
            </a:rPr>
            <a:t>Excel Templates</a:t>
          </a:r>
          <a:r>
            <a:rPr lang="nl-NL" sz="1400" b="0" i="0" baseline="0">
              <a:solidFill>
                <a:schemeClr val="accent6"/>
              </a:solidFill>
              <a:effectLst/>
              <a:latin typeface="Bell Gothic Std Black" pitchFamily="34" charset="0"/>
              <a:ea typeface="+mn-ea"/>
              <a:cs typeface="+mn-cs"/>
            </a:rPr>
            <a:t> |</a:t>
          </a:r>
          <a:r>
            <a:rPr lang="nl-NL" sz="1400" b="0" i="0">
              <a:solidFill>
                <a:schemeClr val="accent6"/>
              </a:solidFill>
              <a:effectLst/>
              <a:latin typeface="Bell Gothic Std Black" pitchFamily="34" charset="0"/>
              <a:ea typeface="+mn-ea"/>
              <a:cs typeface="+mn-cs"/>
            </a:rPr>
            <a:t> PowerPoint</a:t>
          </a:r>
          <a:r>
            <a:rPr lang="nl-NL" sz="1400" b="0" i="0" baseline="0">
              <a:solidFill>
                <a:schemeClr val="accent6"/>
              </a:solidFill>
              <a:effectLst/>
              <a:latin typeface="Bell Gothic Std Black" pitchFamily="34" charset="0"/>
              <a:ea typeface="+mn-ea"/>
              <a:cs typeface="+mn-cs"/>
            </a:rPr>
            <a:t> Templates | MS Word Templates</a:t>
          </a:r>
          <a:endParaRPr lang="nl-NL" sz="1050">
            <a:solidFill>
              <a:schemeClr val="accent6"/>
            </a:solidFill>
            <a:latin typeface="Bell Gothic Std Black" pitchFamily="34" charset="0"/>
          </a:endParaRPr>
        </a:p>
      </xdr:txBody>
    </xdr:sp>
    <xdr:clientData/>
  </xdr:twoCellAnchor>
  <xdr:twoCellAnchor>
    <xdr:from>
      <xdr:col>11</xdr:col>
      <xdr:colOff>495300</xdr:colOff>
      <xdr:row>85</xdr:row>
      <xdr:rowOff>171450</xdr:rowOff>
    </xdr:from>
    <xdr:to>
      <xdr:col>15</xdr:col>
      <xdr:colOff>447675</xdr:colOff>
      <xdr:row>88</xdr:row>
      <xdr:rowOff>47625</xdr:rowOff>
    </xdr:to>
    <xdr:sp macro="" textlink="">
      <xdr:nvSpPr>
        <xdr:cNvPr id="9" name="Rectangle 8">
          <a:hlinkClick xmlns:r="http://schemas.openxmlformats.org/officeDocument/2006/relationships" r:id="rId3" tooltip="Analysistabs Project Management Templates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591300" y="10267950"/>
          <a:ext cx="2390775" cy="447675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Browse All Templates</a:t>
          </a:r>
          <a:r>
            <a:rPr lang="nl-NL" sz="1600" b="1" i="0">
              <a:solidFill>
                <a:schemeClr val="bg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4</a:t>
          </a:r>
          <a:endParaRPr lang="nl-NL" sz="900">
            <a:solidFill>
              <a:schemeClr val="bg1"/>
            </a:solidFill>
            <a:latin typeface="Webdings" panose="05030102010509060703" pitchFamily="18" charset="2"/>
          </a:endParaRPr>
        </a:p>
      </xdr:txBody>
    </xdr:sp>
    <xdr:clientData/>
  </xdr:twoCellAnchor>
  <xdr:twoCellAnchor editAs="oneCell">
    <xdr:from>
      <xdr:col>1</xdr:col>
      <xdr:colOff>9525</xdr:colOff>
      <xdr:row>6</xdr:row>
      <xdr:rowOff>28575</xdr:rowOff>
    </xdr:from>
    <xdr:to>
      <xdr:col>15</xdr:col>
      <xdr:colOff>0</xdr:colOff>
      <xdr:row>35</xdr:row>
      <xdr:rowOff>170232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1171575"/>
          <a:ext cx="8524875" cy="56661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yDriveBang\AT\PremiumTemplates\ATPM%20New%20Templates%20-2024\Budget%20Templates\V1%2002%20Annual\V1%20Annual%20Final\Analysistabs%2002%20Annual%20Budget%20Template%20V1%20With%20Sample%20Data.xlsx" TargetMode="External"/><Relationship Id="rId1" Type="http://schemas.openxmlformats.org/officeDocument/2006/relationships/externalLinkPath" Target="file:///E:\MyDriveBang\AT\PremiumTemplates\ATPM%20New%20Templates%20-2024\Budget%20Templates\V1%2002%20Annual\V1%20Annual%20Final\Analysistabs%2002%20Annual%20Budget%20Template%20V1%20With%20Sample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ummary"/>
      <sheetName val="HeatMap"/>
      <sheetName val="Smart Calendar"/>
      <sheetName val="Transaction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ask Manager"/>
      <sheetName val="Reflections"/>
      <sheetName val="GoalPlanner"/>
      <sheetName val="Smart Tools"/>
      <sheetName val="Setup"/>
      <sheetName val="Calculations"/>
      <sheetName val="ReadMe"/>
      <sheetName val="Lic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0">
          <cell r="K20">
            <v>1</v>
          </cell>
        </row>
      </sheetData>
      <sheetData sheetId="22">
        <row r="14">
          <cell r="K14" t="str">
            <v>Income</v>
          </cell>
        </row>
        <row r="15">
          <cell r="K15" t="str">
            <v>Bills</v>
          </cell>
        </row>
        <row r="16">
          <cell r="K16" t="str">
            <v>Subscriptions</v>
          </cell>
        </row>
        <row r="17">
          <cell r="K17" t="str">
            <v>Expenses</v>
          </cell>
        </row>
        <row r="18">
          <cell r="K18" t="str">
            <v>Debts</v>
          </cell>
        </row>
        <row r="19">
          <cell r="K19" t="str">
            <v>Savings</v>
          </cell>
        </row>
      </sheetData>
      <sheetData sheetId="23" refreshError="1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G100" totalsRowShown="0" headerRowDxfId="14" dataDxfId="13" tableBorderDxfId="12">
  <tableColumns count="6">
    <tableColumn id="6" xr3:uid="{00000000-0010-0000-0000-000006000000}" name="Project" dataDxfId="11"/>
    <tableColumn id="1" xr3:uid="{00000000-0010-0000-0000-000001000000}" name="Task" dataDxfId="10"/>
    <tableColumn id="2" xr3:uid="{00000000-0010-0000-0000-000002000000}" name="Responsible" dataDxfId="9"/>
    <tableColumn id="3" xr3:uid="{00000000-0010-0000-0000-000003000000}" name="Start Date" dataDxfId="8"/>
    <tableColumn id="4" xr3:uid="{00000000-0010-0000-0000-000004000000}" name="Days Required" dataDxfId="7"/>
    <tableColumn id="5" xr3:uid="{00000000-0010-0000-0000-000005000000}" name="Progress" dataDxfId="6"/>
  </tableColumns>
  <tableStyleInfo name="TableStyleAnalysistab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nalysistabs CT MC2">
      <a:dk1>
        <a:srgbClr val="262626"/>
      </a:dk1>
      <a:lt1>
        <a:srgbClr val="FFFFFF"/>
      </a:lt1>
      <a:dk2>
        <a:srgbClr val="262626"/>
      </a:dk2>
      <a:lt2>
        <a:srgbClr val="FFFFFF"/>
      </a:lt2>
      <a:accent1>
        <a:srgbClr val="E03D12"/>
      </a:accent1>
      <a:accent2>
        <a:srgbClr val="FAB60D"/>
      </a:accent2>
      <a:accent3>
        <a:srgbClr val="36CD5A"/>
      </a:accent3>
      <a:accent4>
        <a:srgbClr val="1E9ECD"/>
      </a:accent4>
      <a:accent5>
        <a:srgbClr val="B7EA43"/>
      </a:accent5>
      <a:accent6>
        <a:srgbClr val="49526F"/>
      </a:accent6>
      <a:hlink>
        <a:srgbClr val="FFFFF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7"/>
  </sheetPr>
  <dimension ref="A1:AI33"/>
  <sheetViews>
    <sheetView showGridLines="0" showRowColHeaders="0" tabSelected="1" topLeftCell="A2" zoomScaleNormal="100" workbookViewId="0">
      <selection activeCell="K8" sqref="K8"/>
    </sheetView>
  </sheetViews>
  <sheetFormatPr defaultColWidth="0" defaultRowHeight="14.4" zeroHeight="1"/>
  <cols>
    <col min="1" max="1" width="0.5546875" customWidth="1"/>
    <col min="2" max="2" width="0.44140625" customWidth="1"/>
    <col min="3" max="4" width="21.33203125" customWidth="1"/>
    <col min="5" max="5" width="23.88671875" customWidth="1"/>
    <col min="6" max="6" width="3.6640625" customWidth="1"/>
    <col min="7" max="7" width="20.109375" customWidth="1"/>
    <col min="8" max="8" width="1.5546875" customWidth="1"/>
    <col min="9" max="9" width="6.109375" customWidth="1"/>
    <col min="10" max="10" width="3.88671875" hidden="1" customWidth="1"/>
    <col min="11" max="11" width="24.88671875" style="13" customWidth="1"/>
    <col min="12" max="12" width="10.6640625" customWidth="1"/>
    <col min="13" max="14" width="10.77734375" customWidth="1"/>
    <col min="15" max="15" width="6.33203125" style="68" customWidth="1"/>
    <col min="16" max="16" width="6.6640625" customWidth="1"/>
    <col min="17" max="17" width="6.33203125" style="68" customWidth="1"/>
    <col min="18" max="18" width="12.6640625" hidden="1" customWidth="1"/>
    <col min="19" max="34" width="5.6640625" style="59" customWidth="1"/>
    <col min="35" max="35" width="1" style="59" customWidth="1"/>
    <col min="36" max="16384" width="0" style="59" hidden="1"/>
  </cols>
  <sheetData>
    <row r="1" spans="1:35" customFormat="1" ht="40.049999999999997" customHeight="1" thickBot="1">
      <c r="C1" s="137" t="s">
        <v>132</v>
      </c>
      <c r="D1" s="138"/>
      <c r="E1" s="138"/>
      <c r="F1" s="138"/>
      <c r="G1" s="138"/>
      <c r="H1" s="138"/>
      <c r="I1" s="138"/>
      <c r="J1" s="63"/>
      <c r="K1" s="136" t="s">
        <v>23</v>
      </c>
      <c r="L1" s="145" t="str">
        <f>IFERROR(VLOOKUP(K1,Projects!B5:C15,2,FALSE)&amp;" Tasks Found","&lt;&lt; Please Select a Project")</f>
        <v>80 Tasks Found</v>
      </c>
      <c r="M1" s="145"/>
      <c r="N1" s="145"/>
      <c r="O1" s="145"/>
      <c r="P1" s="145"/>
      <c r="Q1" s="145"/>
      <c r="R1" s="23"/>
      <c r="S1" s="123" t="s">
        <v>14</v>
      </c>
      <c r="T1" s="28"/>
      <c r="U1" s="28"/>
      <c r="V1" s="28"/>
      <c r="W1" s="28"/>
      <c r="X1" s="28"/>
      <c r="Y1" s="28"/>
      <c r="Z1" s="122">
        <v>0</v>
      </c>
      <c r="AA1" s="28"/>
      <c r="AB1" s="29"/>
      <c r="AC1" s="29"/>
      <c r="AD1" s="29"/>
      <c r="AE1" s="30"/>
      <c r="AF1" s="29"/>
      <c r="AG1" s="29"/>
      <c r="AH1" s="29"/>
    </row>
    <row r="2" spans="1:35" s="14" customFormat="1" ht="31.5" customHeight="1" thickTop="1">
      <c r="C2" s="135" t="s">
        <v>43</v>
      </c>
      <c r="D2" s="147"/>
      <c r="E2" s="147"/>
      <c r="F2" s="147"/>
      <c r="G2" s="147"/>
      <c r="H2" s="147"/>
      <c r="I2" s="147"/>
      <c r="J2" s="17" t="s">
        <v>1</v>
      </c>
      <c r="K2" s="60" t="s">
        <v>126</v>
      </c>
      <c r="L2" s="61" t="s">
        <v>40</v>
      </c>
      <c r="M2" s="62" t="s">
        <v>0</v>
      </c>
      <c r="N2" s="62" t="s">
        <v>4</v>
      </c>
      <c r="O2" s="64" t="s">
        <v>3</v>
      </c>
      <c r="P2" s="62" t="s">
        <v>5</v>
      </c>
      <c r="Q2" s="65" t="s">
        <v>6</v>
      </c>
      <c r="R2" t="s">
        <v>22</v>
      </c>
      <c r="S2" s="131">
        <f>G10+Z1</f>
        <v>45662</v>
      </c>
      <c r="T2" s="132">
        <f>S2+1</f>
        <v>45663</v>
      </c>
      <c r="U2" s="133">
        <f t="shared" ref="U2:AC2" si="0">T2+1</f>
        <v>45664</v>
      </c>
      <c r="V2" s="132">
        <f t="shared" si="0"/>
        <v>45665</v>
      </c>
      <c r="W2" s="133">
        <f t="shared" si="0"/>
        <v>45666</v>
      </c>
      <c r="X2" s="132">
        <f t="shared" si="0"/>
        <v>45667</v>
      </c>
      <c r="Y2" s="133">
        <f t="shared" si="0"/>
        <v>45668</v>
      </c>
      <c r="Z2" s="132">
        <f t="shared" si="0"/>
        <v>45669</v>
      </c>
      <c r="AA2" s="132">
        <f t="shared" si="0"/>
        <v>45670</v>
      </c>
      <c r="AB2" s="132">
        <f t="shared" si="0"/>
        <v>45671</v>
      </c>
      <c r="AC2" s="133">
        <f t="shared" si="0"/>
        <v>45672</v>
      </c>
      <c r="AD2" s="132">
        <f>AC2+1</f>
        <v>45673</v>
      </c>
      <c r="AE2" s="133">
        <f>AD2+1</f>
        <v>45674</v>
      </c>
      <c r="AF2" s="132">
        <f>AE2+1</f>
        <v>45675</v>
      </c>
      <c r="AG2" s="133">
        <f>AF2+1</f>
        <v>45676</v>
      </c>
      <c r="AH2" s="134">
        <f>AG2+1</f>
        <v>45677</v>
      </c>
      <c r="AI2" s="15"/>
    </row>
    <row r="3" spans="1:35" customFormat="1" ht="18.75" hidden="1" customHeight="1" thickBot="1">
      <c r="C3" s="18"/>
      <c r="D3" s="25"/>
      <c r="E3" s="25"/>
      <c r="F3" s="25"/>
      <c r="G3" s="25"/>
      <c r="H3" s="26"/>
      <c r="I3" s="27">
        <v>0</v>
      </c>
      <c r="J3" s="18">
        <f>IFERROR(IF(K1=Projects!B5,0,MATCH(K1,Tasks!B:B,0)-2)+I3,G18)</f>
        <v>0</v>
      </c>
      <c r="K3" s="32">
        <v>0</v>
      </c>
      <c r="L3" s="11">
        <v>1</v>
      </c>
      <c r="M3" s="12">
        <v>2</v>
      </c>
      <c r="N3" s="12">
        <v>4</v>
      </c>
      <c r="O3" s="12">
        <v>3</v>
      </c>
      <c r="P3" s="12">
        <v>4</v>
      </c>
      <c r="Q3" s="12"/>
      <c r="R3" s="12">
        <v>-1</v>
      </c>
      <c r="S3" s="2"/>
      <c r="T3" s="3"/>
      <c r="U3" s="2"/>
      <c r="V3" s="3"/>
      <c r="W3" s="2"/>
      <c r="X3" s="3"/>
      <c r="Y3" s="2"/>
      <c r="Z3" s="3"/>
      <c r="AA3" s="2"/>
      <c r="AB3" s="3"/>
      <c r="AC3" s="2"/>
      <c r="AD3" s="3"/>
      <c r="AE3" s="2"/>
      <c r="AF3" s="3"/>
      <c r="AG3" s="2"/>
      <c r="AH3" s="4"/>
      <c r="AI3" s="1"/>
    </row>
    <row r="4" spans="1:35" s="6" customFormat="1" ht="18" customHeight="1">
      <c r="A4"/>
      <c r="B4"/>
      <c r="C4" s="24"/>
      <c r="D4" s="24"/>
      <c r="E4" s="35"/>
      <c r="F4" s="35"/>
      <c r="G4" s="36"/>
      <c r="H4" s="36"/>
      <c r="I4" s="36"/>
      <c r="J4" s="31" cm="1">
        <f t="array" ref="J4">IFERROR(IF(FNAT_rng_Project="All Projects",ROW()-3,INDEX(ROW(FNAT_rng_Tasks),SMALL(IF(FNAT_rng_Tasks=FNAT_rng_Project,ROW(FNAT_rng_Tasks)-ROW(INDEX(FNAT_rng_Tasks,1,1))+1),ROW()-3))-1),0)</f>
        <v>1</v>
      </c>
      <c r="K4" s="85" t="str">
        <f ca="1">IF(J4=0,"",IF(AND($K$1&lt;&gt;"All Projects",$K$1&lt;&gt;R4),0,OFFSET(Tasks!$C$1,Dashboard!$J4,Dashboard!K$3)))</f>
        <v>Project 1 - Task 1</v>
      </c>
      <c r="L4" s="85" t="str">
        <f ca="1">IF(J4=0,"",OFFSET(Tasks!$C$1,Dashboard!$J4,Dashboard!L$3))</f>
        <v>Person 1</v>
      </c>
      <c r="M4" s="86">
        <f ca="1">IF(J4=0,"",OFFSET(Tasks!$C$1,Dashboard!$J4,Dashboard!M$3))</f>
        <v>45666</v>
      </c>
      <c r="N4" s="86">
        <f ca="1">IF(J4=0,"",M4+O4-1)</f>
        <v>45685</v>
      </c>
      <c r="O4" s="87">
        <f ca="1">IF(J4=0,"",OFFSET(Tasks!$C$1,Dashboard!$J4,Dashboard!O$3))</f>
        <v>20</v>
      </c>
      <c r="P4" s="88">
        <f ca="1">IF(J4=0,"",OFFSET(Tasks!$C$1,Dashboard!$J4,Dashboard!P$3))</f>
        <v>1</v>
      </c>
      <c r="Q4" s="89">
        <f ca="1">IF(J4=0,"",O4*P4)</f>
        <v>20</v>
      </c>
      <c r="R4" s="16" t="str">
        <f ca="1">OFFSET(Tasks!$C$1,Dashboard!$J4,Dashboard!R$3)</f>
        <v>Project 1</v>
      </c>
      <c r="S4" s="75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7"/>
      <c r="AI4" s="5"/>
    </row>
    <row r="5" spans="1:35" s="6" customFormat="1" ht="18" customHeight="1">
      <c r="A5"/>
      <c r="B5"/>
      <c r="C5" s="24"/>
      <c r="D5" s="24"/>
      <c r="E5" s="150" t="s">
        <v>125</v>
      </c>
      <c r="F5" s="41"/>
      <c r="G5" s="36"/>
      <c r="H5" s="36"/>
      <c r="I5" s="36"/>
      <c r="J5" s="31" cm="1">
        <f t="array" ref="J5">IFERROR(IF(FNAT_rng_Project="All Projects",ROW()-3,INDEX(ROW(FNAT_rng_Tasks),SMALL(IF(FNAT_rng_Tasks=FNAT_rng_Project,ROW(FNAT_rng_Tasks)-ROW(INDEX(FNAT_rng_Tasks,1,1))+1),ROW()-3))-1),0)</f>
        <v>2</v>
      </c>
      <c r="K5" s="90" t="str">
        <f ca="1">IF(J5=0,"",IF(AND($K$1&lt;&gt;"All Projects",$K$1&lt;&gt;R5),0,OFFSET(Tasks!$C$1,Dashboard!$J5,Dashboard!K$3)))</f>
        <v>Project 3 - Task 1</v>
      </c>
      <c r="L5" s="90" t="str">
        <f ca="1">IF(J5=0,"",OFFSET(Tasks!$C$1,Dashboard!$J5,Dashboard!L$3))</f>
        <v>Person 2</v>
      </c>
      <c r="M5" s="91">
        <f ca="1">IF(J5=0,"",OFFSET(Tasks!$C$1,Dashboard!$J5,Dashboard!M$3))</f>
        <v>45667</v>
      </c>
      <c r="N5" s="91">
        <f t="shared" ref="N5:N28" ca="1" si="1">IF(J5=0,"",M5+O5-1)</f>
        <v>45672</v>
      </c>
      <c r="O5" s="92">
        <f ca="1">IF(J5=0,"",OFFSET(Tasks!$C$1,Dashboard!$J5,Dashboard!O$3))</f>
        <v>6</v>
      </c>
      <c r="P5" s="93">
        <f ca="1">IF(J5=0,"",OFFSET(Tasks!$C$1,Dashboard!$J5,Dashboard!P$3))</f>
        <v>0.4</v>
      </c>
      <c r="Q5" s="94">
        <f t="shared" ref="Q5:Q28" ca="1" si="2">IF(J5=0,"",O5*P5)</f>
        <v>2.4000000000000004</v>
      </c>
      <c r="R5" s="81" t="str">
        <f ca="1">OFFSET(Tasks!$C$1,Dashboard!$J5,Dashboard!R$3)</f>
        <v>Project 1</v>
      </c>
      <c r="S5" s="82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4"/>
      <c r="AI5" s="5"/>
    </row>
    <row r="6" spans="1:35" s="6" customFormat="1" ht="18" customHeight="1">
      <c r="A6"/>
      <c r="B6"/>
      <c r="C6" s="24"/>
      <c r="D6" s="24"/>
      <c r="E6" s="150"/>
      <c r="F6" s="42"/>
      <c r="G6" s="36"/>
      <c r="H6" s="36"/>
      <c r="I6" s="36"/>
      <c r="J6" s="31" cm="1">
        <f t="array" ref="J6">IFERROR(IF(FNAT_rng_Project="All Projects",ROW()-3,INDEX(ROW(FNAT_rng_Tasks),SMALL(IF(FNAT_rng_Tasks=FNAT_rng_Project,ROW(FNAT_rng_Tasks)-ROW(INDEX(FNAT_rng_Tasks,1,1))+1),ROW()-3))-1),0)</f>
        <v>3</v>
      </c>
      <c r="K6" s="95" t="str">
        <f ca="1">IF(J6=0,"",IF(AND($K$1&lt;&gt;"All Projects",$K$1&lt;&gt;R6),0,OFFSET(Tasks!$C$1,Dashboard!$J6,Dashboard!K$3)))</f>
        <v>Project 1 - Task 2</v>
      </c>
      <c r="L6" s="95" t="str">
        <f ca="1">IF(J6=0,"",OFFSET(Tasks!$C$1,Dashboard!$J6,Dashboard!L$3))</f>
        <v>Person 3</v>
      </c>
      <c r="M6" s="96">
        <f ca="1">IF(J6=0,"",OFFSET(Tasks!$C$1,Dashboard!$J6,Dashboard!M$3))</f>
        <v>45668</v>
      </c>
      <c r="N6" s="96">
        <f t="shared" ca="1" si="1"/>
        <v>45677</v>
      </c>
      <c r="O6" s="97">
        <f ca="1">IF(J6=0,"",OFFSET(Tasks!$C$1,Dashboard!$J6,Dashboard!O$3))</f>
        <v>10</v>
      </c>
      <c r="P6" s="98">
        <f ca="1">IF(J6=0,"",OFFSET(Tasks!$C$1,Dashboard!$J6,Dashboard!P$3))</f>
        <v>0.45</v>
      </c>
      <c r="Q6" s="89">
        <f t="shared" ca="1" si="2"/>
        <v>4.5</v>
      </c>
      <c r="R6" s="16" t="str">
        <f ca="1">OFFSET(Tasks!$C$1,Dashboard!$J6,Dashboard!R$3)</f>
        <v>Project 1</v>
      </c>
      <c r="S6" s="78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80"/>
      <c r="AI6" s="5"/>
    </row>
    <row r="7" spans="1:35" s="6" customFormat="1" ht="18" customHeight="1">
      <c r="A7"/>
      <c r="B7"/>
      <c r="C7" s="24"/>
      <c r="D7" s="24"/>
      <c r="E7" s="150"/>
      <c r="F7" s="42"/>
      <c r="G7" s="36"/>
      <c r="H7" s="36"/>
      <c r="I7" s="36"/>
      <c r="J7" s="31" cm="1">
        <f t="array" ref="J7">IFERROR(IF(FNAT_rng_Project="All Projects",ROW()-3,INDEX(ROW(FNAT_rng_Tasks),SMALL(IF(FNAT_rng_Tasks=FNAT_rng_Project,ROW(FNAT_rng_Tasks)-ROW(INDEX(FNAT_rng_Tasks,1,1))+1),ROW()-3))-1),0)</f>
        <v>4</v>
      </c>
      <c r="K7" s="90" t="str">
        <f ca="1">IF(J7=0,"",IF(AND($K$1&lt;&gt;"All Projects",$K$1&lt;&gt;R7),0,OFFSET(Tasks!$C$1,Dashboard!$J7,Dashboard!K$3)))</f>
        <v>Project 1 - Task 3</v>
      </c>
      <c r="L7" s="90" t="str">
        <f ca="1">IF(J7=0,"",OFFSET(Tasks!$C$1,Dashboard!$J7,Dashboard!L$3))</f>
        <v>Person 4</v>
      </c>
      <c r="M7" s="91">
        <f ca="1">IF(J7=0,"",OFFSET(Tasks!$C$1,Dashboard!$J7,Dashboard!M$3))</f>
        <v>45671</v>
      </c>
      <c r="N7" s="91">
        <f t="shared" ca="1" si="1"/>
        <v>45679</v>
      </c>
      <c r="O7" s="92">
        <f ca="1">IF(J7=0,"",OFFSET(Tasks!$C$1,Dashboard!$J7,Dashboard!O$3))</f>
        <v>9</v>
      </c>
      <c r="P7" s="93">
        <f ca="1">IF(J7=0,"",OFFSET(Tasks!$C$1,Dashboard!$J7,Dashboard!P$3))</f>
        <v>0.85</v>
      </c>
      <c r="Q7" s="94">
        <f t="shared" ca="1" si="2"/>
        <v>7.6499999999999995</v>
      </c>
      <c r="R7" s="81" t="str">
        <f ca="1">OFFSET(Tasks!$C$1,Dashboard!$J7,Dashboard!R$3)</f>
        <v>Project 1</v>
      </c>
      <c r="S7" s="82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4"/>
      <c r="AI7" s="5"/>
    </row>
    <row r="8" spans="1:35" s="6" customFormat="1" ht="18" customHeight="1">
      <c r="A8"/>
      <c r="B8"/>
      <c r="C8" s="24"/>
      <c r="D8" s="24"/>
      <c r="E8" s="150"/>
      <c r="F8" s="35"/>
      <c r="G8" s="36"/>
      <c r="H8" s="36"/>
      <c r="I8" s="36"/>
      <c r="J8" s="31" cm="1">
        <f t="array" ref="J8">IFERROR(IF(FNAT_rng_Project="All Projects",ROW()-3,INDEX(ROW(FNAT_rng_Tasks),SMALL(IF(FNAT_rng_Tasks=FNAT_rng_Project,ROW(FNAT_rng_Tasks)-ROW(INDEX(FNAT_rng_Tasks,1,1))+1),ROW()-3))-1),0)</f>
        <v>5</v>
      </c>
      <c r="K8" s="95" t="str">
        <f ca="1">IF(J8=0,"",IF(AND($K$1&lt;&gt;"All Projects",$K$1&lt;&gt;R8),0,OFFSET(Tasks!$C$1,Dashboard!$J8,Dashboard!K$3)))</f>
        <v>Project 1 - Task 4</v>
      </c>
      <c r="L8" s="95" t="str">
        <f ca="1">IF(J8=0,"",OFFSET(Tasks!$C$1,Dashboard!$J8,Dashboard!L$3))</f>
        <v>Person 5</v>
      </c>
      <c r="M8" s="96">
        <f ca="1">IF(J8=0,"",OFFSET(Tasks!$C$1,Dashboard!$J8,Dashboard!M$3))</f>
        <v>45667</v>
      </c>
      <c r="N8" s="96">
        <f t="shared" ca="1" si="1"/>
        <v>45696</v>
      </c>
      <c r="O8" s="97">
        <f ca="1">IF(J8=0,"",OFFSET(Tasks!$C$1,Dashboard!$J8,Dashboard!O$3))</f>
        <v>30</v>
      </c>
      <c r="P8" s="98">
        <f ca="1">IF(J8=0,"",OFFSET(Tasks!$C$1,Dashboard!$J8,Dashboard!P$3))</f>
        <v>0.45</v>
      </c>
      <c r="Q8" s="89">
        <f t="shared" ca="1" si="2"/>
        <v>13.5</v>
      </c>
      <c r="R8" s="16" t="str">
        <f ca="1">OFFSET(Tasks!$C$1,Dashboard!$J8,Dashboard!R$3)</f>
        <v>Project 1</v>
      </c>
      <c r="S8" s="78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80"/>
      <c r="AI8" s="5"/>
    </row>
    <row r="9" spans="1:35" s="6" customFormat="1" ht="18" customHeight="1">
      <c r="A9"/>
      <c r="B9"/>
      <c r="C9" s="24"/>
      <c r="D9" s="24"/>
      <c r="E9" s="73"/>
      <c r="F9" s="35"/>
      <c r="G9" s="36"/>
      <c r="H9" s="36"/>
      <c r="I9" s="36"/>
      <c r="J9" s="31" cm="1">
        <f t="array" ref="J9">IFERROR(IF(FNAT_rng_Project="All Projects",ROW()-3,INDEX(ROW(FNAT_rng_Tasks),SMALL(IF(FNAT_rng_Tasks=FNAT_rng_Project,ROW(FNAT_rng_Tasks)-ROW(INDEX(FNAT_rng_Tasks,1,1))+1),ROW()-3))-1),0)</f>
        <v>6</v>
      </c>
      <c r="K9" s="90" t="str">
        <f ca="1">IF(J9=0,"",IF(AND($K$1&lt;&gt;"All Projects",$K$1&lt;&gt;R9),0,OFFSET(Tasks!$C$1,Dashboard!$J9,Dashboard!K$3)))</f>
        <v>Project 1 - Task 5</v>
      </c>
      <c r="L9" s="90" t="str">
        <f ca="1">IF(J9=0,"",OFFSET(Tasks!$C$1,Dashboard!$J9,Dashboard!L$3))</f>
        <v>Person 1</v>
      </c>
      <c r="M9" s="91">
        <f ca="1">IF(J9=0,"",OFFSET(Tasks!$C$1,Dashboard!$J9,Dashboard!M$3))</f>
        <v>45670</v>
      </c>
      <c r="N9" s="91">
        <f t="shared" ca="1" si="1"/>
        <v>45681</v>
      </c>
      <c r="O9" s="92">
        <f ca="1">IF(J9=0,"",OFFSET(Tasks!$C$1,Dashboard!$J9,Dashboard!O$3))</f>
        <v>12</v>
      </c>
      <c r="P9" s="93">
        <f ca="1">IF(J9=0,"",OFFSET(Tasks!$C$1,Dashboard!$J9,Dashboard!P$3))</f>
        <v>0.8</v>
      </c>
      <c r="Q9" s="94">
        <f t="shared" ca="1" si="2"/>
        <v>9.6000000000000014</v>
      </c>
      <c r="R9" s="81" t="str">
        <f ca="1">OFFSET(Tasks!$C$1,Dashboard!$J9,Dashboard!R$3)</f>
        <v>Project 1</v>
      </c>
      <c r="S9" s="82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  <c r="AI9" s="5"/>
    </row>
    <row r="10" spans="1:35" s="6" customFormat="1" ht="18" customHeight="1">
      <c r="A10"/>
      <c r="B10"/>
      <c r="C10" s="24"/>
      <c r="D10" s="24"/>
      <c r="E10" s="74" t="s">
        <v>0</v>
      </c>
      <c r="F10" s="43"/>
      <c r="G10" s="127">
        <f>VLOOKUP(Dashboard!K1,Projects!B4:G15,3,FALSE)</f>
        <v>45662</v>
      </c>
      <c r="H10" s="36"/>
      <c r="I10" s="36"/>
      <c r="J10" s="31" cm="1">
        <f t="array" ref="J10">IFERROR(IF(FNAT_rng_Project="All Projects",ROW()-3,INDEX(ROW(FNAT_rng_Tasks),SMALL(IF(FNAT_rng_Tasks=FNAT_rng_Project,ROW(FNAT_rng_Tasks)-ROW(INDEX(FNAT_rng_Tasks,1,1))+1),ROW()-3))-1),0)</f>
        <v>7</v>
      </c>
      <c r="K10" s="95" t="str">
        <f ca="1">IF(J10=0,"",IF(AND($K$1&lt;&gt;"All Projects",$K$1&lt;&gt;R10),0,OFFSET(Tasks!$C$1,Dashboard!$J10,Dashboard!K$3)))</f>
        <v>Project 1 - Task 6</v>
      </c>
      <c r="L10" s="95" t="str">
        <f ca="1">IF(J10=0,"",OFFSET(Tasks!$C$1,Dashboard!$J10,Dashboard!L$3))</f>
        <v>Person 2</v>
      </c>
      <c r="M10" s="96">
        <f ca="1">IF(J10=0,"",OFFSET(Tasks!$C$1,Dashboard!$J10,Dashboard!M$3))</f>
        <v>45670</v>
      </c>
      <c r="N10" s="96">
        <f t="shared" ca="1" si="1"/>
        <v>45712</v>
      </c>
      <c r="O10" s="97">
        <f ca="1">IF(J10=0,"",OFFSET(Tasks!$C$1,Dashboard!$J10,Dashboard!O$3))</f>
        <v>43</v>
      </c>
      <c r="P10" s="98">
        <f ca="1">IF(J10=0,"",OFFSET(Tasks!$C$1,Dashboard!$J10,Dashboard!P$3))</f>
        <v>0.1</v>
      </c>
      <c r="Q10" s="89">
        <f t="shared" ca="1" si="2"/>
        <v>4.3</v>
      </c>
      <c r="R10" s="16" t="str">
        <f ca="1">OFFSET(Tasks!$C$1,Dashboard!$J10,Dashboard!R$3)</f>
        <v>Project 1</v>
      </c>
      <c r="S10" s="78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80"/>
      <c r="AI10" s="5"/>
    </row>
    <row r="11" spans="1:35" s="6" customFormat="1" ht="18" customHeight="1">
      <c r="A11"/>
      <c r="B11"/>
      <c r="C11" s="24"/>
      <c r="D11" s="24"/>
      <c r="E11" s="74" t="s">
        <v>4</v>
      </c>
      <c r="F11" s="43"/>
      <c r="G11" s="127">
        <f>VLOOKUP(Dashboard!K1,Projects!B4:G15,4,FALSE)</f>
        <v>45724</v>
      </c>
      <c r="H11" s="36"/>
      <c r="I11" s="36"/>
      <c r="J11" s="31" cm="1">
        <f t="array" ref="J11">IFERROR(IF(FNAT_rng_Project="All Projects",ROW()-3,INDEX(ROW(FNAT_rng_Tasks),SMALL(IF(FNAT_rng_Tasks=FNAT_rng_Project,ROW(FNAT_rng_Tasks)-ROW(INDEX(FNAT_rng_Tasks,1,1))+1),ROW()-3))-1),0)</f>
        <v>8</v>
      </c>
      <c r="K11" s="90" t="str">
        <f ca="1">IF(J11=0,"",IF(AND($K$1&lt;&gt;"All Projects",$K$1&lt;&gt;R11),0,OFFSET(Tasks!$C$1,Dashboard!$J11,Dashboard!K$3)))</f>
        <v>Project 1 - Task 7</v>
      </c>
      <c r="L11" s="90" t="str">
        <f ca="1">IF(J11=0,"",OFFSET(Tasks!$C$1,Dashboard!$J11,Dashboard!L$3))</f>
        <v>Person 3</v>
      </c>
      <c r="M11" s="91">
        <f ca="1">IF(J11=0,"",OFFSET(Tasks!$C$1,Dashboard!$J11,Dashboard!M$3))</f>
        <v>45672</v>
      </c>
      <c r="N11" s="91">
        <f t="shared" ca="1" si="1"/>
        <v>45694</v>
      </c>
      <c r="O11" s="92">
        <f ca="1">IF(J11=0,"",OFFSET(Tasks!$C$1,Dashboard!$J11,Dashboard!O$3))</f>
        <v>23</v>
      </c>
      <c r="P11" s="93">
        <f ca="1">IF(J11=0,"",OFFSET(Tasks!$C$1,Dashboard!$J11,Dashboard!P$3))</f>
        <v>0.5</v>
      </c>
      <c r="Q11" s="94">
        <f t="shared" ca="1" si="2"/>
        <v>11.5</v>
      </c>
      <c r="R11" s="81" t="str">
        <f ca="1">OFFSET(Tasks!$C$1,Dashboard!$J11,Dashboard!R$3)</f>
        <v>Project 1</v>
      </c>
      <c r="S11" s="82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4"/>
      <c r="AI11" s="5"/>
    </row>
    <row r="12" spans="1:35" s="6" customFormat="1" ht="18" customHeight="1">
      <c r="A12"/>
      <c r="B12"/>
      <c r="C12" s="24"/>
      <c r="D12" s="24"/>
      <c r="E12" s="74" t="s">
        <v>7</v>
      </c>
      <c r="F12" s="43"/>
      <c r="G12" s="128">
        <f>IFERROR(VLOOKUP(Dashboard!K1,Projects!B4:G15,6,FALSE),"")</f>
        <v>0.48812499999999986</v>
      </c>
      <c r="H12" s="36"/>
      <c r="I12" s="36"/>
      <c r="J12" s="31" cm="1">
        <f t="array" ref="J12">IFERROR(IF(FNAT_rng_Project="All Projects",ROW()-3,INDEX(ROW(FNAT_rng_Tasks),SMALL(IF(FNAT_rng_Tasks=FNAT_rng_Project,ROW(FNAT_rng_Tasks)-ROW(INDEX(FNAT_rng_Tasks,1,1))+1),ROW()-3))-1),0)</f>
        <v>9</v>
      </c>
      <c r="K12" s="95" t="str">
        <f ca="1">IF(J12=0,"",IF(AND($K$1&lt;&gt;"All Projects",$K$1&lt;&gt;R12),0,OFFSET(Tasks!$C$1,Dashboard!$J12,Dashboard!K$3)))</f>
        <v>Project 1 - Task 8</v>
      </c>
      <c r="L12" s="95" t="str">
        <f ca="1">IF(J12=0,"",OFFSET(Tasks!$C$1,Dashboard!$J12,Dashboard!L$3))</f>
        <v>Person 4</v>
      </c>
      <c r="M12" s="96">
        <f ca="1">IF(J12=0,"",OFFSET(Tasks!$C$1,Dashboard!$J12,Dashboard!M$3))</f>
        <v>45672</v>
      </c>
      <c r="N12" s="96">
        <f t="shared" ca="1" si="1"/>
        <v>45680</v>
      </c>
      <c r="O12" s="97">
        <f ca="1">IF(J12=0,"",OFFSET(Tasks!$C$1,Dashboard!$J12,Dashboard!O$3))</f>
        <v>9</v>
      </c>
      <c r="P12" s="98">
        <f ca="1">IF(J12=0,"",OFFSET(Tasks!$C$1,Dashboard!$J12,Dashboard!P$3))</f>
        <v>0.1</v>
      </c>
      <c r="Q12" s="89">
        <f t="shared" ca="1" si="2"/>
        <v>0.9</v>
      </c>
      <c r="R12" s="16" t="str">
        <f ca="1">OFFSET(Tasks!$C$1,Dashboard!$J12,Dashboard!R$3)</f>
        <v>Project 1</v>
      </c>
      <c r="S12" s="78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80"/>
      <c r="AI12" s="5"/>
    </row>
    <row r="13" spans="1:35" s="6" customFormat="1" ht="18" customHeight="1">
      <c r="A13"/>
      <c r="B13"/>
      <c r="C13" s="24"/>
      <c r="D13" s="24"/>
      <c r="E13" s="74"/>
      <c r="F13" s="43"/>
      <c r="G13" s="129">
        <f>1-G12</f>
        <v>0.51187500000000008</v>
      </c>
      <c r="H13" s="36"/>
      <c r="I13" s="36"/>
      <c r="J13" s="31" cm="1">
        <f t="array" ref="J13">IFERROR(IF(FNAT_rng_Project="All Projects",ROW()-3,INDEX(ROW(FNAT_rng_Tasks),SMALL(IF(FNAT_rng_Tasks=FNAT_rng_Project,ROW(FNAT_rng_Tasks)-ROW(INDEX(FNAT_rng_Tasks,1,1))+1),ROW()-3))-1),0)</f>
        <v>10</v>
      </c>
      <c r="K13" s="90" t="str">
        <f ca="1">IF(J13=0,"",IF(AND($K$1&lt;&gt;"All Projects",$K$1&lt;&gt;R13),0,OFFSET(Tasks!$C$1,Dashboard!$J13,Dashboard!K$3)))</f>
        <v>Project 1 - Task 9</v>
      </c>
      <c r="L13" s="90" t="str">
        <f ca="1">IF(J13=0,"",OFFSET(Tasks!$C$1,Dashboard!$J13,Dashboard!L$3))</f>
        <v>Person 5</v>
      </c>
      <c r="M13" s="91">
        <f ca="1">IF(J13=0,"",OFFSET(Tasks!$C$1,Dashboard!$J13,Dashboard!M$3))</f>
        <v>45673</v>
      </c>
      <c r="N13" s="91">
        <f t="shared" ca="1" si="1"/>
        <v>45678</v>
      </c>
      <c r="O13" s="92">
        <f ca="1">IF(J13=0,"",OFFSET(Tasks!$C$1,Dashboard!$J13,Dashboard!O$3))</f>
        <v>6</v>
      </c>
      <c r="P13" s="93">
        <f ca="1">IF(J13=0,"",OFFSET(Tasks!$C$1,Dashboard!$J13,Dashboard!P$3))</f>
        <v>0.3</v>
      </c>
      <c r="Q13" s="94">
        <f t="shared" ca="1" si="2"/>
        <v>1.7999999999999998</v>
      </c>
      <c r="R13" s="81" t="str">
        <f ca="1">OFFSET(Tasks!$C$1,Dashboard!$J13,Dashboard!R$3)</f>
        <v>Project 1</v>
      </c>
      <c r="S13" s="82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4"/>
      <c r="AI13" s="5"/>
    </row>
    <row r="14" spans="1:35" s="6" customFormat="1" ht="18" customHeight="1">
      <c r="A14"/>
      <c r="B14"/>
      <c r="C14" s="39"/>
      <c r="D14" s="39"/>
      <c r="E14" s="146" t="s">
        <v>42</v>
      </c>
      <c r="F14" s="42"/>
      <c r="G14" s="130" t="str">
        <f>G11-G10 &amp;" days"</f>
        <v>62 days</v>
      </c>
      <c r="H14" s="36"/>
      <c r="I14" s="36"/>
      <c r="J14" s="31" cm="1">
        <f t="array" ref="J14">IFERROR(IF(FNAT_rng_Project="All Projects",ROW()-3,INDEX(ROW(FNAT_rng_Tasks),SMALL(IF(FNAT_rng_Tasks=FNAT_rng_Project,ROW(FNAT_rng_Tasks)-ROW(INDEX(FNAT_rng_Tasks,1,1))+1),ROW()-3))-1),0)</f>
        <v>11</v>
      </c>
      <c r="K14" s="95" t="str">
        <f ca="1">IF(J14=0,"",IF(AND($K$1&lt;&gt;"All Projects",$K$1&lt;&gt;R14),0,OFFSET(Tasks!$C$1,Dashboard!$J14,Dashboard!K$3)))</f>
        <v>Project 2 - Task 1</v>
      </c>
      <c r="L14" s="95" t="str">
        <f ca="1">IF(J14=0,"",OFFSET(Tasks!$C$1,Dashboard!$J14,Dashboard!L$3))</f>
        <v>Person 1</v>
      </c>
      <c r="M14" s="96">
        <f ca="1">IF(J14=0,"",OFFSET(Tasks!$C$1,Dashboard!$J14,Dashboard!M$3))</f>
        <v>45663</v>
      </c>
      <c r="N14" s="96">
        <f t="shared" ca="1" si="1"/>
        <v>45669</v>
      </c>
      <c r="O14" s="97">
        <f ca="1">IF(J14=0,"",OFFSET(Tasks!$C$1,Dashboard!$J14,Dashboard!O$3))</f>
        <v>7</v>
      </c>
      <c r="P14" s="98">
        <f ca="1">IF(J14=0,"",OFFSET(Tasks!$C$1,Dashboard!$J14,Dashboard!P$3))</f>
        <v>0.45</v>
      </c>
      <c r="Q14" s="89">
        <f t="shared" ca="1" si="2"/>
        <v>3.15</v>
      </c>
      <c r="R14" s="16" t="str">
        <f ca="1">OFFSET(Tasks!$C$1,Dashboard!$J14,Dashboard!R$3)</f>
        <v>Project 2</v>
      </c>
      <c r="S14" s="78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80"/>
      <c r="AI14" s="5"/>
    </row>
    <row r="15" spans="1:35" s="6" customFormat="1" ht="18" customHeight="1">
      <c r="A15"/>
      <c r="B15"/>
      <c r="C15" s="40"/>
      <c r="D15" s="39"/>
      <c r="E15" s="146"/>
      <c r="F15" s="42"/>
      <c r="G15" s="130" t="str">
        <f>VLOOKUP(Dashboard!K1,Projects!B4:G15,5,FALSE) &amp;" man-days"</f>
        <v>633 man-days</v>
      </c>
      <c r="H15" s="36"/>
      <c r="I15" s="36"/>
      <c r="J15" s="31" cm="1">
        <f t="array" ref="J15">IFERROR(IF(FNAT_rng_Project="All Projects",ROW()-3,INDEX(ROW(FNAT_rng_Tasks),SMALL(IF(FNAT_rng_Tasks=FNAT_rng_Project,ROW(FNAT_rng_Tasks)-ROW(INDEX(FNAT_rng_Tasks,1,1))+1),ROW()-3))-1),0)</f>
        <v>12</v>
      </c>
      <c r="K15" s="90" t="str">
        <f ca="1">IF(J15=0,"",IF(AND($K$1&lt;&gt;"All Projects",$K$1&lt;&gt;R15),0,OFFSET(Tasks!$C$1,Dashboard!$J15,Dashboard!K$3)))</f>
        <v>Project 2 - Task 2</v>
      </c>
      <c r="L15" s="90" t="str">
        <f ca="1">IF(J15=0,"",OFFSET(Tasks!$C$1,Dashboard!$J15,Dashboard!L$3))</f>
        <v>Person 2</v>
      </c>
      <c r="M15" s="91">
        <f ca="1">IF(J15=0,"",OFFSET(Tasks!$C$1,Dashboard!$J15,Dashboard!M$3))</f>
        <v>45667</v>
      </c>
      <c r="N15" s="91">
        <f t="shared" ca="1" si="1"/>
        <v>45675</v>
      </c>
      <c r="O15" s="92">
        <f ca="1">IF(J15=0,"",OFFSET(Tasks!$C$1,Dashboard!$J15,Dashboard!O$3))</f>
        <v>9</v>
      </c>
      <c r="P15" s="93">
        <f ca="1">IF(J15=0,"",OFFSET(Tasks!$C$1,Dashboard!$J15,Dashboard!P$3))</f>
        <v>1</v>
      </c>
      <c r="Q15" s="94">
        <f t="shared" ca="1" si="2"/>
        <v>9</v>
      </c>
      <c r="R15" s="81" t="str">
        <f ca="1">OFFSET(Tasks!$C$1,Dashboard!$J15,Dashboard!R$3)</f>
        <v>Project 2</v>
      </c>
      <c r="S15" s="82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4"/>
      <c r="AI15" s="5"/>
    </row>
    <row r="16" spans="1:35" s="6" customFormat="1" ht="18" customHeight="1">
      <c r="A16"/>
      <c r="B16"/>
      <c r="C16" s="148"/>
      <c r="D16" s="149"/>
      <c r="E16" s="36"/>
      <c r="F16" s="36"/>
      <c r="G16" s="36"/>
      <c r="H16" s="36"/>
      <c r="I16" s="36"/>
      <c r="J16" s="31" cm="1">
        <f t="array" ref="J16">IFERROR(IF(FNAT_rng_Project="All Projects",ROW()-3,INDEX(ROW(FNAT_rng_Tasks),SMALL(IF(FNAT_rng_Tasks=FNAT_rng_Project,ROW(FNAT_rng_Tasks)-ROW(INDEX(FNAT_rng_Tasks,1,1))+1),ROW()-3))-1),0)</f>
        <v>13</v>
      </c>
      <c r="K16" s="95" t="str">
        <f ca="1">IF(J16=0,"",IF(AND($K$1&lt;&gt;"All Projects",$K$1&lt;&gt;R16),0,OFFSET(Tasks!$C$1,Dashboard!$J16,Dashboard!K$3)))</f>
        <v>Project 2 - Task 3</v>
      </c>
      <c r="L16" s="95" t="str">
        <f ca="1">IF(J16=0,"",OFFSET(Tasks!$C$1,Dashboard!$J16,Dashboard!L$3))</f>
        <v>Person 3</v>
      </c>
      <c r="M16" s="96">
        <f ca="1">IF(J16=0,"",OFFSET(Tasks!$C$1,Dashboard!$J16,Dashboard!M$3))</f>
        <v>45668</v>
      </c>
      <c r="N16" s="96">
        <f t="shared" ca="1" si="1"/>
        <v>45675</v>
      </c>
      <c r="O16" s="97">
        <f ca="1">IF(J16=0,"",OFFSET(Tasks!$C$1,Dashboard!$J16,Dashboard!O$3))</f>
        <v>8</v>
      </c>
      <c r="P16" s="98">
        <f ca="1">IF(J16=0,"",OFFSET(Tasks!$C$1,Dashboard!$J16,Dashboard!P$3))</f>
        <v>0.5</v>
      </c>
      <c r="Q16" s="89">
        <f t="shared" ca="1" si="2"/>
        <v>4</v>
      </c>
      <c r="R16" s="16" t="str">
        <f ca="1">OFFSET(Tasks!$C$1,Dashboard!$J16,Dashboard!R$3)</f>
        <v>Project 2</v>
      </c>
      <c r="S16" s="78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5"/>
    </row>
    <row r="17" spans="1:35" s="6" customFormat="1" ht="18" customHeight="1">
      <c r="A17"/>
      <c r="B17"/>
      <c r="C17" s="40"/>
      <c r="D17" s="39"/>
      <c r="E17" s="37"/>
      <c r="F17" s="37"/>
      <c r="G17" s="38"/>
      <c r="H17" s="37"/>
      <c r="I17" s="37"/>
      <c r="J17" s="31" cm="1">
        <f t="array" ref="J17">IFERROR(IF(FNAT_rng_Project="All Projects",ROW()-3,INDEX(ROW(FNAT_rng_Tasks),SMALL(IF(FNAT_rng_Tasks=FNAT_rng_Project,ROW(FNAT_rng_Tasks)-ROW(INDEX(FNAT_rng_Tasks,1,1))+1),ROW()-3))-1),0)</f>
        <v>14</v>
      </c>
      <c r="K17" s="90" t="str">
        <f ca="1">IF(J17=0,"",IF(AND($K$1&lt;&gt;"All Projects",$K$1&lt;&gt;R17),0,OFFSET(Tasks!$C$1,Dashboard!$J17,Dashboard!K$3)))</f>
        <v>Project 2 - Task 4</v>
      </c>
      <c r="L17" s="90" t="str">
        <f ca="1">IF(J17=0,"",OFFSET(Tasks!$C$1,Dashboard!$J17,Dashboard!L$3))</f>
        <v>Person 4</v>
      </c>
      <c r="M17" s="91">
        <f ca="1">IF(J17=0,"",OFFSET(Tasks!$C$1,Dashboard!$J17,Dashboard!M$3))</f>
        <v>45670</v>
      </c>
      <c r="N17" s="91">
        <f t="shared" ca="1" si="1"/>
        <v>45676</v>
      </c>
      <c r="O17" s="92">
        <f ca="1">IF(J17=0,"",OFFSET(Tasks!$C$1,Dashboard!$J17,Dashboard!O$3))</f>
        <v>7</v>
      </c>
      <c r="P17" s="93">
        <f ca="1">IF(J17=0,"",OFFSET(Tasks!$C$1,Dashboard!$J17,Dashboard!P$3))</f>
        <v>0.6</v>
      </c>
      <c r="Q17" s="94">
        <f t="shared" ca="1" si="2"/>
        <v>4.2</v>
      </c>
      <c r="R17" s="81" t="str">
        <f ca="1">OFFSET(Tasks!$C$1,Dashboard!$J17,Dashboard!R$3)</f>
        <v>Project 2</v>
      </c>
      <c r="S17" s="82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4"/>
      <c r="AI17" s="5"/>
    </row>
    <row r="18" spans="1:35" s="6" customFormat="1" ht="18" customHeight="1">
      <c r="A18"/>
      <c r="B18"/>
      <c r="C18" s="39"/>
      <c r="D18" s="39"/>
      <c r="E18" s="125" t="s">
        <v>127</v>
      </c>
      <c r="F18" s="126">
        <f>COUNTA(Table1[Task])</f>
        <v>80</v>
      </c>
      <c r="G18" s="44">
        <f>COUNTA(Table1[Task])</f>
        <v>80</v>
      </c>
      <c r="H18" s="37"/>
      <c r="I18" s="37"/>
      <c r="J18" s="31" cm="1">
        <f t="array" ref="J18">IFERROR(IF(FNAT_rng_Project="All Projects",ROW()-3,INDEX(ROW(FNAT_rng_Tasks),SMALL(IF(FNAT_rng_Tasks=FNAT_rng_Project,ROW(FNAT_rng_Tasks)-ROW(INDEX(FNAT_rng_Tasks,1,1))+1),ROW()-3))-1),0)</f>
        <v>15</v>
      </c>
      <c r="K18" s="95" t="str">
        <f ca="1">IF(J18=0,"",IF(AND($K$1&lt;&gt;"All Projects",$K$1&lt;&gt;R18),0,OFFSET(Tasks!$C$1,Dashboard!$J18,Dashboard!K$3)))</f>
        <v>Project 2 - Task 5</v>
      </c>
      <c r="L18" s="95" t="str">
        <f ca="1">IF(J18=0,"",OFFSET(Tasks!$C$1,Dashboard!$J18,Dashboard!L$3))</f>
        <v>Person 5</v>
      </c>
      <c r="M18" s="96">
        <f ca="1">IF(J18=0,"",OFFSET(Tasks!$C$1,Dashboard!$J18,Dashboard!M$3))</f>
        <v>45671</v>
      </c>
      <c r="N18" s="96">
        <f t="shared" ca="1" si="1"/>
        <v>45674</v>
      </c>
      <c r="O18" s="97">
        <f ca="1">IF(J18=0,"",OFFSET(Tasks!$C$1,Dashboard!$J18,Dashboard!O$3))</f>
        <v>4</v>
      </c>
      <c r="P18" s="98">
        <f ca="1">IF(J18=0,"",OFFSET(Tasks!$C$1,Dashboard!$J18,Dashboard!P$3))</f>
        <v>0.7</v>
      </c>
      <c r="Q18" s="89">
        <f t="shared" ca="1" si="2"/>
        <v>2.8</v>
      </c>
      <c r="R18" s="16" t="str">
        <f ca="1">OFFSET(Tasks!$C$1,Dashboard!$J18,Dashboard!R$3)</f>
        <v>Project 2</v>
      </c>
      <c r="S18" s="78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5"/>
    </row>
    <row r="19" spans="1:35" s="6" customFormat="1" ht="18" customHeight="1">
      <c r="A19"/>
      <c r="B19"/>
      <c r="C19" s="39"/>
      <c r="D19" s="39"/>
      <c r="E19" s="124" t="s">
        <v>21</v>
      </c>
      <c r="F19" s="47">
        <f>COUNTIF(Table1[Progress],"=0")</f>
        <v>3</v>
      </c>
      <c r="G19" s="45">
        <f>COUNTIF(Table1[Progress],"=0")</f>
        <v>3</v>
      </c>
      <c r="H19" s="37"/>
      <c r="I19" s="37"/>
      <c r="J19" s="31" cm="1">
        <f t="array" ref="J19">IFERROR(IF(FNAT_rng_Project="All Projects",ROW()-3,INDEX(ROW(FNAT_rng_Tasks),SMALL(IF(FNAT_rng_Tasks=FNAT_rng_Project,ROW(FNAT_rng_Tasks)-ROW(INDEX(FNAT_rng_Tasks,1,1))+1),ROW()-3))-1),0)</f>
        <v>16</v>
      </c>
      <c r="K19" s="90" t="str">
        <f ca="1">IF(J19=0,"",IF(AND($K$1&lt;&gt;"All Projects",$K$1&lt;&gt;R19),0,OFFSET(Tasks!$C$1,Dashboard!$J19,Dashboard!K$3)))</f>
        <v>Project 2 - Task 6</v>
      </c>
      <c r="L19" s="90" t="str">
        <f ca="1">IF(J19=0,"",OFFSET(Tasks!$C$1,Dashboard!$J19,Dashboard!L$3))</f>
        <v>Person 1</v>
      </c>
      <c r="M19" s="91">
        <f ca="1">IF(J19=0,"",OFFSET(Tasks!$C$1,Dashboard!$J19,Dashboard!M$3))</f>
        <v>45671</v>
      </c>
      <c r="N19" s="91">
        <f t="shared" ca="1" si="1"/>
        <v>45676</v>
      </c>
      <c r="O19" s="92">
        <f ca="1">IF(J19=0,"",OFFSET(Tasks!$C$1,Dashboard!$J19,Dashboard!O$3))</f>
        <v>6</v>
      </c>
      <c r="P19" s="93">
        <f ca="1">IF(J19=0,"",OFFSET(Tasks!$C$1,Dashboard!$J19,Dashboard!P$3))</f>
        <v>0.55000000000000004</v>
      </c>
      <c r="Q19" s="94">
        <f t="shared" ca="1" si="2"/>
        <v>3.3000000000000003</v>
      </c>
      <c r="R19" s="81" t="str">
        <f ca="1">OFFSET(Tasks!$C$1,Dashboard!$J19,Dashboard!R$3)</f>
        <v>Project 2</v>
      </c>
      <c r="S19" s="82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4"/>
      <c r="AI19" s="5"/>
    </row>
    <row r="20" spans="1:35" s="6" customFormat="1" ht="18" customHeight="1">
      <c r="A20"/>
      <c r="B20"/>
      <c r="C20" s="39"/>
      <c r="D20" s="39"/>
      <c r="E20" s="124" t="s">
        <v>20</v>
      </c>
      <c r="F20" s="47">
        <f>COUNTIFS(Table1[Progress],"&gt;0",Table1[Progress],"&lt;1")</f>
        <v>73</v>
      </c>
      <c r="G20" s="45">
        <f>COUNTIFS(Table1[Progress],"&gt;0",Table1[Progress],"&lt;1")</f>
        <v>73</v>
      </c>
      <c r="H20" s="37"/>
      <c r="I20" s="37"/>
      <c r="J20" s="31" cm="1">
        <f t="array" ref="J20">IFERROR(IF(FNAT_rng_Project="All Projects",ROW()-3,INDEX(ROW(FNAT_rng_Tasks),SMALL(IF(FNAT_rng_Tasks=FNAT_rng_Project,ROW(FNAT_rng_Tasks)-ROW(INDEX(FNAT_rng_Tasks,1,1))+1),ROW()-3))-1),0)</f>
        <v>17</v>
      </c>
      <c r="K20" s="95" t="str">
        <f ca="1">IF(J20=0,"",IF(AND($K$1&lt;&gt;"All Projects",$K$1&lt;&gt;R20),0,OFFSET(Tasks!$C$1,Dashboard!$J20,Dashboard!K$3)))</f>
        <v>Project 2 - Task 7</v>
      </c>
      <c r="L20" s="95" t="str">
        <f ca="1">IF(J20=0,"",OFFSET(Tasks!$C$1,Dashboard!$J20,Dashboard!L$3))</f>
        <v>Person 2</v>
      </c>
      <c r="M20" s="96">
        <f ca="1">IF(J20=0,"",OFFSET(Tasks!$C$1,Dashboard!$J20,Dashboard!M$3))</f>
        <v>45674</v>
      </c>
      <c r="N20" s="96">
        <f t="shared" ca="1" si="1"/>
        <v>45679</v>
      </c>
      <c r="O20" s="97">
        <f ca="1">IF(J20=0,"",OFFSET(Tasks!$C$1,Dashboard!$J20,Dashboard!O$3))</f>
        <v>6</v>
      </c>
      <c r="P20" s="98">
        <f ca="1">IF(J20=0,"",OFFSET(Tasks!$C$1,Dashboard!$J20,Dashboard!P$3))</f>
        <v>0.75</v>
      </c>
      <c r="Q20" s="89">
        <f t="shared" ca="1" si="2"/>
        <v>4.5</v>
      </c>
      <c r="R20" s="16" t="str">
        <f ca="1">OFFSET(Tasks!$C$1,Dashboard!$J20,Dashboard!R$3)</f>
        <v>Project 2</v>
      </c>
      <c r="S20" s="78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  <c r="AI20" s="5"/>
    </row>
    <row r="21" spans="1:35" s="6" customFormat="1" ht="18" customHeight="1">
      <c r="A21"/>
      <c r="B21"/>
      <c r="C21" s="39"/>
      <c r="D21" s="39"/>
      <c r="E21" s="124" t="s">
        <v>15</v>
      </c>
      <c r="F21" s="47">
        <f>COUNTIFS(Table1[Progress],"&gt;0",Table1[Progress],"&lt;=.25")</f>
        <v>23</v>
      </c>
      <c r="G21" s="46">
        <f>COUNTIFS(Table1[Progress],"&gt;0",Table1[Progress],"&lt;=.25")</f>
        <v>23</v>
      </c>
      <c r="H21" s="37"/>
      <c r="I21" s="37"/>
      <c r="J21" s="31" cm="1">
        <f t="array" ref="J21">IFERROR(IF(FNAT_rng_Project="All Projects",ROW()-3,INDEX(ROW(FNAT_rng_Tasks),SMALL(IF(FNAT_rng_Tasks=FNAT_rng_Project,ROW(FNAT_rng_Tasks)-ROW(INDEX(FNAT_rng_Tasks,1,1))+1),ROW()-3))-1),0)</f>
        <v>18</v>
      </c>
      <c r="K21" s="90" t="str">
        <f ca="1">IF(J21=0,"",IF(AND($K$1&lt;&gt;"All Projects",$K$1&lt;&gt;R21),0,OFFSET(Tasks!$C$1,Dashboard!$J21,Dashboard!K$3)))</f>
        <v>Project 2 - Task 8</v>
      </c>
      <c r="L21" s="90" t="str">
        <f ca="1">IF(J21=0,"",OFFSET(Tasks!$C$1,Dashboard!$J21,Dashboard!L$3))</f>
        <v>Person 3</v>
      </c>
      <c r="M21" s="91">
        <f ca="1">IF(J21=0,"",OFFSET(Tasks!$C$1,Dashboard!$J21,Dashboard!M$3))</f>
        <v>45675</v>
      </c>
      <c r="N21" s="91">
        <f t="shared" ca="1" si="1"/>
        <v>45678</v>
      </c>
      <c r="O21" s="92">
        <f ca="1">IF(J21=0,"",OFFSET(Tasks!$C$1,Dashboard!$J21,Dashboard!O$3))</f>
        <v>4</v>
      </c>
      <c r="P21" s="93">
        <f ca="1">IF(J21=0,"",OFFSET(Tasks!$C$1,Dashboard!$J21,Dashboard!P$3))</f>
        <v>0</v>
      </c>
      <c r="Q21" s="94">
        <f t="shared" ca="1" si="2"/>
        <v>0</v>
      </c>
      <c r="R21" s="81" t="str">
        <f ca="1">OFFSET(Tasks!$C$1,Dashboard!$J21,Dashboard!R$3)</f>
        <v>Project 2</v>
      </c>
      <c r="S21" s="82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4"/>
      <c r="AI21" s="5"/>
    </row>
    <row r="22" spans="1:35" s="6" customFormat="1" ht="18" customHeight="1">
      <c r="A22"/>
      <c r="B22"/>
      <c r="C22" s="39"/>
      <c r="D22" s="39"/>
      <c r="E22" s="124" t="s">
        <v>16</v>
      </c>
      <c r="F22" s="47">
        <f>COUNTIFS(Table1[Progress],"&gt;.25",Table1[Progress],"&lt;=.5")</f>
        <v>18</v>
      </c>
      <c r="G22" s="46">
        <f>COUNTIFS(Table1[Progress],"&gt;.25",Table1[Progress],"&lt;=.5")</f>
        <v>18</v>
      </c>
      <c r="H22" s="37"/>
      <c r="I22" s="37"/>
      <c r="J22" s="31" cm="1">
        <f t="array" ref="J22">IFERROR(IF(FNAT_rng_Project="All Projects",ROW()-3,INDEX(ROW(FNAT_rng_Tasks),SMALL(IF(FNAT_rng_Tasks=FNAT_rng_Project,ROW(FNAT_rng_Tasks)-ROW(INDEX(FNAT_rng_Tasks,1,1))+1),ROW()-3))-1),0)</f>
        <v>19</v>
      </c>
      <c r="K22" s="95" t="str">
        <f ca="1">IF(J22=0,"",IF(AND($K$1&lt;&gt;"All Projects",$K$1&lt;&gt;R22),0,OFFSET(Tasks!$C$1,Dashboard!$J22,Dashboard!K$3)))</f>
        <v>Project 2 - Task 9</v>
      </c>
      <c r="L22" s="95" t="str">
        <f ca="1">IF(J22=0,"",OFFSET(Tasks!$C$1,Dashboard!$J22,Dashboard!L$3))</f>
        <v>Person 4</v>
      </c>
      <c r="M22" s="96">
        <f ca="1">IF(J22=0,"",OFFSET(Tasks!$C$1,Dashboard!$J22,Dashboard!M$3))</f>
        <v>45677</v>
      </c>
      <c r="N22" s="96">
        <f t="shared" ca="1" si="1"/>
        <v>45683</v>
      </c>
      <c r="O22" s="97">
        <f ca="1">IF(J22=0,"",OFFSET(Tasks!$C$1,Dashboard!$J22,Dashboard!O$3))</f>
        <v>7</v>
      </c>
      <c r="P22" s="98">
        <f ca="1">IF(J22=0,"",OFFSET(Tasks!$C$1,Dashboard!$J22,Dashboard!P$3))</f>
        <v>0.1</v>
      </c>
      <c r="Q22" s="89">
        <f t="shared" ca="1" si="2"/>
        <v>0.70000000000000007</v>
      </c>
      <c r="R22" s="16" t="str">
        <f ca="1">OFFSET(Tasks!$C$1,Dashboard!$J22,Dashboard!R$3)</f>
        <v>Project 2</v>
      </c>
      <c r="S22" s="78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80"/>
      <c r="AI22" s="5"/>
    </row>
    <row r="23" spans="1:35" s="6" customFormat="1" ht="18" customHeight="1">
      <c r="A23"/>
      <c r="B23"/>
      <c r="C23" s="39"/>
      <c r="D23" s="39"/>
      <c r="E23" s="124" t="s">
        <v>17</v>
      </c>
      <c r="F23" s="47">
        <f>COUNTIFS(Table1[Progress],"&gt;.5",Table1[Progress],"&lt;=.75")</f>
        <v>17</v>
      </c>
      <c r="G23" s="46">
        <f>COUNTIFS(Table1[Progress],"&gt;.5",Table1[Progress],"&lt;=.75")</f>
        <v>17</v>
      </c>
      <c r="H23" s="37"/>
      <c r="I23" s="37"/>
      <c r="J23" s="31" cm="1">
        <f t="array" ref="J23">IFERROR(IF(FNAT_rng_Project="All Projects",ROW()-3,INDEX(ROW(FNAT_rng_Tasks),SMALL(IF(FNAT_rng_Tasks=FNAT_rng_Project,ROW(FNAT_rng_Tasks)-ROW(INDEX(FNAT_rng_Tasks,1,1))+1),ROW()-3))-1),0)</f>
        <v>20</v>
      </c>
      <c r="K23" s="90" t="str">
        <f ca="1">IF(J23=0,"",IF(AND($K$1&lt;&gt;"All Projects",$K$1&lt;&gt;R23),0,OFFSET(Tasks!$C$1,Dashboard!$J23,Dashboard!K$3)))</f>
        <v>Project 2 - Task 10</v>
      </c>
      <c r="L23" s="90" t="str">
        <f ca="1">IF(J23=0,"",OFFSET(Tasks!$C$1,Dashboard!$J23,Dashboard!L$3))</f>
        <v>Person 5</v>
      </c>
      <c r="M23" s="91">
        <f ca="1">IF(J23=0,"",OFFSET(Tasks!$C$1,Dashboard!$J23,Dashboard!M$3))</f>
        <v>45666</v>
      </c>
      <c r="N23" s="91">
        <f t="shared" ca="1" si="1"/>
        <v>45668</v>
      </c>
      <c r="O23" s="92">
        <f ca="1">IF(J23=0,"",OFFSET(Tasks!$C$1,Dashboard!$J23,Dashboard!O$3))</f>
        <v>3</v>
      </c>
      <c r="P23" s="93">
        <f ca="1">IF(J23=0,"",OFFSET(Tasks!$C$1,Dashboard!$J23,Dashboard!P$3))</f>
        <v>0.85</v>
      </c>
      <c r="Q23" s="94">
        <f t="shared" ca="1" si="2"/>
        <v>2.5499999999999998</v>
      </c>
      <c r="R23" s="81" t="str">
        <f ca="1">OFFSET(Tasks!$C$1,Dashboard!$J23,Dashboard!R$3)</f>
        <v>Project 2</v>
      </c>
      <c r="S23" s="82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4"/>
      <c r="AI23" s="5"/>
    </row>
    <row r="24" spans="1:35" s="6" customFormat="1" ht="18" customHeight="1">
      <c r="A24"/>
      <c r="B24"/>
      <c r="C24" s="39"/>
      <c r="D24" s="39"/>
      <c r="E24" s="124" t="s">
        <v>18</v>
      </c>
      <c r="F24" s="47">
        <f>COUNTIFS(Table1[Progress],"&gt;.75",Table1[Progress],"&lt;1")</f>
        <v>15</v>
      </c>
      <c r="G24" s="46">
        <f>COUNTIFS(Table1[Progress],"&gt;.75",Table1[Progress],"&lt;1")</f>
        <v>15</v>
      </c>
      <c r="H24" s="37"/>
      <c r="I24" s="37"/>
      <c r="J24" s="31" cm="1">
        <f t="array" ref="J24">IFERROR(IF(FNAT_rng_Project="All Projects",ROW()-3,INDEX(ROW(FNAT_rng_Tasks),SMALL(IF(FNAT_rng_Tasks=FNAT_rng_Project,ROW(FNAT_rng_Tasks)-ROW(INDEX(FNAT_rng_Tasks,1,1))+1),ROW()-3))-1),0)</f>
        <v>21</v>
      </c>
      <c r="K24" s="95" t="str">
        <f ca="1">IF(J24=0,"",IF(AND($K$1&lt;&gt;"All Projects",$K$1&lt;&gt;R24),0,OFFSET(Tasks!$C$1,Dashboard!$J24,Dashboard!K$3)))</f>
        <v>Project 3 - Task 2</v>
      </c>
      <c r="L24" s="95" t="str">
        <f ca="1">IF(J24=0,"",OFFSET(Tasks!$C$1,Dashboard!$J24,Dashboard!L$3))</f>
        <v>Person 1</v>
      </c>
      <c r="M24" s="96">
        <f ca="1">IF(J24=0,"",OFFSET(Tasks!$C$1,Dashboard!$J24,Dashboard!M$3))</f>
        <v>45662</v>
      </c>
      <c r="N24" s="96">
        <f t="shared" ca="1" si="1"/>
        <v>45671</v>
      </c>
      <c r="O24" s="97">
        <f ca="1">IF(J24=0,"",OFFSET(Tasks!$C$1,Dashboard!$J24,Dashboard!O$3))</f>
        <v>10</v>
      </c>
      <c r="P24" s="98">
        <f ca="1">IF(J24=0,"",OFFSET(Tasks!$C$1,Dashboard!$J24,Dashboard!P$3))</f>
        <v>0.9</v>
      </c>
      <c r="Q24" s="89">
        <f t="shared" ca="1" si="2"/>
        <v>9</v>
      </c>
      <c r="R24" s="16" t="str">
        <f ca="1">OFFSET(Tasks!$C$1,Dashboard!$J24,Dashboard!R$3)</f>
        <v>Project 3</v>
      </c>
      <c r="S24" s="78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80"/>
      <c r="AI24" s="5"/>
    </row>
    <row r="25" spans="1:35" s="6" customFormat="1" ht="18" customHeight="1">
      <c r="A25"/>
      <c r="B25"/>
      <c r="C25" s="39"/>
      <c r="D25" s="39"/>
      <c r="E25" s="124" t="s">
        <v>19</v>
      </c>
      <c r="F25" s="47">
        <f>COUNTIF(Table1[Progress],"=1")</f>
        <v>4</v>
      </c>
      <c r="G25" s="45">
        <f>COUNTIF(Table1[Progress],"=1")</f>
        <v>4</v>
      </c>
      <c r="H25" s="37"/>
      <c r="I25" s="37"/>
      <c r="J25" s="31" cm="1">
        <f t="array" ref="J25">IFERROR(IF(FNAT_rng_Project="All Projects",ROW()-3,INDEX(ROW(FNAT_rng_Tasks),SMALL(IF(FNAT_rng_Tasks=FNAT_rng_Project,ROW(FNAT_rng_Tasks)-ROW(INDEX(FNAT_rng_Tasks,1,1))+1),ROW()-3))-1),0)</f>
        <v>22</v>
      </c>
      <c r="K25" s="90" t="str">
        <f ca="1">IF(J25=0,"",IF(AND($K$1&lt;&gt;"All Projects",$K$1&lt;&gt;R25),0,OFFSET(Tasks!$C$1,Dashboard!$J25,Dashboard!K$3)))</f>
        <v>Project 3 - Task 3</v>
      </c>
      <c r="L25" s="90" t="str">
        <f ca="1">IF(J25=0,"",OFFSET(Tasks!$C$1,Dashboard!$J25,Dashboard!L$3))</f>
        <v>Person 2</v>
      </c>
      <c r="M25" s="91">
        <f ca="1">IF(J25=0,"",OFFSET(Tasks!$C$1,Dashboard!$J25,Dashboard!M$3))</f>
        <v>45671</v>
      </c>
      <c r="N25" s="91">
        <f t="shared" ca="1" si="1"/>
        <v>45675</v>
      </c>
      <c r="O25" s="92">
        <f ca="1">IF(J25=0,"",OFFSET(Tasks!$C$1,Dashboard!$J25,Dashboard!O$3))</f>
        <v>5</v>
      </c>
      <c r="P25" s="93">
        <f ca="1">IF(J25=0,"",OFFSET(Tasks!$C$1,Dashboard!$J25,Dashboard!P$3))</f>
        <v>0.85</v>
      </c>
      <c r="Q25" s="94">
        <f t="shared" ca="1" si="2"/>
        <v>4.25</v>
      </c>
      <c r="R25" s="81" t="str">
        <f ca="1">OFFSET(Tasks!$C$1,Dashboard!$J25,Dashboard!R$3)</f>
        <v>Project 3</v>
      </c>
      <c r="S25" s="82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4"/>
      <c r="AI25" s="5"/>
    </row>
    <row r="26" spans="1:35" s="6" customFormat="1" ht="18" customHeight="1">
      <c r="A26"/>
      <c r="B26"/>
      <c r="C26" s="40"/>
      <c r="D26" s="39"/>
      <c r="E26" s="37"/>
      <c r="F26" s="37"/>
      <c r="G26" s="37"/>
      <c r="H26" s="37"/>
      <c r="I26" s="37"/>
      <c r="J26" s="31" cm="1">
        <f t="array" ref="J26">IFERROR(IF(FNAT_rng_Project="All Projects",ROW()-3,INDEX(ROW(FNAT_rng_Tasks),SMALL(IF(FNAT_rng_Tasks=FNAT_rng_Project,ROW(FNAT_rng_Tasks)-ROW(INDEX(FNAT_rng_Tasks,1,1))+1),ROW()-3))-1),0)</f>
        <v>23</v>
      </c>
      <c r="K26" s="95" t="str">
        <f ca="1">IF(J26=0,"",IF(AND($K$1&lt;&gt;"All Projects",$K$1&lt;&gt;R26),0,OFFSET(Tasks!$C$1,Dashboard!$J26,Dashboard!K$3)))</f>
        <v>Project 3 - Task 4</v>
      </c>
      <c r="L26" s="95" t="str">
        <f ca="1">IF(J26=0,"",OFFSET(Tasks!$C$1,Dashboard!$J26,Dashboard!L$3))</f>
        <v>Person 3</v>
      </c>
      <c r="M26" s="96">
        <f ca="1">IF(J26=0,"",OFFSET(Tasks!$C$1,Dashboard!$J26,Dashboard!M$3))</f>
        <v>45673</v>
      </c>
      <c r="N26" s="96">
        <f t="shared" ca="1" si="1"/>
        <v>45679</v>
      </c>
      <c r="O26" s="97">
        <f ca="1">IF(J26=0,"",OFFSET(Tasks!$C$1,Dashboard!$J26,Dashboard!O$3))</f>
        <v>7</v>
      </c>
      <c r="P26" s="98">
        <f ca="1">IF(J26=0,"",OFFSET(Tasks!$C$1,Dashboard!$J26,Dashboard!P$3))</f>
        <v>0.7</v>
      </c>
      <c r="Q26" s="89">
        <f t="shared" ca="1" si="2"/>
        <v>4.8999999999999995</v>
      </c>
      <c r="R26" s="16" t="str">
        <f ca="1">OFFSET(Tasks!$C$1,Dashboard!$J26,Dashboard!R$3)</f>
        <v>Project 3</v>
      </c>
      <c r="S26" s="78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80"/>
      <c r="AI26" s="5"/>
    </row>
    <row r="27" spans="1:35" s="6" customFormat="1" ht="18" customHeight="1">
      <c r="A27"/>
      <c r="B27"/>
      <c r="C27" s="40"/>
      <c r="D27" s="39"/>
      <c r="E27" s="37"/>
      <c r="F27" s="37"/>
      <c r="G27" s="37"/>
      <c r="H27" s="37"/>
      <c r="I27" s="37"/>
      <c r="J27" s="31" cm="1">
        <f t="array" ref="J27">IFERROR(IF(FNAT_rng_Project="All Projects",ROW()-3,INDEX(ROW(FNAT_rng_Tasks),SMALL(IF(FNAT_rng_Tasks=FNAT_rng_Project,ROW(FNAT_rng_Tasks)-ROW(INDEX(FNAT_rng_Tasks,1,1))+1),ROW()-3))-1),0)</f>
        <v>24</v>
      </c>
      <c r="K27" s="90" t="str">
        <f ca="1">IF(J27=0,"",IF(AND($K$1&lt;&gt;"All Projects",$K$1&lt;&gt;R27),0,OFFSET(Tasks!$C$1,Dashboard!$J27,Dashboard!K$3)))</f>
        <v>Project 3 - Task 5</v>
      </c>
      <c r="L27" s="90" t="str">
        <f ca="1">IF(J27=0,"",OFFSET(Tasks!$C$1,Dashboard!$J27,Dashboard!L$3))</f>
        <v>Person 4</v>
      </c>
      <c r="M27" s="91">
        <f ca="1">IF(J27=0,"",OFFSET(Tasks!$C$1,Dashboard!$J27,Dashboard!M$3))</f>
        <v>45676</v>
      </c>
      <c r="N27" s="91">
        <f t="shared" ca="1" si="1"/>
        <v>45682</v>
      </c>
      <c r="O27" s="92">
        <f ca="1">IF(J27=0,"",OFFSET(Tasks!$C$1,Dashboard!$J27,Dashboard!O$3))</f>
        <v>7</v>
      </c>
      <c r="P27" s="93">
        <f ca="1">IF(J27=0,"",OFFSET(Tasks!$C$1,Dashboard!$J27,Dashboard!P$3))</f>
        <v>0.25</v>
      </c>
      <c r="Q27" s="94">
        <f t="shared" ca="1" si="2"/>
        <v>1.75</v>
      </c>
      <c r="R27" s="81" t="str">
        <f ca="1">OFFSET(Tasks!$C$1,Dashboard!$J27,Dashboard!R$3)</f>
        <v>Project 3</v>
      </c>
      <c r="S27" s="82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4"/>
      <c r="AI27" s="5"/>
    </row>
    <row r="28" spans="1:35" s="6" customFormat="1" ht="18" customHeight="1">
      <c r="A28"/>
      <c r="B28"/>
      <c r="C28" s="69" t="s">
        <v>128</v>
      </c>
      <c r="D28" s="70"/>
      <c r="E28" s="71"/>
      <c r="F28" s="72"/>
      <c r="G28" s="141" t="s">
        <v>130</v>
      </c>
      <c r="H28" s="142"/>
      <c r="I28" s="142"/>
      <c r="J28" s="31" cm="1">
        <f t="array" ref="J28">IFERROR(IF(FNAT_rng_Project="All Projects",ROW()-3,INDEX(ROW(FNAT_rng_Tasks),SMALL(IF(FNAT_rng_Tasks=FNAT_rng_Project,ROW(FNAT_rng_Tasks)-ROW(INDEX(FNAT_rng_Tasks,1,1))+1),ROW()-3))-1),0)</f>
        <v>25</v>
      </c>
      <c r="K28" s="99" t="str">
        <f ca="1">IF(J28=0,"",IF(AND($K$1&lt;&gt;"All Projects",$K$1&lt;&gt;R28),0,OFFSET(Tasks!$C$1,Dashboard!$J28,Dashboard!K$3)))</f>
        <v>Project 3 - Task 6</v>
      </c>
      <c r="L28" s="99" t="str">
        <f ca="1">IF(J28=0,"",OFFSET(Tasks!$C$1,Dashboard!$J28,Dashboard!L$3))</f>
        <v>Person 5</v>
      </c>
      <c r="M28" s="100">
        <f ca="1">IF(J28=0,"",OFFSET(Tasks!$C$1,Dashboard!$J28,Dashboard!M$3))</f>
        <v>45678</v>
      </c>
      <c r="N28" s="100">
        <f t="shared" ca="1" si="1"/>
        <v>45680</v>
      </c>
      <c r="O28" s="101">
        <f ca="1">IF(J28=0,"",OFFSET(Tasks!$C$1,Dashboard!$J28,Dashboard!O$3))</f>
        <v>3</v>
      </c>
      <c r="P28" s="102">
        <f ca="1">IF(J28=0,"",OFFSET(Tasks!$C$1,Dashboard!$J28,Dashboard!P$3))</f>
        <v>1</v>
      </c>
      <c r="Q28" s="103">
        <f t="shared" ca="1" si="2"/>
        <v>3</v>
      </c>
      <c r="R28" s="19" t="str">
        <f ca="1">OFFSET(Tasks!$C$1,Dashboard!$J28,Dashboard!R$3)</f>
        <v>Project 3</v>
      </c>
      <c r="S28" s="20"/>
      <c r="T28" s="20"/>
      <c r="U28" s="20"/>
      <c r="V28" s="20"/>
      <c r="W28" s="20"/>
      <c r="X28" s="20"/>
      <c r="Y28" s="20"/>
      <c r="Z28" s="20"/>
      <c r="AA28" s="20"/>
      <c r="AB28" s="7"/>
      <c r="AC28" s="7"/>
      <c r="AD28" s="7"/>
      <c r="AE28" s="7"/>
      <c r="AF28" s="7"/>
      <c r="AG28" s="7"/>
      <c r="AH28" s="8"/>
      <c r="AI28" s="5"/>
    </row>
    <row r="29" spans="1:35" s="39" customFormat="1" ht="30.9" customHeight="1" thickBot="1">
      <c r="A29" s="24"/>
      <c r="B29" s="24"/>
      <c r="C29" s="48"/>
      <c r="D29" s="48"/>
      <c r="E29" s="49"/>
      <c r="F29" s="50"/>
      <c r="G29" s="51"/>
      <c r="H29" s="51"/>
      <c r="I29" s="51"/>
      <c r="J29" s="52"/>
      <c r="K29" s="53"/>
      <c r="L29" s="1"/>
      <c r="M29" s="54"/>
      <c r="N29" s="54"/>
      <c r="O29" s="52"/>
      <c r="P29" s="55"/>
      <c r="Q29" s="66"/>
      <c r="R29" s="56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35" s="143" customFormat="1" ht="24" customHeight="1" thickTop="1" thickBot="1">
      <c r="A30" s="144" t="s">
        <v>131</v>
      </c>
      <c r="B30" s="144"/>
      <c r="C30" s="144"/>
      <c r="D30" s="144"/>
      <c r="E30" s="139" t="s">
        <v>129</v>
      </c>
      <c r="F30" s="139"/>
      <c r="G30" s="139"/>
      <c r="H30" s="139"/>
      <c r="I30" s="139"/>
      <c r="J30" s="119"/>
      <c r="K30" s="140"/>
      <c r="L30" s="140"/>
      <c r="M30" s="140"/>
      <c r="N30" s="140"/>
      <c r="O30" s="140"/>
      <c r="P30" s="140"/>
      <c r="Q30" s="140"/>
      <c r="R30" s="120"/>
    </row>
    <row r="31" spans="1:35" s="143" customFormat="1" ht="24" customHeight="1" thickTop="1" thickBot="1">
      <c r="A31" s="144"/>
      <c r="B31" s="144"/>
      <c r="C31" s="144"/>
      <c r="D31" s="144"/>
      <c r="E31" s="139"/>
      <c r="F31" s="139"/>
      <c r="G31" s="139"/>
      <c r="H31" s="139"/>
      <c r="I31" s="139"/>
      <c r="J31" s="121"/>
      <c r="K31" s="140"/>
      <c r="L31" s="140"/>
      <c r="M31" s="140"/>
      <c r="N31" s="140"/>
      <c r="O31" s="140"/>
      <c r="P31" s="140"/>
      <c r="Q31" s="140"/>
      <c r="R31" s="120"/>
    </row>
    <row r="32" spans="1:35" s="143" customFormat="1" ht="24" customHeight="1" thickTop="1" thickBot="1">
      <c r="A32" s="144"/>
      <c r="B32" s="144"/>
      <c r="C32" s="144"/>
      <c r="D32" s="144"/>
      <c r="E32" s="139"/>
      <c r="F32" s="139"/>
      <c r="G32" s="139"/>
      <c r="H32" s="139"/>
      <c r="I32" s="139"/>
      <c r="J32" s="121"/>
      <c r="K32" s="140"/>
      <c r="L32" s="140"/>
      <c r="M32" s="140"/>
      <c r="N32" s="140"/>
      <c r="O32" s="140"/>
      <c r="P32" s="140"/>
      <c r="Q32" s="140"/>
      <c r="R32" s="120"/>
    </row>
    <row r="33" spans="1:18" s="143" customFormat="1" ht="24" customHeight="1" thickTop="1" thickBot="1">
      <c r="A33" s="144"/>
      <c r="B33" s="144"/>
      <c r="C33" s="144"/>
      <c r="D33" s="144"/>
      <c r="E33" s="139"/>
      <c r="F33" s="139"/>
      <c r="G33" s="139"/>
      <c r="H33" s="139"/>
      <c r="I33" s="139"/>
      <c r="J33" s="121"/>
      <c r="K33" s="140"/>
      <c r="L33" s="140"/>
      <c r="M33" s="140"/>
      <c r="N33" s="140"/>
      <c r="O33" s="140"/>
      <c r="P33" s="140"/>
      <c r="Q33" s="140"/>
      <c r="R33" s="121"/>
    </row>
  </sheetData>
  <sheetProtection algorithmName="SHA-512" hashValue="6dsY7/3vl0U+G9fAaQAG9YmjfYiIflRNzEzyTWxR/PwsXzzVEw33JVjO64jmxdPh5W+UwHjdlPHf4vsztr7NWQ==" saltValue="fVz+ALecijq4HTn3S1r1lg==" spinCount="100000" sheet="1" objects="1" scenarios="1"/>
  <mergeCells count="11">
    <mergeCell ref="C1:I1"/>
    <mergeCell ref="E30:I33"/>
    <mergeCell ref="K30:Q33"/>
    <mergeCell ref="G28:I28"/>
    <mergeCell ref="S30:XFD33"/>
    <mergeCell ref="A30:D33"/>
    <mergeCell ref="L1:Q1"/>
    <mergeCell ref="E14:E15"/>
    <mergeCell ref="D2:I2"/>
    <mergeCell ref="C16:D16"/>
    <mergeCell ref="E5:E8"/>
  </mergeCells>
  <conditionalFormatting sqref="G18:G25">
    <cfRule type="dataBar" priority="4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{2A2EEA41-1D50-48AC-8694-1B4092DB76D8}</x14:id>
        </ext>
      </extLst>
    </cfRule>
  </conditionalFormatting>
  <conditionalFormatting sqref="K4:O28 Q4:AH28 K29:AH29">
    <cfRule type="expression" dxfId="5" priority="1" stopIfTrue="1">
      <formula>IF($K4=0,TRUE,FALSE)</formula>
    </cfRule>
  </conditionalFormatting>
  <conditionalFormatting sqref="R4:R29">
    <cfRule type="expression" dxfId="4" priority="5">
      <formula>IF($K4=0,TRUE,FALSE)</formula>
    </cfRule>
  </conditionalFormatting>
  <conditionalFormatting sqref="S4:AH28">
    <cfRule type="expression" dxfId="3" priority="2" stopIfTrue="1">
      <formula>IF(AND(S$2&gt;=$M4,S$2&lt;$M4+$Q4),TRUE,FALSE)</formula>
    </cfRule>
    <cfRule type="expression" dxfId="2" priority="6" stopIfTrue="1">
      <formula>IF(AND(S$2&gt;=$M4,S$2&lt;=$N4),TRUE,FALSE)</formula>
    </cfRule>
  </conditionalFormatting>
  <dataValidations count="1">
    <dataValidation type="list" allowBlank="1" showInputMessage="1" showErrorMessage="1" sqref="K1" xr:uid="{00000000-0002-0000-0100-000000000000}">
      <formula1>FNAT_rng_All_Projects</formula1>
    </dataValidation>
  </dataValidations>
  <pageMargins left="0.7" right="0.7" top="0.75" bottom="0.75" header="0.3" footer="0.3"/>
  <pageSetup paperSize="9" orientation="portrait" verticalDpi="0" r:id="rId1"/>
  <ignoredErrors>
    <ignoredError sqref="R4:R2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6" r:id="rId4" name="Scroll Bar 32">
              <controlPr defaultSize="0" autoPict="0">
                <anchor moveWithCells="1">
                  <from>
                    <xdr:col>20</xdr:col>
                    <xdr:colOff>236220</xdr:colOff>
                    <xdr:row>0</xdr:row>
                    <xdr:rowOff>137160</xdr:rowOff>
                  </from>
                  <to>
                    <xdr:col>24</xdr:col>
                    <xdr:colOff>259080</xdr:colOff>
                    <xdr:row>0</xdr:row>
                    <xdr:rowOff>403860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EEA41-1D50-48AC-8694-1B4092DB76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7"/>
  </sheetPr>
  <dimension ref="A1:L39"/>
  <sheetViews>
    <sheetView showGridLines="0" showRowColHeaders="0" workbookViewId="0">
      <selection activeCell="B18" sqref="B18:F21"/>
    </sheetView>
  </sheetViews>
  <sheetFormatPr defaultColWidth="0" defaultRowHeight="14.4" zeroHeight="1"/>
  <cols>
    <col min="1" max="1" width="27.109375" customWidth="1"/>
    <col min="2" max="2" width="23.109375" customWidth="1"/>
    <col min="3" max="3" width="12.6640625" customWidth="1"/>
    <col min="4" max="5" width="15.21875" customWidth="1"/>
    <col min="6" max="6" width="12.6640625" customWidth="1"/>
    <col min="7" max="7" width="33.88671875" customWidth="1"/>
    <col min="8" max="8" width="21" customWidth="1"/>
    <col min="9" max="12" width="9.21875" customWidth="1"/>
    <col min="13" max="16384" width="9.21875" hidden="1"/>
  </cols>
  <sheetData>
    <row r="1" spans="2:8">
      <c r="B1" s="151" t="s">
        <v>44</v>
      </c>
      <c r="C1" s="151"/>
      <c r="D1" s="151"/>
      <c r="E1" s="151"/>
      <c r="F1" s="151"/>
      <c r="G1" s="151"/>
      <c r="H1" s="151"/>
    </row>
    <row r="2" spans="2:8" ht="25.5" customHeight="1">
      <c r="B2" s="151"/>
      <c r="C2" s="151"/>
      <c r="D2" s="151"/>
      <c r="E2" s="151"/>
      <c r="F2" s="151"/>
      <c r="G2" s="151"/>
      <c r="H2" s="151"/>
    </row>
    <row r="3" spans="2:8" ht="6.45" customHeight="1"/>
    <row r="4" spans="2:8" s="112" customFormat="1" ht="20.100000000000001" customHeight="1">
      <c r="B4" s="109" t="s">
        <v>37</v>
      </c>
      <c r="C4" s="110" t="s">
        <v>38</v>
      </c>
      <c r="D4" s="110" t="s">
        <v>34</v>
      </c>
      <c r="E4" s="110" t="s">
        <v>35</v>
      </c>
      <c r="F4" s="111" t="s">
        <v>36</v>
      </c>
      <c r="G4" s="111" t="s">
        <v>39</v>
      </c>
      <c r="H4" s="111" t="s">
        <v>41</v>
      </c>
    </row>
    <row r="5" spans="2:8">
      <c r="B5" s="33" t="s">
        <v>23</v>
      </c>
      <c r="C5" s="107">
        <f>COUNTA(Table1[Project])</f>
        <v>80</v>
      </c>
      <c r="D5" s="106">
        <f>MIN(Table1[Start Date])</f>
        <v>45662</v>
      </c>
      <c r="E5" s="106">
        <f>MAX(Table1[Start Date])+MAX(Table1[Days Required])</f>
        <v>45724</v>
      </c>
      <c r="F5" s="105">
        <f>SUM(Table1[Days Required])</f>
        <v>633</v>
      </c>
      <c r="G5" s="104">
        <f>AVERAGE(Tasks!G:G)</f>
        <v>0.48812499999999986</v>
      </c>
      <c r="H5" s="34">
        <f>IFERROR(1-G5,"")</f>
        <v>0.51187500000000008</v>
      </c>
    </row>
    <row r="6" spans="2:8" ht="20.100000000000001" customHeight="1">
      <c r="B6" s="108" t="s">
        <v>24</v>
      </c>
      <c r="C6" s="107">
        <f>COUNTIF(Table1[Project],B6)</f>
        <v>10</v>
      </c>
      <c r="D6" s="106">
        <f t="array" ref="D6">MIN(IF(Table1[Project]=B6,Table1[Start Date]))</f>
        <v>45666</v>
      </c>
      <c r="E6" s="106">
        <f t="array" ref="E6">MAX(IF(Table1[Project]=B6,Table1[Start Date]))+MAX(IF(Table1[Project]=B6,Table1[Days Required]))</f>
        <v>45716</v>
      </c>
      <c r="F6" s="105">
        <f>SUMIF(Table1[Project],Projects!B6,Table1[Days Required])</f>
        <v>168</v>
      </c>
      <c r="G6" s="104">
        <f>AVERAGEIF(Table1[Project],Projects!B6,Table1[Progress])</f>
        <v>0.49499999999999994</v>
      </c>
      <c r="H6" s="34">
        <f t="shared" ref="H6:H15" si="0">IFERROR(1-G6,"")</f>
        <v>0.50500000000000012</v>
      </c>
    </row>
    <row r="7" spans="2:8" ht="20.100000000000001" customHeight="1">
      <c r="B7" s="108" t="s">
        <v>25</v>
      </c>
      <c r="C7" s="107">
        <f>COUNTIF(Table1[Project],B7)</f>
        <v>10</v>
      </c>
      <c r="D7" s="106">
        <f t="array" ref="D7">MIN(IF(Table1[Project]=B7,Table1[Start Date]))</f>
        <v>45663</v>
      </c>
      <c r="E7" s="106">
        <f t="array" ref="E7">MAX(IF(Table1[Project]=B7,Table1[Start Date]))+MAX(IF(Table1[Project]=B7,Table1[Days Required]))</f>
        <v>45686</v>
      </c>
      <c r="F7" s="105">
        <f>SUMIF(Table1[Project],Projects!B7,Table1[Days Required])</f>
        <v>61</v>
      </c>
      <c r="G7" s="104">
        <f>AVERAGEIF(Table1[Project],Projects!B7,Table1[Progress])</f>
        <v>0.54999999999999993</v>
      </c>
      <c r="H7" s="34">
        <f t="shared" si="0"/>
        <v>0.45000000000000007</v>
      </c>
    </row>
    <row r="8" spans="2:8" ht="20.100000000000001" customHeight="1">
      <c r="B8" s="108" t="s">
        <v>26</v>
      </c>
      <c r="C8" s="107">
        <f>COUNTIF(Table1[Project],B8)</f>
        <v>5</v>
      </c>
      <c r="D8" s="106">
        <f t="array" ref="D8">MIN(IF(Table1[Project]=B8,Table1[Start Date]))</f>
        <v>45662</v>
      </c>
      <c r="E8" s="106">
        <f t="array" ref="E8">MAX(IF(Table1[Project]=B8,Table1[Start Date]))+MAX(IF(Table1[Project]=B8,Table1[Days Required]))</f>
        <v>45688</v>
      </c>
      <c r="F8" s="105">
        <f>SUMIF(Table1[Project],Projects!B8,Table1[Days Required])</f>
        <v>32</v>
      </c>
      <c r="G8" s="104">
        <f>AVERAGEIF(Table1[Project],Projects!B8,Table1[Progress])</f>
        <v>0.74</v>
      </c>
      <c r="H8" s="34">
        <f t="shared" si="0"/>
        <v>0.26</v>
      </c>
    </row>
    <row r="9" spans="2:8" ht="20.100000000000001" customHeight="1">
      <c r="B9" s="108" t="s">
        <v>27</v>
      </c>
      <c r="C9" s="107">
        <f>COUNTIF(Table1[Project],B9)</f>
        <v>7</v>
      </c>
      <c r="D9" s="106">
        <f t="array" ref="D9">MIN(IF(Table1[Project]=B9,Table1[Start Date]))</f>
        <v>45666</v>
      </c>
      <c r="E9" s="106">
        <f t="array" ref="E9">MAX(IF(Table1[Project]=B9,Table1[Start Date]))+MAX(IF(Table1[Project]=B9,Table1[Days Required]))</f>
        <v>45691</v>
      </c>
      <c r="F9" s="105">
        <f>SUMIF(Table1[Project],Projects!B9,Table1[Days Required])</f>
        <v>51</v>
      </c>
      <c r="G9" s="104">
        <f>AVERAGEIF(Table1[Project],Projects!B9,Table1[Progress])</f>
        <v>0.23571428571428574</v>
      </c>
      <c r="H9" s="34">
        <f t="shared" si="0"/>
        <v>0.76428571428571423</v>
      </c>
    </row>
    <row r="10" spans="2:8" ht="20.100000000000001" customHeight="1">
      <c r="B10" s="108" t="s">
        <v>28</v>
      </c>
      <c r="C10" s="107">
        <f>COUNTIF(Table1[Project],B10)</f>
        <v>8</v>
      </c>
      <c r="D10" s="106">
        <f t="array" ref="D10">MIN(IF(Table1[Project]=B10,Table1[Start Date]))</f>
        <v>45669</v>
      </c>
      <c r="E10" s="106">
        <f t="array" ref="E10">MAX(IF(Table1[Project]=B10,Table1[Start Date]))+MAX(IF(Table1[Project]=B10,Table1[Days Required]))</f>
        <v>45690</v>
      </c>
      <c r="F10" s="105">
        <f>SUMIF(Table1[Project],Projects!B10,Table1[Days Required])</f>
        <v>55</v>
      </c>
      <c r="G10" s="104">
        <f>AVERAGEIF(Table1[Project],Projects!B10,Table1[Progress])</f>
        <v>0.67500000000000004</v>
      </c>
      <c r="H10" s="34">
        <f t="shared" si="0"/>
        <v>0.32499999999999996</v>
      </c>
    </row>
    <row r="11" spans="2:8" ht="20.100000000000001" customHeight="1">
      <c r="B11" s="108" t="s">
        <v>29</v>
      </c>
      <c r="C11" s="107">
        <f>COUNTIF(Table1[Project],B11)</f>
        <v>8</v>
      </c>
      <c r="D11" s="106">
        <f t="array" ref="D11">MIN(IF(Table1[Project]=B11,Table1[Start Date]))</f>
        <v>45666</v>
      </c>
      <c r="E11" s="106">
        <f t="array" ref="E11">MAX(IF(Table1[Project]=B11,Table1[Start Date]))+MAX(IF(Table1[Project]=B11,Table1[Days Required]))</f>
        <v>45682</v>
      </c>
      <c r="F11" s="105">
        <f>SUMIF(Table1[Project],Projects!B11,Table1[Days Required])</f>
        <v>52</v>
      </c>
      <c r="G11" s="104">
        <f>AVERAGEIF(Table1[Project],Projects!B11,Table1[Progress])</f>
        <v>0.5</v>
      </c>
      <c r="H11" s="34">
        <f t="shared" si="0"/>
        <v>0.5</v>
      </c>
    </row>
    <row r="12" spans="2:8" ht="20.100000000000001" customHeight="1">
      <c r="B12" s="108" t="s">
        <v>30</v>
      </c>
      <c r="C12" s="107">
        <f>COUNTIF(Table1[Project],B12)</f>
        <v>9</v>
      </c>
      <c r="D12" s="106">
        <f t="array" ref="D12">MIN(IF(Table1[Project]=B12,Table1[Start Date]))</f>
        <v>45663</v>
      </c>
      <c r="E12" s="106">
        <f t="array" ref="E12">MAX(IF(Table1[Project]=B12,Table1[Start Date]))+MAX(IF(Table1[Project]=B12,Table1[Days Required]))</f>
        <v>45683</v>
      </c>
      <c r="F12" s="105">
        <f>SUMIF(Table1[Project],Projects!B12,Table1[Days Required])</f>
        <v>62</v>
      </c>
      <c r="G12" s="104">
        <f>AVERAGEIF(Table1[Project],Projects!B12,Table1[Progress])</f>
        <v>0.41111111111111115</v>
      </c>
      <c r="H12" s="34">
        <f t="shared" si="0"/>
        <v>0.5888888888888888</v>
      </c>
    </row>
    <row r="13" spans="2:8" ht="20.100000000000001" customHeight="1">
      <c r="B13" s="108" t="s">
        <v>31</v>
      </c>
      <c r="C13" s="107">
        <f>COUNTIF(Table1[Project],B13)</f>
        <v>11</v>
      </c>
      <c r="D13" s="106">
        <f t="array" ref="D13">MIN(IF(Table1[Project]=B13,Table1[Start Date]))</f>
        <v>45662</v>
      </c>
      <c r="E13" s="106">
        <f t="array" ref="E13">MAX(IF(Table1[Project]=B13,Table1[Start Date]))+MAX(IF(Table1[Project]=B13,Table1[Days Required]))</f>
        <v>45691</v>
      </c>
      <c r="F13" s="105">
        <f>SUMIF(Table1[Project],Projects!B13,Table1[Days Required])</f>
        <v>69</v>
      </c>
      <c r="G13" s="104">
        <f>AVERAGEIF(Table1[Project],Projects!B13,Table1[Progress])</f>
        <v>0.41818181818181821</v>
      </c>
      <c r="H13" s="34">
        <f t="shared" si="0"/>
        <v>0.58181818181818179</v>
      </c>
    </row>
    <row r="14" spans="2:8" ht="20.100000000000001" customHeight="1">
      <c r="B14" s="108" t="s">
        <v>32</v>
      </c>
      <c r="C14" s="107">
        <f>COUNTIF(Table1[Project],B14)</f>
        <v>4</v>
      </c>
      <c r="D14" s="106">
        <f t="array" ref="D14">MIN(IF(Table1[Project]=B14,Table1[Start Date]))</f>
        <v>45669</v>
      </c>
      <c r="E14" s="106">
        <f t="array" ref="E14">MAX(IF(Table1[Project]=B14,Table1[Start Date]))+MAX(IF(Table1[Project]=B14,Table1[Days Required]))</f>
        <v>45685</v>
      </c>
      <c r="F14" s="105">
        <f>SUMIF(Table1[Project],Projects!B14,Table1[Days Required])</f>
        <v>28</v>
      </c>
      <c r="G14" s="104">
        <f>AVERAGEIF(Table1[Project],Projects!B14,Table1[Progress])</f>
        <v>0.57499999999999996</v>
      </c>
      <c r="H14" s="34">
        <f t="shared" si="0"/>
        <v>0.42500000000000004</v>
      </c>
    </row>
    <row r="15" spans="2:8" ht="20.100000000000001" customHeight="1">
      <c r="B15" s="108" t="s">
        <v>33</v>
      </c>
      <c r="C15" s="107">
        <f>COUNTIF(Table1[Project],B15)</f>
        <v>8</v>
      </c>
      <c r="D15" s="106">
        <f t="array" ref="D15">MIN(IF(Table1[Project]=B15,Table1[Start Date]))</f>
        <v>45669</v>
      </c>
      <c r="E15" s="106">
        <f t="array" ref="E15">MAX(IF(Table1[Project]=B15,Table1[Start Date]))+MAX(IF(Table1[Project]=B15,Table1[Days Required]))</f>
        <v>45690</v>
      </c>
      <c r="F15" s="105">
        <f>SUMIF(Table1[Project],Projects!B15,Table1[Days Required])</f>
        <v>55</v>
      </c>
      <c r="G15" s="104">
        <f>AVERAGEIF(Table1[Project],Projects!B15,Table1[Progress])</f>
        <v>0.40625</v>
      </c>
      <c r="H15" s="34">
        <f t="shared" si="0"/>
        <v>0.59375</v>
      </c>
    </row>
    <row r="16" spans="2:8" ht="49.8" customHeight="1">
      <c r="G16" s="21"/>
    </row>
    <row r="17" spans="2:8" ht="14.55" customHeight="1"/>
    <row r="18" spans="2:8" ht="14.55" customHeight="1">
      <c r="B18" s="152" t="s">
        <v>129</v>
      </c>
      <c r="C18" s="152"/>
      <c r="D18" s="152"/>
      <c r="E18" s="152"/>
      <c r="F18" s="152"/>
      <c r="G18" s="9"/>
      <c r="H18" s="9"/>
    </row>
    <row r="19" spans="2:8" ht="14.55" customHeight="1">
      <c r="B19" s="153"/>
      <c r="C19" s="153"/>
      <c r="D19" s="153"/>
      <c r="E19" s="153"/>
      <c r="F19" s="153"/>
      <c r="G19" s="9"/>
      <c r="H19" s="9"/>
    </row>
    <row r="20" spans="2:8" ht="14.55" customHeight="1">
      <c r="B20" s="153"/>
      <c r="C20" s="153"/>
      <c r="D20" s="153"/>
      <c r="E20" s="153"/>
      <c r="F20" s="153"/>
      <c r="G20" s="9"/>
      <c r="H20" s="9"/>
    </row>
    <row r="21" spans="2:8" ht="102" customHeight="1">
      <c r="B21" s="153"/>
      <c r="C21" s="153"/>
      <c r="D21" s="153"/>
      <c r="E21" s="153"/>
      <c r="F21" s="153"/>
      <c r="G21" s="9"/>
      <c r="H21" s="9"/>
    </row>
    <row r="22" spans="2:8"/>
    <row r="33" customFormat="1"/>
    <row r="34" customFormat="1" hidden="1"/>
    <row r="35" customFormat="1" hidden="1"/>
    <row r="36" customFormat="1" hidden="1"/>
    <row r="37" customFormat="1" hidden="1"/>
    <row r="38" customFormat="1" hidden="1"/>
    <row r="39" customFormat="1" hidden="1"/>
  </sheetData>
  <sheetProtection algorithmName="SHA-512" hashValue="v+QrX308egIhPtZXZXsS9uKBU9DTlwe/GWvvHaQ0GJamFUCDCGy0xiFpvRS10nusVZLLxOV6e6I2aRTXGjubIw==" saltValue="QmJPLbP2f/Ju4aA5zij1dg==" spinCount="100000" sheet="1" objects="1" scenarios="1"/>
  <mergeCells count="2">
    <mergeCell ref="B1:H2"/>
    <mergeCell ref="B18:F21"/>
  </mergeCells>
  <conditionalFormatting sqref="B5">
    <cfRule type="expression" dxfId="1" priority="2">
      <formula>IF($C5=0,TRUE,FALSE)</formula>
    </cfRule>
  </conditionalFormatting>
  <conditionalFormatting sqref="C5:H15">
    <cfRule type="expression" dxfId="0" priority="3">
      <formula>IF($C5=0,TRUE,FALSE)</formula>
    </cfRule>
  </conditionalFormatting>
  <conditionalFormatting sqref="G5:G15">
    <cfRule type="dataBar" priority="1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{2199B4E9-D656-48E6-9671-A5486ADD8014}</x14:id>
        </ext>
      </extLst>
    </cfRule>
  </conditionalFormatting>
  <pageMargins left="0.7" right="0.7" top="0.75" bottom="0.75" header="0.3" footer="0.3"/>
  <pageSetup paperSize="9" orientation="portrait" verticalDpi="0" r:id="rId1"/>
  <ignoredErrors>
    <ignoredError sqref="G11:G16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99B4E9-D656-48E6-9671-A5486ADD80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7"/>
  </sheetPr>
  <dimension ref="A1:O102"/>
  <sheetViews>
    <sheetView showGridLines="0" showRowColHeaders="0" workbookViewId="0">
      <selection activeCell="B1" sqref="B1:G81"/>
    </sheetView>
  </sheetViews>
  <sheetFormatPr defaultColWidth="0" defaultRowHeight="18" customHeight="1" zeroHeight="1"/>
  <cols>
    <col min="1" max="1" width="3.77734375" style="67" customWidth="1"/>
    <col min="2" max="2" width="25.33203125" style="118" customWidth="1"/>
    <col min="3" max="3" width="26.33203125" style="118" customWidth="1"/>
    <col min="4" max="5" width="16.33203125" style="118" customWidth="1"/>
    <col min="6" max="6" width="13.6640625" style="118" customWidth="1"/>
    <col min="7" max="7" width="16.33203125" style="118" customWidth="1"/>
    <col min="8" max="12" width="9.21875" style="67" customWidth="1"/>
    <col min="13" max="13" width="9.21875" style="67" hidden="1" customWidth="1"/>
    <col min="14" max="14" width="9.6640625" style="67" hidden="1" customWidth="1"/>
    <col min="15" max="15" width="12.33203125" style="67" hidden="1" customWidth="1"/>
    <col min="16" max="16384" width="9.21875" style="67" hidden="1"/>
  </cols>
  <sheetData>
    <row r="1" spans="2:14" ht="30" customHeight="1">
      <c r="B1" s="113" t="s">
        <v>22</v>
      </c>
      <c r="C1" s="22" t="s">
        <v>2</v>
      </c>
      <c r="D1" s="113" t="s">
        <v>40</v>
      </c>
      <c r="E1" s="22" t="s">
        <v>0</v>
      </c>
      <c r="F1" s="113" t="s">
        <v>42</v>
      </c>
      <c r="G1" s="22" t="s">
        <v>9</v>
      </c>
    </row>
    <row r="2" spans="2:14" ht="18" customHeight="1">
      <c r="B2" s="114" t="s">
        <v>24</v>
      </c>
      <c r="C2" s="114" t="s">
        <v>45</v>
      </c>
      <c r="D2" s="114" t="s">
        <v>8</v>
      </c>
      <c r="E2" s="115">
        <v>45666</v>
      </c>
      <c r="F2" s="114">
        <v>20</v>
      </c>
      <c r="G2" s="116">
        <v>1</v>
      </c>
    </row>
    <row r="3" spans="2:14" ht="18" customHeight="1">
      <c r="B3" s="114" t="s">
        <v>24</v>
      </c>
      <c r="C3" s="114" t="s">
        <v>46</v>
      </c>
      <c r="D3" s="114" t="s">
        <v>10</v>
      </c>
      <c r="E3" s="115">
        <v>45667</v>
      </c>
      <c r="F3" s="114">
        <v>6</v>
      </c>
      <c r="G3" s="116">
        <v>0.4</v>
      </c>
    </row>
    <row r="4" spans="2:14" ht="18" customHeight="1">
      <c r="B4" s="114" t="s">
        <v>24</v>
      </c>
      <c r="C4" s="114" t="s">
        <v>47</v>
      </c>
      <c r="D4" s="114" t="s">
        <v>11</v>
      </c>
      <c r="E4" s="115">
        <v>45668</v>
      </c>
      <c r="F4" s="114">
        <v>10</v>
      </c>
      <c r="G4" s="116">
        <v>0.45</v>
      </c>
    </row>
    <row r="5" spans="2:14" ht="18" customHeight="1">
      <c r="B5" s="114" t="s">
        <v>24</v>
      </c>
      <c r="C5" s="114" t="s">
        <v>48</v>
      </c>
      <c r="D5" s="114" t="s">
        <v>12</v>
      </c>
      <c r="E5" s="115">
        <v>45671</v>
      </c>
      <c r="F5" s="114">
        <v>9</v>
      </c>
      <c r="G5" s="116">
        <v>0.85</v>
      </c>
    </row>
    <row r="6" spans="2:14" ht="18" customHeight="1">
      <c r="B6" s="114" t="s">
        <v>24</v>
      </c>
      <c r="C6" s="114" t="s">
        <v>49</v>
      </c>
      <c r="D6" s="114" t="s">
        <v>13</v>
      </c>
      <c r="E6" s="115">
        <v>45667</v>
      </c>
      <c r="F6" s="114">
        <v>30</v>
      </c>
      <c r="G6" s="116">
        <v>0.45</v>
      </c>
    </row>
    <row r="7" spans="2:14" ht="18" customHeight="1">
      <c r="B7" s="114" t="s">
        <v>24</v>
      </c>
      <c r="C7" s="114" t="s">
        <v>50</v>
      </c>
      <c r="D7" s="114" t="s">
        <v>8</v>
      </c>
      <c r="E7" s="115">
        <v>45670</v>
      </c>
      <c r="F7" s="114">
        <v>12</v>
      </c>
      <c r="G7" s="116">
        <v>0.8</v>
      </c>
    </row>
    <row r="8" spans="2:14" ht="18" customHeight="1">
      <c r="B8" s="114" t="s">
        <v>24</v>
      </c>
      <c r="C8" s="114" t="s">
        <v>51</v>
      </c>
      <c r="D8" s="114" t="s">
        <v>10</v>
      </c>
      <c r="E8" s="115">
        <v>45670</v>
      </c>
      <c r="F8" s="114">
        <v>43</v>
      </c>
      <c r="G8" s="116">
        <v>0.1</v>
      </c>
    </row>
    <row r="9" spans="2:14" ht="18" customHeight="1">
      <c r="B9" s="114" t="s">
        <v>24</v>
      </c>
      <c r="C9" s="114" t="s">
        <v>52</v>
      </c>
      <c r="D9" s="114" t="s">
        <v>11</v>
      </c>
      <c r="E9" s="115">
        <v>45672</v>
      </c>
      <c r="F9" s="114">
        <v>23</v>
      </c>
      <c r="G9" s="116">
        <v>0.5</v>
      </c>
      <c r="N9" s="117"/>
    </row>
    <row r="10" spans="2:14" ht="18" customHeight="1">
      <c r="B10" s="114" t="s">
        <v>24</v>
      </c>
      <c r="C10" s="114" t="s">
        <v>53</v>
      </c>
      <c r="D10" s="114" t="s">
        <v>12</v>
      </c>
      <c r="E10" s="115">
        <v>45672</v>
      </c>
      <c r="F10" s="114">
        <v>9</v>
      </c>
      <c r="G10" s="116">
        <v>0.1</v>
      </c>
    </row>
    <row r="11" spans="2:14" ht="18" customHeight="1">
      <c r="B11" s="114" t="s">
        <v>24</v>
      </c>
      <c r="C11" s="114" t="s">
        <v>54</v>
      </c>
      <c r="D11" s="114" t="s">
        <v>13</v>
      </c>
      <c r="E11" s="115">
        <v>45673</v>
      </c>
      <c r="F11" s="114">
        <v>6</v>
      </c>
      <c r="G11" s="116">
        <v>0.3</v>
      </c>
    </row>
    <row r="12" spans="2:14" ht="18" customHeight="1">
      <c r="B12" s="114" t="s">
        <v>25</v>
      </c>
      <c r="C12" s="114" t="s">
        <v>55</v>
      </c>
      <c r="D12" s="114" t="s">
        <v>8</v>
      </c>
      <c r="E12" s="115">
        <v>45663</v>
      </c>
      <c r="F12" s="114">
        <v>7</v>
      </c>
      <c r="G12" s="116">
        <v>0.45</v>
      </c>
    </row>
    <row r="13" spans="2:14" ht="18" customHeight="1">
      <c r="B13" s="114" t="s">
        <v>25</v>
      </c>
      <c r="C13" s="114" t="s">
        <v>56</v>
      </c>
      <c r="D13" s="114" t="s">
        <v>10</v>
      </c>
      <c r="E13" s="115">
        <v>45667</v>
      </c>
      <c r="F13" s="114">
        <v>9</v>
      </c>
      <c r="G13" s="116">
        <v>1</v>
      </c>
    </row>
    <row r="14" spans="2:14" ht="18" customHeight="1">
      <c r="B14" s="114" t="s">
        <v>25</v>
      </c>
      <c r="C14" s="114" t="s">
        <v>57</v>
      </c>
      <c r="D14" s="114" t="s">
        <v>11</v>
      </c>
      <c r="E14" s="115">
        <v>45668</v>
      </c>
      <c r="F14" s="114">
        <v>8</v>
      </c>
      <c r="G14" s="116">
        <v>0.5</v>
      </c>
    </row>
    <row r="15" spans="2:14" ht="18" customHeight="1">
      <c r="B15" s="114" t="s">
        <v>25</v>
      </c>
      <c r="C15" s="114" t="s">
        <v>58</v>
      </c>
      <c r="D15" s="114" t="s">
        <v>12</v>
      </c>
      <c r="E15" s="115">
        <v>45670</v>
      </c>
      <c r="F15" s="114">
        <v>7</v>
      </c>
      <c r="G15" s="116">
        <v>0.6</v>
      </c>
    </row>
    <row r="16" spans="2:14" ht="18" customHeight="1">
      <c r="B16" s="114" t="s">
        <v>25</v>
      </c>
      <c r="C16" s="114" t="s">
        <v>59</v>
      </c>
      <c r="D16" s="114" t="s">
        <v>13</v>
      </c>
      <c r="E16" s="115">
        <v>45671</v>
      </c>
      <c r="F16" s="114">
        <v>4</v>
      </c>
      <c r="G16" s="116">
        <v>0.7</v>
      </c>
    </row>
    <row r="17" spans="2:7" ht="18" customHeight="1">
      <c r="B17" s="114" t="s">
        <v>25</v>
      </c>
      <c r="C17" s="114" t="s">
        <v>60</v>
      </c>
      <c r="D17" s="114" t="s">
        <v>8</v>
      </c>
      <c r="E17" s="115">
        <v>45671</v>
      </c>
      <c r="F17" s="114">
        <v>6</v>
      </c>
      <c r="G17" s="116">
        <v>0.55000000000000004</v>
      </c>
    </row>
    <row r="18" spans="2:7" ht="18" customHeight="1">
      <c r="B18" s="114" t="s">
        <v>25</v>
      </c>
      <c r="C18" s="114" t="s">
        <v>61</v>
      </c>
      <c r="D18" s="114" t="s">
        <v>10</v>
      </c>
      <c r="E18" s="115">
        <v>45674</v>
      </c>
      <c r="F18" s="114">
        <v>6</v>
      </c>
      <c r="G18" s="116">
        <v>0.75</v>
      </c>
    </row>
    <row r="19" spans="2:7" ht="18" customHeight="1">
      <c r="B19" s="114" t="s">
        <v>25</v>
      </c>
      <c r="C19" s="114" t="s">
        <v>62</v>
      </c>
      <c r="D19" s="114" t="s">
        <v>11</v>
      </c>
      <c r="E19" s="115">
        <v>45675</v>
      </c>
      <c r="F19" s="114">
        <v>4</v>
      </c>
      <c r="G19" s="116">
        <v>0</v>
      </c>
    </row>
    <row r="20" spans="2:7" ht="18" customHeight="1">
      <c r="B20" s="114" t="s">
        <v>25</v>
      </c>
      <c r="C20" s="114" t="s">
        <v>63</v>
      </c>
      <c r="D20" s="114" t="s">
        <v>12</v>
      </c>
      <c r="E20" s="115">
        <v>45677</v>
      </c>
      <c r="F20" s="114">
        <v>7</v>
      </c>
      <c r="G20" s="116">
        <v>0.1</v>
      </c>
    </row>
    <row r="21" spans="2:7" ht="18" customHeight="1">
      <c r="B21" s="114" t="s">
        <v>25</v>
      </c>
      <c r="C21" s="114" t="s">
        <v>64</v>
      </c>
      <c r="D21" s="114" t="s">
        <v>13</v>
      </c>
      <c r="E21" s="115">
        <v>45666</v>
      </c>
      <c r="F21" s="114">
        <v>3</v>
      </c>
      <c r="G21" s="116">
        <v>0.85</v>
      </c>
    </row>
    <row r="22" spans="2:7" ht="18" customHeight="1">
      <c r="B22" s="114" t="s">
        <v>26</v>
      </c>
      <c r="C22" s="114" t="s">
        <v>65</v>
      </c>
      <c r="D22" s="114" t="s">
        <v>8</v>
      </c>
      <c r="E22" s="115">
        <v>45662</v>
      </c>
      <c r="F22" s="114">
        <v>10</v>
      </c>
      <c r="G22" s="116">
        <v>0.9</v>
      </c>
    </row>
    <row r="23" spans="2:7" ht="18" customHeight="1">
      <c r="B23" s="114" t="s">
        <v>26</v>
      </c>
      <c r="C23" s="114" t="s">
        <v>66</v>
      </c>
      <c r="D23" s="114" t="s">
        <v>10</v>
      </c>
      <c r="E23" s="115">
        <v>45671</v>
      </c>
      <c r="F23" s="114">
        <v>5</v>
      </c>
      <c r="G23" s="116">
        <v>0.85</v>
      </c>
    </row>
    <row r="24" spans="2:7" ht="18" customHeight="1">
      <c r="B24" s="114" t="s">
        <v>26</v>
      </c>
      <c r="C24" s="114" t="s">
        <v>67</v>
      </c>
      <c r="D24" s="114" t="s">
        <v>11</v>
      </c>
      <c r="E24" s="115">
        <v>45673</v>
      </c>
      <c r="F24" s="114">
        <v>7</v>
      </c>
      <c r="G24" s="116">
        <v>0.7</v>
      </c>
    </row>
    <row r="25" spans="2:7" ht="18" customHeight="1">
      <c r="B25" s="114" t="s">
        <v>26</v>
      </c>
      <c r="C25" s="114" t="s">
        <v>68</v>
      </c>
      <c r="D25" s="114" t="s">
        <v>12</v>
      </c>
      <c r="E25" s="115">
        <v>45676</v>
      </c>
      <c r="F25" s="114">
        <v>7</v>
      </c>
      <c r="G25" s="116">
        <v>0.25</v>
      </c>
    </row>
    <row r="26" spans="2:7" ht="18" customHeight="1">
      <c r="B26" s="114" t="s">
        <v>26</v>
      </c>
      <c r="C26" s="114" t="s">
        <v>69</v>
      </c>
      <c r="D26" s="114" t="s">
        <v>13</v>
      </c>
      <c r="E26" s="115">
        <v>45678</v>
      </c>
      <c r="F26" s="114">
        <v>3</v>
      </c>
      <c r="G26" s="116">
        <v>1</v>
      </c>
    </row>
    <row r="27" spans="2:7" ht="18" customHeight="1">
      <c r="B27" s="114" t="s">
        <v>27</v>
      </c>
      <c r="C27" s="114" t="s">
        <v>70</v>
      </c>
      <c r="D27" s="114" t="s">
        <v>8</v>
      </c>
      <c r="E27" s="115">
        <v>45680</v>
      </c>
      <c r="F27" s="114">
        <v>9</v>
      </c>
      <c r="G27" s="116">
        <v>0.1</v>
      </c>
    </row>
    <row r="28" spans="2:7" ht="18" customHeight="1">
      <c r="B28" s="114" t="s">
        <v>27</v>
      </c>
      <c r="C28" s="114" t="s">
        <v>71</v>
      </c>
      <c r="D28" s="114" t="s">
        <v>10</v>
      </c>
      <c r="E28" s="115">
        <v>45681</v>
      </c>
      <c r="F28" s="114">
        <v>10</v>
      </c>
      <c r="G28" s="116">
        <v>0.5</v>
      </c>
    </row>
    <row r="29" spans="2:7" ht="18" customHeight="1">
      <c r="B29" s="114" t="s">
        <v>27</v>
      </c>
      <c r="C29" s="114" t="s">
        <v>72</v>
      </c>
      <c r="D29" s="114" t="s">
        <v>11</v>
      </c>
      <c r="E29" s="115">
        <v>45666</v>
      </c>
      <c r="F29" s="114">
        <v>4</v>
      </c>
      <c r="G29" s="116">
        <v>0.25</v>
      </c>
    </row>
    <row r="30" spans="2:7" ht="18" customHeight="1">
      <c r="B30" s="114" t="s">
        <v>27</v>
      </c>
      <c r="C30" s="114" t="s">
        <v>73</v>
      </c>
      <c r="D30" s="114" t="s">
        <v>12</v>
      </c>
      <c r="E30" s="115">
        <v>45669</v>
      </c>
      <c r="F30" s="114">
        <v>8</v>
      </c>
      <c r="G30" s="116">
        <v>0.35</v>
      </c>
    </row>
    <row r="31" spans="2:7" ht="18" customHeight="1">
      <c r="B31" s="114" t="s">
        <v>27</v>
      </c>
      <c r="C31" s="114" t="s">
        <v>74</v>
      </c>
      <c r="D31" s="114" t="s">
        <v>13</v>
      </c>
      <c r="E31" s="115">
        <v>45672</v>
      </c>
      <c r="F31" s="114">
        <v>10</v>
      </c>
      <c r="G31" s="116">
        <v>0.3</v>
      </c>
    </row>
    <row r="32" spans="2:7" ht="18" customHeight="1">
      <c r="B32" s="114" t="s">
        <v>27</v>
      </c>
      <c r="C32" s="114" t="s">
        <v>75</v>
      </c>
      <c r="D32" s="114" t="s">
        <v>8</v>
      </c>
      <c r="E32" s="115">
        <v>45675</v>
      </c>
      <c r="F32" s="114">
        <v>6</v>
      </c>
      <c r="G32" s="116">
        <v>0.05</v>
      </c>
    </row>
    <row r="33" spans="2:7" ht="18" customHeight="1">
      <c r="B33" s="114" t="s">
        <v>27</v>
      </c>
      <c r="C33" s="114" t="s">
        <v>76</v>
      </c>
      <c r="D33" s="114" t="s">
        <v>10</v>
      </c>
      <c r="E33" s="115">
        <v>45675</v>
      </c>
      <c r="F33" s="114">
        <v>4</v>
      </c>
      <c r="G33" s="116">
        <v>0.1</v>
      </c>
    </row>
    <row r="34" spans="2:7" ht="18" customHeight="1">
      <c r="B34" s="114" t="s">
        <v>28</v>
      </c>
      <c r="C34" s="114" t="s">
        <v>77</v>
      </c>
      <c r="D34" s="114" t="s">
        <v>11</v>
      </c>
      <c r="E34" s="115">
        <v>45678</v>
      </c>
      <c r="F34" s="114">
        <v>8</v>
      </c>
      <c r="G34" s="116">
        <v>1</v>
      </c>
    </row>
    <row r="35" spans="2:7" ht="18" customHeight="1">
      <c r="B35" s="114" t="s">
        <v>28</v>
      </c>
      <c r="C35" s="114" t="s">
        <v>78</v>
      </c>
      <c r="D35" s="114" t="s">
        <v>12</v>
      </c>
      <c r="E35" s="115">
        <v>45680</v>
      </c>
      <c r="F35" s="114">
        <v>9</v>
      </c>
      <c r="G35" s="116">
        <v>0.9</v>
      </c>
    </row>
    <row r="36" spans="2:7" ht="18" customHeight="1">
      <c r="B36" s="114" t="s">
        <v>28</v>
      </c>
      <c r="C36" s="114" t="s">
        <v>79</v>
      </c>
      <c r="D36" s="114" t="s">
        <v>13</v>
      </c>
      <c r="E36" s="115">
        <v>45670</v>
      </c>
      <c r="F36" s="114">
        <v>5</v>
      </c>
      <c r="G36" s="116">
        <v>0.75</v>
      </c>
    </row>
    <row r="37" spans="2:7" ht="18" customHeight="1">
      <c r="B37" s="114" t="s">
        <v>28</v>
      </c>
      <c r="C37" s="114" t="s">
        <v>80</v>
      </c>
      <c r="D37" s="114" t="s">
        <v>8</v>
      </c>
      <c r="E37" s="115">
        <v>45669</v>
      </c>
      <c r="F37" s="114">
        <v>3</v>
      </c>
      <c r="G37" s="116">
        <v>0.8</v>
      </c>
    </row>
    <row r="38" spans="2:7" ht="18" customHeight="1">
      <c r="B38" s="114" t="s">
        <v>28</v>
      </c>
      <c r="C38" s="114" t="s">
        <v>81</v>
      </c>
      <c r="D38" s="114" t="s">
        <v>10</v>
      </c>
      <c r="E38" s="115">
        <v>45671</v>
      </c>
      <c r="F38" s="114">
        <v>7</v>
      </c>
      <c r="G38" s="116">
        <v>0.1</v>
      </c>
    </row>
    <row r="39" spans="2:7" ht="18" customHeight="1">
      <c r="B39" s="114" t="s">
        <v>28</v>
      </c>
      <c r="C39" s="114" t="s">
        <v>82</v>
      </c>
      <c r="D39" s="114" t="s">
        <v>11</v>
      </c>
      <c r="E39" s="115">
        <v>45672</v>
      </c>
      <c r="F39" s="114">
        <v>10</v>
      </c>
      <c r="G39" s="116">
        <v>0.25</v>
      </c>
    </row>
    <row r="40" spans="2:7" ht="18" customHeight="1">
      <c r="B40" s="114" t="s">
        <v>28</v>
      </c>
      <c r="C40" s="114" t="s">
        <v>83</v>
      </c>
      <c r="D40" s="114" t="s">
        <v>12</v>
      </c>
      <c r="E40" s="115">
        <v>45672</v>
      </c>
      <c r="F40" s="114">
        <v>10</v>
      </c>
      <c r="G40" s="116">
        <v>0.85</v>
      </c>
    </row>
    <row r="41" spans="2:7" ht="18" customHeight="1">
      <c r="B41" s="114" t="s">
        <v>28</v>
      </c>
      <c r="C41" s="114" t="s">
        <v>84</v>
      </c>
      <c r="D41" s="114" t="s">
        <v>13</v>
      </c>
      <c r="E41" s="115">
        <v>45672</v>
      </c>
      <c r="F41" s="114">
        <v>3</v>
      </c>
      <c r="G41" s="116">
        <v>0.75</v>
      </c>
    </row>
    <row r="42" spans="2:7" ht="18" customHeight="1">
      <c r="B42" s="114" t="s">
        <v>29</v>
      </c>
      <c r="C42" s="114" t="s">
        <v>85</v>
      </c>
      <c r="D42" s="114" t="s">
        <v>8</v>
      </c>
      <c r="E42" s="115">
        <v>45666</v>
      </c>
      <c r="F42" s="114">
        <v>5</v>
      </c>
      <c r="G42" s="116">
        <v>0.65</v>
      </c>
    </row>
    <row r="43" spans="2:7" ht="18" customHeight="1">
      <c r="B43" s="114" t="s">
        <v>29</v>
      </c>
      <c r="C43" s="114" t="s">
        <v>86</v>
      </c>
      <c r="D43" s="114" t="s">
        <v>10</v>
      </c>
      <c r="E43" s="115">
        <v>45667</v>
      </c>
      <c r="F43" s="114">
        <v>6</v>
      </c>
      <c r="G43" s="116">
        <v>0.2</v>
      </c>
    </row>
    <row r="44" spans="2:7" ht="18" customHeight="1">
      <c r="B44" s="114" t="s">
        <v>29</v>
      </c>
      <c r="C44" s="114" t="s">
        <v>87</v>
      </c>
      <c r="D44" s="114" t="s">
        <v>11</v>
      </c>
      <c r="E44" s="115">
        <v>45668</v>
      </c>
      <c r="F44" s="114">
        <v>10</v>
      </c>
      <c r="G44" s="116">
        <v>0.75</v>
      </c>
    </row>
    <row r="45" spans="2:7" ht="18" customHeight="1">
      <c r="B45" s="114" t="s">
        <v>29</v>
      </c>
      <c r="C45" s="114" t="s">
        <v>88</v>
      </c>
      <c r="D45" s="114" t="s">
        <v>12</v>
      </c>
      <c r="E45" s="115">
        <v>45671</v>
      </c>
      <c r="F45" s="114">
        <v>9</v>
      </c>
      <c r="G45" s="116">
        <v>0.95</v>
      </c>
    </row>
    <row r="46" spans="2:7" ht="18" customHeight="1">
      <c r="B46" s="114" t="s">
        <v>29</v>
      </c>
      <c r="C46" s="114" t="s">
        <v>89</v>
      </c>
      <c r="D46" s="114" t="s">
        <v>13</v>
      </c>
      <c r="E46" s="115">
        <v>45667</v>
      </c>
      <c r="F46" s="114">
        <v>4</v>
      </c>
      <c r="G46" s="116">
        <v>0.4</v>
      </c>
    </row>
    <row r="47" spans="2:7" ht="18" customHeight="1">
      <c r="B47" s="114" t="s">
        <v>29</v>
      </c>
      <c r="C47" s="114" t="s">
        <v>90</v>
      </c>
      <c r="D47" s="114" t="s">
        <v>8</v>
      </c>
      <c r="E47" s="115">
        <v>45670</v>
      </c>
      <c r="F47" s="114">
        <v>6</v>
      </c>
      <c r="G47" s="116">
        <v>0</v>
      </c>
    </row>
    <row r="48" spans="2:7" ht="18" customHeight="1">
      <c r="B48" s="114" t="s">
        <v>29</v>
      </c>
      <c r="C48" s="114" t="s">
        <v>91</v>
      </c>
      <c r="D48" s="114" t="s">
        <v>10</v>
      </c>
      <c r="E48" s="115">
        <v>45670</v>
      </c>
      <c r="F48" s="114">
        <v>7</v>
      </c>
      <c r="G48" s="116">
        <v>0.55000000000000004</v>
      </c>
    </row>
    <row r="49" spans="2:7" ht="18" customHeight="1">
      <c r="B49" s="114" t="s">
        <v>29</v>
      </c>
      <c r="C49" s="114" t="s">
        <v>92</v>
      </c>
      <c r="D49" s="114" t="s">
        <v>11</v>
      </c>
      <c r="E49" s="115">
        <v>45672</v>
      </c>
      <c r="F49" s="114">
        <v>5</v>
      </c>
      <c r="G49" s="116">
        <v>0.5</v>
      </c>
    </row>
    <row r="50" spans="2:7" ht="18" customHeight="1">
      <c r="B50" s="114" t="s">
        <v>30</v>
      </c>
      <c r="C50" s="114" t="s">
        <v>93</v>
      </c>
      <c r="D50" s="114" t="s">
        <v>12</v>
      </c>
      <c r="E50" s="115">
        <v>45672</v>
      </c>
      <c r="F50" s="114">
        <v>9</v>
      </c>
      <c r="G50" s="116">
        <v>0.7</v>
      </c>
    </row>
    <row r="51" spans="2:7" ht="18" customHeight="1">
      <c r="B51" s="114" t="s">
        <v>30</v>
      </c>
      <c r="C51" s="114" t="s">
        <v>94</v>
      </c>
      <c r="D51" s="114" t="s">
        <v>13</v>
      </c>
      <c r="E51" s="115">
        <v>45673</v>
      </c>
      <c r="F51" s="114">
        <v>6</v>
      </c>
      <c r="G51" s="116">
        <v>0.55000000000000004</v>
      </c>
    </row>
    <row r="52" spans="2:7" ht="18" customHeight="1">
      <c r="B52" s="114" t="s">
        <v>30</v>
      </c>
      <c r="C52" s="114" t="s">
        <v>95</v>
      </c>
      <c r="D52" s="114" t="s">
        <v>8</v>
      </c>
      <c r="E52" s="115">
        <v>45663</v>
      </c>
      <c r="F52" s="114">
        <v>7</v>
      </c>
      <c r="G52" s="116">
        <v>0.95</v>
      </c>
    </row>
    <row r="53" spans="2:7" ht="18" customHeight="1">
      <c r="B53" s="114" t="s">
        <v>30</v>
      </c>
      <c r="C53" s="114" t="s">
        <v>96</v>
      </c>
      <c r="D53" s="114" t="s">
        <v>10</v>
      </c>
      <c r="E53" s="115">
        <v>45667</v>
      </c>
      <c r="F53" s="114">
        <v>9</v>
      </c>
      <c r="G53" s="116">
        <v>0.5</v>
      </c>
    </row>
    <row r="54" spans="2:7" ht="18" customHeight="1">
      <c r="B54" s="114" t="s">
        <v>30</v>
      </c>
      <c r="C54" s="114" t="s">
        <v>97</v>
      </c>
      <c r="D54" s="114" t="s">
        <v>11</v>
      </c>
      <c r="E54" s="115">
        <v>45668</v>
      </c>
      <c r="F54" s="114">
        <v>8</v>
      </c>
      <c r="G54" s="116">
        <v>0.2</v>
      </c>
    </row>
    <row r="55" spans="2:7" ht="18" customHeight="1">
      <c r="B55" s="114" t="s">
        <v>30</v>
      </c>
      <c r="C55" s="114" t="s">
        <v>98</v>
      </c>
      <c r="D55" s="114" t="s">
        <v>12</v>
      </c>
      <c r="E55" s="115">
        <v>45670</v>
      </c>
      <c r="F55" s="114">
        <v>7</v>
      </c>
      <c r="G55" s="116">
        <v>0.55000000000000004</v>
      </c>
    </row>
    <row r="56" spans="2:7" ht="18" customHeight="1">
      <c r="B56" s="114" t="s">
        <v>30</v>
      </c>
      <c r="C56" s="114" t="s">
        <v>99</v>
      </c>
      <c r="D56" s="114" t="s">
        <v>13</v>
      </c>
      <c r="E56" s="115">
        <v>45671</v>
      </c>
      <c r="F56" s="114">
        <v>4</v>
      </c>
      <c r="G56" s="116">
        <v>0.05</v>
      </c>
    </row>
    <row r="57" spans="2:7" ht="18" customHeight="1">
      <c r="B57" s="114" t="s">
        <v>30</v>
      </c>
      <c r="C57" s="114" t="s">
        <v>100</v>
      </c>
      <c r="D57" s="114" t="s">
        <v>8</v>
      </c>
      <c r="E57" s="115">
        <v>45671</v>
      </c>
      <c r="F57" s="114">
        <v>6</v>
      </c>
      <c r="G57" s="116">
        <v>0</v>
      </c>
    </row>
    <row r="58" spans="2:7" ht="18" customHeight="1">
      <c r="B58" s="114" t="s">
        <v>30</v>
      </c>
      <c r="C58" s="114" t="s">
        <v>101</v>
      </c>
      <c r="D58" s="114" t="s">
        <v>10</v>
      </c>
      <c r="E58" s="115">
        <v>45674</v>
      </c>
      <c r="F58" s="114">
        <v>6</v>
      </c>
      <c r="G58" s="116">
        <v>0.2</v>
      </c>
    </row>
    <row r="59" spans="2:7" ht="18" customHeight="1">
      <c r="B59" s="114" t="s">
        <v>31</v>
      </c>
      <c r="C59" s="114" t="s">
        <v>102</v>
      </c>
      <c r="D59" s="114" t="s">
        <v>11</v>
      </c>
      <c r="E59" s="115">
        <v>45675</v>
      </c>
      <c r="F59" s="114">
        <v>4</v>
      </c>
      <c r="G59" s="116">
        <v>0.15</v>
      </c>
    </row>
    <row r="60" spans="2:7" ht="18" customHeight="1">
      <c r="B60" s="114" t="s">
        <v>31</v>
      </c>
      <c r="C60" s="114" t="s">
        <v>103</v>
      </c>
      <c r="D60" s="114" t="s">
        <v>12</v>
      </c>
      <c r="E60" s="115">
        <v>45677</v>
      </c>
      <c r="F60" s="114">
        <v>7</v>
      </c>
      <c r="G60" s="116">
        <v>0.2</v>
      </c>
    </row>
    <row r="61" spans="2:7" ht="18" customHeight="1">
      <c r="B61" s="114" t="s">
        <v>31</v>
      </c>
      <c r="C61" s="114" t="s">
        <v>104</v>
      </c>
      <c r="D61" s="114" t="s">
        <v>13</v>
      </c>
      <c r="E61" s="115">
        <v>45666</v>
      </c>
      <c r="F61" s="114">
        <v>3</v>
      </c>
      <c r="G61" s="116">
        <v>0.25</v>
      </c>
    </row>
    <row r="62" spans="2:7" ht="18" customHeight="1">
      <c r="B62" s="114" t="s">
        <v>31</v>
      </c>
      <c r="C62" s="114" t="s">
        <v>105</v>
      </c>
      <c r="D62" s="114" t="s">
        <v>8</v>
      </c>
      <c r="E62" s="115">
        <v>45662</v>
      </c>
      <c r="F62" s="114">
        <v>10</v>
      </c>
      <c r="G62" s="116">
        <v>0.55000000000000004</v>
      </c>
    </row>
    <row r="63" spans="2:7" ht="18" customHeight="1">
      <c r="B63" s="114" t="s">
        <v>31</v>
      </c>
      <c r="C63" s="114" t="s">
        <v>106</v>
      </c>
      <c r="D63" s="114" t="s">
        <v>10</v>
      </c>
      <c r="E63" s="115">
        <v>45671</v>
      </c>
      <c r="F63" s="114">
        <v>5</v>
      </c>
      <c r="G63" s="116">
        <v>0.45</v>
      </c>
    </row>
    <row r="64" spans="2:7" ht="18" customHeight="1">
      <c r="B64" s="114" t="s">
        <v>31</v>
      </c>
      <c r="C64" s="114" t="s">
        <v>107</v>
      </c>
      <c r="D64" s="114" t="s">
        <v>11</v>
      </c>
      <c r="E64" s="115">
        <v>45673</v>
      </c>
      <c r="F64" s="114">
        <v>7</v>
      </c>
      <c r="G64" s="116">
        <v>0.9</v>
      </c>
    </row>
    <row r="65" spans="2:7" ht="18" customHeight="1">
      <c r="B65" s="114" t="s">
        <v>31</v>
      </c>
      <c r="C65" s="114" t="s">
        <v>108</v>
      </c>
      <c r="D65" s="114" t="s">
        <v>12</v>
      </c>
      <c r="E65" s="115">
        <v>45676</v>
      </c>
      <c r="F65" s="114">
        <v>7</v>
      </c>
      <c r="G65" s="116">
        <v>0.4</v>
      </c>
    </row>
    <row r="66" spans="2:7" ht="18" customHeight="1">
      <c r="B66" s="114" t="s">
        <v>31</v>
      </c>
      <c r="C66" s="114" t="s">
        <v>109</v>
      </c>
      <c r="D66" s="114" t="s">
        <v>13</v>
      </c>
      <c r="E66" s="115">
        <v>45678</v>
      </c>
      <c r="F66" s="114">
        <v>3</v>
      </c>
      <c r="G66" s="116">
        <v>0.55000000000000004</v>
      </c>
    </row>
    <row r="67" spans="2:7" ht="18" customHeight="1">
      <c r="B67" s="114" t="s">
        <v>31</v>
      </c>
      <c r="C67" s="114" t="s">
        <v>110</v>
      </c>
      <c r="D67" s="114" t="s">
        <v>8</v>
      </c>
      <c r="E67" s="115">
        <v>45680</v>
      </c>
      <c r="F67" s="114">
        <v>9</v>
      </c>
      <c r="G67" s="116">
        <v>0.95</v>
      </c>
    </row>
    <row r="68" spans="2:7" ht="18" customHeight="1">
      <c r="B68" s="114" t="s">
        <v>31</v>
      </c>
      <c r="C68" s="114" t="s">
        <v>111</v>
      </c>
      <c r="D68" s="114" t="s">
        <v>10</v>
      </c>
      <c r="E68" s="115">
        <v>45681</v>
      </c>
      <c r="F68" s="114">
        <v>10</v>
      </c>
      <c r="G68" s="116">
        <v>0.15</v>
      </c>
    </row>
    <row r="69" spans="2:7" ht="18" customHeight="1">
      <c r="B69" s="114" t="s">
        <v>31</v>
      </c>
      <c r="C69" s="114" t="s">
        <v>112</v>
      </c>
      <c r="D69" s="114" t="s">
        <v>11</v>
      </c>
      <c r="E69" s="115">
        <v>45666</v>
      </c>
      <c r="F69" s="114">
        <v>4</v>
      </c>
      <c r="G69" s="116">
        <v>0.05</v>
      </c>
    </row>
    <row r="70" spans="2:7" ht="18" customHeight="1">
      <c r="B70" s="114" t="s">
        <v>32</v>
      </c>
      <c r="C70" s="114" t="s">
        <v>113</v>
      </c>
      <c r="D70" s="114" t="s">
        <v>12</v>
      </c>
      <c r="E70" s="115">
        <v>45669</v>
      </c>
      <c r="F70" s="114">
        <v>8</v>
      </c>
      <c r="G70" s="116">
        <v>0.95</v>
      </c>
    </row>
    <row r="71" spans="2:7" ht="18" customHeight="1">
      <c r="B71" s="114" t="s">
        <v>32</v>
      </c>
      <c r="C71" s="114" t="s">
        <v>114</v>
      </c>
      <c r="D71" s="114" t="s">
        <v>13</v>
      </c>
      <c r="E71" s="115">
        <v>45672</v>
      </c>
      <c r="F71" s="114">
        <v>10</v>
      </c>
      <c r="G71" s="116">
        <v>0.2</v>
      </c>
    </row>
    <row r="72" spans="2:7" ht="18" customHeight="1">
      <c r="B72" s="114" t="s">
        <v>32</v>
      </c>
      <c r="C72" s="114" t="s">
        <v>115</v>
      </c>
      <c r="D72" s="114" t="s">
        <v>8</v>
      </c>
      <c r="E72" s="115">
        <v>45675</v>
      </c>
      <c r="F72" s="114">
        <v>6</v>
      </c>
      <c r="G72" s="116">
        <v>0.3</v>
      </c>
    </row>
    <row r="73" spans="2:7" ht="18" customHeight="1">
      <c r="B73" s="114" t="s">
        <v>32</v>
      </c>
      <c r="C73" s="114" t="s">
        <v>116</v>
      </c>
      <c r="D73" s="114" t="s">
        <v>10</v>
      </c>
      <c r="E73" s="115">
        <v>45675</v>
      </c>
      <c r="F73" s="114">
        <v>4</v>
      </c>
      <c r="G73" s="116">
        <v>0.85</v>
      </c>
    </row>
    <row r="74" spans="2:7" ht="18" customHeight="1">
      <c r="B74" s="114" t="s">
        <v>33</v>
      </c>
      <c r="C74" s="114" t="s">
        <v>117</v>
      </c>
      <c r="D74" s="114" t="s">
        <v>11</v>
      </c>
      <c r="E74" s="115">
        <v>45678</v>
      </c>
      <c r="F74" s="114">
        <v>8</v>
      </c>
      <c r="G74" s="116">
        <v>0.7</v>
      </c>
    </row>
    <row r="75" spans="2:7" ht="18" customHeight="1">
      <c r="B75" s="114" t="s">
        <v>33</v>
      </c>
      <c r="C75" s="114" t="s">
        <v>118</v>
      </c>
      <c r="D75" s="114" t="s">
        <v>12</v>
      </c>
      <c r="E75" s="115">
        <v>45680</v>
      </c>
      <c r="F75" s="114">
        <v>9</v>
      </c>
      <c r="G75" s="116">
        <v>0.1</v>
      </c>
    </row>
    <row r="76" spans="2:7" ht="18" customHeight="1">
      <c r="B76" s="114" t="s">
        <v>33</v>
      </c>
      <c r="C76" s="114" t="s">
        <v>119</v>
      </c>
      <c r="D76" s="114" t="s">
        <v>13</v>
      </c>
      <c r="E76" s="115">
        <v>45670</v>
      </c>
      <c r="F76" s="114">
        <v>5</v>
      </c>
      <c r="G76" s="116">
        <v>0.3</v>
      </c>
    </row>
    <row r="77" spans="2:7" ht="18" customHeight="1">
      <c r="B77" s="114" t="s">
        <v>33</v>
      </c>
      <c r="C77" s="114" t="s">
        <v>120</v>
      </c>
      <c r="D77" s="114" t="s">
        <v>8</v>
      </c>
      <c r="E77" s="115">
        <v>45669</v>
      </c>
      <c r="F77" s="114">
        <v>3</v>
      </c>
      <c r="G77" s="116">
        <v>0.25</v>
      </c>
    </row>
    <row r="78" spans="2:7" ht="18" customHeight="1">
      <c r="B78" s="114" t="s">
        <v>33</v>
      </c>
      <c r="C78" s="114" t="s">
        <v>121</v>
      </c>
      <c r="D78" s="114" t="s">
        <v>10</v>
      </c>
      <c r="E78" s="115">
        <v>45671</v>
      </c>
      <c r="F78" s="114">
        <v>7</v>
      </c>
      <c r="G78" s="116">
        <v>0.3</v>
      </c>
    </row>
    <row r="79" spans="2:7" ht="18" customHeight="1">
      <c r="B79" s="114" t="s">
        <v>33</v>
      </c>
      <c r="C79" s="114" t="s">
        <v>122</v>
      </c>
      <c r="D79" s="114" t="s">
        <v>11</v>
      </c>
      <c r="E79" s="115">
        <v>45672</v>
      </c>
      <c r="F79" s="114">
        <v>10</v>
      </c>
      <c r="G79" s="116">
        <v>0.05</v>
      </c>
    </row>
    <row r="80" spans="2:7" ht="18" customHeight="1">
      <c r="B80" s="114" t="s">
        <v>33</v>
      </c>
      <c r="C80" s="114" t="s">
        <v>123</v>
      </c>
      <c r="D80" s="114" t="s">
        <v>12</v>
      </c>
      <c r="E80" s="115">
        <v>45672</v>
      </c>
      <c r="F80" s="114">
        <v>10</v>
      </c>
      <c r="G80" s="116">
        <v>0.7</v>
      </c>
    </row>
    <row r="81" spans="2:7" ht="18" customHeight="1">
      <c r="B81" s="114" t="s">
        <v>33</v>
      </c>
      <c r="C81" s="114" t="s">
        <v>124</v>
      </c>
      <c r="D81" s="114" t="s">
        <v>13</v>
      </c>
      <c r="E81" s="115">
        <v>45672</v>
      </c>
      <c r="F81" s="114">
        <v>3</v>
      </c>
      <c r="G81" s="116">
        <v>0.85</v>
      </c>
    </row>
    <row r="82" spans="2:7" ht="18" customHeight="1">
      <c r="B82" s="114"/>
      <c r="C82" s="114"/>
      <c r="D82" s="114"/>
      <c r="E82" s="115"/>
      <c r="F82" s="114"/>
      <c r="G82" s="116"/>
    </row>
    <row r="83" spans="2:7" ht="18" customHeight="1">
      <c r="B83" s="114"/>
      <c r="C83" s="114"/>
      <c r="D83" s="114"/>
      <c r="E83" s="115"/>
      <c r="F83" s="114"/>
      <c r="G83" s="116"/>
    </row>
    <row r="84" spans="2:7" ht="18" customHeight="1">
      <c r="B84" s="114"/>
      <c r="C84" s="114"/>
      <c r="D84" s="114"/>
      <c r="E84" s="115"/>
      <c r="F84" s="114"/>
      <c r="G84" s="116"/>
    </row>
    <row r="85" spans="2:7" ht="18" customHeight="1">
      <c r="B85" s="114"/>
      <c r="C85" s="114"/>
      <c r="D85" s="114"/>
      <c r="E85" s="115"/>
      <c r="F85" s="114"/>
      <c r="G85" s="116"/>
    </row>
    <row r="86" spans="2:7" ht="18" customHeight="1">
      <c r="B86" s="114"/>
      <c r="C86" s="114"/>
      <c r="D86" s="114"/>
      <c r="E86" s="115"/>
      <c r="F86" s="114"/>
      <c r="G86" s="116"/>
    </row>
    <row r="87" spans="2:7" ht="18" customHeight="1">
      <c r="B87" s="114"/>
      <c r="C87" s="114"/>
      <c r="D87" s="114"/>
      <c r="E87" s="115"/>
      <c r="F87" s="114"/>
      <c r="G87" s="116"/>
    </row>
    <row r="88" spans="2:7" ht="18" customHeight="1">
      <c r="B88" s="114"/>
      <c r="C88" s="114"/>
      <c r="D88" s="114"/>
      <c r="E88" s="115"/>
      <c r="F88" s="114"/>
      <c r="G88" s="116"/>
    </row>
    <row r="89" spans="2:7" ht="18" customHeight="1">
      <c r="B89" s="114"/>
      <c r="C89" s="114"/>
      <c r="D89" s="114"/>
      <c r="E89" s="115"/>
      <c r="F89" s="114"/>
      <c r="G89" s="116"/>
    </row>
    <row r="90" spans="2:7" ht="18" customHeight="1">
      <c r="B90" s="114"/>
      <c r="C90" s="114"/>
      <c r="D90" s="114"/>
      <c r="E90" s="115"/>
      <c r="F90" s="114"/>
      <c r="G90" s="116"/>
    </row>
    <row r="91" spans="2:7" ht="18" customHeight="1">
      <c r="B91" s="114"/>
      <c r="C91" s="114"/>
      <c r="D91" s="114"/>
      <c r="E91" s="115"/>
      <c r="F91" s="114"/>
      <c r="G91" s="116"/>
    </row>
    <row r="92" spans="2:7" ht="18" customHeight="1">
      <c r="B92" s="114"/>
      <c r="C92" s="114"/>
      <c r="D92" s="114"/>
      <c r="E92" s="115"/>
      <c r="F92" s="114"/>
      <c r="G92" s="116"/>
    </row>
    <row r="93" spans="2:7" ht="18" customHeight="1">
      <c r="B93" s="114"/>
      <c r="C93" s="114"/>
      <c r="D93" s="114"/>
      <c r="E93" s="115"/>
      <c r="F93" s="114"/>
      <c r="G93" s="116"/>
    </row>
    <row r="94" spans="2:7" ht="18" customHeight="1">
      <c r="B94" s="114"/>
      <c r="C94" s="114"/>
      <c r="D94" s="114"/>
      <c r="E94" s="115"/>
      <c r="F94" s="114"/>
      <c r="G94" s="116"/>
    </row>
    <row r="95" spans="2:7" ht="18" customHeight="1">
      <c r="B95" s="114"/>
      <c r="C95" s="114"/>
      <c r="D95" s="114"/>
      <c r="E95" s="115"/>
      <c r="F95" s="114"/>
      <c r="G95" s="116"/>
    </row>
    <row r="96" spans="2:7" ht="18" customHeight="1">
      <c r="B96" s="114"/>
      <c r="C96" s="114"/>
      <c r="D96" s="114"/>
      <c r="E96" s="115"/>
      <c r="F96" s="114"/>
      <c r="G96" s="116"/>
    </row>
    <row r="97" spans="2:7" ht="18" customHeight="1">
      <c r="B97" s="114"/>
      <c r="C97" s="114"/>
      <c r="D97" s="114"/>
      <c r="E97" s="115"/>
      <c r="F97" s="114"/>
      <c r="G97" s="116"/>
    </row>
    <row r="98" spans="2:7" ht="18" customHeight="1">
      <c r="B98" s="114"/>
      <c r="C98" s="114"/>
      <c r="D98" s="114"/>
      <c r="E98" s="115"/>
      <c r="F98" s="114"/>
      <c r="G98" s="116"/>
    </row>
    <row r="99" spans="2:7" ht="18" customHeight="1">
      <c r="B99" s="114"/>
      <c r="C99" s="114"/>
      <c r="D99" s="114"/>
      <c r="E99" s="115"/>
      <c r="F99" s="114"/>
      <c r="G99" s="116"/>
    </row>
    <row r="100" spans="2:7" ht="18" customHeight="1">
      <c r="B100" s="114"/>
      <c r="C100" s="114"/>
      <c r="D100" s="114"/>
      <c r="E100" s="115"/>
      <c r="F100" s="114"/>
      <c r="G100" s="116"/>
    </row>
    <row r="101" spans="2:7" ht="18" customHeight="1"/>
    <row r="102" spans="2:7" ht="18" customHeight="1"/>
  </sheetData>
  <sheetProtection algorithmName="SHA-512" hashValue="C+KpiJuDxJ9ZoGyYuBsqctdXQGPhRi0M0SWirr7wAw8kpNHu6/1g2UzzzGODzwXU4SEQoNJhkD5cJPkp3AvF/g==" saltValue="i5RcOFsG6X8MmHdbk5QDkg==" spinCount="100000" sheet="1" objects="1" scenarios="1"/>
  <phoneticPr fontId="22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Projects!$B$6:$B$15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1:P89"/>
  <sheetViews>
    <sheetView showGridLines="0" showRowColHeaders="0" topLeftCell="A31" workbookViewId="0"/>
  </sheetViews>
  <sheetFormatPr defaultRowHeight="14.4"/>
  <cols>
    <col min="1" max="1" width="3.88671875" customWidth="1"/>
  </cols>
  <sheetData>
    <row r="1" spans="2:15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2:1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86" spans="2:16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2:16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2:16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2:16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</sheetData>
  <sheetProtection algorithmName="SHA-512" hashValue="fgQqCQjQpImVpx2EK3yGj7ZecvrbKwuAqy6VgT+m4FIzPpUfZNWH0vt9teLZ0W5eneO656uc94IUwyWT0nLgfg==" saltValue="VBH8yZ4hRdAwLmNOhfGtVg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Projects</vt:lpstr>
      <vt:lpstr>Tasks</vt:lpstr>
      <vt:lpstr>Advanced Project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PNRao</dc:creator>
  <cp:lastModifiedBy>Ashutosh Mankar</cp:lastModifiedBy>
  <dcterms:created xsi:type="dcterms:W3CDTF">2014-01-17T11:24:01Z</dcterms:created>
  <dcterms:modified xsi:type="dcterms:W3CDTF">2025-12-31T05:50:40Z</dcterms:modified>
</cp:coreProperties>
</file>