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bakm\Desktop\Práca\00_INTERNE\03_CSR aktivity\01_slovensko.digital\01_Priklady\1. varka\"/>
    </mc:Choice>
  </mc:AlternateContent>
  <xr:revisionPtr revIDLastSave="0" documentId="8_{8BFB2794-0FBD-4F99-A72B-E300A724367E}" xr6:coauthVersionLast="47" xr6:coauthVersionMax="47" xr10:uidLastSave="{00000000-0000-0000-0000-000000000000}"/>
  <bookViews>
    <workbookView xWindow="-120" yWindow="-120" windowWidth="29040" windowHeight="15840" xr2:uid="{02110D0F-5404-4BAB-82A9-DEFC484868F9}"/>
  </bookViews>
  <sheets>
    <sheet name="Priklad_1 " sheetId="14" r:id="rId1"/>
    <sheet name="Priklad_2" sheetId="15" r:id="rId2"/>
    <sheet name="Priklad_5" sheetId="16" r:id="rId3"/>
    <sheet name="Priklad_3" sheetId="13" r:id="rId4"/>
    <sheet name="Priklad_4" sheetId="12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16" l="1"/>
  <c r="F61" i="16"/>
  <c r="F60" i="16"/>
  <c r="U25" i="16"/>
  <c r="W29" i="16"/>
  <c r="U29" i="16"/>
  <c r="W26" i="16"/>
  <c r="U26" i="16"/>
  <c r="AB22" i="16"/>
  <c r="AC22" i="16"/>
  <c r="AD22" i="16"/>
  <c r="AE22" i="16"/>
  <c r="AG22" i="16" s="1"/>
  <c r="AF22" i="16"/>
  <c r="AA22" i="16"/>
  <c r="AB20" i="16"/>
  <c r="AC20" i="16"/>
  <c r="AD20" i="16"/>
  <c r="AE20" i="16"/>
  <c r="AF20" i="16"/>
  <c r="AA20" i="16"/>
  <c r="W14" i="16"/>
  <c r="W13" i="16"/>
  <c r="W12" i="16"/>
  <c r="V6" i="16"/>
  <c r="W6" i="16"/>
  <c r="X6" i="16"/>
  <c r="Y6" i="16"/>
  <c r="Z6" i="16"/>
  <c r="U6" i="16"/>
  <c r="F63" i="16"/>
  <c r="F53" i="16"/>
  <c r="F26" i="16"/>
  <c r="F27" i="16" s="1"/>
  <c r="F21" i="16"/>
  <c r="B14" i="16"/>
  <c r="F79" i="16" s="1"/>
  <c r="F80" i="16" s="1"/>
  <c r="B13" i="16"/>
  <c r="F77" i="16" s="1"/>
  <c r="C11" i="16"/>
  <c r="C5" i="16"/>
  <c r="B5" i="16" s="1"/>
  <c r="F76" i="16" s="1"/>
  <c r="C4" i="16"/>
  <c r="C7" i="16" s="1"/>
  <c r="C8" i="16" s="1"/>
  <c r="B10" i="16" s="1"/>
  <c r="F68" i="16" s="1"/>
  <c r="V3" i="16"/>
  <c r="B3" i="16"/>
  <c r="F54" i="15"/>
  <c r="F45" i="15"/>
  <c r="F44" i="15"/>
  <c r="F43" i="15"/>
  <c r="F42" i="15"/>
  <c r="F61" i="15"/>
  <c r="F60" i="15"/>
  <c r="AD22" i="15"/>
  <c r="AE22" i="15"/>
  <c r="AF22" i="15"/>
  <c r="AC22" i="15"/>
  <c r="AB22" i="15"/>
  <c r="AA22" i="15"/>
  <c r="U29" i="15"/>
  <c r="AD21" i="15"/>
  <c r="AE21" i="15"/>
  <c r="AF21" i="15"/>
  <c r="AC21" i="15"/>
  <c r="AB20" i="15"/>
  <c r="AA20" i="15"/>
  <c r="AG20" i="15" s="1"/>
  <c r="U26" i="15" s="1"/>
  <c r="W17" i="15"/>
  <c r="W16" i="15"/>
  <c r="W27" i="15" s="1"/>
  <c r="W15" i="15"/>
  <c r="W26" i="15" s="1"/>
  <c r="W14" i="15"/>
  <c r="W13" i="15"/>
  <c r="W12" i="15"/>
  <c r="V6" i="15"/>
  <c r="W6" i="15"/>
  <c r="X6" i="15"/>
  <c r="Y6" i="15"/>
  <c r="Z6" i="15"/>
  <c r="U6" i="15"/>
  <c r="AG21" i="15"/>
  <c r="U27" i="15" s="1"/>
  <c r="V3" i="15"/>
  <c r="B14" i="15"/>
  <c r="B13" i="15"/>
  <c r="F30" i="15" s="1"/>
  <c r="C11" i="15"/>
  <c r="F79" i="15"/>
  <c r="F80" i="15" s="1"/>
  <c r="F77" i="15"/>
  <c r="F53" i="15"/>
  <c r="F26" i="15"/>
  <c r="F27" i="15" s="1"/>
  <c r="C5" i="15"/>
  <c r="B5" i="15" s="1"/>
  <c r="F76" i="15" s="1"/>
  <c r="C4" i="15"/>
  <c r="B4" i="15" s="1"/>
  <c r="B3" i="15"/>
  <c r="F21" i="15" s="1"/>
  <c r="F69" i="14"/>
  <c r="F62" i="14"/>
  <c r="F78" i="14"/>
  <c r="F75" i="14"/>
  <c r="F74" i="14"/>
  <c r="F67" i="14"/>
  <c r="F60" i="14"/>
  <c r="F59" i="14"/>
  <c r="W24" i="14"/>
  <c r="W22" i="14"/>
  <c r="W23" i="14" s="1"/>
  <c r="V17" i="14"/>
  <c r="W17" i="14"/>
  <c r="X17" i="14"/>
  <c r="Y17" i="14"/>
  <c r="Z17" i="14"/>
  <c r="U17" i="14"/>
  <c r="Z19" i="14"/>
  <c r="Y19" i="14"/>
  <c r="X19" i="14"/>
  <c r="W19" i="14"/>
  <c r="AA19" i="14" s="1"/>
  <c r="V19" i="14"/>
  <c r="U19" i="14"/>
  <c r="Z18" i="14"/>
  <c r="Y18" i="14"/>
  <c r="X18" i="14"/>
  <c r="W18" i="14"/>
  <c r="V18" i="14"/>
  <c r="AA18" i="14" s="1"/>
  <c r="U18" i="14"/>
  <c r="AA10" i="14"/>
  <c r="AA11" i="14"/>
  <c r="U7" i="14"/>
  <c r="AF6" i="14"/>
  <c r="V6" i="14"/>
  <c r="W6" i="14"/>
  <c r="X6" i="14"/>
  <c r="Y6" i="14"/>
  <c r="Z6" i="14"/>
  <c r="AA6" i="14"/>
  <c r="AB6" i="14"/>
  <c r="AC6" i="14"/>
  <c r="AD6" i="14"/>
  <c r="AE6" i="14"/>
  <c r="U6" i="14"/>
  <c r="AC11" i="14"/>
  <c r="AC10" i="14" s="1"/>
  <c r="Z9" i="14"/>
  <c r="Y9" i="14"/>
  <c r="X9" i="14"/>
  <c r="W9" i="14"/>
  <c r="V9" i="14"/>
  <c r="U9" i="14"/>
  <c r="AG9" i="14" s="1"/>
  <c r="AF7" i="14"/>
  <c r="AF11" i="14" s="1"/>
  <c r="AF10" i="14" s="1"/>
  <c r="AE7" i="14"/>
  <c r="AE11" i="14" s="1"/>
  <c r="AE10" i="14" s="1"/>
  <c r="AD7" i="14"/>
  <c r="AD11" i="14" s="1"/>
  <c r="AD10" i="14" s="1"/>
  <c r="AC7" i="14"/>
  <c r="AB7" i="14"/>
  <c r="AB11" i="14" s="1"/>
  <c r="AB10" i="14" s="1"/>
  <c r="AA7" i="14"/>
  <c r="Z7" i="14"/>
  <c r="Y7" i="14"/>
  <c r="X7" i="14"/>
  <c r="W7" i="14"/>
  <c r="V7" i="14"/>
  <c r="AG7" i="14"/>
  <c r="V3" i="14"/>
  <c r="F50" i="14"/>
  <c r="F44" i="14"/>
  <c r="F43" i="14"/>
  <c r="F42" i="14"/>
  <c r="B10" i="14"/>
  <c r="B5" i="14"/>
  <c r="B4" i="14"/>
  <c r="B3" i="14"/>
  <c r="F21" i="14" s="1"/>
  <c r="F79" i="14"/>
  <c r="F76" i="14"/>
  <c r="F52" i="14"/>
  <c r="F45" i="14"/>
  <c r="F46" i="14" s="1"/>
  <c r="F48" i="14" s="1"/>
  <c r="F30" i="14"/>
  <c r="F26" i="14"/>
  <c r="F27" i="14" s="1"/>
  <c r="F32" i="14" s="1"/>
  <c r="C11" i="14"/>
  <c r="C5" i="14"/>
  <c r="C4" i="14"/>
  <c r="W21" i="12"/>
  <c r="W20" i="12"/>
  <c r="F78" i="12"/>
  <c r="F76" i="12"/>
  <c r="F75" i="12"/>
  <c r="F74" i="12"/>
  <c r="F73" i="12"/>
  <c r="F79" i="12"/>
  <c r="F79" i="13"/>
  <c r="F76" i="13"/>
  <c r="F78" i="13"/>
  <c r="F75" i="13"/>
  <c r="F73" i="13" s="1"/>
  <c r="F74" i="13"/>
  <c r="F60" i="13"/>
  <c r="W29" i="13"/>
  <c r="U29" i="13"/>
  <c r="W27" i="13"/>
  <c r="U27" i="13"/>
  <c r="W26" i="13"/>
  <c r="U26" i="13"/>
  <c r="W15" i="13"/>
  <c r="W14" i="13"/>
  <c r="W12" i="13"/>
  <c r="F42" i="13"/>
  <c r="F43" i="13"/>
  <c r="AE22" i="13"/>
  <c r="AF22" i="13"/>
  <c r="AD22" i="13"/>
  <c r="AB22" i="13"/>
  <c r="AC22" i="13"/>
  <c r="AA22" i="13"/>
  <c r="AG22" i="13" s="1"/>
  <c r="U25" i="13" s="1"/>
  <c r="AE21" i="13"/>
  <c r="AF21" i="13"/>
  <c r="AD21" i="13"/>
  <c r="AB20" i="13"/>
  <c r="AG20" i="13" s="1"/>
  <c r="AC20" i="13"/>
  <c r="AA20" i="13"/>
  <c r="U6" i="13"/>
  <c r="V6" i="13"/>
  <c r="W6" i="13"/>
  <c r="X6" i="13"/>
  <c r="Y6" i="13"/>
  <c r="Z6" i="13"/>
  <c r="V3" i="13"/>
  <c r="C11" i="13"/>
  <c r="B3" i="13"/>
  <c r="F52" i="13"/>
  <c r="F30" i="13"/>
  <c r="F26" i="13"/>
  <c r="F27" i="13" s="1"/>
  <c r="C5" i="13"/>
  <c r="B5" i="13" s="1"/>
  <c r="C4" i="13"/>
  <c r="B4" i="13" s="1"/>
  <c r="F52" i="12"/>
  <c r="F30" i="12"/>
  <c r="F26" i="12"/>
  <c r="F27" i="12" s="1"/>
  <c r="F32" i="12" s="1"/>
  <c r="Z16" i="12"/>
  <c r="Y16" i="12"/>
  <c r="X16" i="12"/>
  <c r="W16" i="12"/>
  <c r="V16" i="12"/>
  <c r="U16" i="12"/>
  <c r="Z15" i="12"/>
  <c r="Y15" i="12"/>
  <c r="X15" i="12"/>
  <c r="W15" i="12"/>
  <c r="V15" i="12"/>
  <c r="U15" i="12"/>
  <c r="C11" i="12"/>
  <c r="Z7" i="12"/>
  <c r="Y7" i="12"/>
  <c r="X7" i="12"/>
  <c r="W7" i="12"/>
  <c r="AG7" i="12" s="1"/>
  <c r="V7" i="12"/>
  <c r="U7" i="12"/>
  <c r="C5" i="12"/>
  <c r="B5" i="12"/>
  <c r="C4" i="12"/>
  <c r="B3" i="12"/>
  <c r="F21" i="12" s="1"/>
  <c r="AG20" i="16" l="1"/>
  <c r="AG6" i="16"/>
  <c r="F32" i="16"/>
  <c r="B4" i="16"/>
  <c r="F30" i="16"/>
  <c r="G27" i="16" s="1"/>
  <c r="F33" i="16" s="1"/>
  <c r="AG22" i="15"/>
  <c r="U25" i="15" s="1"/>
  <c r="W29" i="15" s="1"/>
  <c r="AG6" i="15"/>
  <c r="F59" i="15"/>
  <c r="F75" i="15"/>
  <c r="F74" i="15" s="1"/>
  <c r="F22" i="15"/>
  <c r="F23" i="15" s="1"/>
  <c r="B7" i="15"/>
  <c r="F32" i="15"/>
  <c r="G27" i="15"/>
  <c r="F33" i="15" s="1"/>
  <c r="C7" i="15"/>
  <c r="F73" i="14"/>
  <c r="AG10" i="14"/>
  <c r="AG6" i="14"/>
  <c r="F22" i="14"/>
  <c r="B7" i="14"/>
  <c r="F23" i="14"/>
  <c r="C7" i="14"/>
  <c r="C8" i="14" s="1"/>
  <c r="G27" i="14"/>
  <c r="F33" i="14" s="1"/>
  <c r="F34" i="14" s="1"/>
  <c r="F36" i="14" s="1"/>
  <c r="F38" i="14" s="1"/>
  <c r="F39" i="14" s="1"/>
  <c r="F51" i="14" s="1"/>
  <c r="F53" i="14" s="1"/>
  <c r="F54" i="14" s="1"/>
  <c r="F57" i="14" s="1"/>
  <c r="AG6" i="13"/>
  <c r="F59" i="13" s="1"/>
  <c r="AA15" i="12"/>
  <c r="AA16" i="12"/>
  <c r="F60" i="12" s="1"/>
  <c r="AG21" i="13"/>
  <c r="F22" i="13"/>
  <c r="F32" i="13"/>
  <c r="G27" i="13"/>
  <c r="F33" i="13" s="1"/>
  <c r="F21" i="13"/>
  <c r="B7" i="13"/>
  <c r="F59" i="12"/>
  <c r="Z4" i="12"/>
  <c r="X14" i="12"/>
  <c r="B4" i="12"/>
  <c r="F22" i="12" s="1"/>
  <c r="F23" i="12" s="1"/>
  <c r="W4" i="12"/>
  <c r="AA4" i="12"/>
  <c r="AE4" i="12"/>
  <c r="U14" i="12"/>
  <c r="Y14" i="12"/>
  <c r="G27" i="12"/>
  <c r="F33" i="12" s="1"/>
  <c r="F34" i="12" s="1"/>
  <c r="F36" i="12" s="1"/>
  <c r="F38" i="12" s="1"/>
  <c r="F39" i="12" s="1"/>
  <c r="F50" i="12" s="1"/>
  <c r="F51" i="12" s="1"/>
  <c r="F53" i="12" s="1"/>
  <c r="F54" i="12" s="1"/>
  <c r="V4" i="12"/>
  <c r="AD4" i="12"/>
  <c r="X4" i="12"/>
  <c r="AB4" i="12"/>
  <c r="AF4" i="12"/>
  <c r="V14" i="12"/>
  <c r="Z14" i="12"/>
  <c r="U4" i="12"/>
  <c r="Y4" i="12"/>
  <c r="AC4" i="12"/>
  <c r="W14" i="12"/>
  <c r="F59" i="16" l="1"/>
  <c r="F66" i="16" s="1"/>
  <c r="F75" i="16"/>
  <c r="F74" i="16" s="1"/>
  <c r="F22" i="16"/>
  <c r="F23" i="16" s="1"/>
  <c r="B7" i="16"/>
  <c r="F34" i="16"/>
  <c r="F36" i="16" s="1"/>
  <c r="F38" i="16" s="1"/>
  <c r="F39" i="16" s="1"/>
  <c r="F34" i="15"/>
  <c r="F36" i="15" s="1"/>
  <c r="F38" i="15" s="1"/>
  <c r="F39" i="15" s="1"/>
  <c r="C8" i="15"/>
  <c r="B10" i="15" s="1"/>
  <c r="F68" i="15" s="1"/>
  <c r="F41" i="14"/>
  <c r="F58" i="12"/>
  <c r="F23" i="13"/>
  <c r="F34" i="13"/>
  <c r="F36" i="13" s="1"/>
  <c r="F38" i="13" s="1"/>
  <c r="F39" i="13" s="1"/>
  <c r="F41" i="12"/>
  <c r="F42" i="12" s="1"/>
  <c r="W19" i="12"/>
  <c r="AG4" i="12"/>
  <c r="B7" i="12"/>
  <c r="F64" i="16" l="1"/>
  <c r="F41" i="16"/>
  <c r="F63" i="15"/>
  <c r="F66" i="15" s="1"/>
  <c r="F41" i="15"/>
  <c r="F64" i="15"/>
  <c r="F58" i="14"/>
  <c r="F41" i="13"/>
  <c r="F43" i="12"/>
  <c r="F44" i="12" s="1"/>
  <c r="F45" i="12" s="1"/>
  <c r="F46" i="12" s="1"/>
  <c r="F48" i="12" s="1"/>
  <c r="F57" i="12" s="1"/>
  <c r="C6" i="12"/>
  <c r="C7" i="12" s="1"/>
  <c r="F42" i="16" l="1"/>
  <c r="F46" i="15"/>
  <c r="F47" i="15" s="1"/>
  <c r="F49" i="15" s="1"/>
  <c r="F50" i="15"/>
  <c r="F51" i="15" s="1"/>
  <c r="F52" i="15" s="1"/>
  <c r="F55" i="15" s="1"/>
  <c r="F65" i="14"/>
  <c r="F63" i="14"/>
  <c r="F64" i="14" s="1"/>
  <c r="F61" i="14"/>
  <c r="F66" i="14" s="1"/>
  <c r="W16" i="13"/>
  <c r="W17" i="13" s="1"/>
  <c r="F45" i="13"/>
  <c r="F46" i="13" s="1"/>
  <c r="F48" i="13" s="1"/>
  <c r="C7" i="13"/>
  <c r="C8" i="13" s="1"/>
  <c r="B10" i="13" s="1"/>
  <c r="F61" i="12"/>
  <c r="F66" i="12" s="1"/>
  <c r="AD5" i="12"/>
  <c r="AD9" i="12" s="1"/>
  <c r="AD8" i="12" s="1"/>
  <c r="Z5" i="12"/>
  <c r="V5" i="12"/>
  <c r="AC5" i="12"/>
  <c r="AC9" i="12" s="1"/>
  <c r="AC8" i="12" s="1"/>
  <c r="Y5" i="12"/>
  <c r="U5" i="12"/>
  <c r="AE5" i="12"/>
  <c r="AE9" i="12" s="1"/>
  <c r="AE8" i="12" s="1"/>
  <c r="AA5" i="12"/>
  <c r="AA9" i="12" s="1"/>
  <c r="AA8" i="12" s="1"/>
  <c r="W5" i="12"/>
  <c r="C8" i="12"/>
  <c r="B10" i="12" s="1"/>
  <c r="F67" i="12" s="1"/>
  <c r="AF5" i="12"/>
  <c r="AF9" i="12" s="1"/>
  <c r="AF8" i="12" s="1"/>
  <c r="AB5" i="12"/>
  <c r="AB9" i="12" s="1"/>
  <c r="AB8" i="12" s="1"/>
  <c r="X5" i="12"/>
  <c r="F44" i="16" l="1"/>
  <c r="F45" i="16" s="1"/>
  <c r="F58" i="15"/>
  <c r="F58" i="13"/>
  <c r="AG5" i="12"/>
  <c r="AG8" i="12"/>
  <c r="F50" i="16" l="1"/>
  <c r="F51" i="16" s="1"/>
  <c r="F52" i="16" s="1"/>
  <c r="F55" i="16" s="1"/>
  <c r="F46" i="16"/>
  <c r="F47" i="16" s="1"/>
  <c r="F49" i="16" s="1"/>
  <c r="F62" i="15"/>
  <c r="F67" i="15" s="1"/>
  <c r="F65" i="15"/>
  <c r="F70" i="15" s="1"/>
  <c r="F62" i="12"/>
  <c r="F10" i="12"/>
  <c r="F65" i="12"/>
  <c r="F63" i="12"/>
  <c r="F64" i="12" s="1"/>
  <c r="F69" i="12" s="1"/>
  <c r="F58" i="16" l="1"/>
  <c r="F65" i="16" s="1"/>
  <c r="F70" i="16" s="1"/>
  <c r="F65" i="13"/>
  <c r="F63" i="13"/>
  <c r="F62" i="16" l="1"/>
  <c r="F67" i="16" s="1"/>
  <c r="F50" i="13" l="1"/>
  <c r="F51" i="13" s="1"/>
  <c r="F53" i="13" s="1"/>
  <c r="F54" i="13" s="1"/>
  <c r="F57" i="13" s="1"/>
  <c r="F61" i="13" l="1"/>
  <c r="F66" i="13" s="1"/>
  <c r="F64" i="13"/>
  <c r="F69" i="13" s="1"/>
</calcChain>
</file>

<file path=xl/sharedStrings.xml><?xml version="1.0" encoding="utf-8"?>
<sst xmlns="http://schemas.openxmlformats.org/spreadsheetml/2006/main" count="760" uniqueCount="184">
  <si>
    <t>User:</t>
  </si>
  <si>
    <t>Príjmy zo zamestnania:</t>
  </si>
  <si>
    <t>SP zo zamestnania</t>
  </si>
  <si>
    <t>ZP zo zamestnania</t>
  </si>
  <si>
    <t>Preddavky na daň zo zamestnania</t>
  </si>
  <si>
    <t>Príjmy zo živnosti</t>
  </si>
  <si>
    <t>SP - zo živnosti dobrovoľné</t>
  </si>
  <si>
    <t>ZP - zo živnosti</t>
  </si>
  <si>
    <t>Uplatňuje paušálne výdavky</t>
  </si>
  <si>
    <t>NČZD na usera</t>
  </si>
  <si>
    <t>áno</t>
  </si>
  <si>
    <t>nie</t>
  </si>
  <si>
    <t>daňový bonus na deti</t>
  </si>
  <si>
    <t>r.36</t>
  </si>
  <si>
    <t>r.37</t>
  </si>
  <si>
    <t>r.38</t>
  </si>
  <si>
    <t>Tabuľka č.1</t>
  </si>
  <si>
    <t>Preukázateľne zaplatené poistné z príjmov podľa § 6 ods. 1 a 2 zákona</t>
  </si>
  <si>
    <t>r.39</t>
  </si>
  <si>
    <t>r.40</t>
  </si>
  <si>
    <t>r.41</t>
  </si>
  <si>
    <t>r.45</t>
  </si>
  <si>
    <t>r.42</t>
  </si>
  <si>
    <t>r.46</t>
  </si>
  <si>
    <t>r.55</t>
  </si>
  <si>
    <t>r.39 - r.40 &lt; 0</t>
  </si>
  <si>
    <t>r.39 - r.40 &gt; 0</t>
  </si>
  <si>
    <t>r.41 + r.42 + r.43 - r.44 &gt; 0</t>
  </si>
  <si>
    <t>r.41 + r.42 + r.43 - r.44 &lt; 0</t>
  </si>
  <si>
    <t>r.45 - r.53 - r.54</t>
  </si>
  <si>
    <t>r.55 - r.56</t>
  </si>
  <si>
    <t>r.57</t>
  </si>
  <si>
    <t>r.72</t>
  </si>
  <si>
    <t>r.68</t>
  </si>
  <si>
    <t>r.38 + r.57</t>
  </si>
  <si>
    <t>r.73</t>
  </si>
  <si>
    <t>r.77</t>
  </si>
  <si>
    <t>r.73 + r.74 + r.75 (max do výšky základu dane z riadku 72)</t>
  </si>
  <si>
    <t>r.78</t>
  </si>
  <si>
    <t>r.38 - r.77, ak je rozdiel záporný tak 0</t>
  </si>
  <si>
    <t>r.80</t>
  </si>
  <si>
    <t>r. 78 + r.65 + r.71 + r.79</t>
  </si>
  <si>
    <t>r.90</t>
  </si>
  <si>
    <t>r.91</t>
  </si>
  <si>
    <t>r.66 - r.67, ak je záporný tak 0</t>
  </si>
  <si>
    <t>povinné uviesť 0,00 aj keď nie je pre riadok náplň, inak formulár vykazuje chybu</t>
  </si>
  <si>
    <t>(r.84 alebo r.81) alebo (r.84 - r.89 alebo r.81 - r.89)</t>
  </si>
  <si>
    <t>formulár nevykazuje chybu aj keď je riadok prázdny</t>
  </si>
  <si>
    <t>ak r.78 = 0, potom r.77 - r.38, inak 0</t>
  </si>
  <si>
    <t>r.92</t>
  </si>
  <si>
    <t>r.57 - r.91</t>
  </si>
  <si>
    <t>r.94</t>
  </si>
  <si>
    <t>r.92 + r.93</t>
  </si>
  <si>
    <t>r.95</t>
  </si>
  <si>
    <t>r.96</t>
  </si>
  <si>
    <t>15 % z r.94</t>
  </si>
  <si>
    <t>formulár predpokladá 15 % sadzbu ak je riadok 95 &lt;= 49 790 aj keď nie je zaškrtnuté pole pod tabuľkou č.1: "Spĺňam podmienky pre mikrodaňovníka podľa § 2 písm. w) ZDP pri príjmoch podľa § 6 ods. 1 a 2 zákona"</t>
  </si>
  <si>
    <t>1 stĺpec</t>
  </si>
  <si>
    <t>2 stĺpec</t>
  </si>
  <si>
    <t xml:space="preserve"> 2r.</t>
  </si>
  <si>
    <t>10r.</t>
  </si>
  <si>
    <t>r.105</t>
  </si>
  <si>
    <t>(r.99 alebo r.96) alebo (r.99 - r.104 alebo r.96 - r.104)</t>
  </si>
  <si>
    <t>r.106</t>
  </si>
  <si>
    <t>19 % z r.68</t>
  </si>
  <si>
    <t>r.115</t>
  </si>
  <si>
    <t>r.116</t>
  </si>
  <si>
    <t>(r.109 alebo r.106) alebo (r.109 - r.114 alebo r.106 - r.114)</t>
  </si>
  <si>
    <t>r.90 + r.105 + r.115</t>
  </si>
  <si>
    <t>r.117</t>
  </si>
  <si>
    <t>r.118</t>
  </si>
  <si>
    <t>r.116 - r.117</t>
  </si>
  <si>
    <t>r.119</t>
  </si>
  <si>
    <t>r.120</t>
  </si>
  <si>
    <t>r.117 - r.119 &gt; 0</t>
  </si>
  <si>
    <t>r.121</t>
  </si>
  <si>
    <t>r.122</t>
  </si>
  <si>
    <t>r.124</t>
  </si>
  <si>
    <t>r.120 - r.116 &gt; 0</t>
  </si>
  <si>
    <t>r.119 - r.117 &gt; 0</t>
  </si>
  <si>
    <t>r.118 - r.123</t>
  </si>
  <si>
    <t>r.131</t>
  </si>
  <si>
    <t>r.133</t>
  </si>
  <si>
    <t>Preddavky na daň zo živnosti</t>
  </si>
  <si>
    <t>r.135</t>
  </si>
  <si>
    <t>r.136</t>
  </si>
  <si>
    <t>r.116 - r.117 + r.119 + r.121 - r.123 + r.125 + r.127 + r.128 - r.129 - r.130 - r.131 - r.132 - r.133 - r.134 = (-)</t>
  </si>
  <si>
    <t>r.116 - r.117 + r.119 + r.121 - r.123 + r.125 + r.127 + r.128 - r.129 - r.130 - r.131 - r.132 - r.133 - r.134 = (+)</t>
  </si>
  <si>
    <t>NČZD na manžela/manželku</t>
  </si>
  <si>
    <t>Daňový bonus (január - jún 2022):</t>
  </si>
  <si>
    <t>z toho</t>
  </si>
  <si>
    <t>r. 117 a</t>
  </si>
  <si>
    <t>r. 117 b</t>
  </si>
  <si>
    <t>Suma DB na dieťa do 6 rokov:</t>
  </si>
  <si>
    <t>Suma DB na dieťa nad 15 rokov:</t>
  </si>
  <si>
    <t>áno, dieťa narodené v 06/2006 (uplatňuje za celý rok 2022) a dieťa narodené v 09/2021 (uplatňuje za celý rok 2022)</t>
  </si>
  <si>
    <t>Daňový bonus (júl - december 2022):</t>
  </si>
  <si>
    <t>Percentuálny limit polovice ZD:</t>
  </si>
  <si>
    <t xml:space="preserve">1 dieťa </t>
  </si>
  <si>
    <t>2 deti</t>
  </si>
  <si>
    <t>3 deti</t>
  </si>
  <si>
    <t xml:space="preserve">4 deti </t>
  </si>
  <si>
    <t>5 detí</t>
  </si>
  <si>
    <t>6 a viac detí</t>
  </si>
  <si>
    <t>Suma DB na dieťa 6 -15 rokov:</t>
  </si>
  <si>
    <t>Suma DB na dieťa do 15 rokov:</t>
  </si>
  <si>
    <t>Spolu</t>
  </si>
  <si>
    <t xml:space="preserve">Príjem </t>
  </si>
  <si>
    <t>Základ dane</t>
  </si>
  <si>
    <t>DB I. polrok</t>
  </si>
  <si>
    <t>DB II. polrok</t>
  </si>
  <si>
    <t>1/2 ZD</t>
  </si>
  <si>
    <t>zamestnanie</t>
  </si>
  <si>
    <t>mesiac</t>
  </si>
  <si>
    <t>rok</t>
  </si>
  <si>
    <t>základ dane</t>
  </si>
  <si>
    <t>ak je suma v r. 117 vyššia ako suma v r. 116, uvádza sa nula.</t>
  </si>
  <si>
    <t>Suma DB vyplatená zamestnávateľom</t>
  </si>
  <si>
    <t>r.81</t>
  </si>
  <si>
    <t>r. 38 + r. 45</t>
  </si>
  <si>
    <t>27% zo ZD</t>
  </si>
  <si>
    <t>Príloha č. 3</t>
  </si>
  <si>
    <t>r.08</t>
  </si>
  <si>
    <t>r.09</t>
  </si>
  <si>
    <t>r.10</t>
  </si>
  <si>
    <t>r.11</t>
  </si>
  <si>
    <t>r.12</t>
  </si>
  <si>
    <t>r.13</t>
  </si>
  <si>
    <t>r.14</t>
  </si>
  <si>
    <t>r.32</t>
  </si>
  <si>
    <t>vlastné príjmy manželky zadané užívateľom, počet mesiacov pre uplatnenie zadaný užívateľom</t>
  </si>
  <si>
    <t>áno, 4x dieťa narodené v 06/2011 - štvorčatá :-) / (uplatňuje za celý rok 2022)</t>
  </si>
  <si>
    <t>Príklad č. 4</t>
  </si>
  <si>
    <t>Daňový bonus vyplatený v mesačnej mzde</t>
  </si>
  <si>
    <t>NČZD mesačne</t>
  </si>
  <si>
    <t>ZD mesačne</t>
  </si>
  <si>
    <t>Daň mesačne</t>
  </si>
  <si>
    <t>DB po starom</t>
  </si>
  <si>
    <t>DB po novom</t>
  </si>
  <si>
    <t>OK, 660 EUR je menej ako 27 % z 1/2 ZD a zároveň viac ako DB počítaný po starom</t>
  </si>
  <si>
    <t>max. 27 % z 1/2 ZD</t>
  </si>
  <si>
    <t>Príklad č. 3</t>
  </si>
  <si>
    <t>príjem od 1.7.2022</t>
  </si>
  <si>
    <t>áno, dieťa narodené v 07/2021 (uplatňuje za celý rok) a dieťa narodené v 10/2022 (uplatňuje za 3 mesiace)</t>
  </si>
  <si>
    <t>Daňový bonus za I. polrok</t>
  </si>
  <si>
    <t>Zdaniteľné príjmy 2022</t>
  </si>
  <si>
    <t>OK, suma vyššia ako 3 876 EUR.</t>
  </si>
  <si>
    <t>Daňový bonus za II. polrok</t>
  </si>
  <si>
    <t>neriešim, zdaniteľný príjem bol dosiahnutý až od 1.7.2022.</t>
  </si>
  <si>
    <t>max. 20% zo ZD</t>
  </si>
  <si>
    <t>max. 27% zo ZD</t>
  </si>
  <si>
    <t>3 mesiace len na 1 dieťa</t>
  </si>
  <si>
    <t>3 mesiace na 2 deti</t>
  </si>
  <si>
    <t>max. 20% zo ZD na 3 mesiace</t>
  </si>
  <si>
    <t>DB II. polrok - po starom</t>
  </si>
  <si>
    <t>DB II. polrok - 3 mesiace po novom</t>
  </si>
  <si>
    <t>DB II. polrok po starom</t>
  </si>
  <si>
    <t>max. 27% zo ZD za 3 mesiace</t>
  </si>
  <si>
    <t>OK, príjem vyšší ako 3 876 EUR</t>
  </si>
  <si>
    <t>Kontrola daňového bonus za II. polrok po starom a po novom</t>
  </si>
  <si>
    <t>DB II. polrok po novom prvé 3 mesiace</t>
  </si>
  <si>
    <t xml:space="preserve">max ale </t>
  </si>
  <si>
    <t>OK, suma je do max hodnoty</t>
  </si>
  <si>
    <t>DB II. polrok po novom druhé 3 mesiace</t>
  </si>
  <si>
    <t>Ok, berieme do max sumy</t>
  </si>
  <si>
    <t>&gt;</t>
  </si>
  <si>
    <t>áno, dieťa narodené v 06/2006 (uplatňuje za celý rok) a dieťa narodené v 09/2021 (uplatňuje celý rok)</t>
  </si>
  <si>
    <t>max ale 20 000 EUR</t>
  </si>
  <si>
    <t>áno, dieťa narodené v 06/2006 (uplatňuje za celý rok 2022) a dieťa narodené v 09/2022 (uplatňuje za 4 mesiace roka 2022)</t>
  </si>
  <si>
    <t>zdaniteľný príjem bol dosiahnutý už pred 1.7.2022.</t>
  </si>
  <si>
    <t>max. 27% z 1/2 ZD</t>
  </si>
  <si>
    <t>max. 20% z 1/2 ZD na 2 mesiace</t>
  </si>
  <si>
    <t>max. 20% z 1/2 ZD</t>
  </si>
  <si>
    <t>max. 27% z 1/2 ZD za 4 mesiace</t>
  </si>
  <si>
    <t>2 mesiace len na 1 dieťa</t>
  </si>
  <si>
    <t>4 mesiace na 2 deti</t>
  </si>
  <si>
    <t>DB II. polrok - 2 mesiace po novom</t>
  </si>
  <si>
    <t>DB II. polrok - 4 mesiace po novom</t>
  </si>
  <si>
    <t>DB II. polrok po novom prvé 2 mesiace</t>
  </si>
  <si>
    <t>r.74</t>
  </si>
  <si>
    <t>21 % z r.94</t>
  </si>
  <si>
    <t>max. 41% z 1/2 ZD</t>
  </si>
  <si>
    <t>DB II. polrok - po novom</t>
  </si>
  <si>
    <t xml:space="preserve">DB II. polrok po novom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</si>
</sst>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u/>
      <sz val="11"/>
      <color rgb="FF0070C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rgb="FF009573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4" fontId="0" fillId="0" borderId="0" xfId="0" applyNumberFormat="1"/>
    <xf numFmtId="0" fontId="2" fillId="0" borderId="0" xfId="0" applyFont="1"/>
    <xf numFmtId="4" fontId="2" fillId="0" borderId="0" xfId="0" applyNumberFormat="1" applyFont="1"/>
    <xf numFmtId="0" fontId="1" fillId="0" borderId="0" xfId="0" applyFont="1"/>
    <xf numFmtId="4" fontId="3" fillId="0" borderId="0" xfId="0" applyNumberFormat="1" applyFont="1"/>
    <xf numFmtId="4" fontId="0" fillId="0" borderId="0" xfId="0" applyNumberFormat="1" applyAlignment="1">
      <alignment horizontal="right"/>
    </xf>
    <xf numFmtId="0" fontId="4" fillId="0" borderId="0" xfId="0" applyFont="1"/>
    <xf numFmtId="4" fontId="4" fillId="0" borderId="0" xfId="0" applyNumberFormat="1" applyFont="1"/>
    <xf numFmtId="0" fontId="0" fillId="0" borderId="0" xfId="0" applyAlignment="1">
      <alignment horizontal="right"/>
    </xf>
    <xf numFmtId="2" fontId="2" fillId="0" borderId="0" xfId="0" applyNumberFormat="1" applyFont="1"/>
    <xf numFmtId="2" fontId="5" fillId="0" borderId="0" xfId="0" applyNumberFormat="1" applyFont="1"/>
    <xf numFmtId="0" fontId="5" fillId="0" borderId="0" xfId="0" applyFont="1"/>
    <xf numFmtId="0" fontId="3" fillId="0" borderId="1" xfId="0" applyFont="1" applyBorder="1"/>
    <xf numFmtId="0" fontId="3" fillId="0" borderId="2" xfId="0" applyFont="1" applyBorder="1"/>
    <xf numFmtId="4" fontId="3" fillId="0" borderId="3" xfId="0" applyNumberFormat="1" applyFont="1" applyBorder="1"/>
    <xf numFmtId="4" fontId="3" fillId="2" borderId="3" xfId="0" applyNumberFormat="1" applyFont="1" applyFill="1" applyBorder="1"/>
    <xf numFmtId="0" fontId="3" fillId="0" borderId="4" xfId="0" applyFont="1" applyBorder="1"/>
    <xf numFmtId="4" fontId="3" fillId="0" borderId="5" xfId="0" applyNumberFormat="1" applyFont="1" applyBorder="1"/>
    <xf numFmtId="0" fontId="3" fillId="0" borderId="8" xfId="0" applyFont="1" applyBorder="1"/>
    <xf numFmtId="0" fontId="3" fillId="0" borderId="7" xfId="0" applyFont="1" applyBorder="1"/>
    <xf numFmtId="4" fontId="3" fillId="3" borderId="0" xfId="0" applyNumberFormat="1" applyFont="1" applyFill="1"/>
    <xf numFmtId="4" fontId="6" fillId="0" borderId="3" xfId="0" applyNumberFormat="1" applyFont="1" applyBorder="1"/>
    <xf numFmtId="4" fontId="3" fillId="0" borderId="6" xfId="0" applyNumberFormat="1" applyFont="1" applyBorder="1"/>
    <xf numFmtId="2" fontId="0" fillId="0" borderId="0" xfId="0" applyNumberFormat="1"/>
    <xf numFmtId="4" fontId="2" fillId="3" borderId="0" xfId="0" applyNumberFormat="1" applyFont="1" applyFill="1"/>
    <xf numFmtId="0" fontId="3" fillId="0" borderId="0" xfId="0" applyFont="1"/>
    <xf numFmtId="0" fontId="7" fillId="0" borderId="0" xfId="0" applyFont="1"/>
    <xf numFmtId="4" fontId="7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1" fillId="2" borderId="0" xfId="0" applyFont="1" applyFill="1"/>
    <xf numFmtId="0" fontId="0" fillId="2" borderId="0" xfId="0" applyFill="1"/>
    <xf numFmtId="0" fontId="2" fillId="0" borderId="5" xfId="0" applyFont="1" applyBorder="1"/>
    <xf numFmtId="0" fontId="0" fillId="0" borderId="5" xfId="0" applyBorder="1" applyAlignment="1">
      <alignment horizontal="right"/>
    </xf>
    <xf numFmtId="4" fontId="2" fillId="3" borderId="0" xfId="0" applyNumberFormat="1" applyFont="1" applyFill="1" applyAlignment="1">
      <alignment horizontal="right"/>
    </xf>
    <xf numFmtId="4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2" fillId="0" borderId="5" xfId="0" applyFont="1" applyBorder="1" applyAlignment="1">
      <alignment horizontal="right"/>
    </xf>
    <xf numFmtId="2" fontId="2" fillId="0" borderId="5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6" fillId="2" borderId="0" xfId="0" applyFont="1" applyFill="1"/>
    <xf numFmtId="0" fontId="8" fillId="0" borderId="0" xfId="0" applyFont="1"/>
    <xf numFmtId="0" fontId="2" fillId="0" borderId="0" xfId="0" applyFont="1" applyAlignment="1">
      <alignment horizontal="left"/>
    </xf>
    <xf numFmtId="4" fontId="3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4" fontId="3" fillId="3" borderId="5" xfId="0" applyNumberFormat="1" applyFont="1" applyFill="1" applyBorder="1"/>
    <xf numFmtId="4" fontId="3" fillId="2" borderId="6" xfId="0" applyNumberFormat="1" applyFont="1" applyFill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3" fillId="0" borderId="5" xfId="0" applyFont="1" applyBorder="1"/>
    <xf numFmtId="2" fontId="0" fillId="2" borderId="0" xfId="0" applyNumberFormat="1" applyFill="1"/>
    <xf numFmtId="0" fontId="4" fillId="0" borderId="0" xfId="0" applyFont="1" applyAlignment="1">
      <alignment horizontal="right"/>
    </xf>
    <xf numFmtId="2" fontId="3" fillId="0" borderId="0" xfId="0" applyNumberFormat="1" applyFont="1"/>
    <xf numFmtId="9" fontId="3" fillId="0" borderId="0" xfId="0" applyNumberFormat="1" applyFont="1"/>
    <xf numFmtId="0" fontId="3" fillId="0" borderId="9" xfId="0" applyFont="1" applyBorder="1"/>
    <xf numFmtId="4" fontId="3" fillId="0" borderId="10" xfId="0" applyNumberFormat="1" applyFont="1" applyBorder="1"/>
    <xf numFmtId="2" fontId="6" fillId="0" borderId="6" xfId="0" applyNumberFormat="1" applyFont="1" applyBorder="1"/>
    <xf numFmtId="4" fontId="6" fillId="2" borderId="6" xfId="0" applyNumberFormat="1" applyFont="1" applyFill="1" applyBorder="1"/>
    <xf numFmtId="2" fontId="6" fillId="0" borderId="3" xfId="0" applyNumberFormat="1" applyFont="1" applyBorder="1"/>
    <xf numFmtId="4" fontId="0" fillId="2" borderId="0" xfId="0" applyNumberFormat="1" applyFill="1"/>
    <xf numFmtId="0" fontId="0" fillId="0" borderId="0" xfId="0" applyAlignment="1">
      <alignment horizontal="center"/>
    </xf>
    <xf numFmtId="4" fontId="1" fillId="2" borderId="0" xfId="0" applyNumberFormat="1" applyFont="1" applyFill="1"/>
    <xf numFmtId="0" fontId="3" fillId="0" borderId="0" xfId="0" applyFont="1" applyAlignment="1">
      <alignment horizontal="right"/>
    </xf>
    <xf numFmtId="0" fontId="0" fillId="0" borderId="0" xfId="0" applyBorder="1"/>
    <xf numFmtId="0" fontId="3" fillId="0" borderId="0" xfId="0" applyFont="1" applyBorder="1"/>
    <xf numFmtId="4" fontId="3" fillId="0" borderId="0" xfId="0" applyNumberFormat="1" applyFont="1" applyBorder="1"/>
    <xf numFmtId="0" fontId="0" fillId="0" borderId="0" xfId="0" applyFill="1" applyBorder="1"/>
    <xf numFmtId="0" fontId="3" fillId="0" borderId="0" xfId="0" applyFont="1" applyFill="1" applyBorder="1"/>
    <xf numFmtId="4" fontId="3" fillId="0" borderId="0" xfId="0" applyNumberFormat="1" applyFont="1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4" fontId="1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/>
    <xf numFmtId="0" fontId="2" fillId="0" borderId="0" xfId="0" applyFont="1" applyFill="1"/>
    <xf numFmtId="4" fontId="3" fillId="0" borderId="0" xfId="0" applyNumberFormat="1" applyFont="1" applyFill="1"/>
    <xf numFmtId="2" fontId="0" fillId="0" borderId="0" xfId="0" applyNumberFormat="1" applyFill="1"/>
    <xf numFmtId="2" fontId="6" fillId="0" borderId="0" xfId="0" applyNumberFormat="1" applyFont="1" applyBorder="1"/>
    <xf numFmtId="4" fontId="3" fillId="0" borderId="5" xfId="0" applyNumberFormat="1" applyFont="1" applyFill="1" applyBorder="1"/>
    <xf numFmtId="4" fontId="0" fillId="0" borderId="5" xfId="0" applyNumberFormat="1" applyBorder="1"/>
  </cellXfs>
  <cellStyles count="1">
    <cellStyle name="Normálna" xfId="0" builtinId="0"/>
  </cellStyles>
  <dxfs count="0"/>
  <tableStyles count="0" defaultTableStyle="TableStyleMedium2" defaultPivotStyle="PivotStyleLight16"/>
  <colors>
    <mruColors>
      <color rgb="FF0095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95250</xdr:colOff>
      <xdr:row>19</xdr:row>
      <xdr:rowOff>31750</xdr:rowOff>
    </xdr:from>
    <xdr:to>
      <xdr:col>29</xdr:col>
      <xdr:colOff>285750</xdr:colOff>
      <xdr:row>23</xdr:row>
      <xdr:rowOff>84667</xdr:rowOff>
    </xdr:to>
    <xdr:cxnSp macro="">
      <xdr:nvCxnSpPr>
        <xdr:cNvPr id="2" name="Rovná spojovacia šípka 1">
          <a:extLst>
            <a:ext uri="{FF2B5EF4-FFF2-40B4-BE49-F238E27FC236}">
              <a16:creationId xmlns:a16="http://schemas.microsoft.com/office/drawing/2014/main" id="{39FC56FA-85F8-483A-9C9D-3358C077F04D}"/>
            </a:ext>
          </a:extLst>
        </xdr:cNvPr>
        <xdr:cNvCxnSpPr/>
      </xdr:nvCxnSpPr>
      <xdr:spPr>
        <a:xfrm flipV="1">
          <a:off x="19773900" y="3079750"/>
          <a:ext cx="3848100" cy="814917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95250</xdr:colOff>
      <xdr:row>19</xdr:row>
      <xdr:rowOff>31750</xdr:rowOff>
    </xdr:from>
    <xdr:to>
      <xdr:col>29</xdr:col>
      <xdr:colOff>285750</xdr:colOff>
      <xdr:row>23</xdr:row>
      <xdr:rowOff>84667</xdr:rowOff>
    </xdr:to>
    <xdr:cxnSp macro="">
      <xdr:nvCxnSpPr>
        <xdr:cNvPr id="2" name="Rovná spojovacia šípka 1">
          <a:extLst>
            <a:ext uri="{FF2B5EF4-FFF2-40B4-BE49-F238E27FC236}">
              <a16:creationId xmlns:a16="http://schemas.microsoft.com/office/drawing/2014/main" id="{8A859B18-FFA1-4CED-BCB3-6BC789B28918}"/>
            </a:ext>
          </a:extLst>
        </xdr:cNvPr>
        <xdr:cNvCxnSpPr/>
      </xdr:nvCxnSpPr>
      <xdr:spPr>
        <a:xfrm flipV="1">
          <a:off x="21593175" y="3651250"/>
          <a:ext cx="3848100" cy="814917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95250</xdr:colOff>
      <xdr:row>19</xdr:row>
      <xdr:rowOff>31750</xdr:rowOff>
    </xdr:from>
    <xdr:to>
      <xdr:col>29</xdr:col>
      <xdr:colOff>285750</xdr:colOff>
      <xdr:row>23</xdr:row>
      <xdr:rowOff>84667</xdr:rowOff>
    </xdr:to>
    <xdr:cxnSp macro="">
      <xdr:nvCxnSpPr>
        <xdr:cNvPr id="2" name="Rovná spojovacia šípka 1">
          <a:extLst>
            <a:ext uri="{FF2B5EF4-FFF2-40B4-BE49-F238E27FC236}">
              <a16:creationId xmlns:a16="http://schemas.microsoft.com/office/drawing/2014/main" id="{70E09CA6-F900-456D-905A-5C8C6407A065}"/>
            </a:ext>
          </a:extLst>
        </xdr:cNvPr>
        <xdr:cNvCxnSpPr/>
      </xdr:nvCxnSpPr>
      <xdr:spPr>
        <a:xfrm flipV="1">
          <a:off x="21593175" y="3651250"/>
          <a:ext cx="3848100" cy="814917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95250</xdr:colOff>
      <xdr:row>16</xdr:row>
      <xdr:rowOff>31750</xdr:rowOff>
    </xdr:from>
    <xdr:to>
      <xdr:col>29</xdr:col>
      <xdr:colOff>285750</xdr:colOff>
      <xdr:row>20</xdr:row>
      <xdr:rowOff>84667</xdr:rowOff>
    </xdr:to>
    <xdr:cxnSp macro="">
      <xdr:nvCxnSpPr>
        <xdr:cNvPr id="2" name="Rovná spojovacia šípka 1">
          <a:extLst>
            <a:ext uri="{FF2B5EF4-FFF2-40B4-BE49-F238E27FC236}">
              <a16:creationId xmlns:a16="http://schemas.microsoft.com/office/drawing/2014/main" id="{9C95300B-B1C7-46BD-BFF6-98AB7147297C}"/>
            </a:ext>
          </a:extLst>
        </xdr:cNvPr>
        <xdr:cNvCxnSpPr/>
      </xdr:nvCxnSpPr>
      <xdr:spPr>
        <a:xfrm flipV="1">
          <a:off x="18897600" y="3079750"/>
          <a:ext cx="3848100" cy="814917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DB573-0A3F-4C7C-B7FF-9B154071BA43}">
  <sheetPr>
    <tabColor rgb="FFFFFF00"/>
  </sheetPr>
  <dimension ref="A1:AJ79"/>
  <sheetViews>
    <sheetView showGridLines="0" tabSelected="1" zoomScale="90" zoomScaleNormal="90" workbookViewId="0">
      <selection activeCell="D11" sqref="D11"/>
    </sheetView>
  </sheetViews>
  <sheetFormatPr defaultRowHeight="15" x14ac:dyDescent="0.25"/>
  <cols>
    <col min="1" max="1" width="31.42578125" customWidth="1"/>
    <col min="2" max="2" width="11" style="9" customWidth="1"/>
    <col min="3" max="3" width="11.85546875" style="9" customWidth="1"/>
    <col min="4" max="4" width="49" bestFit="1" customWidth="1"/>
    <col min="5" max="5" width="42.5703125" customWidth="1"/>
    <col min="6" max="6" width="12.42578125" customWidth="1"/>
    <col min="7" max="7" width="10.42578125" customWidth="1"/>
    <col min="13" max="13" width="13" customWidth="1"/>
    <col min="17" max="19" width="0" hidden="1" customWidth="1"/>
    <col min="20" max="20" width="37.42578125" customWidth="1"/>
    <col min="21" max="21" width="9.42578125" bestFit="1" customWidth="1"/>
    <col min="22" max="22" width="10.85546875" bestFit="1" customWidth="1"/>
    <col min="23" max="23" width="9.85546875" bestFit="1" customWidth="1"/>
    <col min="33" max="33" width="11.85546875" customWidth="1"/>
  </cols>
  <sheetData>
    <row r="1" spans="1:36" x14ac:dyDescent="0.25">
      <c r="A1" s="31" t="s">
        <v>141</v>
      </c>
      <c r="T1" s="31" t="s">
        <v>144</v>
      </c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</row>
    <row r="2" spans="1:36" s="2" customFormat="1" x14ac:dyDescent="0.25">
      <c r="A2" s="33" t="s">
        <v>0</v>
      </c>
      <c r="B2" s="34" t="s">
        <v>114</v>
      </c>
      <c r="C2" s="34" t="s">
        <v>113</v>
      </c>
      <c r="E2" s="4" t="s">
        <v>89</v>
      </c>
      <c r="F2"/>
      <c r="G2"/>
      <c r="H2" s="4" t="s">
        <v>96</v>
      </c>
      <c r="I2"/>
      <c r="J2"/>
      <c r="K2"/>
      <c r="L2"/>
      <c r="M2" s="4" t="s">
        <v>97</v>
      </c>
      <c r="N2"/>
    </row>
    <row r="3" spans="1:36" s="2" customFormat="1" x14ac:dyDescent="0.25">
      <c r="A3" s="2" t="s">
        <v>1</v>
      </c>
      <c r="B3" s="35">
        <f>C3*12</f>
        <v>14400</v>
      </c>
      <c r="C3" s="36">
        <v>1200</v>
      </c>
      <c r="E3" s="26" t="s">
        <v>93</v>
      </c>
      <c r="F3" s="26">
        <v>47.14</v>
      </c>
      <c r="G3" s="26"/>
      <c r="H3" s="26" t="s">
        <v>105</v>
      </c>
      <c r="I3" s="26"/>
      <c r="J3" s="26"/>
      <c r="K3" s="55">
        <v>70</v>
      </c>
      <c r="L3" s="26"/>
      <c r="M3" s="26" t="s">
        <v>98</v>
      </c>
      <c r="N3" s="56">
        <v>0.2</v>
      </c>
      <c r="T3" s="2" t="s">
        <v>145</v>
      </c>
      <c r="V3" s="3">
        <f>B3</f>
        <v>14400</v>
      </c>
      <c r="W3" s="2" t="s">
        <v>146</v>
      </c>
      <c r="AH3"/>
    </row>
    <row r="4" spans="1:36" s="2" customFormat="1" x14ac:dyDescent="0.25">
      <c r="A4" s="2" t="s">
        <v>2</v>
      </c>
      <c r="B4" s="36">
        <f>C4*12</f>
        <v>1353.6</v>
      </c>
      <c r="C4" s="37">
        <f>0.094*C3</f>
        <v>112.8</v>
      </c>
      <c r="E4" s="26" t="s">
        <v>104</v>
      </c>
      <c r="F4" s="55">
        <v>43.6</v>
      </c>
      <c r="G4" s="26"/>
      <c r="H4" s="26" t="s">
        <v>94</v>
      </c>
      <c r="I4" s="26"/>
      <c r="J4" s="26"/>
      <c r="K4" s="55">
        <v>40</v>
      </c>
      <c r="L4" s="26"/>
      <c r="M4" s="26" t="s">
        <v>99</v>
      </c>
      <c r="N4" s="56">
        <v>0.27</v>
      </c>
    </row>
    <row r="5" spans="1:36" s="2" customFormat="1" x14ac:dyDescent="0.25">
      <c r="A5" s="2" t="s">
        <v>3</v>
      </c>
      <c r="B5" s="36">
        <f>C5*12</f>
        <v>576</v>
      </c>
      <c r="C5" s="37">
        <f>0.04*C3</f>
        <v>48</v>
      </c>
      <c r="E5" s="26" t="s">
        <v>94</v>
      </c>
      <c r="F5" s="26">
        <v>23.57</v>
      </c>
      <c r="G5" s="26"/>
      <c r="H5" s="26"/>
      <c r="I5" s="26"/>
      <c r="J5" s="26"/>
      <c r="K5" s="26"/>
      <c r="L5" s="26"/>
      <c r="M5" s="26" t="s">
        <v>100</v>
      </c>
      <c r="N5" s="56">
        <v>0.34</v>
      </c>
      <c r="T5" s="13"/>
      <c r="U5" s="19">
        <v>1</v>
      </c>
      <c r="V5" s="19">
        <v>2</v>
      </c>
      <c r="W5" s="19">
        <v>3</v>
      </c>
      <c r="X5" s="19">
        <v>4</v>
      </c>
      <c r="Y5" s="19">
        <v>5</v>
      </c>
      <c r="Z5" s="19">
        <v>6</v>
      </c>
      <c r="AA5" s="19">
        <v>7</v>
      </c>
      <c r="AB5" s="19">
        <v>8</v>
      </c>
      <c r="AC5" s="19">
        <v>9</v>
      </c>
      <c r="AD5" s="19">
        <v>10</v>
      </c>
      <c r="AE5" s="19">
        <v>11</v>
      </c>
      <c r="AF5" s="19">
        <v>12</v>
      </c>
      <c r="AG5" s="20" t="s">
        <v>106</v>
      </c>
      <c r="AH5"/>
    </row>
    <row r="6" spans="1:36" s="2" customFormat="1" x14ac:dyDescent="0.25">
      <c r="A6" s="33"/>
      <c r="B6" s="38"/>
      <c r="C6" s="39">
        <v>381.61</v>
      </c>
      <c r="D6" s="2" t="s">
        <v>134</v>
      </c>
      <c r="E6" s="26"/>
      <c r="F6" s="26"/>
      <c r="G6" s="26"/>
      <c r="H6" s="26"/>
      <c r="I6" s="26"/>
      <c r="J6" s="26"/>
      <c r="K6" s="26"/>
      <c r="L6" s="26"/>
      <c r="M6" s="26" t="s">
        <v>101</v>
      </c>
      <c r="N6" s="56">
        <v>0.41</v>
      </c>
      <c r="T6" s="14" t="s">
        <v>107</v>
      </c>
      <c r="U6" s="5">
        <f>$C$3</f>
        <v>1200</v>
      </c>
      <c r="V6" s="5">
        <f t="shared" ref="V6:AE6" si="0">$C$3</f>
        <v>1200</v>
      </c>
      <c r="W6" s="5">
        <f t="shared" si="0"/>
        <v>1200</v>
      </c>
      <c r="X6" s="5">
        <f t="shared" si="0"/>
        <v>1200</v>
      </c>
      <c r="Y6" s="5">
        <f t="shared" si="0"/>
        <v>1200</v>
      </c>
      <c r="Z6" s="5">
        <f t="shared" si="0"/>
        <v>1200</v>
      </c>
      <c r="AA6" s="5">
        <f t="shared" si="0"/>
        <v>1200</v>
      </c>
      <c r="AB6" s="5">
        <f t="shared" si="0"/>
        <v>1200</v>
      </c>
      <c r="AC6" s="5">
        <f t="shared" si="0"/>
        <v>1200</v>
      </c>
      <c r="AD6" s="5">
        <f t="shared" si="0"/>
        <v>1200</v>
      </c>
      <c r="AE6" s="5">
        <f t="shared" si="0"/>
        <v>1200</v>
      </c>
      <c r="AF6" s="5">
        <f>$C$3</f>
        <v>1200</v>
      </c>
      <c r="AG6" s="22">
        <f>SUM(U6:AF6)</f>
        <v>14400</v>
      </c>
      <c r="AH6" s="2" t="s">
        <v>112</v>
      </c>
    </row>
    <row r="7" spans="1:36" x14ac:dyDescent="0.25">
      <c r="A7" s="2"/>
      <c r="B7" s="36">
        <f>B3-B4-B5</f>
        <v>12470.4</v>
      </c>
      <c r="C7" s="37">
        <f>C3-C4-C5-C6</f>
        <v>657.59</v>
      </c>
      <c r="D7" s="2" t="s">
        <v>135</v>
      </c>
      <c r="E7" s="26"/>
      <c r="F7" s="26"/>
      <c r="G7" s="26"/>
      <c r="H7" s="26"/>
      <c r="I7" s="26"/>
      <c r="J7" s="26"/>
      <c r="K7" s="26"/>
      <c r="L7" s="26"/>
      <c r="M7" s="26" t="s">
        <v>102</v>
      </c>
      <c r="N7" s="56">
        <v>0.48</v>
      </c>
      <c r="T7" s="14" t="s">
        <v>108</v>
      </c>
      <c r="U7" s="5">
        <f>$C$7</f>
        <v>657.59</v>
      </c>
      <c r="V7" s="5">
        <f t="shared" ref="U7:AF7" si="1">$C$7</f>
        <v>657.59</v>
      </c>
      <c r="W7" s="5">
        <f t="shared" si="1"/>
        <v>657.59</v>
      </c>
      <c r="X7" s="5">
        <f t="shared" si="1"/>
        <v>657.59</v>
      </c>
      <c r="Y7" s="5">
        <f t="shared" si="1"/>
        <v>657.59</v>
      </c>
      <c r="Z7" s="5">
        <f t="shared" si="1"/>
        <v>657.59</v>
      </c>
      <c r="AA7" s="5">
        <f t="shared" si="1"/>
        <v>657.59</v>
      </c>
      <c r="AB7" s="5">
        <f t="shared" si="1"/>
        <v>657.59</v>
      </c>
      <c r="AC7" s="5">
        <f t="shared" si="1"/>
        <v>657.59</v>
      </c>
      <c r="AD7" s="5">
        <f t="shared" si="1"/>
        <v>657.59</v>
      </c>
      <c r="AE7" s="5">
        <f t="shared" si="1"/>
        <v>657.59</v>
      </c>
      <c r="AF7" s="5">
        <f t="shared" si="1"/>
        <v>657.59</v>
      </c>
      <c r="AG7" s="15">
        <f>SUM(U7:AF7)</f>
        <v>7891.0800000000008</v>
      </c>
      <c r="AH7" s="2"/>
    </row>
    <row r="8" spans="1:36" x14ac:dyDescent="0.25">
      <c r="A8" s="2"/>
      <c r="C8" s="37">
        <f>ROUND(0.19*C7,2)</f>
        <v>124.94</v>
      </c>
      <c r="D8" s="2" t="s">
        <v>136</v>
      </c>
      <c r="E8" s="26"/>
      <c r="F8" s="26"/>
      <c r="G8" s="26"/>
      <c r="H8" s="26"/>
      <c r="I8" s="26"/>
      <c r="J8" s="26"/>
      <c r="K8" s="26"/>
      <c r="L8" s="26"/>
      <c r="M8" s="26"/>
      <c r="N8" s="56"/>
      <c r="T8" s="14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15"/>
      <c r="AH8" s="2"/>
    </row>
    <row r="9" spans="1:36" x14ac:dyDescent="0.25">
      <c r="A9" s="2"/>
      <c r="C9" s="37"/>
      <c r="E9" s="26"/>
      <c r="F9" s="26"/>
      <c r="G9" s="26"/>
      <c r="H9" s="26"/>
      <c r="I9" s="26"/>
      <c r="J9" s="26"/>
      <c r="K9" s="26"/>
      <c r="L9" s="26"/>
      <c r="M9" s="26"/>
      <c r="N9" s="56"/>
      <c r="T9" s="14" t="s">
        <v>109</v>
      </c>
      <c r="U9" s="21">
        <f>$F$3+$F$5</f>
        <v>70.710000000000008</v>
      </c>
      <c r="V9" s="21">
        <f t="shared" ref="V9:Z9" si="2">$F$3+$F$5</f>
        <v>70.710000000000008</v>
      </c>
      <c r="W9" s="21">
        <f t="shared" si="2"/>
        <v>70.710000000000008</v>
      </c>
      <c r="X9" s="21">
        <f t="shared" si="2"/>
        <v>70.710000000000008</v>
      </c>
      <c r="Y9" s="21">
        <f t="shared" si="2"/>
        <v>70.710000000000008</v>
      </c>
      <c r="Z9" s="21">
        <f t="shared" si="2"/>
        <v>70.710000000000008</v>
      </c>
      <c r="AA9" s="5"/>
      <c r="AB9" s="5"/>
      <c r="AC9" s="5"/>
      <c r="AD9" s="5"/>
      <c r="AE9" s="5"/>
      <c r="AF9" s="5"/>
      <c r="AG9" s="16">
        <f>SUM(U9:AF9)</f>
        <v>424.2600000000001</v>
      </c>
      <c r="AH9" s="2"/>
    </row>
    <row r="10" spans="1:36" s="2" customFormat="1" x14ac:dyDescent="0.25">
      <c r="A10" s="2" t="s">
        <v>4</v>
      </c>
      <c r="B10" s="35">
        <f>12*C8</f>
        <v>1499.28</v>
      </c>
      <c r="C10" s="40"/>
      <c r="E10" s="26"/>
      <c r="F10" s="5"/>
      <c r="G10" s="26"/>
      <c r="H10" s="26"/>
      <c r="I10" s="26"/>
      <c r="J10" s="26"/>
      <c r="K10" s="55"/>
      <c r="L10" s="26"/>
      <c r="M10" s="26" t="s">
        <v>103</v>
      </c>
      <c r="N10" s="56">
        <v>0.55000000000000004</v>
      </c>
      <c r="T10" s="14" t="s">
        <v>110</v>
      </c>
      <c r="U10" s="5"/>
      <c r="V10" s="5"/>
      <c r="W10" s="5"/>
      <c r="X10" s="5"/>
      <c r="Y10" s="5"/>
      <c r="Z10" s="5"/>
      <c r="AA10" s="21">
        <f>IF($F$3+$F$5&gt;AA11,$F$3+$F$5,IF($K$3+$K$4&gt;AA11,AA11,$K$3+$K$4))</f>
        <v>110</v>
      </c>
      <c r="AB10" s="21">
        <f t="shared" ref="AB10:AF10" si="3">IF($F$3+$F$5&gt;AB11,$F$3+$F$5,IF($K$3+$K$4&gt;AB11,AB11,$K$3+$K$4))</f>
        <v>110</v>
      </c>
      <c r="AC10" s="21">
        <f t="shared" si="3"/>
        <v>110</v>
      </c>
      <c r="AD10" s="21">
        <f t="shared" si="3"/>
        <v>110</v>
      </c>
      <c r="AE10" s="21">
        <f t="shared" si="3"/>
        <v>110</v>
      </c>
      <c r="AF10" s="21">
        <f t="shared" si="3"/>
        <v>110</v>
      </c>
      <c r="AG10" s="16">
        <f>SUM(U10:AF10)</f>
        <v>660</v>
      </c>
    </row>
    <row r="11" spans="1:36" s="2" customFormat="1" x14ac:dyDescent="0.25">
      <c r="A11" s="2" t="s">
        <v>5</v>
      </c>
      <c r="B11" s="35">
        <v>15450</v>
      </c>
      <c r="C11" s="36">
        <f>ROUND(B11*0.6,2)</f>
        <v>9270</v>
      </c>
      <c r="D11" s="7"/>
      <c r="E11" s="26"/>
      <c r="F11" s="26"/>
      <c r="G11" s="26"/>
      <c r="H11" s="26"/>
      <c r="I11" s="26"/>
      <c r="J11" s="26"/>
      <c r="K11" s="55"/>
      <c r="L11" s="26"/>
      <c r="M11" s="26"/>
      <c r="N11" s="26"/>
      <c r="T11" s="17" t="s">
        <v>120</v>
      </c>
      <c r="U11" s="18"/>
      <c r="V11" s="18"/>
      <c r="W11" s="18"/>
      <c r="X11" s="18"/>
      <c r="Y11" s="18"/>
      <c r="Z11" s="18"/>
      <c r="AA11" s="18">
        <f>0.27*AA7</f>
        <v>177.54930000000002</v>
      </c>
      <c r="AB11" s="18">
        <f t="shared" ref="AB11:AF11" si="4">0.27*AB7</f>
        <v>177.54930000000002</v>
      </c>
      <c r="AC11" s="18">
        <f t="shared" si="4"/>
        <v>177.54930000000002</v>
      </c>
      <c r="AD11" s="18">
        <f t="shared" si="4"/>
        <v>177.54930000000002</v>
      </c>
      <c r="AE11" s="18">
        <f t="shared" si="4"/>
        <v>177.54930000000002</v>
      </c>
      <c r="AF11" s="18">
        <f t="shared" si="4"/>
        <v>177.54930000000002</v>
      </c>
      <c r="AG11" s="23"/>
      <c r="AH11"/>
    </row>
    <row r="12" spans="1:36" s="2" customFormat="1" x14ac:dyDescent="0.25">
      <c r="A12" s="2" t="s">
        <v>8</v>
      </c>
      <c r="B12" s="35" t="s">
        <v>10</v>
      </c>
      <c r="C12" s="40"/>
      <c r="K12" s="11"/>
    </row>
    <row r="13" spans="1:36" s="2" customFormat="1" x14ac:dyDescent="0.25">
      <c r="A13" s="2" t="s">
        <v>6</v>
      </c>
      <c r="B13" s="35">
        <v>1720.95</v>
      </c>
      <c r="C13" s="40"/>
    </row>
    <row r="14" spans="1:36" s="2" customFormat="1" x14ac:dyDescent="0.25">
      <c r="A14" s="2" t="s">
        <v>7</v>
      </c>
      <c r="B14" s="35">
        <v>687.96</v>
      </c>
      <c r="C14" s="40"/>
      <c r="K14" s="12"/>
      <c r="T14" s="41" t="s">
        <v>159</v>
      </c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I14"/>
      <c r="AJ14"/>
    </row>
    <row r="15" spans="1:36" s="2" customFormat="1" x14ac:dyDescent="0.25">
      <c r="A15" s="2" t="s">
        <v>83</v>
      </c>
      <c r="B15" s="35">
        <v>0</v>
      </c>
      <c r="C15" s="40"/>
    </row>
    <row r="16" spans="1:36" s="2" customFormat="1" x14ac:dyDescent="0.25">
      <c r="B16" s="36"/>
      <c r="C16" s="40"/>
      <c r="T16" s="13"/>
      <c r="U16" s="19">
        <v>7</v>
      </c>
      <c r="V16" s="19">
        <v>8</v>
      </c>
      <c r="W16" s="19">
        <v>9</v>
      </c>
      <c r="X16" s="19">
        <v>10</v>
      </c>
      <c r="Y16" s="19">
        <v>11</v>
      </c>
      <c r="Z16" s="19">
        <v>12</v>
      </c>
      <c r="AA16" s="20"/>
    </row>
    <row r="17" spans="1:36" s="2" customFormat="1" x14ac:dyDescent="0.25">
      <c r="A17" s="42" t="s">
        <v>9</v>
      </c>
      <c r="B17" s="40" t="s">
        <v>10</v>
      </c>
      <c r="C17" s="40"/>
      <c r="T17" s="14" t="s">
        <v>107</v>
      </c>
      <c r="U17" s="5">
        <f>$C$3</f>
        <v>1200</v>
      </c>
      <c r="V17" s="5">
        <f t="shared" ref="V17:Z17" si="5">$C$3</f>
        <v>1200</v>
      </c>
      <c r="W17" s="5">
        <f t="shared" si="5"/>
        <v>1200</v>
      </c>
      <c r="X17" s="5">
        <f t="shared" si="5"/>
        <v>1200</v>
      </c>
      <c r="Y17" s="5">
        <f t="shared" si="5"/>
        <v>1200</v>
      </c>
      <c r="Z17" s="5">
        <f t="shared" si="5"/>
        <v>1200</v>
      </c>
      <c r="AA17" s="22"/>
    </row>
    <row r="18" spans="1:36" s="2" customFormat="1" x14ac:dyDescent="0.25">
      <c r="A18" s="42" t="s">
        <v>88</v>
      </c>
      <c r="B18" s="40" t="s">
        <v>11</v>
      </c>
      <c r="C18" s="40"/>
      <c r="T18" s="14" t="s">
        <v>137</v>
      </c>
      <c r="U18" s="5">
        <f>$F$3+$F$5</f>
        <v>70.710000000000008</v>
      </c>
      <c r="V18" s="5">
        <f t="shared" ref="V18:Z18" si="6">$F$3+$F$5</f>
        <v>70.710000000000008</v>
      </c>
      <c r="W18" s="5">
        <f t="shared" si="6"/>
        <v>70.710000000000008</v>
      </c>
      <c r="X18" s="5">
        <f t="shared" si="6"/>
        <v>70.710000000000008</v>
      </c>
      <c r="Y18" s="5">
        <f t="shared" si="6"/>
        <v>70.710000000000008</v>
      </c>
      <c r="Z18" s="5">
        <f t="shared" si="6"/>
        <v>70.710000000000008</v>
      </c>
      <c r="AA18" s="22">
        <f>SUM(U18:Z18)</f>
        <v>424.2600000000001</v>
      </c>
      <c r="AB18"/>
      <c r="AF18"/>
      <c r="AG18"/>
    </row>
    <row r="19" spans="1:36" x14ac:dyDescent="0.25">
      <c r="A19" s="42" t="s">
        <v>12</v>
      </c>
      <c r="B19" s="43" t="s">
        <v>166</v>
      </c>
      <c r="T19" s="17" t="s">
        <v>138</v>
      </c>
      <c r="U19" s="18">
        <f>$K$3+$K$4</f>
        <v>110</v>
      </c>
      <c r="V19" s="18">
        <f t="shared" ref="V19:Z19" si="7">$K$3+$K$4</f>
        <v>110</v>
      </c>
      <c r="W19" s="18">
        <f t="shared" si="7"/>
        <v>110</v>
      </c>
      <c r="X19" s="18">
        <f t="shared" si="7"/>
        <v>110</v>
      </c>
      <c r="Y19" s="18">
        <f t="shared" si="7"/>
        <v>110</v>
      </c>
      <c r="Z19" s="18">
        <f t="shared" si="7"/>
        <v>110</v>
      </c>
      <c r="AA19" s="60">
        <f>SUM(U19:Z19)</f>
        <v>660</v>
      </c>
      <c r="AB19" t="s">
        <v>139</v>
      </c>
      <c r="AC19" s="2"/>
      <c r="AD19" s="2"/>
      <c r="AE19" s="2"/>
      <c r="AI19" s="2"/>
      <c r="AJ19" s="2"/>
    </row>
    <row r="20" spans="1:36" x14ac:dyDescent="0.25">
      <c r="T20" s="26"/>
      <c r="U20" s="5"/>
      <c r="V20" s="5"/>
      <c r="W20" s="5"/>
      <c r="X20" s="5"/>
      <c r="Y20" s="5"/>
      <c r="Z20" s="5"/>
      <c r="AA20" s="5"/>
      <c r="AI20" s="2"/>
      <c r="AJ20" s="2"/>
    </row>
    <row r="21" spans="1:36" x14ac:dyDescent="0.25">
      <c r="B21" s="9" t="s">
        <v>13</v>
      </c>
      <c r="F21" s="36">
        <f>B3</f>
        <v>14400</v>
      </c>
      <c r="T21" s="26"/>
      <c r="U21" s="5"/>
      <c r="V21" s="5"/>
      <c r="W21" s="5"/>
      <c r="X21" s="5"/>
      <c r="Y21" s="5"/>
      <c r="Z21" s="5"/>
      <c r="AA21" s="5"/>
      <c r="AC21" s="2"/>
      <c r="AD21" s="2"/>
      <c r="AE21" s="2"/>
      <c r="AI21" s="2"/>
      <c r="AJ21" s="2"/>
    </row>
    <row r="22" spans="1:36" x14ac:dyDescent="0.25">
      <c r="B22" s="9" t="s">
        <v>14</v>
      </c>
      <c r="F22" s="36">
        <f>B4+B5</f>
        <v>1929.6</v>
      </c>
      <c r="T22" s="13" t="s">
        <v>115</v>
      </c>
      <c r="U22" s="57"/>
      <c r="V22" s="57"/>
      <c r="W22" s="58">
        <f>F23+F36</f>
        <v>16241.49</v>
      </c>
      <c r="X22" s="26" t="s">
        <v>119</v>
      </c>
      <c r="AC22" s="2"/>
      <c r="AD22" s="2"/>
      <c r="AE22" s="2"/>
      <c r="AI22" s="2"/>
      <c r="AJ22" s="2"/>
    </row>
    <row r="23" spans="1:36" x14ac:dyDescent="0.25">
      <c r="B23" s="9" t="s">
        <v>15</v>
      </c>
      <c r="F23" s="6">
        <f>F21-F22</f>
        <v>12470.4</v>
      </c>
      <c r="T23" s="14" t="s">
        <v>111</v>
      </c>
      <c r="U23" s="26"/>
      <c r="V23" s="26"/>
      <c r="W23" s="15">
        <f>W22/2</f>
        <v>8120.7449999999999</v>
      </c>
      <c r="X23" s="26"/>
      <c r="AF23" s="76"/>
      <c r="AI23" s="2"/>
      <c r="AJ23" s="2"/>
    </row>
    <row r="24" spans="1:36" x14ac:dyDescent="0.25">
      <c r="C24" s="6"/>
      <c r="T24" s="17" t="s">
        <v>140</v>
      </c>
      <c r="U24" s="52"/>
      <c r="V24" s="52"/>
      <c r="W24" s="59">
        <f>0.27*W23</f>
        <v>2192.60115</v>
      </c>
      <c r="X24" s="26"/>
      <c r="AC24" s="66"/>
      <c r="AD24" s="66"/>
      <c r="AE24" s="66"/>
      <c r="AF24" s="70"/>
      <c r="AG24" s="67"/>
    </row>
    <row r="25" spans="1:36" x14ac:dyDescent="0.25">
      <c r="B25" t="s">
        <v>16</v>
      </c>
      <c r="F25" s="6" t="s">
        <v>57</v>
      </c>
      <c r="G25" s="6" t="s">
        <v>58</v>
      </c>
      <c r="AC25" s="66"/>
      <c r="AD25" s="66"/>
      <c r="AE25" s="66"/>
      <c r="AF25" s="71"/>
      <c r="AG25" s="68"/>
    </row>
    <row r="26" spans="1:36" x14ac:dyDescent="0.25">
      <c r="B26" s="6" t="s">
        <v>59</v>
      </c>
      <c r="D26" s="8"/>
      <c r="F26" s="36">
        <f>B11</f>
        <v>15450</v>
      </c>
      <c r="G26" s="36"/>
      <c r="P26" s="69"/>
      <c r="Q26" s="69"/>
      <c r="R26" s="69"/>
      <c r="S26" s="69"/>
      <c r="T26" s="70"/>
      <c r="U26" s="71"/>
      <c r="V26" s="71"/>
      <c r="W26" s="71"/>
      <c r="X26" s="71"/>
      <c r="Y26" s="71"/>
      <c r="Z26" s="71"/>
      <c r="AA26" s="69"/>
      <c r="AB26" s="71"/>
      <c r="AC26" s="69"/>
      <c r="AD26" s="71"/>
      <c r="AE26" s="71"/>
      <c r="AF26" s="71"/>
      <c r="AG26" s="68"/>
    </row>
    <row r="27" spans="1:36" x14ac:dyDescent="0.25">
      <c r="B27" s="6" t="s">
        <v>60</v>
      </c>
      <c r="D27" s="1"/>
      <c r="F27" s="6">
        <f>F26</f>
        <v>15450</v>
      </c>
      <c r="G27" s="36">
        <f>IF(ROUND(F27*0.6,2)&gt;20000,20000+F30,ROUND(F27*0.6,2)+F30)</f>
        <v>11678.91</v>
      </c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6"/>
    </row>
    <row r="28" spans="1:36" x14ac:dyDescent="0.25">
      <c r="C28" s="6"/>
      <c r="P28" s="69"/>
      <c r="Q28" s="69"/>
      <c r="R28" s="69"/>
      <c r="S28" s="69"/>
      <c r="T28" s="70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68"/>
      <c r="AG28" s="68"/>
    </row>
    <row r="29" spans="1:36" x14ac:dyDescent="0.25">
      <c r="B29" t="s">
        <v>17</v>
      </c>
      <c r="C29" s="6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</row>
    <row r="30" spans="1:36" x14ac:dyDescent="0.25">
      <c r="F30" s="36">
        <f>B13+B14</f>
        <v>2408.91</v>
      </c>
      <c r="P30" s="69"/>
      <c r="Q30" s="69"/>
      <c r="R30" s="69"/>
      <c r="S30" s="69"/>
      <c r="T30" s="70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</row>
    <row r="31" spans="1:36" x14ac:dyDescent="0.25">
      <c r="C31" s="6"/>
      <c r="E31" s="29"/>
      <c r="P31" s="69"/>
      <c r="Q31" s="69"/>
      <c r="R31" s="69"/>
      <c r="S31" s="69"/>
      <c r="T31" s="69"/>
      <c r="U31" s="72"/>
      <c r="V31" s="69"/>
      <c r="W31" s="73"/>
      <c r="X31" s="69"/>
      <c r="Y31" s="69"/>
      <c r="Z31" s="69"/>
      <c r="AA31" s="69"/>
      <c r="AB31" s="69"/>
      <c r="AC31" s="69"/>
      <c r="AD31" s="69"/>
      <c r="AE31" s="69"/>
    </row>
    <row r="32" spans="1:36" x14ac:dyDescent="0.25">
      <c r="B32" s="9" t="s">
        <v>18</v>
      </c>
      <c r="E32" s="29"/>
      <c r="F32" s="6">
        <f>F27</f>
        <v>15450</v>
      </c>
      <c r="P32" s="69"/>
      <c r="Q32" s="69"/>
      <c r="R32" s="69"/>
      <c r="S32" s="69"/>
      <c r="T32" s="69"/>
      <c r="U32" s="73"/>
      <c r="V32" s="69"/>
      <c r="W32" s="73"/>
      <c r="X32" s="69"/>
      <c r="Y32" s="69"/>
      <c r="Z32" s="69"/>
      <c r="AA32" s="69"/>
      <c r="AB32" s="69"/>
      <c r="AC32" s="69"/>
      <c r="AD32" s="69"/>
      <c r="AE32" s="69"/>
    </row>
    <row r="33" spans="2:31" x14ac:dyDescent="0.25">
      <c r="B33" s="9" t="s">
        <v>19</v>
      </c>
      <c r="E33" s="29"/>
      <c r="F33" s="6">
        <f>G27</f>
        <v>11678.91</v>
      </c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</row>
    <row r="34" spans="2:31" x14ac:dyDescent="0.25">
      <c r="B34" s="9" t="s">
        <v>20</v>
      </c>
      <c r="D34" t="s">
        <v>26</v>
      </c>
      <c r="E34" s="29"/>
      <c r="F34" s="6">
        <f>F32-F33</f>
        <v>3771.09</v>
      </c>
      <c r="P34" s="69"/>
      <c r="Q34" s="69"/>
      <c r="R34" s="69"/>
      <c r="S34" s="69"/>
      <c r="T34" s="69"/>
      <c r="U34" s="74"/>
      <c r="V34" s="75"/>
      <c r="W34" s="69"/>
      <c r="X34" s="69"/>
      <c r="Y34" s="69"/>
      <c r="Z34" s="69"/>
      <c r="AA34" s="69"/>
      <c r="AB34" s="69"/>
      <c r="AC34" s="69"/>
      <c r="AD34" s="69"/>
      <c r="AE34" s="69"/>
    </row>
    <row r="35" spans="2:31" x14ac:dyDescent="0.25">
      <c r="B35" s="9" t="s">
        <v>22</v>
      </c>
      <c r="D35" t="s">
        <v>25</v>
      </c>
      <c r="E35" s="29"/>
      <c r="F35" s="6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</row>
    <row r="36" spans="2:31" x14ac:dyDescent="0.25">
      <c r="B36" s="9" t="s">
        <v>21</v>
      </c>
      <c r="D36" t="s">
        <v>27</v>
      </c>
      <c r="E36" s="29"/>
      <c r="F36" s="6">
        <f>F34</f>
        <v>3771.09</v>
      </c>
    </row>
    <row r="37" spans="2:31" x14ac:dyDescent="0.25">
      <c r="B37" s="9" t="s">
        <v>23</v>
      </c>
      <c r="D37" t="s">
        <v>28</v>
      </c>
      <c r="E37" s="29"/>
      <c r="F37" s="6"/>
    </row>
    <row r="38" spans="2:31" x14ac:dyDescent="0.25">
      <c r="B38" s="9" t="s">
        <v>24</v>
      </c>
      <c r="D38" t="s">
        <v>29</v>
      </c>
      <c r="E38" s="29"/>
      <c r="F38" s="6">
        <f>F36</f>
        <v>3771.09</v>
      </c>
    </row>
    <row r="39" spans="2:31" x14ac:dyDescent="0.25">
      <c r="B39" s="9" t="s">
        <v>31</v>
      </c>
      <c r="D39" t="s">
        <v>30</v>
      </c>
      <c r="E39" s="29"/>
      <c r="F39" s="6">
        <f>F38</f>
        <v>3771.09</v>
      </c>
    </row>
    <row r="40" spans="2:31" ht="30" x14ac:dyDescent="0.25">
      <c r="B40" s="9" t="s">
        <v>33</v>
      </c>
      <c r="D40" t="s">
        <v>44</v>
      </c>
      <c r="E40" s="29" t="s">
        <v>47</v>
      </c>
      <c r="F40" s="28"/>
    </row>
    <row r="41" spans="2:31" x14ac:dyDescent="0.25">
      <c r="B41" s="9" t="s">
        <v>32</v>
      </c>
      <c r="D41" t="s">
        <v>34</v>
      </c>
      <c r="E41" s="29"/>
      <c r="F41" s="6">
        <f>F23+F39</f>
        <v>16241.49</v>
      </c>
    </row>
    <row r="42" spans="2:31" x14ac:dyDescent="0.25">
      <c r="B42" s="9" t="s">
        <v>35</v>
      </c>
      <c r="E42" s="29"/>
      <c r="F42" s="5">
        <f>IF(F41&gt;20235.97,9638.25-(F41/4),4579.26)</f>
        <v>4579.26</v>
      </c>
    </row>
    <row r="43" spans="2:31" x14ac:dyDescent="0.25">
      <c r="B43" s="9" t="s">
        <v>36</v>
      </c>
      <c r="D43" t="s">
        <v>37</v>
      </c>
      <c r="E43" s="29"/>
      <c r="F43" s="5">
        <f>F42</f>
        <v>4579.26</v>
      </c>
    </row>
    <row r="44" spans="2:31" x14ac:dyDescent="0.25">
      <c r="B44" s="9" t="s">
        <v>38</v>
      </c>
      <c r="D44" t="s">
        <v>39</v>
      </c>
      <c r="E44" s="29"/>
      <c r="F44" s="5">
        <f>F23-F43</f>
        <v>7891.1399999999994</v>
      </c>
    </row>
    <row r="45" spans="2:31" ht="30" x14ac:dyDescent="0.25">
      <c r="B45" s="9" t="s">
        <v>40</v>
      </c>
      <c r="D45" t="s">
        <v>41</v>
      </c>
      <c r="E45" s="29" t="s">
        <v>47</v>
      </c>
      <c r="F45" s="6">
        <f>F44</f>
        <v>7891.1399999999994</v>
      </c>
    </row>
    <row r="46" spans="2:31" x14ac:dyDescent="0.25">
      <c r="B46" s="9" t="s">
        <v>118</v>
      </c>
      <c r="E46" s="29"/>
      <c r="F46" s="46">
        <f>0.19*F45</f>
        <v>1499.3165999999999</v>
      </c>
    </row>
    <row r="47" spans="2:31" x14ac:dyDescent="0.25">
      <c r="E47" s="29"/>
      <c r="F47" s="9"/>
    </row>
    <row r="48" spans="2:31" ht="30" x14ac:dyDescent="0.25">
      <c r="B48" s="9" t="s">
        <v>42</v>
      </c>
      <c r="D48" t="s">
        <v>46</v>
      </c>
      <c r="E48" s="29" t="s">
        <v>45</v>
      </c>
      <c r="F48" s="6">
        <f>F46</f>
        <v>1499.3165999999999</v>
      </c>
    </row>
    <row r="49" spans="1:6" x14ac:dyDescent="0.25">
      <c r="B49" s="9" t="s">
        <v>43</v>
      </c>
      <c r="D49" t="s">
        <v>48</v>
      </c>
      <c r="E49" s="29"/>
      <c r="F49" s="6"/>
    </row>
    <row r="50" spans="1:6" x14ac:dyDescent="0.25">
      <c r="B50" s="9" t="s">
        <v>49</v>
      </c>
      <c r="D50" t="s">
        <v>50</v>
      </c>
      <c r="E50" s="29"/>
      <c r="F50" s="5">
        <f>F39-F49</f>
        <v>3771.09</v>
      </c>
    </row>
    <row r="51" spans="1:6" x14ac:dyDescent="0.25">
      <c r="B51" s="9" t="s">
        <v>51</v>
      </c>
      <c r="D51" t="s">
        <v>52</v>
      </c>
      <c r="E51" s="29"/>
      <c r="F51" s="6">
        <f>F50</f>
        <v>3771.09</v>
      </c>
    </row>
    <row r="52" spans="1:6" x14ac:dyDescent="0.25">
      <c r="B52" s="9" t="s">
        <v>53</v>
      </c>
      <c r="E52" s="29"/>
      <c r="F52" s="36">
        <f>B11</f>
        <v>15450</v>
      </c>
    </row>
    <row r="53" spans="1:6" ht="75" x14ac:dyDescent="0.25">
      <c r="B53" s="9" t="s">
        <v>54</v>
      </c>
      <c r="D53" t="s">
        <v>55</v>
      </c>
      <c r="E53" s="29" t="s">
        <v>56</v>
      </c>
      <c r="F53" s="6">
        <f>ROUND(F51*0.15,2)</f>
        <v>565.66</v>
      </c>
    </row>
    <row r="54" spans="1:6" x14ac:dyDescent="0.25">
      <c r="B54" s="9" t="s">
        <v>61</v>
      </c>
      <c r="D54" t="s">
        <v>62</v>
      </c>
      <c r="E54" s="29"/>
      <c r="F54" s="6">
        <f>F53</f>
        <v>565.66</v>
      </c>
    </row>
    <row r="55" spans="1:6" ht="30" x14ac:dyDescent="0.25">
      <c r="B55" s="54" t="s">
        <v>63</v>
      </c>
      <c r="C55" s="54"/>
      <c r="D55" s="7" t="s">
        <v>64</v>
      </c>
      <c r="E55" s="30" t="s">
        <v>45</v>
      </c>
      <c r="F55" s="6">
        <v>0</v>
      </c>
    </row>
    <row r="56" spans="1:6" ht="30" x14ac:dyDescent="0.25">
      <c r="B56" s="9" t="s">
        <v>65</v>
      </c>
      <c r="D56" t="s">
        <v>67</v>
      </c>
      <c r="E56" s="29" t="s">
        <v>45</v>
      </c>
      <c r="F56" s="6">
        <v>0</v>
      </c>
    </row>
    <row r="57" spans="1:6" x14ac:dyDescent="0.25">
      <c r="B57" s="9" t="s">
        <v>66</v>
      </c>
      <c r="D57" t="s">
        <v>68</v>
      </c>
      <c r="E57" s="29"/>
      <c r="F57" s="6">
        <f>F48+F54+F56</f>
        <v>2064.9766</v>
      </c>
    </row>
    <row r="58" spans="1:6" s="7" customFormat="1" x14ac:dyDescent="0.25">
      <c r="A58" s="65" t="s">
        <v>90</v>
      </c>
      <c r="B58" s="65" t="s">
        <v>69</v>
      </c>
      <c r="C58" s="54"/>
      <c r="E58" s="30"/>
      <c r="F58" s="5">
        <f>F59+F60</f>
        <v>1084.2600000000002</v>
      </c>
    </row>
    <row r="59" spans="1:6" x14ac:dyDescent="0.25">
      <c r="B59" s="9" t="s">
        <v>91</v>
      </c>
      <c r="E59" s="29"/>
      <c r="F59" s="44">
        <f>AG9</f>
        <v>424.2600000000001</v>
      </c>
    </row>
    <row r="60" spans="1:6" x14ac:dyDescent="0.25">
      <c r="B60" s="9" t="s">
        <v>92</v>
      </c>
      <c r="E60" s="29"/>
      <c r="F60" s="44">
        <f>AA19</f>
        <v>660</v>
      </c>
    </row>
    <row r="61" spans="1:6" ht="30" x14ac:dyDescent="0.25">
      <c r="B61" s="9" t="s">
        <v>70</v>
      </c>
      <c r="D61" t="s">
        <v>71</v>
      </c>
      <c r="E61" s="29" t="s">
        <v>116</v>
      </c>
      <c r="F61" s="6">
        <f>IF(F58&gt;F57,0,F57-F58)</f>
        <v>980.71659999999974</v>
      </c>
    </row>
    <row r="62" spans="1:6" x14ac:dyDescent="0.25">
      <c r="B62" s="9" t="s">
        <v>72</v>
      </c>
      <c r="E62" s="29"/>
      <c r="F62" s="36">
        <f>AG9+AG10</f>
        <v>1084.2600000000002</v>
      </c>
    </row>
    <row r="63" spans="1:6" x14ac:dyDescent="0.25">
      <c r="B63" s="9" t="s">
        <v>73</v>
      </c>
      <c r="D63" t="s">
        <v>74</v>
      </c>
      <c r="E63" s="29"/>
      <c r="F63" s="44">
        <f>IF(F58&gt;F62,F58-F62,0)</f>
        <v>0</v>
      </c>
    </row>
    <row r="64" spans="1:6" x14ac:dyDescent="0.25">
      <c r="B64" s="9" t="s">
        <v>75</v>
      </c>
      <c r="D64" t="s">
        <v>78</v>
      </c>
      <c r="E64" s="29"/>
      <c r="F64" s="6">
        <f>IF(F63&gt;F57,F63-F57,0)</f>
        <v>0</v>
      </c>
    </row>
    <row r="65" spans="2:8" x14ac:dyDescent="0.25">
      <c r="B65" s="9" t="s">
        <v>76</v>
      </c>
      <c r="D65" t="s">
        <v>79</v>
      </c>
      <c r="E65" s="29"/>
      <c r="F65" s="6">
        <f>IF(F62&gt;F58,F62-F58,0)</f>
        <v>0</v>
      </c>
    </row>
    <row r="66" spans="2:8" x14ac:dyDescent="0.25">
      <c r="B66" s="9" t="s">
        <v>77</v>
      </c>
      <c r="D66" t="s">
        <v>80</v>
      </c>
      <c r="E66" s="29"/>
      <c r="F66" s="6">
        <f>F61</f>
        <v>980.71659999999974</v>
      </c>
    </row>
    <row r="67" spans="2:8" x14ac:dyDescent="0.25">
      <c r="B67" s="9" t="s">
        <v>81</v>
      </c>
      <c r="E67" s="29"/>
      <c r="F67" s="36">
        <f>B10</f>
        <v>1499.28</v>
      </c>
    </row>
    <row r="68" spans="2:8" x14ac:dyDescent="0.25">
      <c r="B68" s="9" t="s">
        <v>82</v>
      </c>
      <c r="E68" s="29"/>
    </row>
    <row r="69" spans="2:8" x14ac:dyDescent="0.25">
      <c r="B69" s="9" t="s">
        <v>84</v>
      </c>
      <c r="D69" t="s">
        <v>87</v>
      </c>
      <c r="F69" s="5">
        <f>F57-F58+F62+F64-F67</f>
        <v>565.69659999999999</v>
      </c>
    </row>
    <row r="70" spans="2:8" x14ac:dyDescent="0.25">
      <c r="B70" s="9" t="s">
        <v>85</v>
      </c>
      <c r="D70" t="s">
        <v>86</v>
      </c>
    </row>
    <row r="71" spans="2:8" x14ac:dyDescent="0.25">
      <c r="C71" s="6"/>
    </row>
    <row r="73" spans="2:8" x14ac:dyDescent="0.25">
      <c r="D73" s="26" t="s">
        <v>121</v>
      </c>
      <c r="E73" s="26" t="s">
        <v>122</v>
      </c>
      <c r="F73" s="5">
        <f>SUM(F74:F75)</f>
        <v>1929.6</v>
      </c>
      <c r="G73" s="27"/>
      <c r="H73" s="27"/>
    </row>
    <row r="74" spans="2:8" x14ac:dyDescent="0.25">
      <c r="D74" s="26"/>
      <c r="E74" s="26" t="s">
        <v>123</v>
      </c>
      <c r="F74" s="3">
        <f>B4</f>
        <v>1353.6</v>
      </c>
      <c r="G74" s="27"/>
      <c r="H74" s="2"/>
    </row>
    <row r="75" spans="2:8" x14ac:dyDescent="0.25">
      <c r="D75" s="26"/>
      <c r="E75" s="26" t="s">
        <v>124</v>
      </c>
      <c r="F75" s="3">
        <f>B5</f>
        <v>576</v>
      </c>
      <c r="G75" s="27"/>
      <c r="H75" s="2"/>
    </row>
    <row r="76" spans="2:8" x14ac:dyDescent="0.25">
      <c r="D76" s="26"/>
      <c r="E76" s="26" t="s">
        <v>125</v>
      </c>
      <c r="F76" s="3">
        <f>B13</f>
        <v>1720.95</v>
      </c>
      <c r="G76" s="27"/>
      <c r="H76" s="2"/>
    </row>
    <row r="77" spans="2:8" x14ac:dyDescent="0.25">
      <c r="D77" s="26"/>
      <c r="E77" s="26" t="s">
        <v>126</v>
      </c>
      <c r="F77" s="3">
        <v>0</v>
      </c>
      <c r="G77" s="27"/>
      <c r="H77" s="2"/>
    </row>
    <row r="78" spans="2:8" x14ac:dyDescent="0.25">
      <c r="D78" s="26"/>
      <c r="E78" s="26" t="s">
        <v>127</v>
      </c>
      <c r="F78" s="3">
        <f>B14</f>
        <v>687.96</v>
      </c>
      <c r="G78" s="27"/>
      <c r="H78" s="2"/>
    </row>
    <row r="79" spans="2:8" x14ac:dyDescent="0.25">
      <c r="D79" s="26"/>
      <c r="E79" s="26" t="s">
        <v>128</v>
      </c>
      <c r="F79" s="3">
        <f>F78</f>
        <v>687.96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13353-3E61-44BD-B88A-F0B4D3AF5A8E}">
  <sheetPr>
    <tabColor rgb="FFFFFF00"/>
  </sheetPr>
  <dimension ref="A1:AJ80"/>
  <sheetViews>
    <sheetView showGridLines="0" zoomScale="90" zoomScaleNormal="90" workbookViewId="0">
      <selection activeCell="G61" sqref="G61"/>
    </sheetView>
  </sheetViews>
  <sheetFormatPr defaultRowHeight="15" x14ac:dyDescent="0.25"/>
  <cols>
    <col min="1" max="1" width="31.42578125" customWidth="1"/>
    <col min="2" max="2" width="11" style="9" customWidth="1"/>
    <col min="3" max="3" width="11.85546875" style="9" customWidth="1"/>
    <col min="4" max="4" width="49" bestFit="1" customWidth="1"/>
    <col min="5" max="5" width="42.5703125" customWidth="1"/>
    <col min="6" max="6" width="12.42578125" customWidth="1"/>
    <col min="7" max="7" width="10.42578125" customWidth="1"/>
    <col min="13" max="13" width="13" customWidth="1"/>
    <col min="17" max="19" width="0" hidden="1" customWidth="1"/>
    <col min="20" max="20" width="37.42578125" customWidth="1"/>
    <col min="21" max="21" width="9.42578125" bestFit="1" customWidth="1"/>
    <col min="22" max="22" width="10.85546875" bestFit="1" customWidth="1"/>
    <col min="23" max="23" width="9.85546875" bestFit="1" customWidth="1"/>
    <col min="33" max="33" width="11.85546875" customWidth="1"/>
  </cols>
  <sheetData>
    <row r="1" spans="1:36" x14ac:dyDescent="0.25">
      <c r="A1" s="31" t="s">
        <v>141</v>
      </c>
      <c r="T1" s="31" t="s">
        <v>144</v>
      </c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</row>
    <row r="2" spans="1:36" s="2" customFormat="1" x14ac:dyDescent="0.25">
      <c r="A2" s="33" t="s">
        <v>0</v>
      </c>
      <c r="B2" s="34" t="s">
        <v>114</v>
      </c>
      <c r="C2" s="34" t="s">
        <v>113</v>
      </c>
      <c r="E2" s="4" t="s">
        <v>89</v>
      </c>
      <c r="F2"/>
      <c r="G2"/>
      <c r="H2" s="4" t="s">
        <v>96</v>
      </c>
      <c r="I2"/>
      <c r="J2"/>
      <c r="K2"/>
      <c r="L2"/>
      <c r="M2" s="4" t="s">
        <v>97</v>
      </c>
      <c r="N2"/>
    </row>
    <row r="3" spans="1:36" s="2" customFormat="1" x14ac:dyDescent="0.25">
      <c r="A3" s="2" t="s">
        <v>1</v>
      </c>
      <c r="B3" s="35">
        <f>C3*12</f>
        <v>0</v>
      </c>
      <c r="C3" s="36">
        <v>0</v>
      </c>
      <c r="E3" s="26" t="s">
        <v>93</v>
      </c>
      <c r="F3" s="26">
        <v>47.14</v>
      </c>
      <c r="G3" s="26"/>
      <c r="H3" s="26" t="s">
        <v>105</v>
      </c>
      <c r="I3" s="26"/>
      <c r="J3" s="26"/>
      <c r="K3" s="55">
        <v>70</v>
      </c>
      <c r="L3" s="26"/>
      <c r="M3" s="26" t="s">
        <v>98</v>
      </c>
      <c r="N3" s="56">
        <v>0.2</v>
      </c>
      <c r="T3" s="2" t="s">
        <v>145</v>
      </c>
      <c r="V3" s="3">
        <f>B11</f>
        <v>78000</v>
      </c>
      <c r="W3" s="2" t="s">
        <v>146</v>
      </c>
      <c r="AH3"/>
    </row>
    <row r="4" spans="1:36" s="2" customFormat="1" x14ac:dyDescent="0.25">
      <c r="A4" s="2" t="s">
        <v>2</v>
      </c>
      <c r="B4" s="36">
        <f>C4*12</f>
        <v>0</v>
      </c>
      <c r="C4" s="37">
        <f>0.094*C3</f>
        <v>0</v>
      </c>
      <c r="E4" s="26" t="s">
        <v>104</v>
      </c>
      <c r="F4" s="55">
        <v>43.6</v>
      </c>
      <c r="G4" s="26"/>
      <c r="H4" s="26" t="s">
        <v>94</v>
      </c>
      <c r="I4" s="26"/>
      <c r="J4" s="26"/>
      <c r="K4" s="55">
        <v>40</v>
      </c>
      <c r="L4" s="26"/>
      <c r="M4" s="26" t="s">
        <v>99</v>
      </c>
      <c r="N4" s="56">
        <v>0.27</v>
      </c>
    </row>
    <row r="5" spans="1:36" s="2" customFormat="1" x14ac:dyDescent="0.25">
      <c r="A5" s="2" t="s">
        <v>3</v>
      </c>
      <c r="B5" s="36">
        <f>C5*12</f>
        <v>0</v>
      </c>
      <c r="C5" s="37">
        <f>0.04*C3</f>
        <v>0</v>
      </c>
      <c r="E5" s="26" t="s">
        <v>94</v>
      </c>
      <c r="F5" s="26">
        <v>23.57</v>
      </c>
      <c r="G5" s="26"/>
      <c r="H5" s="26"/>
      <c r="I5" s="26"/>
      <c r="J5" s="26"/>
      <c r="K5" s="26"/>
      <c r="L5" s="26"/>
      <c r="M5" s="26" t="s">
        <v>100</v>
      </c>
      <c r="N5" s="56">
        <v>0.34</v>
      </c>
      <c r="T5" s="13"/>
      <c r="U5" s="19">
        <v>1</v>
      </c>
      <c r="V5" s="19">
        <v>2</v>
      </c>
      <c r="W5" s="19">
        <v>3</v>
      </c>
      <c r="X5" s="19">
        <v>4</v>
      </c>
      <c r="Y5" s="19">
        <v>5</v>
      </c>
      <c r="Z5" s="19">
        <v>6</v>
      </c>
      <c r="AA5" s="19">
        <v>7</v>
      </c>
      <c r="AB5" s="19">
        <v>8</v>
      </c>
      <c r="AC5" s="19">
        <v>9</v>
      </c>
      <c r="AD5" s="19">
        <v>10</v>
      </c>
      <c r="AE5" s="19">
        <v>11</v>
      </c>
      <c r="AF5" s="19">
        <v>12</v>
      </c>
      <c r="AG5" s="20" t="s">
        <v>106</v>
      </c>
    </row>
    <row r="6" spans="1:36" s="2" customFormat="1" x14ac:dyDescent="0.25">
      <c r="A6" s="33"/>
      <c r="B6" s="38"/>
      <c r="C6" s="39">
        <v>0</v>
      </c>
      <c r="D6" s="2" t="s">
        <v>134</v>
      </c>
      <c r="E6" s="26"/>
      <c r="F6" s="26"/>
      <c r="G6" s="26"/>
      <c r="H6" s="26"/>
      <c r="I6" s="26"/>
      <c r="J6" s="26"/>
      <c r="K6" s="26"/>
      <c r="L6" s="26"/>
      <c r="M6" s="26" t="s">
        <v>101</v>
      </c>
      <c r="N6" s="56">
        <v>0.41</v>
      </c>
      <c r="T6" s="17" t="s">
        <v>109</v>
      </c>
      <c r="U6" s="47">
        <f>$F$5</f>
        <v>23.57</v>
      </c>
      <c r="V6" s="47">
        <f t="shared" ref="V6:Z6" si="0">$F$5</f>
        <v>23.57</v>
      </c>
      <c r="W6" s="47">
        <f t="shared" si="0"/>
        <v>23.57</v>
      </c>
      <c r="X6" s="47">
        <f t="shared" si="0"/>
        <v>23.57</v>
      </c>
      <c r="Y6" s="47">
        <f t="shared" si="0"/>
        <v>23.57</v>
      </c>
      <c r="Z6" s="47">
        <f t="shared" si="0"/>
        <v>23.57</v>
      </c>
      <c r="AA6" s="18"/>
      <c r="AB6" s="18"/>
      <c r="AC6" s="18"/>
      <c r="AD6" s="18"/>
      <c r="AE6" s="18"/>
      <c r="AF6" s="18"/>
      <c r="AG6" s="48">
        <f>SUM(U6:AF6)</f>
        <v>141.41999999999999</v>
      </c>
    </row>
    <row r="7" spans="1:36" x14ac:dyDescent="0.25">
      <c r="A7" s="2"/>
      <c r="B7" s="36">
        <f>B3-B4-B5</f>
        <v>0</v>
      </c>
      <c r="C7" s="37">
        <f>C3-C4-C5-C6</f>
        <v>0</v>
      </c>
      <c r="D7" s="2" t="s">
        <v>135</v>
      </c>
      <c r="E7" s="26"/>
      <c r="F7" s="26"/>
      <c r="G7" s="26"/>
      <c r="H7" s="26"/>
      <c r="I7" s="26"/>
      <c r="J7" s="26"/>
      <c r="K7" s="26"/>
      <c r="L7" s="26"/>
      <c r="M7" s="26" t="s">
        <v>102</v>
      </c>
      <c r="N7" s="56">
        <v>0.48</v>
      </c>
      <c r="T7" s="26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6" x14ac:dyDescent="0.25">
      <c r="A8" s="2"/>
      <c r="C8" s="37">
        <f>ROUND(0.19*C7,2)</f>
        <v>0</v>
      </c>
      <c r="D8" s="2" t="s">
        <v>136</v>
      </c>
      <c r="E8" s="26"/>
      <c r="F8" s="26"/>
      <c r="G8" s="26"/>
      <c r="H8" s="26"/>
      <c r="I8" s="26"/>
      <c r="J8" s="26"/>
      <c r="K8" s="26"/>
      <c r="L8" s="26"/>
      <c r="M8" s="26"/>
      <c r="N8" s="56"/>
      <c r="T8" s="26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6" x14ac:dyDescent="0.25">
      <c r="A9" s="2"/>
      <c r="C9" s="37"/>
      <c r="E9" s="26"/>
      <c r="F9" s="26"/>
      <c r="G9" s="26"/>
      <c r="H9" s="26"/>
      <c r="I9" s="26"/>
      <c r="J9" s="26"/>
      <c r="K9" s="26"/>
      <c r="L9" s="26"/>
      <c r="M9" s="26"/>
      <c r="N9" s="56"/>
      <c r="T9" s="31" t="s">
        <v>147</v>
      </c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2"/>
    </row>
    <row r="10" spans="1:36" s="2" customFormat="1" x14ac:dyDescent="0.25">
      <c r="A10" s="2" t="s">
        <v>4</v>
      </c>
      <c r="B10" s="35">
        <f>12*C8</f>
        <v>0</v>
      </c>
      <c r="C10" s="40"/>
      <c r="E10" s="26"/>
      <c r="F10" s="5"/>
      <c r="G10" s="26"/>
      <c r="H10" s="26"/>
      <c r="I10" s="26"/>
      <c r="J10" s="26"/>
      <c r="K10" s="55"/>
      <c r="L10" s="26"/>
      <c r="M10" s="26" t="s">
        <v>103</v>
      </c>
      <c r="N10" s="56">
        <v>0.55000000000000004</v>
      </c>
    </row>
    <row r="11" spans="1:36" s="2" customFormat="1" x14ac:dyDescent="0.25">
      <c r="A11" s="2" t="s">
        <v>5</v>
      </c>
      <c r="B11" s="35">
        <v>78000</v>
      </c>
      <c r="C11" s="36">
        <f>ROUND(B11*0.6,2)</f>
        <v>46800</v>
      </c>
      <c r="D11" s="7" t="s">
        <v>167</v>
      </c>
      <c r="E11" s="26"/>
      <c r="F11" s="26"/>
      <c r="G11" s="26"/>
      <c r="H11" s="26"/>
      <c r="I11" s="26"/>
      <c r="J11" s="26"/>
      <c r="K11" s="55"/>
      <c r="L11" s="26"/>
      <c r="M11" s="26"/>
      <c r="N11" s="26"/>
      <c r="T11" s="26"/>
      <c r="U11" s="26"/>
      <c r="V11" s="26"/>
      <c r="W11" s="26"/>
      <c r="X11" s="26"/>
      <c r="Y11" s="26"/>
      <c r="Z11" s="26"/>
      <c r="AA11" s="26"/>
    </row>
    <row r="12" spans="1:36" s="2" customFormat="1" x14ac:dyDescent="0.25">
      <c r="A12" s="2" t="s">
        <v>8</v>
      </c>
      <c r="B12" s="35" t="s">
        <v>10</v>
      </c>
      <c r="C12" s="40"/>
      <c r="K12" s="11"/>
      <c r="T12" s="13" t="s">
        <v>115</v>
      </c>
      <c r="U12" s="57"/>
      <c r="V12" s="57"/>
      <c r="W12" s="58">
        <f>F23+F36</f>
        <v>54794.92</v>
      </c>
      <c r="X12" s="26" t="s">
        <v>119</v>
      </c>
      <c r="Y12" s="26"/>
      <c r="Z12" s="26"/>
      <c r="AA12" s="26"/>
      <c r="AB12"/>
    </row>
    <row r="13" spans="1:36" s="2" customFormat="1" x14ac:dyDescent="0.25">
      <c r="A13" s="2" t="s">
        <v>6</v>
      </c>
      <c r="B13" s="25">
        <f>187.78*12</f>
        <v>2253.36</v>
      </c>
      <c r="C13" s="40"/>
      <c r="T13" s="14" t="s">
        <v>111</v>
      </c>
      <c r="U13" s="26"/>
      <c r="V13" s="26"/>
      <c r="W13" s="15">
        <f>W12*0.5</f>
        <v>27397.46</v>
      </c>
      <c r="X13" s="26" t="s">
        <v>169</v>
      </c>
      <c r="Y13" s="26"/>
      <c r="Z13" s="26"/>
      <c r="AA13" s="26"/>
      <c r="AB13"/>
      <c r="AC13"/>
      <c r="AD13"/>
      <c r="AE13"/>
      <c r="AF13"/>
      <c r="AG13"/>
    </row>
    <row r="14" spans="1:36" s="2" customFormat="1" x14ac:dyDescent="0.25">
      <c r="A14" s="2" t="s">
        <v>7</v>
      </c>
      <c r="B14" s="25">
        <f>79.31*12</f>
        <v>951.72</v>
      </c>
      <c r="C14" s="40"/>
      <c r="K14" s="12"/>
      <c r="T14" s="14" t="s">
        <v>172</v>
      </c>
      <c r="U14" s="26"/>
      <c r="V14" s="26"/>
      <c r="W14" s="61">
        <f>0.2*W13</f>
        <v>5479.4920000000002</v>
      </c>
      <c r="X14" s="26" t="s">
        <v>174</v>
      </c>
      <c r="Y14" s="26"/>
      <c r="Z14" s="26"/>
      <c r="AA14" s="26"/>
      <c r="AB14"/>
      <c r="AC14"/>
      <c r="AD14"/>
      <c r="AE14"/>
      <c r="AF14"/>
      <c r="AG14"/>
      <c r="AH14"/>
      <c r="AI14"/>
      <c r="AJ14"/>
    </row>
    <row r="15" spans="1:36" s="2" customFormat="1" x14ac:dyDescent="0.25">
      <c r="A15" s="2" t="s">
        <v>83</v>
      </c>
      <c r="B15" s="35">
        <v>0</v>
      </c>
      <c r="C15" s="40"/>
      <c r="T15" s="14" t="s">
        <v>171</v>
      </c>
      <c r="U15" s="26"/>
      <c r="V15" s="26"/>
      <c r="W15" s="61">
        <f>W14/6*2</f>
        <v>1826.4973333333335</v>
      </c>
      <c r="X15" s="26"/>
      <c r="Y15" s="26"/>
      <c r="Z15" s="26"/>
      <c r="AA15" s="26"/>
      <c r="AB15"/>
      <c r="AC15"/>
      <c r="AD15"/>
      <c r="AE15"/>
      <c r="AF15"/>
      <c r="AG15"/>
      <c r="AH15"/>
    </row>
    <row r="16" spans="1:36" s="2" customFormat="1" x14ac:dyDescent="0.25">
      <c r="A16" s="42" t="s">
        <v>9</v>
      </c>
      <c r="B16" s="40" t="s">
        <v>10</v>
      </c>
      <c r="C16" s="40"/>
      <c r="T16" s="14" t="s">
        <v>170</v>
      </c>
      <c r="U16" s="26"/>
      <c r="V16" s="26"/>
      <c r="W16" s="61">
        <f>0.27*W13</f>
        <v>7397.3141999999998</v>
      </c>
      <c r="X16" s="26" t="s">
        <v>175</v>
      </c>
      <c r="Y16" s="26"/>
      <c r="Z16" s="26"/>
      <c r="AA16" s="26"/>
      <c r="AB16"/>
      <c r="AC16"/>
      <c r="AD16"/>
      <c r="AE16"/>
      <c r="AF16"/>
      <c r="AG16"/>
      <c r="AH16"/>
    </row>
    <row r="17" spans="1:36" s="2" customFormat="1" x14ac:dyDescent="0.25">
      <c r="A17" s="42" t="s">
        <v>88</v>
      </c>
      <c r="B17" s="40" t="s">
        <v>10</v>
      </c>
      <c r="C17" s="40"/>
      <c r="T17" s="17" t="s">
        <v>173</v>
      </c>
      <c r="U17" s="52"/>
      <c r="V17" s="52"/>
      <c r="W17" s="59">
        <f>W16/6*3</f>
        <v>3698.6571000000004</v>
      </c>
      <c r="X17" s="26"/>
      <c r="Y17" s="26"/>
      <c r="Z17" s="26"/>
      <c r="AA17" s="26"/>
      <c r="AB17"/>
      <c r="AC17"/>
      <c r="AD17"/>
      <c r="AE17"/>
      <c r="AF17"/>
      <c r="AG17"/>
      <c r="AH17"/>
    </row>
    <row r="18" spans="1:36" s="2" customFormat="1" x14ac:dyDescent="0.25">
      <c r="A18" s="42" t="s">
        <v>12</v>
      </c>
      <c r="B18" s="77" t="s">
        <v>168</v>
      </c>
      <c r="C18" s="40"/>
      <c r="T18" s="26"/>
      <c r="U18" s="26"/>
      <c r="V18" s="26"/>
      <c r="W18" s="26"/>
      <c r="X18" s="26"/>
      <c r="Y18" s="26"/>
      <c r="Z18" s="26"/>
      <c r="AA18" s="26"/>
      <c r="AB18"/>
      <c r="AC18"/>
      <c r="AD18"/>
      <c r="AE18"/>
      <c r="AF18"/>
      <c r="AG18"/>
      <c r="AH18"/>
    </row>
    <row r="19" spans="1:36" x14ac:dyDescent="0.25">
      <c r="T19" s="13"/>
      <c r="U19" s="19">
        <v>1</v>
      </c>
      <c r="V19" s="19">
        <v>2</v>
      </c>
      <c r="W19" s="19">
        <v>3</v>
      </c>
      <c r="X19" s="19">
        <v>4</v>
      </c>
      <c r="Y19" s="19">
        <v>5</v>
      </c>
      <c r="Z19" s="19">
        <v>6</v>
      </c>
      <c r="AA19" s="19">
        <v>7</v>
      </c>
      <c r="AB19" s="19">
        <v>8</v>
      </c>
      <c r="AC19" s="19">
        <v>9</v>
      </c>
      <c r="AD19" s="19">
        <v>10</v>
      </c>
      <c r="AE19" s="19">
        <v>11</v>
      </c>
      <c r="AF19" s="19">
        <v>12</v>
      </c>
      <c r="AG19" s="20" t="s">
        <v>106</v>
      </c>
      <c r="AI19" s="2"/>
      <c r="AJ19" s="2"/>
    </row>
    <row r="20" spans="1:36" x14ac:dyDescent="0.25">
      <c r="B20" s="9" t="s">
        <v>129</v>
      </c>
      <c r="F20" s="36">
        <v>0</v>
      </c>
      <c r="G20" s="2">
        <v>12</v>
      </c>
      <c r="H20" s="2" t="s">
        <v>130</v>
      </c>
      <c r="T20" s="14" t="s">
        <v>176</v>
      </c>
      <c r="U20" s="5"/>
      <c r="V20" s="5"/>
      <c r="W20" s="5"/>
      <c r="X20" s="5"/>
      <c r="Y20" s="5"/>
      <c r="Z20" s="5"/>
      <c r="AA20" s="21">
        <f>$K$4</f>
        <v>40</v>
      </c>
      <c r="AB20" s="21">
        <f>$K$4</f>
        <v>40</v>
      </c>
      <c r="AC20" s="78"/>
      <c r="AD20" s="5"/>
      <c r="AE20" s="5"/>
      <c r="AF20" s="5"/>
      <c r="AG20" s="15">
        <f>SUM(U20:AF20)</f>
        <v>80</v>
      </c>
      <c r="AI20" s="2"/>
      <c r="AJ20" s="2"/>
    </row>
    <row r="21" spans="1:36" x14ac:dyDescent="0.25">
      <c r="B21" s="9" t="s">
        <v>13</v>
      </c>
      <c r="F21" s="36">
        <f>B3</f>
        <v>0</v>
      </c>
      <c r="T21" s="17" t="s">
        <v>177</v>
      </c>
      <c r="U21" s="18"/>
      <c r="V21" s="18"/>
      <c r="W21" s="18"/>
      <c r="X21" s="18"/>
      <c r="Y21" s="18"/>
      <c r="Z21" s="18"/>
      <c r="AA21" s="51"/>
      <c r="AB21" s="18"/>
      <c r="AC21" s="47">
        <f>$K$3+$K$4</f>
        <v>110</v>
      </c>
      <c r="AD21" s="47">
        <f t="shared" ref="AD21:AF21" si="1">$K$3+$K$4</f>
        <v>110</v>
      </c>
      <c r="AE21" s="47">
        <f t="shared" si="1"/>
        <v>110</v>
      </c>
      <c r="AF21" s="47">
        <f t="shared" si="1"/>
        <v>110</v>
      </c>
      <c r="AG21" s="23">
        <f>SUM(U21:AF21)</f>
        <v>440</v>
      </c>
      <c r="AI21" s="2"/>
      <c r="AJ21" s="2"/>
    </row>
    <row r="22" spans="1:36" x14ac:dyDescent="0.25">
      <c r="B22" s="9" t="s">
        <v>14</v>
      </c>
      <c r="F22" s="36">
        <f>B4+B5</f>
        <v>0</v>
      </c>
      <c r="T22" s="49" t="s">
        <v>154</v>
      </c>
      <c r="AA22">
        <f>$F$5</f>
        <v>23.57</v>
      </c>
      <c r="AB22">
        <f>$F$5</f>
        <v>23.57</v>
      </c>
      <c r="AC22">
        <f>$F$3+$F$5</f>
        <v>70.710000000000008</v>
      </c>
      <c r="AD22">
        <f t="shared" ref="AD22:AF22" si="2">$F$3+$F$5</f>
        <v>70.710000000000008</v>
      </c>
      <c r="AE22">
        <f t="shared" si="2"/>
        <v>70.710000000000008</v>
      </c>
      <c r="AF22">
        <f t="shared" si="2"/>
        <v>70.710000000000008</v>
      </c>
      <c r="AG22" s="50">
        <f>SUM(AA22:AF22)</f>
        <v>329.98</v>
      </c>
      <c r="AH22" t="s">
        <v>158</v>
      </c>
      <c r="AI22" s="2"/>
      <c r="AJ22" s="2"/>
    </row>
    <row r="23" spans="1:36" x14ac:dyDescent="0.25">
      <c r="B23" s="9" t="s">
        <v>15</v>
      </c>
      <c r="F23" s="6">
        <f>F21-F22</f>
        <v>0</v>
      </c>
      <c r="T23" s="17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23"/>
      <c r="AI23" s="2"/>
      <c r="AJ23" s="2"/>
    </row>
    <row r="24" spans="1:36" x14ac:dyDescent="0.25">
      <c r="C24" s="6"/>
    </row>
    <row r="25" spans="1:36" x14ac:dyDescent="0.25">
      <c r="B25" t="s">
        <v>16</v>
      </c>
      <c r="F25" s="6" t="s">
        <v>57</v>
      </c>
      <c r="G25" s="6" t="s">
        <v>58</v>
      </c>
      <c r="T25" s="52" t="s">
        <v>156</v>
      </c>
      <c r="U25" s="51">
        <f>AG22</f>
        <v>329.98</v>
      </c>
    </row>
    <row r="26" spans="1:36" x14ac:dyDescent="0.25">
      <c r="B26" s="6" t="s">
        <v>59</v>
      </c>
      <c r="D26" s="8"/>
      <c r="F26" s="36">
        <f>B11</f>
        <v>78000</v>
      </c>
      <c r="G26" s="36"/>
      <c r="P26" s="69"/>
      <c r="Q26" s="69"/>
      <c r="R26" s="69"/>
      <c r="S26" s="69"/>
      <c r="T26" t="s">
        <v>178</v>
      </c>
      <c r="U26" s="62">
        <f>AG20</f>
        <v>80</v>
      </c>
      <c r="V26" t="s">
        <v>161</v>
      </c>
      <c r="W26" s="24">
        <f>W15</f>
        <v>1826.4973333333335</v>
      </c>
      <c r="X26" t="s">
        <v>162</v>
      </c>
    </row>
    <row r="27" spans="1:36" x14ac:dyDescent="0.25">
      <c r="B27" s="6" t="s">
        <v>60</v>
      </c>
      <c r="D27" s="1"/>
      <c r="F27" s="6">
        <f>F26</f>
        <v>78000</v>
      </c>
      <c r="G27" s="36">
        <f>IF(ROUND(F27*0.6,2)&gt;20000,20000+F30,ROUND(F27*0.6,2)+F30)</f>
        <v>23205.08</v>
      </c>
      <c r="P27" s="69"/>
      <c r="Q27" s="69"/>
      <c r="R27" s="69"/>
      <c r="S27" s="69"/>
      <c r="T27" t="s">
        <v>163</v>
      </c>
      <c r="U27" s="53">
        <f>AG21</f>
        <v>440</v>
      </c>
      <c r="V27" t="s">
        <v>161</v>
      </c>
      <c r="W27" s="79">
        <f>W17</f>
        <v>3698.6571000000004</v>
      </c>
      <c r="X27" t="s">
        <v>162</v>
      </c>
    </row>
    <row r="28" spans="1:36" x14ac:dyDescent="0.25">
      <c r="C28" s="6"/>
      <c r="P28" s="69"/>
      <c r="Q28" s="69"/>
      <c r="R28" s="69"/>
      <c r="S28" s="69"/>
    </row>
    <row r="29" spans="1:36" x14ac:dyDescent="0.25">
      <c r="B29" t="s">
        <v>17</v>
      </c>
      <c r="C29" s="6"/>
      <c r="P29" s="69"/>
      <c r="Q29" s="69"/>
      <c r="R29" s="69"/>
      <c r="S29" s="69"/>
      <c r="T29" t="s">
        <v>110</v>
      </c>
      <c r="U29" s="64">
        <f>U26+U27</f>
        <v>520</v>
      </c>
      <c r="V29" s="63" t="s">
        <v>165</v>
      </c>
      <c r="W29">
        <f>U25</f>
        <v>329.98</v>
      </c>
    </row>
    <row r="30" spans="1:36" x14ac:dyDescent="0.25">
      <c r="F30" s="36">
        <f>B13+B14</f>
        <v>3205.08</v>
      </c>
      <c r="P30" s="69"/>
      <c r="Q30" s="69"/>
      <c r="R30" s="69"/>
      <c r="S30" s="69"/>
      <c r="T30" s="70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</row>
    <row r="31" spans="1:36" x14ac:dyDescent="0.25">
      <c r="C31" s="6"/>
      <c r="E31" s="29"/>
      <c r="P31" s="69"/>
      <c r="Q31" s="69"/>
      <c r="R31" s="69"/>
      <c r="S31" s="69"/>
      <c r="T31" s="69"/>
      <c r="U31" s="72"/>
      <c r="V31" s="69"/>
      <c r="W31" s="73"/>
      <c r="X31" s="69"/>
      <c r="Y31" s="69"/>
      <c r="Z31" s="69"/>
      <c r="AA31" s="69"/>
      <c r="AB31" s="69"/>
      <c r="AC31" s="69"/>
      <c r="AD31" s="69"/>
      <c r="AE31" s="69"/>
    </row>
    <row r="32" spans="1:36" x14ac:dyDescent="0.25">
      <c r="B32" s="9" t="s">
        <v>18</v>
      </c>
      <c r="E32" s="29"/>
      <c r="F32" s="6">
        <f>F27</f>
        <v>78000</v>
      </c>
      <c r="P32" s="69"/>
      <c r="Q32" s="69"/>
      <c r="R32" s="69"/>
      <c r="S32" s="69"/>
      <c r="T32" s="69"/>
      <c r="U32" s="73"/>
      <c r="V32" s="69"/>
      <c r="W32" s="73"/>
      <c r="X32" s="69"/>
      <c r="Y32" s="69"/>
      <c r="Z32" s="69"/>
      <c r="AA32" s="69"/>
      <c r="AB32" s="69"/>
      <c r="AC32" s="69"/>
      <c r="AD32" s="69"/>
      <c r="AE32" s="69"/>
    </row>
    <row r="33" spans="2:31" x14ac:dyDescent="0.25">
      <c r="B33" s="9" t="s">
        <v>19</v>
      </c>
      <c r="E33" s="29"/>
      <c r="F33" s="6">
        <f>G27</f>
        <v>23205.08</v>
      </c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</row>
    <row r="34" spans="2:31" x14ac:dyDescent="0.25">
      <c r="B34" s="9" t="s">
        <v>20</v>
      </c>
      <c r="D34" t="s">
        <v>26</v>
      </c>
      <c r="E34" s="29"/>
      <c r="F34" s="6">
        <f>F32-F33</f>
        <v>54794.92</v>
      </c>
      <c r="P34" s="69"/>
      <c r="Q34" s="69"/>
      <c r="R34" s="69"/>
      <c r="S34" s="69"/>
      <c r="T34" s="69"/>
      <c r="U34" s="74"/>
      <c r="V34" s="75"/>
      <c r="W34" s="69"/>
      <c r="X34" s="69"/>
      <c r="Y34" s="69"/>
      <c r="Z34" s="69"/>
      <c r="AA34" s="69"/>
      <c r="AB34" s="69"/>
      <c r="AC34" s="69"/>
      <c r="AD34" s="69"/>
      <c r="AE34" s="69"/>
    </row>
    <row r="35" spans="2:31" x14ac:dyDescent="0.25">
      <c r="B35" s="9" t="s">
        <v>22</v>
      </c>
      <c r="D35" t="s">
        <v>25</v>
      </c>
      <c r="E35" s="29"/>
      <c r="F35" s="6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</row>
    <row r="36" spans="2:31" x14ac:dyDescent="0.25">
      <c r="B36" s="9" t="s">
        <v>21</v>
      </c>
      <c r="D36" t="s">
        <v>27</v>
      </c>
      <c r="E36" s="29"/>
      <c r="F36" s="6">
        <f>F34</f>
        <v>54794.92</v>
      </c>
    </row>
    <row r="37" spans="2:31" x14ac:dyDescent="0.25">
      <c r="B37" s="9" t="s">
        <v>23</v>
      </c>
      <c r="D37" t="s">
        <v>28</v>
      </c>
      <c r="E37" s="29"/>
      <c r="F37" s="6"/>
    </row>
    <row r="38" spans="2:31" x14ac:dyDescent="0.25">
      <c r="B38" s="9" t="s">
        <v>24</v>
      </c>
      <c r="D38" t="s">
        <v>29</v>
      </c>
      <c r="E38" s="29"/>
      <c r="F38" s="6">
        <f>F36</f>
        <v>54794.92</v>
      </c>
    </row>
    <row r="39" spans="2:31" x14ac:dyDescent="0.25">
      <c r="B39" s="9" t="s">
        <v>31</v>
      </c>
      <c r="D39" t="s">
        <v>30</v>
      </c>
      <c r="E39" s="29"/>
      <c r="F39" s="6">
        <f>F38</f>
        <v>54794.92</v>
      </c>
    </row>
    <row r="40" spans="2:31" ht="30" x14ac:dyDescent="0.25">
      <c r="B40" s="9" t="s">
        <v>33</v>
      </c>
      <c r="D40" t="s">
        <v>44</v>
      </c>
      <c r="E40" s="29" t="s">
        <v>47</v>
      </c>
      <c r="F40" s="28"/>
    </row>
    <row r="41" spans="2:31" x14ac:dyDescent="0.25">
      <c r="B41" s="9" t="s">
        <v>32</v>
      </c>
      <c r="D41" t="s">
        <v>34</v>
      </c>
      <c r="E41" s="29"/>
      <c r="F41" s="6">
        <f>F23+F39</f>
        <v>54794.92</v>
      </c>
    </row>
    <row r="42" spans="2:31" x14ac:dyDescent="0.25">
      <c r="B42" s="9" t="s">
        <v>35</v>
      </c>
      <c r="E42" s="29"/>
      <c r="F42" s="5">
        <f>IF(F41&gt;20235.97,0,4579.26)</f>
        <v>0</v>
      </c>
    </row>
    <row r="43" spans="2:31" x14ac:dyDescent="0.25">
      <c r="B43" s="9" t="s">
        <v>179</v>
      </c>
      <c r="F43" s="5">
        <f>IF(F41&gt;38553.01,13825-(F41/4)-I11,4186.75)</f>
        <v>126.27000000000044</v>
      </c>
    </row>
    <row r="44" spans="2:31" x14ac:dyDescent="0.25">
      <c r="B44" s="9" t="s">
        <v>36</v>
      </c>
      <c r="D44" t="s">
        <v>37</v>
      </c>
      <c r="E44" s="29"/>
      <c r="F44" s="5">
        <f>F42+F43</f>
        <v>126.27000000000044</v>
      </c>
    </row>
    <row r="45" spans="2:31" x14ac:dyDescent="0.25">
      <c r="B45" s="9" t="s">
        <v>38</v>
      </c>
      <c r="D45" t="s">
        <v>39</v>
      </c>
      <c r="E45" s="29"/>
      <c r="F45" s="5">
        <f>IF(F23-F44&lt;0,0,F23-F44)</f>
        <v>0</v>
      </c>
    </row>
    <row r="46" spans="2:31" ht="30" x14ac:dyDescent="0.25">
      <c r="B46" s="9" t="s">
        <v>40</v>
      </c>
      <c r="D46" t="s">
        <v>41</v>
      </c>
      <c r="E46" s="29" t="s">
        <v>47</v>
      </c>
      <c r="F46" s="6">
        <f>F45</f>
        <v>0</v>
      </c>
    </row>
    <row r="47" spans="2:31" x14ac:dyDescent="0.25">
      <c r="B47" s="9" t="s">
        <v>118</v>
      </c>
      <c r="E47" s="29"/>
      <c r="F47" s="46">
        <f>0.19*F46</f>
        <v>0</v>
      </c>
    </row>
    <row r="48" spans="2:31" x14ac:dyDescent="0.25">
      <c r="E48" s="29"/>
      <c r="F48" s="9"/>
    </row>
    <row r="49" spans="1:7" ht="30" x14ac:dyDescent="0.25">
      <c r="B49" s="9" t="s">
        <v>42</v>
      </c>
      <c r="D49" t="s">
        <v>46</v>
      </c>
      <c r="E49" s="29" t="s">
        <v>45</v>
      </c>
      <c r="F49" s="6">
        <f>F47</f>
        <v>0</v>
      </c>
    </row>
    <row r="50" spans="1:7" x14ac:dyDescent="0.25">
      <c r="B50" s="9" t="s">
        <v>43</v>
      </c>
      <c r="D50" t="s">
        <v>48</v>
      </c>
      <c r="E50" s="29"/>
      <c r="F50" s="6">
        <f>IF(F45=0,F44-F23,0)</f>
        <v>126.27000000000044</v>
      </c>
    </row>
    <row r="51" spans="1:7" x14ac:dyDescent="0.25">
      <c r="B51" s="9" t="s">
        <v>49</v>
      </c>
      <c r="D51" t="s">
        <v>50</v>
      </c>
      <c r="E51" s="29"/>
      <c r="F51" s="5">
        <f>F39-F50</f>
        <v>54668.649999999994</v>
      </c>
    </row>
    <row r="52" spans="1:7" x14ac:dyDescent="0.25">
      <c r="B52" s="9" t="s">
        <v>51</v>
      </c>
      <c r="D52" t="s">
        <v>52</v>
      </c>
      <c r="E52" s="29"/>
      <c r="F52" s="6">
        <f>F51</f>
        <v>54668.649999999994</v>
      </c>
    </row>
    <row r="53" spans="1:7" x14ac:dyDescent="0.25">
      <c r="B53" s="9" t="s">
        <v>53</v>
      </c>
      <c r="E53" s="29"/>
      <c r="F53" s="36">
        <f>B11</f>
        <v>78000</v>
      </c>
    </row>
    <row r="54" spans="1:7" ht="75" x14ac:dyDescent="0.25">
      <c r="B54" s="9" t="s">
        <v>54</v>
      </c>
      <c r="D54" t="s">
        <v>180</v>
      </c>
      <c r="E54" s="29" t="s">
        <v>56</v>
      </c>
      <c r="F54" s="5">
        <f>ROUND(38553.01*0.19+(F52-38553.01)*0.25,2)</f>
        <v>11353.98</v>
      </c>
    </row>
    <row r="55" spans="1:7" x14ac:dyDescent="0.25">
      <c r="B55" s="9" t="s">
        <v>61</v>
      </c>
      <c r="D55" t="s">
        <v>62</v>
      </c>
      <c r="E55" s="29"/>
      <c r="F55" s="6">
        <f>F54</f>
        <v>11353.98</v>
      </c>
    </row>
    <row r="56" spans="1:7" ht="30" x14ac:dyDescent="0.25">
      <c r="B56" s="54" t="s">
        <v>63</v>
      </c>
      <c r="C56" s="54"/>
      <c r="D56" s="7" t="s">
        <v>64</v>
      </c>
      <c r="E56" s="30" t="s">
        <v>45</v>
      </c>
      <c r="F56" s="6">
        <v>0</v>
      </c>
    </row>
    <row r="57" spans="1:7" ht="30" x14ac:dyDescent="0.25">
      <c r="B57" s="9" t="s">
        <v>65</v>
      </c>
      <c r="D57" t="s">
        <v>67</v>
      </c>
      <c r="E57" s="29" t="s">
        <v>45</v>
      </c>
      <c r="F57" s="6">
        <v>0</v>
      </c>
    </row>
    <row r="58" spans="1:7" s="7" customFormat="1" x14ac:dyDescent="0.25">
      <c r="A58"/>
      <c r="B58" s="9" t="s">
        <v>66</v>
      </c>
      <c r="C58" s="9"/>
      <c r="D58" t="s">
        <v>68</v>
      </c>
      <c r="E58" s="29"/>
      <c r="F58" s="6">
        <f>F49+F55+F57</f>
        <v>11353.98</v>
      </c>
      <c r="G58"/>
    </row>
    <row r="59" spans="1:7" x14ac:dyDescent="0.25">
      <c r="A59" s="65" t="s">
        <v>90</v>
      </c>
      <c r="B59" s="65" t="s">
        <v>69</v>
      </c>
      <c r="C59" s="54"/>
      <c r="D59" s="7"/>
      <c r="E59" s="30"/>
      <c r="F59" s="5">
        <f>F60+F61</f>
        <v>661.42</v>
      </c>
      <c r="G59" s="7"/>
    </row>
    <row r="60" spans="1:7" x14ac:dyDescent="0.25">
      <c r="B60" s="9" t="s">
        <v>91</v>
      </c>
      <c r="E60" s="29"/>
      <c r="F60" s="36">
        <f>AG6</f>
        <v>141.41999999999999</v>
      </c>
    </row>
    <row r="61" spans="1:7" x14ac:dyDescent="0.25">
      <c r="B61" s="9" t="s">
        <v>92</v>
      </c>
      <c r="E61" s="29"/>
      <c r="F61" s="36">
        <f>U29</f>
        <v>520</v>
      </c>
    </row>
    <row r="62" spans="1:7" ht="30" x14ac:dyDescent="0.25">
      <c r="B62" s="9" t="s">
        <v>70</v>
      </c>
      <c r="D62" t="s">
        <v>71</v>
      </c>
      <c r="E62" s="29" t="s">
        <v>116</v>
      </c>
      <c r="F62" s="6">
        <f>IF(F59&gt;F58,0,F58-F59)</f>
        <v>10692.56</v>
      </c>
    </row>
    <row r="63" spans="1:7" x14ac:dyDescent="0.25">
      <c r="B63" s="9" t="s">
        <v>72</v>
      </c>
      <c r="E63" s="29"/>
      <c r="F63" s="36">
        <f>AG9+AG10</f>
        <v>0</v>
      </c>
    </row>
    <row r="64" spans="1:7" x14ac:dyDescent="0.25">
      <c r="B64" s="9" t="s">
        <v>73</v>
      </c>
      <c r="D64" t="s">
        <v>74</v>
      </c>
      <c r="E64" s="29"/>
      <c r="F64" s="44">
        <f>IF(F59&gt;F63,F59-F63,0)</f>
        <v>661.42</v>
      </c>
    </row>
    <row r="65" spans="2:8" x14ac:dyDescent="0.25">
      <c r="B65" s="9" t="s">
        <v>75</v>
      </c>
      <c r="D65" t="s">
        <v>78</v>
      </c>
      <c r="E65" s="29"/>
      <c r="F65" s="6">
        <f>IF(F64&gt;F58,F64-F58,0)</f>
        <v>0</v>
      </c>
    </row>
    <row r="66" spans="2:8" x14ac:dyDescent="0.25">
      <c r="B66" s="9" t="s">
        <v>76</v>
      </c>
      <c r="D66" t="s">
        <v>79</v>
      </c>
      <c r="E66" s="29"/>
      <c r="F66" s="6">
        <f>IF(F63&gt;F59,F63-F59,0)</f>
        <v>0</v>
      </c>
    </row>
    <row r="67" spans="2:8" x14ac:dyDescent="0.25">
      <c r="B67" s="9" t="s">
        <v>77</v>
      </c>
      <c r="D67" t="s">
        <v>80</v>
      </c>
      <c r="E67" s="29"/>
      <c r="F67" s="6">
        <f>F62</f>
        <v>10692.56</v>
      </c>
    </row>
    <row r="68" spans="2:8" x14ac:dyDescent="0.25">
      <c r="B68" s="9" t="s">
        <v>81</v>
      </c>
      <c r="E68" s="29"/>
      <c r="F68" s="36">
        <f>B10</f>
        <v>0</v>
      </c>
    </row>
    <row r="69" spans="2:8" x14ac:dyDescent="0.25">
      <c r="B69" s="9" t="s">
        <v>82</v>
      </c>
      <c r="E69" s="29"/>
    </row>
    <row r="70" spans="2:8" x14ac:dyDescent="0.25">
      <c r="B70" s="9" t="s">
        <v>84</v>
      </c>
      <c r="D70" t="s">
        <v>87</v>
      </c>
      <c r="F70" s="5">
        <f>F58-F59+F63+F65-F68</f>
        <v>10692.56</v>
      </c>
    </row>
    <row r="71" spans="2:8" x14ac:dyDescent="0.25">
      <c r="B71" s="9" t="s">
        <v>85</v>
      </c>
      <c r="D71" t="s">
        <v>86</v>
      </c>
    </row>
    <row r="72" spans="2:8" x14ac:dyDescent="0.25">
      <c r="C72" s="6"/>
    </row>
    <row r="73" spans="2:8" x14ac:dyDescent="0.25">
      <c r="H73" s="27"/>
    </row>
    <row r="74" spans="2:8" x14ac:dyDescent="0.25">
      <c r="D74" s="26" t="s">
        <v>121</v>
      </c>
      <c r="E74" s="26" t="s">
        <v>122</v>
      </c>
      <c r="F74" s="5">
        <f>SUM(F75:F76)</f>
        <v>0</v>
      </c>
      <c r="G74" s="27"/>
      <c r="H74" s="2"/>
    </row>
    <row r="75" spans="2:8" x14ac:dyDescent="0.25">
      <c r="D75" s="26"/>
      <c r="E75" s="26" t="s">
        <v>123</v>
      </c>
      <c r="F75" s="3">
        <f>B4</f>
        <v>0</v>
      </c>
      <c r="G75" s="27"/>
      <c r="H75" s="2"/>
    </row>
    <row r="76" spans="2:8" x14ac:dyDescent="0.25">
      <c r="D76" s="26"/>
      <c r="E76" s="26" t="s">
        <v>124</v>
      </c>
      <c r="F76" s="3">
        <f>B5</f>
        <v>0</v>
      </c>
      <c r="G76" s="27"/>
      <c r="H76" s="2"/>
    </row>
    <row r="77" spans="2:8" x14ac:dyDescent="0.25">
      <c r="D77" s="26"/>
      <c r="E77" s="26" t="s">
        <v>125</v>
      </c>
      <c r="F77" s="3">
        <f>B13</f>
        <v>2253.36</v>
      </c>
      <c r="G77" s="27"/>
      <c r="H77" s="2"/>
    </row>
    <row r="78" spans="2:8" x14ac:dyDescent="0.25">
      <c r="D78" s="26"/>
      <c r="E78" s="26" t="s">
        <v>126</v>
      </c>
      <c r="F78" s="3">
        <v>0</v>
      </c>
      <c r="G78" s="27"/>
      <c r="H78" s="2"/>
    </row>
    <row r="79" spans="2:8" x14ac:dyDescent="0.25">
      <c r="D79" s="26"/>
      <c r="E79" s="26" t="s">
        <v>127</v>
      </c>
      <c r="F79" s="3">
        <f>B14</f>
        <v>951.72</v>
      </c>
      <c r="G79" s="27"/>
    </row>
    <row r="80" spans="2:8" x14ac:dyDescent="0.25">
      <c r="D80" s="26"/>
      <c r="E80" s="26" t="s">
        <v>128</v>
      </c>
      <c r="F80" s="3">
        <f>F79</f>
        <v>951.72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AB8FD-5A2F-47FF-8F29-015EEE2B53FD}">
  <sheetPr>
    <tabColor rgb="FFFFFF00"/>
  </sheetPr>
  <dimension ref="A1:AJ80"/>
  <sheetViews>
    <sheetView showGridLines="0" zoomScale="90" zoomScaleNormal="90" workbookViewId="0">
      <selection activeCell="E92" sqref="E92"/>
    </sheetView>
  </sheetViews>
  <sheetFormatPr defaultRowHeight="15" x14ac:dyDescent="0.25"/>
  <cols>
    <col min="1" max="1" width="31.42578125" customWidth="1"/>
    <col min="2" max="2" width="11" style="9" customWidth="1"/>
    <col min="3" max="3" width="11.85546875" style="9" customWidth="1"/>
    <col min="4" max="4" width="49" bestFit="1" customWidth="1"/>
    <col min="5" max="5" width="42.5703125" customWidth="1"/>
    <col min="6" max="6" width="12.42578125" customWidth="1"/>
    <col min="7" max="7" width="10.42578125" customWidth="1"/>
    <col min="13" max="13" width="13" customWidth="1"/>
    <col min="17" max="19" width="0" hidden="1" customWidth="1"/>
    <col min="20" max="20" width="37.42578125" customWidth="1"/>
    <col min="21" max="21" width="9.42578125" bestFit="1" customWidth="1"/>
    <col min="22" max="22" width="10.85546875" bestFit="1" customWidth="1"/>
    <col min="23" max="23" width="9.85546875" bestFit="1" customWidth="1"/>
    <col min="33" max="33" width="11.85546875" customWidth="1"/>
  </cols>
  <sheetData>
    <row r="1" spans="1:36" x14ac:dyDescent="0.25">
      <c r="A1" s="31" t="s">
        <v>141</v>
      </c>
      <c r="T1" s="31" t="s">
        <v>144</v>
      </c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</row>
    <row r="2" spans="1:36" s="2" customFormat="1" x14ac:dyDescent="0.25">
      <c r="A2" s="33" t="s">
        <v>0</v>
      </c>
      <c r="B2" s="34" t="s">
        <v>114</v>
      </c>
      <c r="C2" s="34" t="s">
        <v>113</v>
      </c>
      <c r="E2" s="4" t="s">
        <v>89</v>
      </c>
      <c r="F2"/>
      <c r="G2"/>
      <c r="H2" s="4" t="s">
        <v>96</v>
      </c>
      <c r="I2"/>
      <c r="J2"/>
      <c r="K2"/>
      <c r="L2"/>
      <c r="M2" s="4" t="s">
        <v>97</v>
      </c>
      <c r="N2"/>
    </row>
    <row r="3" spans="1:36" s="2" customFormat="1" x14ac:dyDescent="0.25">
      <c r="A3" s="2" t="s">
        <v>1</v>
      </c>
      <c r="B3" s="35">
        <f>C3*12</f>
        <v>0</v>
      </c>
      <c r="C3" s="36">
        <v>0</v>
      </c>
      <c r="E3" s="26" t="s">
        <v>93</v>
      </c>
      <c r="F3" s="26">
        <v>47.14</v>
      </c>
      <c r="G3" s="26"/>
      <c r="H3" s="26" t="s">
        <v>105</v>
      </c>
      <c r="I3" s="26"/>
      <c r="J3" s="26"/>
      <c r="K3" s="55">
        <v>70</v>
      </c>
      <c r="L3" s="26"/>
      <c r="M3" s="26" t="s">
        <v>98</v>
      </c>
      <c r="N3" s="56">
        <v>0.2</v>
      </c>
      <c r="T3" s="2" t="s">
        <v>145</v>
      </c>
      <c r="V3" s="3">
        <f>B11</f>
        <v>34800</v>
      </c>
      <c r="W3" s="2" t="s">
        <v>146</v>
      </c>
      <c r="AH3"/>
    </row>
    <row r="4" spans="1:36" s="2" customFormat="1" x14ac:dyDescent="0.25">
      <c r="A4" s="2" t="s">
        <v>2</v>
      </c>
      <c r="B4" s="36">
        <f>C4*12</f>
        <v>0</v>
      </c>
      <c r="C4" s="37">
        <f>0.094*C3</f>
        <v>0</v>
      </c>
      <c r="E4" s="26" t="s">
        <v>104</v>
      </c>
      <c r="F4" s="55">
        <v>43.6</v>
      </c>
      <c r="G4" s="26"/>
      <c r="H4" s="26" t="s">
        <v>94</v>
      </c>
      <c r="I4" s="26"/>
      <c r="J4" s="26"/>
      <c r="K4" s="55">
        <v>40</v>
      </c>
      <c r="L4" s="26"/>
      <c r="M4" s="26" t="s">
        <v>99</v>
      </c>
      <c r="N4" s="56">
        <v>0.27</v>
      </c>
    </row>
    <row r="5" spans="1:36" s="2" customFormat="1" x14ac:dyDescent="0.25">
      <c r="A5" s="2" t="s">
        <v>3</v>
      </c>
      <c r="B5" s="36">
        <f>C5*12</f>
        <v>0</v>
      </c>
      <c r="C5" s="37">
        <f>0.04*C3</f>
        <v>0</v>
      </c>
      <c r="E5" s="26" t="s">
        <v>94</v>
      </c>
      <c r="F5" s="26">
        <v>23.57</v>
      </c>
      <c r="G5" s="26"/>
      <c r="H5" s="26"/>
      <c r="I5" s="26"/>
      <c r="J5" s="26"/>
      <c r="K5" s="26"/>
      <c r="L5" s="26"/>
      <c r="M5" s="26" t="s">
        <v>100</v>
      </c>
      <c r="N5" s="56">
        <v>0.34</v>
      </c>
      <c r="T5" s="13"/>
      <c r="U5" s="19">
        <v>1</v>
      </c>
      <c r="V5" s="19">
        <v>2</v>
      </c>
      <c r="W5" s="19">
        <v>3</v>
      </c>
      <c r="X5" s="19">
        <v>4</v>
      </c>
      <c r="Y5" s="19">
        <v>5</v>
      </c>
      <c r="Z5" s="19">
        <v>6</v>
      </c>
      <c r="AA5" s="19">
        <v>7</v>
      </c>
      <c r="AB5" s="19">
        <v>8</v>
      </c>
      <c r="AC5" s="19">
        <v>9</v>
      </c>
      <c r="AD5" s="19">
        <v>10</v>
      </c>
      <c r="AE5" s="19">
        <v>11</v>
      </c>
      <c r="AF5" s="19">
        <v>12</v>
      </c>
      <c r="AG5" s="20" t="s">
        <v>106</v>
      </c>
    </row>
    <row r="6" spans="1:36" s="2" customFormat="1" x14ac:dyDescent="0.25">
      <c r="A6" s="33"/>
      <c r="B6" s="38"/>
      <c r="C6" s="39">
        <v>0</v>
      </c>
      <c r="D6" s="2" t="s">
        <v>134</v>
      </c>
      <c r="E6" s="26"/>
      <c r="F6" s="26"/>
      <c r="G6" s="26"/>
      <c r="H6" s="26"/>
      <c r="I6" s="26"/>
      <c r="J6" s="26"/>
      <c r="K6" s="26"/>
      <c r="L6" s="26"/>
      <c r="M6" s="26" t="s">
        <v>101</v>
      </c>
      <c r="N6" s="56">
        <v>0.41</v>
      </c>
      <c r="T6" s="17" t="s">
        <v>109</v>
      </c>
      <c r="U6" s="47">
        <f>4*$F$4</f>
        <v>174.4</v>
      </c>
      <c r="V6" s="47">
        <f t="shared" ref="V6:Z6" si="0">4*$F$4</f>
        <v>174.4</v>
      </c>
      <c r="W6" s="47">
        <f t="shared" si="0"/>
        <v>174.4</v>
      </c>
      <c r="X6" s="47">
        <f t="shared" si="0"/>
        <v>174.4</v>
      </c>
      <c r="Y6" s="47">
        <f t="shared" si="0"/>
        <v>174.4</v>
      </c>
      <c r="Z6" s="47">
        <f t="shared" si="0"/>
        <v>174.4</v>
      </c>
      <c r="AA6" s="18"/>
      <c r="AB6" s="18"/>
      <c r="AC6" s="18"/>
      <c r="AD6" s="18"/>
      <c r="AE6" s="18"/>
      <c r="AF6" s="18"/>
      <c r="AG6" s="48">
        <f>SUM(U6:AF6)</f>
        <v>1046.4000000000001</v>
      </c>
    </row>
    <row r="7" spans="1:36" x14ac:dyDescent="0.25">
      <c r="A7" s="2"/>
      <c r="B7" s="36">
        <f>B3-B4-B5</f>
        <v>0</v>
      </c>
      <c r="C7" s="37">
        <f>C3-C4-C5-C6</f>
        <v>0</v>
      </c>
      <c r="D7" s="2" t="s">
        <v>135</v>
      </c>
      <c r="E7" s="26"/>
      <c r="F7" s="26"/>
      <c r="G7" s="26"/>
      <c r="H7" s="26"/>
      <c r="I7" s="26"/>
      <c r="J7" s="26"/>
      <c r="K7" s="26"/>
      <c r="L7" s="26"/>
      <c r="M7" s="26" t="s">
        <v>102</v>
      </c>
      <c r="N7" s="56">
        <v>0.48</v>
      </c>
      <c r="T7" s="26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6" x14ac:dyDescent="0.25">
      <c r="A8" s="2"/>
      <c r="C8" s="37">
        <f>ROUND(0.19*C7,2)</f>
        <v>0</v>
      </c>
      <c r="D8" s="2" t="s">
        <v>136</v>
      </c>
      <c r="E8" s="26"/>
      <c r="F8" s="26"/>
      <c r="G8" s="26"/>
      <c r="H8" s="26"/>
      <c r="I8" s="26"/>
      <c r="J8" s="26"/>
      <c r="K8" s="26"/>
      <c r="L8" s="26"/>
      <c r="M8" s="26"/>
      <c r="N8" s="56"/>
      <c r="T8" s="26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6" x14ac:dyDescent="0.25">
      <c r="A9" s="2"/>
      <c r="C9" s="37"/>
      <c r="E9" s="26"/>
      <c r="F9" s="26"/>
      <c r="G9" s="26"/>
      <c r="H9" s="26"/>
      <c r="I9" s="26"/>
      <c r="J9" s="26"/>
      <c r="K9" s="26"/>
      <c r="L9" s="26"/>
      <c r="M9" s="26"/>
      <c r="N9" s="56"/>
      <c r="T9" s="31" t="s">
        <v>147</v>
      </c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2"/>
    </row>
    <row r="10" spans="1:36" s="2" customFormat="1" x14ac:dyDescent="0.25">
      <c r="A10" s="2" t="s">
        <v>4</v>
      </c>
      <c r="B10" s="35">
        <f>12*C8</f>
        <v>0</v>
      </c>
      <c r="C10" s="40"/>
      <c r="E10" s="26"/>
      <c r="F10" s="5"/>
      <c r="G10" s="26"/>
      <c r="H10" s="26"/>
      <c r="I10" s="26"/>
      <c r="J10" s="26"/>
      <c r="K10" s="55"/>
      <c r="L10" s="26"/>
      <c r="M10" s="26" t="s">
        <v>103</v>
      </c>
      <c r="N10" s="56">
        <v>0.55000000000000004</v>
      </c>
    </row>
    <row r="11" spans="1:36" s="2" customFormat="1" x14ac:dyDescent="0.25">
      <c r="A11" s="2" t="s">
        <v>5</v>
      </c>
      <c r="B11" s="35">
        <v>34800</v>
      </c>
      <c r="C11" s="36">
        <f>ROUND(B11*0.6,2)</f>
        <v>20880</v>
      </c>
      <c r="D11" s="7" t="s">
        <v>167</v>
      </c>
      <c r="E11" s="26"/>
      <c r="F11" s="26"/>
      <c r="G11" s="26"/>
      <c r="H11" s="26"/>
      <c r="I11" s="26"/>
      <c r="J11" s="26"/>
      <c r="K11" s="55"/>
      <c r="L11" s="26"/>
      <c r="M11" s="26"/>
      <c r="N11" s="26"/>
      <c r="T11" s="26"/>
      <c r="U11" s="26"/>
      <c r="V11" s="26"/>
      <c r="W11" s="26"/>
      <c r="X11" s="26"/>
      <c r="Y11" s="26"/>
      <c r="Z11" s="26"/>
      <c r="AA11" s="26"/>
    </row>
    <row r="12" spans="1:36" s="2" customFormat="1" x14ac:dyDescent="0.25">
      <c r="A12" s="2" t="s">
        <v>8</v>
      </c>
      <c r="B12" s="35" t="s">
        <v>10</v>
      </c>
      <c r="C12" s="40"/>
      <c r="K12" s="11"/>
      <c r="T12" s="13" t="s">
        <v>115</v>
      </c>
      <c r="U12" s="57"/>
      <c r="V12" s="57"/>
      <c r="W12" s="58">
        <f>F23+F36</f>
        <v>11594.919999999998</v>
      </c>
      <c r="X12" s="26" t="s">
        <v>119</v>
      </c>
      <c r="Y12" s="26"/>
      <c r="Z12" s="26"/>
      <c r="AA12" s="26"/>
      <c r="AB12"/>
    </row>
    <row r="13" spans="1:36" s="2" customFormat="1" x14ac:dyDescent="0.25">
      <c r="A13" s="2" t="s">
        <v>6</v>
      </c>
      <c r="B13" s="25">
        <f>187.78*12</f>
        <v>2253.36</v>
      </c>
      <c r="C13" s="40"/>
      <c r="T13" s="14" t="s">
        <v>111</v>
      </c>
      <c r="U13" s="67"/>
      <c r="V13" s="67"/>
      <c r="W13" s="15">
        <f>W12*0.5</f>
        <v>5797.4599999999991</v>
      </c>
      <c r="X13" s="26" t="s">
        <v>169</v>
      </c>
      <c r="Y13" s="26"/>
      <c r="Z13" s="26"/>
      <c r="AA13" s="26"/>
      <c r="AB13"/>
      <c r="AC13"/>
      <c r="AD13"/>
      <c r="AE13"/>
      <c r="AF13"/>
      <c r="AG13"/>
    </row>
    <row r="14" spans="1:36" s="2" customFormat="1" x14ac:dyDescent="0.25">
      <c r="A14" s="2" t="s">
        <v>7</v>
      </c>
      <c r="B14" s="25">
        <f>79.31*12</f>
        <v>951.72</v>
      </c>
      <c r="C14" s="40"/>
      <c r="K14" s="12"/>
      <c r="T14" s="17" t="s">
        <v>181</v>
      </c>
      <c r="U14" s="52"/>
      <c r="V14" s="52"/>
      <c r="W14" s="59">
        <f>0.41*W13</f>
        <v>2376.9585999999995</v>
      </c>
      <c r="X14" s="26"/>
      <c r="Y14" s="26"/>
      <c r="Z14" s="26"/>
      <c r="AA14" s="26"/>
      <c r="AB14"/>
      <c r="AC14"/>
      <c r="AD14"/>
      <c r="AE14"/>
      <c r="AF14"/>
      <c r="AG14"/>
      <c r="AH14"/>
      <c r="AI14"/>
      <c r="AJ14"/>
    </row>
    <row r="15" spans="1:36" s="2" customFormat="1" x14ac:dyDescent="0.25">
      <c r="A15" s="2" t="s">
        <v>83</v>
      </c>
      <c r="B15" s="35">
        <v>0</v>
      </c>
      <c r="C15" s="40"/>
      <c r="T15" s="67"/>
      <c r="U15" s="67"/>
      <c r="V15" s="67"/>
      <c r="W15" s="80"/>
      <c r="X15" s="26"/>
      <c r="Y15" s="26"/>
      <c r="Z15" s="26"/>
      <c r="AA15" s="26"/>
      <c r="AB15"/>
      <c r="AC15"/>
      <c r="AD15"/>
      <c r="AE15"/>
      <c r="AF15"/>
      <c r="AG15"/>
      <c r="AH15"/>
    </row>
    <row r="16" spans="1:36" s="2" customFormat="1" x14ac:dyDescent="0.25">
      <c r="T16" s="67"/>
      <c r="U16" s="67"/>
      <c r="V16" s="67"/>
      <c r="W16" s="80"/>
      <c r="X16" s="67"/>
      <c r="Y16" s="26"/>
      <c r="Z16" s="26"/>
      <c r="AA16" s="26"/>
      <c r="AB16"/>
      <c r="AC16"/>
      <c r="AD16"/>
      <c r="AE16"/>
      <c r="AF16"/>
      <c r="AG16"/>
      <c r="AH16"/>
    </row>
    <row r="17" spans="1:36" s="2" customFormat="1" x14ac:dyDescent="0.25">
      <c r="A17" s="42" t="s">
        <v>9</v>
      </c>
      <c r="B17" s="40" t="s">
        <v>10</v>
      </c>
      <c r="C17" s="40"/>
      <c r="T17" s="67"/>
      <c r="U17" s="67"/>
      <c r="V17" s="67"/>
      <c r="W17" s="80"/>
      <c r="X17" s="67"/>
      <c r="Y17" s="26"/>
      <c r="Z17" s="26"/>
      <c r="AA17" s="26"/>
      <c r="AB17"/>
      <c r="AC17"/>
      <c r="AD17"/>
      <c r="AE17"/>
      <c r="AF17"/>
      <c r="AG17"/>
      <c r="AH17"/>
    </row>
    <row r="18" spans="1:36" s="2" customFormat="1" x14ac:dyDescent="0.25">
      <c r="A18" s="42" t="s">
        <v>88</v>
      </c>
      <c r="B18" s="40" t="s">
        <v>11</v>
      </c>
      <c r="C18" s="40"/>
      <c r="T18" s="26"/>
      <c r="U18" s="26"/>
      <c r="V18" s="26"/>
      <c r="W18" s="26"/>
      <c r="X18" s="26"/>
      <c r="Y18" s="26"/>
      <c r="Z18" s="26"/>
      <c r="AA18" s="26"/>
      <c r="AB18"/>
      <c r="AC18"/>
      <c r="AD18"/>
      <c r="AE18"/>
      <c r="AF18"/>
      <c r="AG18"/>
      <c r="AH18"/>
    </row>
    <row r="19" spans="1:36" x14ac:dyDescent="0.25">
      <c r="A19" s="42" t="s">
        <v>12</v>
      </c>
      <c r="B19" s="77" t="s">
        <v>131</v>
      </c>
      <c r="C19" s="40"/>
      <c r="D19" s="2"/>
      <c r="T19" s="13"/>
      <c r="U19" s="19">
        <v>1</v>
      </c>
      <c r="V19" s="19">
        <v>2</v>
      </c>
      <c r="W19" s="19">
        <v>3</v>
      </c>
      <c r="X19" s="19">
        <v>4</v>
      </c>
      <c r="Y19" s="19">
        <v>5</v>
      </c>
      <c r="Z19" s="19">
        <v>6</v>
      </c>
      <c r="AA19" s="19">
        <v>7</v>
      </c>
      <c r="AB19" s="19">
        <v>8</v>
      </c>
      <c r="AC19" s="19">
        <v>9</v>
      </c>
      <c r="AD19" s="19">
        <v>10</v>
      </c>
      <c r="AE19" s="19">
        <v>11</v>
      </c>
      <c r="AF19" s="19">
        <v>12</v>
      </c>
      <c r="AG19" s="20" t="s">
        <v>106</v>
      </c>
      <c r="AI19" s="2"/>
      <c r="AJ19" s="2"/>
    </row>
    <row r="20" spans="1:36" x14ac:dyDescent="0.25">
      <c r="F20" s="36"/>
      <c r="G20" s="2"/>
      <c r="H20" s="2"/>
      <c r="T20" s="14" t="s">
        <v>182</v>
      </c>
      <c r="U20" s="5"/>
      <c r="V20" s="5"/>
      <c r="W20" s="5"/>
      <c r="X20" s="5"/>
      <c r="Y20" s="5"/>
      <c r="Z20" s="5"/>
      <c r="AA20" s="21">
        <f>4*$K$3</f>
        <v>280</v>
      </c>
      <c r="AB20" s="21">
        <f t="shared" ref="AB20:AF20" si="1">4*$K$3</f>
        <v>280</v>
      </c>
      <c r="AC20" s="21">
        <f t="shared" si="1"/>
        <v>280</v>
      </c>
      <c r="AD20" s="21">
        <f t="shared" si="1"/>
        <v>280</v>
      </c>
      <c r="AE20" s="21">
        <f t="shared" si="1"/>
        <v>280</v>
      </c>
      <c r="AF20" s="21">
        <f t="shared" si="1"/>
        <v>280</v>
      </c>
      <c r="AG20" s="15">
        <f>SUM(U20:AF20)</f>
        <v>1680</v>
      </c>
      <c r="AI20" s="2"/>
      <c r="AJ20" s="2"/>
    </row>
    <row r="21" spans="1:36" x14ac:dyDescent="0.25">
      <c r="B21" s="9" t="s">
        <v>13</v>
      </c>
      <c r="F21" s="36">
        <f>B3</f>
        <v>0</v>
      </c>
      <c r="T21" s="17"/>
      <c r="U21" s="18"/>
      <c r="V21" s="18"/>
      <c r="W21" s="18"/>
      <c r="X21" s="18"/>
      <c r="Y21" s="18"/>
      <c r="Z21" s="18"/>
      <c r="AA21" s="51"/>
      <c r="AB21" s="18"/>
      <c r="AC21" s="81"/>
      <c r="AD21" s="81"/>
      <c r="AE21" s="81"/>
      <c r="AF21" s="81"/>
      <c r="AG21" s="23"/>
      <c r="AI21" s="2"/>
      <c r="AJ21" s="2"/>
    </row>
    <row r="22" spans="1:36" x14ac:dyDescent="0.25">
      <c r="B22" s="9" t="s">
        <v>14</v>
      </c>
      <c r="F22" s="36">
        <f>B4+B5</f>
        <v>0</v>
      </c>
      <c r="T22" s="49" t="s">
        <v>154</v>
      </c>
      <c r="AA22">
        <f>4*$F$4</f>
        <v>174.4</v>
      </c>
      <c r="AB22">
        <f t="shared" ref="AB22:AF22" si="2">4*$F$4</f>
        <v>174.4</v>
      </c>
      <c r="AC22">
        <f t="shared" si="2"/>
        <v>174.4</v>
      </c>
      <c r="AD22">
        <f t="shared" si="2"/>
        <v>174.4</v>
      </c>
      <c r="AE22">
        <f t="shared" si="2"/>
        <v>174.4</v>
      </c>
      <c r="AF22">
        <f t="shared" si="2"/>
        <v>174.4</v>
      </c>
      <c r="AG22" s="15">
        <f>SUM(AA22:AF22)</f>
        <v>1046.4000000000001</v>
      </c>
      <c r="AH22" t="s">
        <v>158</v>
      </c>
      <c r="AI22" s="2"/>
      <c r="AJ22" s="2"/>
    </row>
    <row r="23" spans="1:36" x14ac:dyDescent="0.25">
      <c r="B23" s="9" t="s">
        <v>15</v>
      </c>
      <c r="F23" s="6">
        <f>F21-F22</f>
        <v>0</v>
      </c>
      <c r="T23" s="17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23"/>
      <c r="AI23" s="2"/>
      <c r="AJ23" s="2"/>
    </row>
    <row r="24" spans="1:36" x14ac:dyDescent="0.25">
      <c r="C24" s="6"/>
    </row>
    <row r="25" spans="1:36" x14ac:dyDescent="0.25">
      <c r="B25" t="s">
        <v>16</v>
      </c>
      <c r="F25" s="6" t="s">
        <v>57</v>
      </c>
      <c r="G25" s="6" t="s">
        <v>58</v>
      </c>
      <c r="T25" s="52" t="s">
        <v>156</v>
      </c>
      <c r="U25" s="82">
        <f>AG22</f>
        <v>1046.4000000000001</v>
      </c>
    </row>
    <row r="26" spans="1:36" x14ac:dyDescent="0.25">
      <c r="B26" s="6" t="s">
        <v>59</v>
      </c>
      <c r="D26" s="8"/>
      <c r="F26" s="36">
        <f>B11</f>
        <v>34800</v>
      </c>
      <c r="G26" s="36"/>
      <c r="P26" s="69"/>
      <c r="Q26" s="69"/>
      <c r="R26" s="69"/>
      <c r="S26" s="69"/>
      <c r="T26" t="s">
        <v>183</v>
      </c>
      <c r="U26" s="62">
        <f>AG20</f>
        <v>1680</v>
      </c>
      <c r="V26" t="s">
        <v>161</v>
      </c>
      <c r="W26" s="24">
        <f>W14</f>
        <v>2376.9585999999995</v>
      </c>
      <c r="X26" t="s">
        <v>162</v>
      </c>
    </row>
    <row r="27" spans="1:36" x14ac:dyDescent="0.25">
      <c r="B27" s="6" t="s">
        <v>60</v>
      </c>
      <c r="D27" s="1"/>
      <c r="F27" s="6">
        <f>F26</f>
        <v>34800</v>
      </c>
      <c r="G27" s="36">
        <f>IF(ROUND(F27*0.6,2)&gt;20000,20000+F30,ROUND(F27*0.6,2)+F30)</f>
        <v>23205.08</v>
      </c>
      <c r="P27" s="69"/>
      <c r="Q27" s="69"/>
      <c r="R27" s="69"/>
      <c r="S27" s="69"/>
      <c r="U27" s="79"/>
      <c r="V27" s="76"/>
      <c r="W27" s="79"/>
      <c r="X27" s="76"/>
      <c r="Y27" s="76"/>
      <c r="Z27" s="76"/>
    </row>
    <row r="28" spans="1:36" x14ac:dyDescent="0.25">
      <c r="C28" s="6"/>
      <c r="P28" s="69"/>
      <c r="Q28" s="69"/>
      <c r="R28" s="69"/>
      <c r="S28" s="69"/>
    </row>
    <row r="29" spans="1:36" x14ac:dyDescent="0.25">
      <c r="B29" t="s">
        <v>17</v>
      </c>
      <c r="C29" s="6"/>
      <c r="P29" s="69"/>
      <c r="Q29" s="69"/>
      <c r="R29" s="69"/>
      <c r="S29" s="69"/>
      <c r="T29" t="s">
        <v>110</v>
      </c>
      <c r="U29" s="64">
        <f>U26</f>
        <v>1680</v>
      </c>
      <c r="V29" s="63" t="s">
        <v>165</v>
      </c>
      <c r="W29">
        <f>U25</f>
        <v>1046.4000000000001</v>
      </c>
    </row>
    <row r="30" spans="1:36" x14ac:dyDescent="0.25">
      <c r="F30" s="36">
        <f>B13+B14</f>
        <v>3205.08</v>
      </c>
      <c r="P30" s="69"/>
      <c r="Q30" s="69"/>
      <c r="R30" s="69"/>
      <c r="S30" s="69"/>
      <c r="T30" s="70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</row>
    <row r="31" spans="1:36" x14ac:dyDescent="0.25">
      <c r="C31" s="6"/>
      <c r="E31" s="29"/>
      <c r="P31" s="69"/>
      <c r="Q31" s="69"/>
      <c r="R31" s="69"/>
      <c r="S31" s="69"/>
      <c r="T31" s="69"/>
      <c r="U31" s="72"/>
      <c r="V31" s="69"/>
      <c r="W31" s="73"/>
      <c r="X31" s="69"/>
      <c r="Y31" s="69"/>
      <c r="Z31" s="69"/>
      <c r="AA31" s="69"/>
      <c r="AB31" s="69"/>
      <c r="AC31" s="69"/>
      <c r="AD31" s="69"/>
      <c r="AE31" s="69"/>
    </row>
    <row r="32" spans="1:36" x14ac:dyDescent="0.25">
      <c r="B32" s="9" t="s">
        <v>18</v>
      </c>
      <c r="E32" s="29"/>
      <c r="F32" s="6">
        <f>F27</f>
        <v>34800</v>
      </c>
      <c r="P32" s="69"/>
      <c r="Q32" s="69"/>
      <c r="R32" s="69"/>
      <c r="S32" s="69"/>
      <c r="T32" s="69"/>
      <c r="U32" s="73"/>
      <c r="V32" s="69"/>
      <c r="W32" s="73"/>
      <c r="X32" s="69"/>
      <c r="Y32" s="69"/>
      <c r="Z32" s="69"/>
      <c r="AA32" s="69"/>
      <c r="AB32" s="69"/>
      <c r="AC32" s="69"/>
      <c r="AD32" s="69"/>
      <c r="AE32" s="69"/>
    </row>
    <row r="33" spans="2:31" x14ac:dyDescent="0.25">
      <c r="B33" s="9" t="s">
        <v>19</v>
      </c>
      <c r="E33" s="29"/>
      <c r="F33" s="6">
        <f>G27</f>
        <v>23205.08</v>
      </c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</row>
    <row r="34" spans="2:31" x14ac:dyDescent="0.25">
      <c r="B34" s="9" t="s">
        <v>20</v>
      </c>
      <c r="D34" t="s">
        <v>26</v>
      </c>
      <c r="E34" s="29"/>
      <c r="F34" s="6">
        <f>F32-F33</f>
        <v>11594.919999999998</v>
      </c>
      <c r="P34" s="69"/>
      <c r="Q34" s="69"/>
      <c r="R34" s="69"/>
      <c r="S34" s="69"/>
      <c r="T34" s="69"/>
      <c r="U34" s="74"/>
      <c r="V34" s="75"/>
      <c r="W34" s="69"/>
      <c r="X34" s="69"/>
      <c r="Y34" s="69"/>
      <c r="Z34" s="69"/>
      <c r="AA34" s="69"/>
      <c r="AB34" s="69"/>
      <c r="AC34" s="69"/>
      <c r="AD34" s="69"/>
      <c r="AE34" s="69"/>
    </row>
    <row r="35" spans="2:31" x14ac:dyDescent="0.25">
      <c r="B35" s="9" t="s">
        <v>22</v>
      </c>
      <c r="D35" t="s">
        <v>25</v>
      </c>
      <c r="E35" s="29"/>
      <c r="F35" s="6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</row>
    <row r="36" spans="2:31" x14ac:dyDescent="0.25">
      <c r="B36" s="9" t="s">
        <v>21</v>
      </c>
      <c r="D36" t="s">
        <v>27</v>
      </c>
      <c r="E36" s="29"/>
      <c r="F36" s="6">
        <f>F34</f>
        <v>11594.919999999998</v>
      </c>
    </row>
    <row r="37" spans="2:31" x14ac:dyDescent="0.25">
      <c r="B37" s="9" t="s">
        <v>23</v>
      </c>
      <c r="D37" t="s">
        <v>28</v>
      </c>
      <c r="E37" s="29"/>
      <c r="F37" s="6"/>
    </row>
    <row r="38" spans="2:31" x14ac:dyDescent="0.25">
      <c r="B38" s="9" t="s">
        <v>24</v>
      </c>
      <c r="D38" t="s">
        <v>29</v>
      </c>
      <c r="E38" s="29"/>
      <c r="F38" s="6">
        <f>F36</f>
        <v>11594.919999999998</v>
      </c>
    </row>
    <row r="39" spans="2:31" x14ac:dyDescent="0.25">
      <c r="B39" s="9" t="s">
        <v>31</v>
      </c>
      <c r="D39" t="s">
        <v>30</v>
      </c>
      <c r="E39" s="29"/>
      <c r="F39" s="6">
        <f>F38</f>
        <v>11594.919999999998</v>
      </c>
    </row>
    <row r="40" spans="2:31" ht="30" x14ac:dyDescent="0.25">
      <c r="B40" s="9" t="s">
        <v>33</v>
      </c>
      <c r="D40" t="s">
        <v>44</v>
      </c>
      <c r="E40" s="29" t="s">
        <v>47</v>
      </c>
      <c r="F40" s="28"/>
    </row>
    <row r="41" spans="2:31" x14ac:dyDescent="0.25">
      <c r="B41" s="9" t="s">
        <v>32</v>
      </c>
      <c r="D41" t="s">
        <v>34</v>
      </c>
      <c r="E41" s="29"/>
      <c r="F41" s="6">
        <f>F23+F39</f>
        <v>11594.919999999998</v>
      </c>
    </row>
    <row r="42" spans="2:31" x14ac:dyDescent="0.25">
      <c r="B42" s="9" t="s">
        <v>35</v>
      </c>
      <c r="E42" s="29"/>
      <c r="F42" s="5">
        <f>IF(F41&gt;20235.97,0,4579.26)</f>
        <v>4579.26</v>
      </c>
    </row>
    <row r="43" spans="2:31" x14ac:dyDescent="0.25">
      <c r="B43" s="9" t="s">
        <v>179</v>
      </c>
      <c r="F43" s="5">
        <v>0</v>
      </c>
    </row>
    <row r="44" spans="2:31" x14ac:dyDescent="0.25">
      <c r="B44" s="9" t="s">
        <v>36</v>
      </c>
      <c r="D44" t="s">
        <v>37</v>
      </c>
      <c r="E44" s="29"/>
      <c r="F44" s="5">
        <f>F42+F43</f>
        <v>4579.26</v>
      </c>
    </row>
    <row r="45" spans="2:31" x14ac:dyDescent="0.25">
      <c r="B45" s="9" t="s">
        <v>38</v>
      </c>
      <c r="D45" t="s">
        <v>39</v>
      </c>
      <c r="E45" s="29"/>
      <c r="F45" s="5">
        <f>IF(F23-F44&lt;0,0,F23-F44)</f>
        <v>0</v>
      </c>
    </row>
    <row r="46" spans="2:31" ht="30" x14ac:dyDescent="0.25">
      <c r="B46" s="9" t="s">
        <v>40</v>
      </c>
      <c r="D46" t="s">
        <v>41</v>
      </c>
      <c r="E46" s="29" t="s">
        <v>47</v>
      </c>
      <c r="F46" s="6">
        <f>F45</f>
        <v>0</v>
      </c>
    </row>
    <row r="47" spans="2:31" x14ac:dyDescent="0.25">
      <c r="B47" s="9" t="s">
        <v>118</v>
      </c>
      <c r="E47" s="29"/>
      <c r="F47" s="46">
        <f>0.19*F46</f>
        <v>0</v>
      </c>
    </row>
    <row r="48" spans="2:31" x14ac:dyDescent="0.25">
      <c r="E48" s="29"/>
      <c r="F48" s="9"/>
    </row>
    <row r="49" spans="1:7" ht="30" x14ac:dyDescent="0.25">
      <c r="B49" s="9" t="s">
        <v>42</v>
      </c>
      <c r="D49" t="s">
        <v>46</v>
      </c>
      <c r="E49" s="29" t="s">
        <v>45</v>
      </c>
      <c r="F49" s="6">
        <f>F47</f>
        <v>0</v>
      </c>
    </row>
    <row r="50" spans="1:7" x14ac:dyDescent="0.25">
      <c r="B50" s="9" t="s">
        <v>43</v>
      </c>
      <c r="D50" t="s">
        <v>48</v>
      </c>
      <c r="E50" s="29"/>
      <c r="F50" s="6">
        <f>IF(F45=0,F44-F23,0)</f>
        <v>4579.26</v>
      </c>
    </row>
    <row r="51" spans="1:7" x14ac:dyDescent="0.25">
      <c r="B51" s="9" t="s">
        <v>49</v>
      </c>
      <c r="D51" t="s">
        <v>50</v>
      </c>
      <c r="E51" s="29"/>
      <c r="F51" s="5">
        <f>F39-F50</f>
        <v>7015.659999999998</v>
      </c>
    </row>
    <row r="52" spans="1:7" x14ac:dyDescent="0.25">
      <c r="B52" s="9" t="s">
        <v>51</v>
      </c>
      <c r="D52" t="s">
        <v>52</v>
      </c>
      <c r="E52" s="29"/>
      <c r="F52" s="6">
        <f>F51</f>
        <v>7015.659999999998</v>
      </c>
    </row>
    <row r="53" spans="1:7" x14ac:dyDescent="0.25">
      <c r="B53" s="9" t="s">
        <v>53</v>
      </c>
      <c r="E53" s="29"/>
      <c r="F53" s="36">
        <f>B11</f>
        <v>34800</v>
      </c>
    </row>
    <row r="54" spans="1:7" ht="75" x14ac:dyDescent="0.25">
      <c r="B54" s="9" t="s">
        <v>54</v>
      </c>
      <c r="D54" t="s">
        <v>180</v>
      </c>
      <c r="E54" s="29" t="s">
        <v>56</v>
      </c>
      <c r="F54" s="5">
        <f>ROUND(F52*0.15,2)</f>
        <v>1052.3499999999999</v>
      </c>
    </row>
    <row r="55" spans="1:7" x14ac:dyDescent="0.25">
      <c r="B55" s="9" t="s">
        <v>61</v>
      </c>
      <c r="D55" t="s">
        <v>62</v>
      </c>
      <c r="E55" s="29"/>
      <c r="F55" s="6">
        <f>F54</f>
        <v>1052.3499999999999</v>
      </c>
    </row>
    <row r="56" spans="1:7" ht="30" x14ac:dyDescent="0.25">
      <c r="B56" s="54" t="s">
        <v>63</v>
      </c>
      <c r="C56" s="54"/>
      <c r="D56" s="7" t="s">
        <v>64</v>
      </c>
      <c r="E56" s="30" t="s">
        <v>45</v>
      </c>
      <c r="F56" s="6">
        <v>0</v>
      </c>
    </row>
    <row r="57" spans="1:7" ht="30" x14ac:dyDescent="0.25">
      <c r="B57" s="9" t="s">
        <v>65</v>
      </c>
      <c r="D57" t="s">
        <v>67</v>
      </c>
      <c r="E57" s="29" t="s">
        <v>45</v>
      </c>
      <c r="F57" s="6">
        <v>0</v>
      </c>
    </row>
    <row r="58" spans="1:7" s="7" customFormat="1" x14ac:dyDescent="0.25">
      <c r="A58"/>
      <c r="B58" s="9" t="s">
        <v>66</v>
      </c>
      <c r="C58" s="9"/>
      <c r="D58" t="s">
        <v>68</v>
      </c>
      <c r="E58" s="29"/>
      <c r="F58" s="6">
        <f>F49+F55+F57</f>
        <v>1052.3499999999999</v>
      </c>
      <c r="G58"/>
    </row>
    <row r="59" spans="1:7" x14ac:dyDescent="0.25">
      <c r="A59" s="65" t="s">
        <v>90</v>
      </c>
      <c r="B59" s="65" t="s">
        <v>69</v>
      </c>
      <c r="C59" s="54"/>
      <c r="D59" s="7"/>
      <c r="E59" s="30"/>
      <c r="F59" s="5">
        <f>F60+F61</f>
        <v>2726.4</v>
      </c>
      <c r="G59" s="7"/>
    </row>
    <row r="60" spans="1:7" x14ac:dyDescent="0.25">
      <c r="B60" s="9" t="s">
        <v>91</v>
      </c>
      <c r="E60" s="29"/>
      <c r="F60" s="36">
        <f>AG6</f>
        <v>1046.4000000000001</v>
      </c>
    </row>
    <row r="61" spans="1:7" x14ac:dyDescent="0.25">
      <c r="B61" s="9" t="s">
        <v>92</v>
      </c>
      <c r="E61" s="29"/>
      <c r="F61" s="36">
        <f>U29</f>
        <v>1680</v>
      </c>
    </row>
    <row r="62" spans="1:7" ht="30" x14ac:dyDescent="0.25">
      <c r="B62" s="9" t="s">
        <v>70</v>
      </c>
      <c r="D62" t="s">
        <v>71</v>
      </c>
      <c r="E62" s="29" t="s">
        <v>116</v>
      </c>
      <c r="F62" s="6">
        <f>IF(F59&gt;F58,0,F58-F59)</f>
        <v>0</v>
      </c>
    </row>
    <row r="63" spans="1:7" x14ac:dyDescent="0.25">
      <c r="B63" s="9" t="s">
        <v>72</v>
      </c>
      <c r="E63" s="29"/>
      <c r="F63" s="36">
        <f>AG9+AG10</f>
        <v>0</v>
      </c>
    </row>
    <row r="64" spans="1:7" x14ac:dyDescent="0.25">
      <c r="B64" s="9" t="s">
        <v>73</v>
      </c>
      <c r="D64" t="s">
        <v>74</v>
      </c>
      <c r="E64" s="29"/>
      <c r="F64" s="44">
        <f>IF(F59&gt;F63,F59-F63,0)</f>
        <v>2726.4</v>
      </c>
    </row>
    <row r="65" spans="2:8" x14ac:dyDescent="0.25">
      <c r="B65" s="9" t="s">
        <v>75</v>
      </c>
      <c r="D65" t="s">
        <v>78</v>
      </c>
      <c r="E65" s="29"/>
      <c r="F65" s="6">
        <f>IF(F64&gt;F58,F64-F58,0)</f>
        <v>1674.0500000000002</v>
      </c>
    </row>
    <row r="66" spans="2:8" x14ac:dyDescent="0.25">
      <c r="B66" s="9" t="s">
        <v>76</v>
      </c>
      <c r="D66" t="s">
        <v>79</v>
      </c>
      <c r="E66" s="29"/>
      <c r="F66" s="6">
        <f>IF(F63&gt;F59,F63-F59,0)</f>
        <v>0</v>
      </c>
    </row>
    <row r="67" spans="2:8" x14ac:dyDescent="0.25">
      <c r="B67" s="9" t="s">
        <v>77</v>
      </c>
      <c r="D67" t="s">
        <v>80</v>
      </c>
      <c r="E67" s="29"/>
      <c r="F67" s="6">
        <f>F62</f>
        <v>0</v>
      </c>
    </row>
    <row r="68" spans="2:8" x14ac:dyDescent="0.25">
      <c r="B68" s="9" t="s">
        <v>81</v>
      </c>
      <c r="E68" s="29"/>
      <c r="F68" s="36">
        <f>B10</f>
        <v>0</v>
      </c>
    </row>
    <row r="69" spans="2:8" x14ac:dyDescent="0.25">
      <c r="B69" s="9" t="s">
        <v>82</v>
      </c>
      <c r="E69" s="29"/>
    </row>
    <row r="70" spans="2:8" x14ac:dyDescent="0.25">
      <c r="B70" s="9" t="s">
        <v>84</v>
      </c>
      <c r="D70" t="s">
        <v>87</v>
      </c>
      <c r="F70" s="5">
        <f>F58-F59+F63+F65-F68</f>
        <v>0</v>
      </c>
    </row>
    <row r="71" spans="2:8" x14ac:dyDescent="0.25">
      <c r="B71" s="9" t="s">
        <v>85</v>
      </c>
      <c r="D71" t="s">
        <v>86</v>
      </c>
    </row>
    <row r="72" spans="2:8" x14ac:dyDescent="0.25">
      <c r="C72" s="6"/>
    </row>
    <row r="73" spans="2:8" x14ac:dyDescent="0.25">
      <c r="H73" s="27"/>
    </row>
    <row r="74" spans="2:8" x14ac:dyDescent="0.25">
      <c r="D74" s="26" t="s">
        <v>121</v>
      </c>
      <c r="E74" s="26" t="s">
        <v>122</v>
      </c>
      <c r="F74" s="5">
        <f>SUM(F75:F76)</f>
        <v>0</v>
      </c>
      <c r="G74" s="27"/>
      <c r="H74" s="2"/>
    </row>
    <row r="75" spans="2:8" x14ac:dyDescent="0.25">
      <c r="D75" s="26"/>
      <c r="E75" s="26" t="s">
        <v>123</v>
      </c>
      <c r="F75" s="3">
        <f>B4</f>
        <v>0</v>
      </c>
      <c r="G75" s="27"/>
      <c r="H75" s="2"/>
    </row>
    <row r="76" spans="2:8" x14ac:dyDescent="0.25">
      <c r="D76" s="26"/>
      <c r="E76" s="26" t="s">
        <v>124</v>
      </c>
      <c r="F76" s="3">
        <f>B5</f>
        <v>0</v>
      </c>
      <c r="G76" s="27"/>
      <c r="H76" s="2"/>
    </row>
    <row r="77" spans="2:8" x14ac:dyDescent="0.25">
      <c r="D77" s="26"/>
      <c r="E77" s="26" t="s">
        <v>125</v>
      </c>
      <c r="F77" s="3">
        <f>B13</f>
        <v>2253.36</v>
      </c>
      <c r="G77" s="27"/>
      <c r="H77" s="2"/>
    </row>
    <row r="78" spans="2:8" x14ac:dyDescent="0.25">
      <c r="D78" s="26"/>
      <c r="E78" s="26" t="s">
        <v>126</v>
      </c>
      <c r="F78" s="3">
        <v>0</v>
      </c>
      <c r="G78" s="27"/>
      <c r="H78" s="2"/>
    </row>
    <row r="79" spans="2:8" x14ac:dyDescent="0.25">
      <c r="D79" s="26"/>
      <c r="E79" s="26" t="s">
        <v>127</v>
      </c>
      <c r="F79" s="3">
        <f>B14</f>
        <v>951.72</v>
      </c>
      <c r="G79" s="27"/>
    </row>
    <row r="80" spans="2:8" x14ac:dyDescent="0.25">
      <c r="D80" s="26"/>
      <c r="E80" s="26" t="s">
        <v>128</v>
      </c>
      <c r="F80" s="3">
        <f>F79</f>
        <v>951.72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D0C56-2C14-4CB8-B373-739123E7859C}">
  <dimension ref="A1:AH79"/>
  <sheetViews>
    <sheetView showGridLines="0" zoomScale="90" zoomScaleNormal="90" workbookViewId="0">
      <selection activeCell="T1" sqref="T1:AH29"/>
    </sheetView>
  </sheetViews>
  <sheetFormatPr defaultRowHeight="15" x14ac:dyDescent="0.25"/>
  <cols>
    <col min="1" max="1" width="31.42578125" customWidth="1"/>
    <col min="2" max="2" width="11" style="9" customWidth="1"/>
    <col min="3" max="3" width="11.85546875" style="9" customWidth="1"/>
    <col min="4" max="4" width="49" bestFit="1" customWidth="1"/>
    <col min="5" max="5" width="42.5703125" customWidth="1"/>
    <col min="6" max="6" width="12.42578125" customWidth="1"/>
    <col min="7" max="7" width="10.42578125" customWidth="1"/>
    <col min="13" max="13" width="13" customWidth="1"/>
    <col min="17" max="19" width="0" hidden="1" customWidth="1"/>
    <col min="20" max="20" width="37.42578125" customWidth="1"/>
    <col min="21" max="21" width="9.42578125" bestFit="1" customWidth="1"/>
    <col min="22" max="23" width="9.85546875" bestFit="1" customWidth="1"/>
    <col min="33" max="33" width="11.85546875" customWidth="1"/>
  </cols>
  <sheetData>
    <row r="1" spans="1:34" x14ac:dyDescent="0.25">
      <c r="A1" s="31" t="s">
        <v>141</v>
      </c>
      <c r="T1" s="31" t="s">
        <v>144</v>
      </c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</row>
    <row r="2" spans="1:34" s="2" customFormat="1" x14ac:dyDescent="0.25">
      <c r="A2" s="33" t="s">
        <v>0</v>
      </c>
      <c r="B2" s="34" t="s">
        <v>114</v>
      </c>
      <c r="C2" s="34" t="s">
        <v>113</v>
      </c>
      <c r="E2" s="4" t="s">
        <v>89</v>
      </c>
      <c r="F2"/>
      <c r="G2"/>
      <c r="H2" s="4" t="s">
        <v>96</v>
      </c>
      <c r="I2"/>
      <c r="J2"/>
      <c r="K2"/>
      <c r="L2"/>
      <c r="M2" s="4" t="s">
        <v>97</v>
      </c>
      <c r="N2"/>
    </row>
    <row r="3" spans="1:34" s="2" customFormat="1" x14ac:dyDescent="0.25">
      <c r="A3" s="2" t="s">
        <v>1</v>
      </c>
      <c r="B3" s="35">
        <f>C3*6</f>
        <v>0</v>
      </c>
      <c r="C3" s="36">
        <v>0</v>
      </c>
      <c r="E3" s="26" t="s">
        <v>93</v>
      </c>
      <c r="F3" s="26">
        <v>47.14</v>
      </c>
      <c r="G3" s="26"/>
      <c r="H3" s="26" t="s">
        <v>105</v>
      </c>
      <c r="I3" s="26"/>
      <c r="J3" s="26"/>
      <c r="K3" s="55">
        <v>70</v>
      </c>
      <c r="L3" s="26"/>
      <c r="M3" s="26" t="s">
        <v>98</v>
      </c>
      <c r="N3" s="56">
        <v>0.2</v>
      </c>
      <c r="T3" s="2" t="s">
        <v>145</v>
      </c>
      <c r="V3" s="3">
        <f>B11</f>
        <v>11000</v>
      </c>
      <c r="W3" s="2" t="s">
        <v>146</v>
      </c>
      <c r="AH3"/>
    </row>
    <row r="4" spans="1:34" s="2" customFormat="1" x14ac:dyDescent="0.25">
      <c r="A4" s="2" t="s">
        <v>2</v>
      </c>
      <c r="B4" s="36">
        <f>C4*6</f>
        <v>0</v>
      </c>
      <c r="C4" s="37">
        <f>0.094*C3</f>
        <v>0</v>
      </c>
      <c r="E4" s="26" t="s">
        <v>104</v>
      </c>
      <c r="F4" s="55">
        <v>43.6</v>
      </c>
      <c r="G4" s="26"/>
      <c r="H4" s="26" t="s">
        <v>94</v>
      </c>
      <c r="I4" s="26"/>
      <c r="J4" s="26"/>
      <c r="K4" s="55">
        <v>40</v>
      </c>
      <c r="L4" s="26"/>
      <c r="M4" s="26" t="s">
        <v>99</v>
      </c>
      <c r="N4" s="56">
        <v>0.27</v>
      </c>
    </row>
    <row r="5" spans="1:34" s="2" customFormat="1" x14ac:dyDescent="0.25">
      <c r="A5" s="2" t="s">
        <v>3</v>
      </c>
      <c r="B5" s="36">
        <f>C5*6</f>
        <v>0</v>
      </c>
      <c r="C5" s="37">
        <f>0.04*C3</f>
        <v>0</v>
      </c>
      <c r="E5" s="26" t="s">
        <v>94</v>
      </c>
      <c r="F5" s="26">
        <v>23.57</v>
      </c>
      <c r="G5" s="26"/>
      <c r="H5" s="26"/>
      <c r="I5" s="26"/>
      <c r="J5" s="26"/>
      <c r="K5" s="26"/>
      <c r="L5" s="26"/>
      <c r="M5" s="26" t="s">
        <v>100</v>
      </c>
      <c r="N5" s="56">
        <v>0.34</v>
      </c>
      <c r="T5" s="13"/>
      <c r="U5" s="19">
        <v>1</v>
      </c>
      <c r="V5" s="19">
        <v>2</v>
      </c>
      <c r="W5" s="19">
        <v>3</v>
      </c>
      <c r="X5" s="19">
        <v>4</v>
      </c>
      <c r="Y5" s="19">
        <v>5</v>
      </c>
      <c r="Z5" s="19">
        <v>6</v>
      </c>
      <c r="AA5" s="19">
        <v>7</v>
      </c>
      <c r="AB5" s="19">
        <v>8</v>
      </c>
      <c r="AC5" s="19">
        <v>9</v>
      </c>
      <c r="AD5" s="19">
        <v>10</v>
      </c>
      <c r="AE5" s="19">
        <v>11</v>
      </c>
      <c r="AF5" s="19">
        <v>12</v>
      </c>
      <c r="AG5" s="20" t="s">
        <v>106</v>
      </c>
    </row>
    <row r="6" spans="1:34" s="2" customFormat="1" x14ac:dyDescent="0.25">
      <c r="A6" s="33"/>
      <c r="B6" s="38"/>
      <c r="C6" s="39">
        <v>0</v>
      </c>
      <c r="D6" s="2" t="s">
        <v>134</v>
      </c>
      <c r="E6" s="26"/>
      <c r="F6" s="26"/>
      <c r="G6" s="26"/>
      <c r="H6" s="26"/>
      <c r="I6" s="26"/>
      <c r="J6" s="26"/>
      <c r="K6" s="26"/>
      <c r="L6" s="26"/>
      <c r="M6" s="26" t="s">
        <v>101</v>
      </c>
      <c r="N6" s="56">
        <v>0.41</v>
      </c>
      <c r="T6" s="17" t="s">
        <v>109</v>
      </c>
      <c r="U6" s="47">
        <f>$F$3</f>
        <v>47.14</v>
      </c>
      <c r="V6" s="47">
        <f t="shared" ref="V6:Z6" si="0">$F$3</f>
        <v>47.14</v>
      </c>
      <c r="W6" s="47">
        <f t="shared" si="0"/>
        <v>47.14</v>
      </c>
      <c r="X6" s="47">
        <f t="shared" si="0"/>
        <v>47.14</v>
      </c>
      <c r="Y6" s="47">
        <f t="shared" si="0"/>
        <v>47.14</v>
      </c>
      <c r="Z6" s="47">
        <f t="shared" si="0"/>
        <v>47.14</v>
      </c>
      <c r="AA6" s="18"/>
      <c r="AB6" s="18"/>
      <c r="AC6" s="18"/>
      <c r="AD6" s="18"/>
      <c r="AE6" s="18"/>
      <c r="AF6" s="18"/>
      <c r="AG6" s="48">
        <f>SUM(U6:AF6)</f>
        <v>282.83999999999997</v>
      </c>
    </row>
    <row r="7" spans="1:34" x14ac:dyDescent="0.25">
      <c r="A7" s="2"/>
      <c r="B7" s="36">
        <f>B3-B4-B5</f>
        <v>0</v>
      </c>
      <c r="C7" s="37">
        <f>C3-C4-C5-C6</f>
        <v>0</v>
      </c>
      <c r="D7" s="2" t="s">
        <v>135</v>
      </c>
      <c r="E7" s="26"/>
      <c r="F7" s="26"/>
      <c r="G7" s="26"/>
      <c r="H7" s="26"/>
      <c r="I7" s="26"/>
      <c r="J7" s="26"/>
      <c r="K7" s="26"/>
      <c r="L7" s="26"/>
      <c r="M7" s="26" t="s">
        <v>102</v>
      </c>
      <c r="N7" s="56">
        <v>0.48</v>
      </c>
      <c r="T7" s="26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4" x14ac:dyDescent="0.25">
      <c r="A8" s="2"/>
      <c r="C8" s="37">
        <f>ROUND(0.19*C7,2)</f>
        <v>0</v>
      </c>
      <c r="D8" s="2" t="s">
        <v>136</v>
      </c>
      <c r="E8" s="26"/>
      <c r="F8" s="26"/>
      <c r="G8" s="26"/>
      <c r="H8" s="26"/>
      <c r="I8" s="26"/>
      <c r="J8" s="26"/>
      <c r="K8" s="26"/>
      <c r="L8" s="26"/>
      <c r="M8" s="26"/>
      <c r="N8" s="56"/>
      <c r="T8" s="26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4" x14ac:dyDescent="0.25">
      <c r="A9" s="2"/>
      <c r="C9" s="37"/>
      <c r="E9" s="26"/>
      <c r="F9" s="26"/>
      <c r="G9" s="26"/>
      <c r="H9" s="26"/>
      <c r="I9" s="26"/>
      <c r="J9" s="26"/>
      <c r="K9" s="26"/>
      <c r="L9" s="26"/>
      <c r="M9" s="26"/>
      <c r="N9" s="56"/>
      <c r="T9" s="31" t="s">
        <v>147</v>
      </c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2"/>
    </row>
    <row r="10" spans="1:34" s="2" customFormat="1" x14ac:dyDescent="0.25">
      <c r="A10" s="2" t="s">
        <v>4</v>
      </c>
      <c r="B10" s="35">
        <f>6*C8</f>
        <v>0</v>
      </c>
      <c r="C10" s="40"/>
      <c r="E10" s="26"/>
      <c r="F10" s="5"/>
      <c r="G10" s="26"/>
      <c r="H10" s="26"/>
      <c r="I10" s="26"/>
      <c r="J10" s="26"/>
      <c r="K10" s="55"/>
      <c r="L10" s="26"/>
      <c r="M10" s="26" t="s">
        <v>103</v>
      </c>
      <c r="N10" s="56">
        <v>0.55000000000000004</v>
      </c>
    </row>
    <row r="11" spans="1:34" s="2" customFormat="1" x14ac:dyDescent="0.25">
      <c r="A11" s="2" t="s">
        <v>5</v>
      </c>
      <c r="B11" s="35">
        <v>11000</v>
      </c>
      <c r="C11" s="36">
        <f>ROUND(B11*0.6,2)</f>
        <v>6600</v>
      </c>
      <c r="D11" s="7" t="s">
        <v>142</v>
      </c>
      <c r="E11" s="26"/>
      <c r="F11" s="26"/>
      <c r="G11" s="26"/>
      <c r="H11" s="26"/>
      <c r="I11" s="26"/>
      <c r="J11" s="26"/>
      <c r="K11" s="55"/>
      <c r="L11" s="26"/>
      <c r="M11" s="26"/>
      <c r="N11" s="26"/>
      <c r="T11" s="26"/>
      <c r="U11" s="26"/>
      <c r="V11" s="26"/>
      <c r="W11" s="26"/>
      <c r="X11" s="26"/>
      <c r="Y11" s="26"/>
      <c r="Z11" s="26"/>
      <c r="AA11" s="26"/>
    </row>
    <row r="12" spans="1:34" s="2" customFormat="1" x14ac:dyDescent="0.25">
      <c r="A12" s="2" t="s">
        <v>8</v>
      </c>
      <c r="B12" s="35" t="s">
        <v>10</v>
      </c>
      <c r="C12" s="40"/>
      <c r="K12" s="11"/>
      <c r="T12" s="13" t="s">
        <v>115</v>
      </c>
      <c r="U12" s="57"/>
      <c r="V12" s="57"/>
      <c r="W12" s="58">
        <f>F23+F36</f>
        <v>2550</v>
      </c>
      <c r="X12" s="26" t="s">
        <v>119</v>
      </c>
      <c r="Y12" s="26"/>
      <c r="Z12" s="26"/>
      <c r="AA12" s="26"/>
      <c r="AB12"/>
    </row>
    <row r="13" spans="1:34" s="2" customFormat="1" x14ac:dyDescent="0.25">
      <c r="A13" s="2" t="s">
        <v>6</v>
      </c>
      <c r="B13" s="35">
        <v>1200</v>
      </c>
      <c r="C13" s="40"/>
      <c r="T13" s="14" t="s">
        <v>111</v>
      </c>
      <c r="U13" s="26"/>
      <c r="V13" s="26"/>
      <c r="W13" s="15">
        <v>0</v>
      </c>
      <c r="X13" s="26" t="s">
        <v>148</v>
      </c>
      <c r="Y13" s="26"/>
      <c r="Z13" s="26"/>
      <c r="AA13" s="26"/>
      <c r="AB13"/>
      <c r="AC13"/>
      <c r="AD13"/>
      <c r="AE13"/>
      <c r="AF13"/>
      <c r="AG13"/>
    </row>
    <row r="14" spans="1:34" s="2" customFormat="1" x14ac:dyDescent="0.25">
      <c r="A14" s="2" t="s">
        <v>7</v>
      </c>
      <c r="B14" s="35">
        <v>650</v>
      </c>
      <c r="C14" s="40"/>
      <c r="K14" s="12"/>
      <c r="T14" s="14" t="s">
        <v>149</v>
      </c>
      <c r="U14" s="26"/>
      <c r="V14" s="26"/>
      <c r="W14" s="61">
        <f>0.2*W12</f>
        <v>510</v>
      </c>
      <c r="X14" s="26" t="s">
        <v>151</v>
      </c>
      <c r="Y14" s="26"/>
      <c r="Z14" s="26"/>
      <c r="AA14" s="26"/>
      <c r="AB14"/>
      <c r="AC14"/>
      <c r="AD14"/>
      <c r="AE14"/>
      <c r="AF14"/>
      <c r="AG14"/>
      <c r="AH14"/>
    </row>
    <row r="15" spans="1:34" s="2" customFormat="1" x14ac:dyDescent="0.25">
      <c r="A15" s="2" t="s">
        <v>83</v>
      </c>
      <c r="B15" s="35">
        <v>0</v>
      </c>
      <c r="C15" s="40"/>
      <c r="T15" s="14" t="s">
        <v>153</v>
      </c>
      <c r="U15" s="26"/>
      <c r="V15" s="26"/>
      <c r="W15" s="61">
        <f>W14/6*3</f>
        <v>255</v>
      </c>
      <c r="X15" s="26"/>
      <c r="Y15" s="26"/>
      <c r="Z15" s="26"/>
      <c r="AA15" s="26"/>
      <c r="AB15"/>
      <c r="AC15"/>
      <c r="AD15"/>
      <c r="AE15"/>
      <c r="AF15"/>
      <c r="AG15"/>
      <c r="AH15"/>
    </row>
    <row r="16" spans="1:34" s="2" customFormat="1" x14ac:dyDescent="0.25">
      <c r="B16" s="36"/>
      <c r="C16" s="40"/>
      <c r="T16" s="14" t="s">
        <v>150</v>
      </c>
      <c r="U16" s="26"/>
      <c r="V16" s="26"/>
      <c r="W16" s="61">
        <f>0.27*W12</f>
        <v>688.5</v>
      </c>
      <c r="X16" s="26" t="s">
        <v>152</v>
      </c>
      <c r="Y16" s="26"/>
      <c r="Z16" s="26"/>
      <c r="AA16" s="26"/>
      <c r="AB16"/>
      <c r="AC16"/>
      <c r="AD16"/>
      <c r="AE16"/>
      <c r="AF16"/>
      <c r="AG16"/>
      <c r="AH16"/>
    </row>
    <row r="17" spans="1:34" s="2" customFormat="1" x14ac:dyDescent="0.25">
      <c r="A17" s="42" t="s">
        <v>9</v>
      </c>
      <c r="B17" s="40" t="s">
        <v>10</v>
      </c>
      <c r="C17" s="40"/>
      <c r="T17" s="17" t="s">
        <v>157</v>
      </c>
      <c r="U17" s="52"/>
      <c r="V17" s="52"/>
      <c r="W17" s="59">
        <f>W16/6*3</f>
        <v>344.25</v>
      </c>
      <c r="X17" s="26"/>
      <c r="Y17" s="26"/>
      <c r="Z17" s="26"/>
      <c r="AA17" s="26"/>
      <c r="AB17"/>
      <c r="AC17"/>
      <c r="AD17"/>
      <c r="AE17"/>
      <c r="AF17"/>
      <c r="AG17"/>
      <c r="AH17"/>
    </row>
    <row r="18" spans="1:34" s="2" customFormat="1" x14ac:dyDescent="0.25">
      <c r="A18" s="42" t="s">
        <v>88</v>
      </c>
      <c r="B18" s="40" t="s">
        <v>11</v>
      </c>
      <c r="C18" s="40"/>
      <c r="T18" s="26"/>
      <c r="U18" s="26"/>
      <c r="V18" s="26"/>
      <c r="W18" s="26"/>
      <c r="X18" s="26"/>
      <c r="Y18" s="26"/>
      <c r="Z18" s="26"/>
      <c r="AA18" s="26"/>
      <c r="AB18"/>
      <c r="AC18"/>
      <c r="AD18"/>
      <c r="AE18"/>
      <c r="AF18"/>
      <c r="AG18"/>
      <c r="AH18"/>
    </row>
    <row r="19" spans="1:34" x14ac:dyDescent="0.25">
      <c r="A19" s="42" t="s">
        <v>12</v>
      </c>
      <c r="B19" s="43" t="s">
        <v>143</v>
      </c>
      <c r="T19" s="13"/>
      <c r="U19" s="19">
        <v>1</v>
      </c>
      <c r="V19" s="19">
        <v>2</v>
      </c>
      <c r="W19" s="19">
        <v>3</v>
      </c>
      <c r="X19" s="19">
        <v>4</v>
      </c>
      <c r="Y19" s="19">
        <v>5</v>
      </c>
      <c r="Z19" s="19">
        <v>6</v>
      </c>
      <c r="AA19" s="19">
        <v>7</v>
      </c>
      <c r="AB19" s="19">
        <v>8</v>
      </c>
      <c r="AC19" s="19">
        <v>9</v>
      </c>
      <c r="AD19" s="19">
        <v>10</v>
      </c>
      <c r="AE19" s="19">
        <v>11</v>
      </c>
      <c r="AF19" s="19">
        <v>12</v>
      </c>
      <c r="AG19" s="20" t="s">
        <v>106</v>
      </c>
    </row>
    <row r="20" spans="1:34" x14ac:dyDescent="0.25">
      <c r="T20" s="14" t="s">
        <v>155</v>
      </c>
      <c r="U20" s="5"/>
      <c r="V20" s="5"/>
      <c r="W20" s="5"/>
      <c r="X20" s="5"/>
      <c r="Y20" s="5"/>
      <c r="Z20" s="5"/>
      <c r="AA20" s="21">
        <f>$K$3</f>
        <v>70</v>
      </c>
      <c r="AB20" s="21">
        <f t="shared" ref="AB20:AC20" si="1">$K$3</f>
        <v>70</v>
      </c>
      <c r="AC20" s="21">
        <f t="shared" si="1"/>
        <v>70</v>
      </c>
      <c r="AD20" s="5"/>
      <c r="AE20" s="5"/>
      <c r="AF20" s="5"/>
      <c r="AG20" s="15">
        <f>SUM(U20:AF20)</f>
        <v>210</v>
      </c>
    </row>
    <row r="21" spans="1:34" x14ac:dyDescent="0.25">
      <c r="B21" s="9" t="s">
        <v>13</v>
      </c>
      <c r="F21" s="36">
        <f>B3</f>
        <v>0</v>
      </c>
      <c r="T21" s="17" t="s">
        <v>155</v>
      </c>
      <c r="U21" s="18"/>
      <c r="V21" s="18"/>
      <c r="W21" s="18"/>
      <c r="X21" s="18"/>
      <c r="Y21" s="18"/>
      <c r="Z21" s="18"/>
      <c r="AA21" s="51"/>
      <c r="AB21" s="18"/>
      <c r="AC21" s="51"/>
      <c r="AD21" s="47">
        <f>2*$K$3</f>
        <v>140</v>
      </c>
      <c r="AE21" s="47">
        <f t="shared" ref="AE21:AF21" si="2">2*$K$3</f>
        <v>140</v>
      </c>
      <c r="AF21" s="47">
        <f t="shared" si="2"/>
        <v>140</v>
      </c>
      <c r="AG21" s="23">
        <f>SUM(U21:AF21)</f>
        <v>420</v>
      </c>
    </row>
    <row r="22" spans="1:34" x14ac:dyDescent="0.25">
      <c r="B22" s="9" t="s">
        <v>14</v>
      </c>
      <c r="F22" s="36">
        <f>B4+B5</f>
        <v>0</v>
      </c>
      <c r="T22" s="49" t="s">
        <v>154</v>
      </c>
      <c r="AA22">
        <f>$F$3</f>
        <v>47.14</v>
      </c>
      <c r="AB22">
        <f t="shared" ref="AB22:AC22" si="3">$F$3</f>
        <v>47.14</v>
      </c>
      <c r="AC22">
        <f t="shared" si="3"/>
        <v>47.14</v>
      </c>
      <c r="AD22">
        <f>$F$3*2</f>
        <v>94.28</v>
      </c>
      <c r="AE22">
        <f t="shared" ref="AE22:AF22" si="4">$F$3*2</f>
        <v>94.28</v>
      </c>
      <c r="AF22">
        <f t="shared" si="4"/>
        <v>94.28</v>
      </c>
      <c r="AG22" s="50">
        <f>SUM(AA22:AF22)</f>
        <v>424.26</v>
      </c>
      <c r="AH22" t="s">
        <v>158</v>
      </c>
    </row>
    <row r="23" spans="1:34" x14ac:dyDescent="0.25">
      <c r="B23" s="9" t="s">
        <v>15</v>
      </c>
      <c r="F23" s="6">
        <f>F21-F22</f>
        <v>0</v>
      </c>
      <c r="T23" s="17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23"/>
    </row>
    <row r="24" spans="1:34" x14ac:dyDescent="0.25">
      <c r="C24" s="6"/>
    </row>
    <row r="25" spans="1:34" x14ac:dyDescent="0.25">
      <c r="B25" t="s">
        <v>16</v>
      </c>
      <c r="F25" s="6" t="s">
        <v>57</v>
      </c>
      <c r="G25" s="6" t="s">
        <v>58</v>
      </c>
      <c r="T25" s="52" t="s">
        <v>156</v>
      </c>
      <c r="U25" s="51">
        <f>AG22</f>
        <v>424.26</v>
      </c>
    </row>
    <row r="26" spans="1:34" x14ac:dyDescent="0.25">
      <c r="B26" s="6" t="s">
        <v>59</v>
      </c>
      <c r="D26" s="8"/>
      <c r="F26" s="36">
        <f>B11</f>
        <v>11000</v>
      </c>
      <c r="G26" s="36"/>
      <c r="T26" t="s">
        <v>160</v>
      </c>
      <c r="U26" s="62">
        <f>AG20</f>
        <v>210</v>
      </c>
      <c r="V26" t="s">
        <v>161</v>
      </c>
      <c r="W26" s="24">
        <f>W15</f>
        <v>255</v>
      </c>
      <c r="X26" t="s">
        <v>162</v>
      </c>
    </row>
    <row r="27" spans="1:34" x14ac:dyDescent="0.25">
      <c r="B27" s="6" t="s">
        <v>60</v>
      </c>
      <c r="D27" s="1"/>
      <c r="F27" s="6">
        <f>F26</f>
        <v>11000</v>
      </c>
      <c r="G27" s="36">
        <f>IF(ROUND(F27*0.6,2)&gt;20000,20000+F30,ROUND(F27*0.6,2)+F30)</f>
        <v>8450</v>
      </c>
      <c r="T27" t="s">
        <v>163</v>
      </c>
      <c r="U27" s="24">
        <f>AG21</f>
        <v>420</v>
      </c>
      <c r="V27" t="s">
        <v>161</v>
      </c>
      <c r="W27" s="53">
        <f>W17</f>
        <v>344.25</v>
      </c>
      <c r="X27" t="s">
        <v>164</v>
      </c>
    </row>
    <row r="28" spans="1:34" x14ac:dyDescent="0.25">
      <c r="C28" s="6"/>
    </row>
    <row r="29" spans="1:34" x14ac:dyDescent="0.25">
      <c r="B29" t="s">
        <v>17</v>
      </c>
      <c r="C29" s="6"/>
      <c r="T29" t="s">
        <v>110</v>
      </c>
      <c r="U29" s="64">
        <f>U26+W27</f>
        <v>554.25</v>
      </c>
      <c r="V29" s="63" t="s">
        <v>165</v>
      </c>
      <c r="W29">
        <f>U25</f>
        <v>424.26</v>
      </c>
    </row>
    <row r="30" spans="1:34" x14ac:dyDescent="0.25">
      <c r="F30" s="36">
        <f>B13+B14</f>
        <v>1850</v>
      </c>
    </row>
    <row r="31" spans="1:34" x14ac:dyDescent="0.25">
      <c r="C31" s="6"/>
      <c r="E31" s="29"/>
    </row>
    <row r="32" spans="1:34" x14ac:dyDescent="0.25">
      <c r="B32" s="9" t="s">
        <v>18</v>
      </c>
      <c r="E32" s="29"/>
      <c r="F32" s="6">
        <f>F27</f>
        <v>11000</v>
      </c>
    </row>
    <row r="33" spans="2:6" x14ac:dyDescent="0.25">
      <c r="B33" s="9" t="s">
        <v>19</v>
      </c>
      <c r="E33" s="29"/>
      <c r="F33" s="6">
        <f>G27</f>
        <v>8450</v>
      </c>
    </row>
    <row r="34" spans="2:6" x14ac:dyDescent="0.25">
      <c r="B34" s="9" t="s">
        <v>20</v>
      </c>
      <c r="D34" t="s">
        <v>26</v>
      </c>
      <c r="E34" s="29"/>
      <c r="F34" s="6">
        <f>F32-F33</f>
        <v>2550</v>
      </c>
    </row>
    <row r="35" spans="2:6" x14ac:dyDescent="0.25">
      <c r="B35" s="9" t="s">
        <v>22</v>
      </c>
      <c r="D35" t="s">
        <v>25</v>
      </c>
      <c r="E35" s="29"/>
      <c r="F35" s="6"/>
    </row>
    <row r="36" spans="2:6" x14ac:dyDescent="0.25">
      <c r="B36" s="9" t="s">
        <v>21</v>
      </c>
      <c r="D36" t="s">
        <v>27</v>
      </c>
      <c r="E36" s="29"/>
      <c r="F36" s="6">
        <f>F34</f>
        <v>2550</v>
      </c>
    </row>
    <row r="37" spans="2:6" x14ac:dyDescent="0.25">
      <c r="B37" s="9" t="s">
        <v>23</v>
      </c>
      <c r="D37" t="s">
        <v>28</v>
      </c>
      <c r="E37" s="29"/>
      <c r="F37" s="6"/>
    </row>
    <row r="38" spans="2:6" x14ac:dyDescent="0.25">
      <c r="B38" s="9" t="s">
        <v>24</v>
      </c>
      <c r="D38" t="s">
        <v>29</v>
      </c>
      <c r="E38" s="29"/>
      <c r="F38" s="6">
        <f>F36</f>
        <v>2550</v>
      </c>
    </row>
    <row r="39" spans="2:6" x14ac:dyDescent="0.25">
      <c r="B39" s="9" t="s">
        <v>31</v>
      </c>
      <c r="D39" t="s">
        <v>30</v>
      </c>
      <c r="E39" s="29"/>
      <c r="F39" s="6">
        <f>F38</f>
        <v>2550</v>
      </c>
    </row>
    <row r="40" spans="2:6" ht="30" x14ac:dyDescent="0.25">
      <c r="B40" s="9" t="s">
        <v>33</v>
      </c>
      <c r="D40" t="s">
        <v>44</v>
      </c>
      <c r="E40" s="29" t="s">
        <v>47</v>
      </c>
      <c r="F40" s="6">
        <v>0</v>
      </c>
    </row>
    <row r="41" spans="2:6" x14ac:dyDescent="0.25">
      <c r="B41" s="9" t="s">
        <v>32</v>
      </c>
      <c r="D41" t="s">
        <v>34</v>
      </c>
      <c r="E41" s="29"/>
      <c r="F41" s="6">
        <f>F23+F39</f>
        <v>2550</v>
      </c>
    </row>
    <row r="42" spans="2:6" x14ac:dyDescent="0.25">
      <c r="B42" s="9" t="s">
        <v>35</v>
      </c>
      <c r="E42" s="29"/>
      <c r="F42" s="45">
        <f>F43</f>
        <v>2550</v>
      </c>
    </row>
    <row r="43" spans="2:6" x14ac:dyDescent="0.25">
      <c r="B43" s="9" t="s">
        <v>36</v>
      </c>
      <c r="D43" t="s">
        <v>37</v>
      </c>
      <c r="E43" s="29"/>
      <c r="F43" s="6">
        <f>F41</f>
        <v>2550</v>
      </c>
    </row>
    <row r="44" spans="2:6" x14ac:dyDescent="0.25">
      <c r="B44" s="9" t="s">
        <v>38</v>
      </c>
      <c r="D44" t="s">
        <v>39</v>
      </c>
      <c r="E44" s="29"/>
      <c r="F44" s="6">
        <v>0</v>
      </c>
    </row>
    <row r="45" spans="2:6" ht="30" x14ac:dyDescent="0.25">
      <c r="B45" s="9" t="s">
        <v>40</v>
      </c>
      <c r="D45" t="s">
        <v>41</v>
      </c>
      <c r="E45" s="29" t="s">
        <v>47</v>
      </c>
      <c r="F45" s="6">
        <f>F44</f>
        <v>0</v>
      </c>
    </row>
    <row r="46" spans="2:6" x14ac:dyDescent="0.25">
      <c r="B46" s="9" t="s">
        <v>118</v>
      </c>
      <c r="E46" s="29"/>
      <c r="F46" s="46">
        <f>0.19*F45</f>
        <v>0</v>
      </c>
    </row>
    <row r="47" spans="2:6" x14ac:dyDescent="0.25">
      <c r="E47" s="29"/>
      <c r="F47" s="9"/>
    </row>
    <row r="48" spans="2:6" ht="30" x14ac:dyDescent="0.25">
      <c r="B48" s="9" t="s">
        <v>42</v>
      </c>
      <c r="D48" t="s">
        <v>46</v>
      </c>
      <c r="E48" s="29" t="s">
        <v>45</v>
      </c>
      <c r="F48" s="6">
        <f>F46</f>
        <v>0</v>
      </c>
    </row>
    <row r="49" spans="1:6" x14ac:dyDescent="0.25">
      <c r="B49" s="9" t="s">
        <v>43</v>
      </c>
      <c r="D49" t="s">
        <v>48</v>
      </c>
      <c r="E49" s="29"/>
      <c r="F49" s="6">
        <v>2550</v>
      </c>
    </row>
    <row r="50" spans="1:6" x14ac:dyDescent="0.25">
      <c r="B50" s="9" t="s">
        <v>49</v>
      </c>
      <c r="D50" t="s">
        <v>50</v>
      </c>
      <c r="E50" s="29"/>
      <c r="F50" s="6">
        <f>F39-F49</f>
        <v>0</v>
      </c>
    </row>
    <row r="51" spans="1:6" x14ac:dyDescent="0.25">
      <c r="B51" s="9" t="s">
        <v>51</v>
      </c>
      <c r="D51" t="s">
        <v>52</v>
      </c>
      <c r="E51" s="29"/>
      <c r="F51" s="6">
        <f>F50</f>
        <v>0</v>
      </c>
    </row>
    <row r="52" spans="1:6" x14ac:dyDescent="0.25">
      <c r="B52" s="9" t="s">
        <v>53</v>
      </c>
      <c r="E52" s="29"/>
      <c r="F52" s="36">
        <f>B11</f>
        <v>11000</v>
      </c>
    </row>
    <row r="53" spans="1:6" ht="75" x14ac:dyDescent="0.25">
      <c r="B53" s="9" t="s">
        <v>54</v>
      </c>
      <c r="D53" t="s">
        <v>55</v>
      </c>
      <c r="E53" s="29" t="s">
        <v>56</v>
      </c>
      <c r="F53" s="6">
        <f>ROUND(F51*0.15,2)</f>
        <v>0</v>
      </c>
    </row>
    <row r="54" spans="1:6" x14ac:dyDescent="0.25">
      <c r="B54" s="9" t="s">
        <v>61</v>
      </c>
      <c r="D54" t="s">
        <v>62</v>
      </c>
      <c r="E54" s="29"/>
      <c r="F54" s="6">
        <f>F53</f>
        <v>0</v>
      </c>
    </row>
    <row r="55" spans="1:6" ht="30" x14ac:dyDescent="0.25">
      <c r="B55" s="54" t="s">
        <v>63</v>
      </c>
      <c r="C55" s="54"/>
      <c r="D55" s="7" t="s">
        <v>64</v>
      </c>
      <c r="E55" s="30" t="s">
        <v>45</v>
      </c>
      <c r="F55" s="6">
        <v>0</v>
      </c>
    </row>
    <row r="56" spans="1:6" ht="30" x14ac:dyDescent="0.25">
      <c r="B56" s="9" t="s">
        <v>65</v>
      </c>
      <c r="D56" t="s">
        <v>67</v>
      </c>
      <c r="E56" s="29" t="s">
        <v>45</v>
      </c>
      <c r="F56" s="6">
        <v>0</v>
      </c>
    </row>
    <row r="57" spans="1:6" x14ac:dyDescent="0.25">
      <c r="B57" s="9" t="s">
        <v>66</v>
      </c>
      <c r="D57" t="s">
        <v>68</v>
      </c>
      <c r="E57" s="29"/>
      <c r="F57" s="6">
        <f>F48+F54+F56</f>
        <v>0</v>
      </c>
    </row>
    <row r="58" spans="1:6" x14ac:dyDescent="0.25">
      <c r="A58" s="9" t="s">
        <v>90</v>
      </c>
      <c r="B58" s="9" t="s">
        <v>69</v>
      </c>
      <c r="E58" s="29"/>
      <c r="F58" s="6">
        <f>SUM(F59:F60)</f>
        <v>837.08999999999992</v>
      </c>
    </row>
    <row r="59" spans="1:6" x14ac:dyDescent="0.25">
      <c r="B59" s="9" t="s">
        <v>91</v>
      </c>
      <c r="E59" s="29"/>
      <c r="F59" s="44">
        <f>AG6</f>
        <v>282.83999999999997</v>
      </c>
    </row>
    <row r="60" spans="1:6" x14ac:dyDescent="0.25">
      <c r="B60" s="9" t="s">
        <v>92</v>
      </c>
      <c r="E60" s="29"/>
      <c r="F60" s="44">
        <f>U29</f>
        <v>554.25</v>
      </c>
    </row>
    <row r="61" spans="1:6" ht="30" x14ac:dyDescent="0.25">
      <c r="B61" s="9" t="s">
        <v>70</v>
      </c>
      <c r="D61" t="s">
        <v>71</v>
      </c>
      <c r="E61" s="29" t="s">
        <v>116</v>
      </c>
      <c r="F61" s="6">
        <f>IF(F58&gt;F57,0,F57-F58)</f>
        <v>0</v>
      </c>
    </row>
    <row r="62" spans="1:6" x14ac:dyDescent="0.25">
      <c r="B62" s="9" t="s">
        <v>72</v>
      </c>
      <c r="E62" s="29"/>
      <c r="F62" s="36"/>
    </row>
    <row r="63" spans="1:6" x14ac:dyDescent="0.25">
      <c r="B63" s="9" t="s">
        <v>73</v>
      </c>
      <c r="D63" t="s">
        <v>74</v>
      </c>
      <c r="E63" s="29"/>
      <c r="F63" s="6">
        <f>IF(F58&gt;F62,F58-F62,0)</f>
        <v>837.08999999999992</v>
      </c>
    </row>
    <row r="64" spans="1:6" x14ac:dyDescent="0.25">
      <c r="B64" s="9" t="s">
        <v>75</v>
      </c>
      <c r="D64" t="s">
        <v>78</v>
      </c>
      <c r="E64" s="29"/>
      <c r="F64" s="6">
        <f>IF(F63&gt;F57,F63-F57,0)</f>
        <v>837.08999999999992</v>
      </c>
    </row>
    <row r="65" spans="2:8" x14ac:dyDescent="0.25">
      <c r="B65" s="9" t="s">
        <v>76</v>
      </c>
      <c r="D65" t="s">
        <v>79</v>
      </c>
      <c r="E65" s="29"/>
      <c r="F65" s="6">
        <f>IF(F62&gt;F58,F62-F58,0)</f>
        <v>0</v>
      </c>
    </row>
    <row r="66" spans="2:8" x14ac:dyDescent="0.25">
      <c r="B66" s="9" t="s">
        <v>77</v>
      </c>
      <c r="D66" t="s">
        <v>80</v>
      </c>
      <c r="E66" s="29"/>
      <c r="F66" s="6">
        <f>F61</f>
        <v>0</v>
      </c>
    </row>
    <row r="67" spans="2:8" x14ac:dyDescent="0.25">
      <c r="B67" s="9" t="s">
        <v>81</v>
      </c>
      <c r="E67" s="29"/>
      <c r="F67" s="36"/>
    </row>
    <row r="68" spans="2:8" x14ac:dyDescent="0.25">
      <c r="B68" s="9" t="s">
        <v>82</v>
      </c>
      <c r="E68" s="29"/>
      <c r="F68" s="9"/>
    </row>
    <row r="69" spans="2:8" x14ac:dyDescent="0.25">
      <c r="B69" s="9" t="s">
        <v>84</v>
      </c>
      <c r="D69" t="s">
        <v>87</v>
      </c>
      <c r="F69" s="6">
        <f>F57-F58+F62+F64-F66-F67</f>
        <v>0</v>
      </c>
    </row>
    <row r="70" spans="2:8" x14ac:dyDescent="0.25">
      <c r="B70" s="9" t="s">
        <v>85</v>
      </c>
      <c r="D70" t="s">
        <v>86</v>
      </c>
      <c r="F70" s="6"/>
    </row>
    <row r="71" spans="2:8" x14ac:dyDescent="0.25">
      <c r="C71" s="6"/>
    </row>
    <row r="73" spans="2:8" x14ac:dyDescent="0.25">
      <c r="D73" s="26" t="s">
        <v>121</v>
      </c>
      <c r="E73" s="26" t="s">
        <v>122</v>
      </c>
      <c r="F73" s="5">
        <f>SUM(F74:F75)</f>
        <v>0</v>
      </c>
      <c r="G73" s="27"/>
      <c r="H73" s="27"/>
    </row>
    <row r="74" spans="2:8" x14ac:dyDescent="0.25">
      <c r="D74" s="26"/>
      <c r="E74" s="26" t="s">
        <v>123</v>
      </c>
      <c r="F74" s="3">
        <f>B6</f>
        <v>0</v>
      </c>
      <c r="G74" s="27"/>
      <c r="H74" s="2"/>
    </row>
    <row r="75" spans="2:8" x14ac:dyDescent="0.25">
      <c r="D75" s="26"/>
      <c r="E75" s="26" t="s">
        <v>124</v>
      </c>
      <c r="F75" s="3">
        <f>B7</f>
        <v>0</v>
      </c>
      <c r="G75" s="27"/>
      <c r="H75" s="2"/>
    </row>
    <row r="76" spans="2:8" x14ac:dyDescent="0.25">
      <c r="D76" s="26"/>
      <c r="E76" s="26" t="s">
        <v>125</v>
      </c>
      <c r="F76" s="3">
        <f>B13</f>
        <v>1200</v>
      </c>
      <c r="G76" s="27"/>
      <c r="H76" s="2"/>
    </row>
    <row r="77" spans="2:8" x14ac:dyDescent="0.25">
      <c r="D77" s="26"/>
      <c r="E77" s="26" t="s">
        <v>126</v>
      </c>
      <c r="F77" s="3"/>
      <c r="G77" s="27"/>
      <c r="H77" s="2"/>
    </row>
    <row r="78" spans="2:8" x14ac:dyDescent="0.25">
      <c r="D78" s="26"/>
      <c r="E78" s="26" t="s">
        <v>127</v>
      </c>
      <c r="F78" s="3">
        <f>B14</f>
        <v>650</v>
      </c>
      <c r="G78" s="27"/>
      <c r="H78" s="2"/>
    </row>
    <row r="79" spans="2:8" x14ac:dyDescent="0.25">
      <c r="D79" s="26"/>
      <c r="E79" s="26" t="s">
        <v>128</v>
      </c>
      <c r="F79" s="3">
        <f>F78</f>
        <v>650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6BA1B-AFAE-4779-BFB6-F13EB5E129E8}">
  <dimension ref="A1:AH79"/>
  <sheetViews>
    <sheetView showGridLines="0" zoomScale="90" zoomScaleNormal="90" workbookViewId="0">
      <selection activeCell="I37" sqref="I37"/>
    </sheetView>
  </sheetViews>
  <sheetFormatPr defaultRowHeight="15" x14ac:dyDescent="0.25"/>
  <cols>
    <col min="1" max="1" width="31.42578125" customWidth="1"/>
    <col min="2" max="2" width="11" style="9" customWidth="1"/>
    <col min="3" max="3" width="11.85546875" style="9" customWidth="1"/>
    <col min="4" max="4" width="49" bestFit="1" customWidth="1"/>
    <col min="5" max="5" width="43.42578125" customWidth="1"/>
    <col min="6" max="6" width="11.28515625" customWidth="1"/>
    <col min="7" max="7" width="9.85546875" bestFit="1" customWidth="1"/>
    <col min="13" max="13" width="13" customWidth="1"/>
    <col min="17" max="19" width="0" hidden="1" customWidth="1"/>
    <col min="20" max="20" width="12.7109375" customWidth="1"/>
    <col min="21" max="21" width="9.42578125" bestFit="1" customWidth="1"/>
    <col min="23" max="23" width="9.85546875" bestFit="1" customWidth="1"/>
    <col min="33" max="33" width="11.85546875" customWidth="1"/>
  </cols>
  <sheetData>
    <row r="1" spans="1:34" x14ac:dyDescent="0.25">
      <c r="A1" s="31" t="s">
        <v>132</v>
      </c>
      <c r="T1" s="31" t="s">
        <v>133</v>
      </c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</row>
    <row r="2" spans="1:34" s="2" customFormat="1" x14ac:dyDescent="0.25">
      <c r="A2" s="33" t="s">
        <v>0</v>
      </c>
      <c r="B2" s="34" t="s">
        <v>114</v>
      </c>
      <c r="C2" s="34" t="s">
        <v>113</v>
      </c>
      <c r="E2" s="4" t="s">
        <v>89</v>
      </c>
      <c r="F2"/>
      <c r="G2"/>
      <c r="H2" s="4" t="s">
        <v>96</v>
      </c>
      <c r="I2"/>
      <c r="J2"/>
      <c r="K2"/>
      <c r="L2"/>
      <c r="M2" s="4" t="s">
        <v>97</v>
      </c>
      <c r="N2"/>
    </row>
    <row r="3" spans="1:34" s="2" customFormat="1" x14ac:dyDescent="0.25">
      <c r="A3" s="2" t="s">
        <v>1</v>
      </c>
      <c r="B3" s="35">
        <f>C3*12</f>
        <v>8400</v>
      </c>
      <c r="C3" s="36">
        <v>700</v>
      </c>
      <c r="E3" s="26" t="s">
        <v>93</v>
      </c>
      <c r="F3" s="26">
        <v>47.14</v>
      </c>
      <c r="G3" s="26"/>
      <c r="H3" s="26" t="s">
        <v>105</v>
      </c>
      <c r="I3" s="26"/>
      <c r="J3" s="26"/>
      <c r="K3" s="55">
        <v>70</v>
      </c>
      <c r="L3" s="26"/>
      <c r="M3" s="26" t="s">
        <v>98</v>
      </c>
      <c r="N3" s="56">
        <v>0.2</v>
      </c>
      <c r="O3" s="26"/>
      <c r="T3" s="13"/>
      <c r="U3" s="19">
        <v>1</v>
      </c>
      <c r="V3" s="19">
        <v>2</v>
      </c>
      <c r="W3" s="19">
        <v>3</v>
      </c>
      <c r="X3" s="19">
        <v>4</v>
      </c>
      <c r="Y3" s="19">
        <v>5</v>
      </c>
      <c r="Z3" s="19">
        <v>6</v>
      </c>
      <c r="AA3" s="19">
        <v>7</v>
      </c>
      <c r="AB3" s="19">
        <v>8</v>
      </c>
      <c r="AC3" s="19">
        <v>9</v>
      </c>
      <c r="AD3" s="19">
        <v>10</v>
      </c>
      <c r="AE3" s="19">
        <v>11</v>
      </c>
      <c r="AF3" s="19">
        <v>12</v>
      </c>
      <c r="AG3" s="20" t="s">
        <v>106</v>
      </c>
      <c r="AH3"/>
    </row>
    <row r="4" spans="1:34" s="2" customFormat="1" x14ac:dyDescent="0.25">
      <c r="A4" s="2" t="s">
        <v>2</v>
      </c>
      <c r="B4" s="36">
        <f>C4*12</f>
        <v>789.59999999999991</v>
      </c>
      <c r="C4" s="37">
        <f>0.094*C3</f>
        <v>65.8</v>
      </c>
      <c r="E4" s="26" t="s">
        <v>104</v>
      </c>
      <c r="F4" s="55">
        <v>43.6</v>
      </c>
      <c r="G4" s="26"/>
      <c r="H4" s="26" t="s">
        <v>94</v>
      </c>
      <c r="I4" s="26"/>
      <c r="J4" s="26"/>
      <c r="K4" s="55">
        <v>40</v>
      </c>
      <c r="L4" s="26"/>
      <c r="M4" s="26" t="s">
        <v>99</v>
      </c>
      <c r="N4" s="56">
        <v>0.27</v>
      </c>
      <c r="O4" s="26"/>
      <c r="T4" s="14" t="s">
        <v>107</v>
      </c>
      <c r="U4" s="5">
        <f>($B$3)/12</f>
        <v>700</v>
      </c>
      <c r="V4" s="5">
        <f t="shared" ref="V4:AF4" si="0">($B$3)/12</f>
        <v>700</v>
      </c>
      <c r="W4" s="5">
        <f t="shared" si="0"/>
        <v>700</v>
      </c>
      <c r="X4" s="5">
        <f t="shared" si="0"/>
        <v>700</v>
      </c>
      <c r="Y4" s="5">
        <f t="shared" si="0"/>
        <v>700</v>
      </c>
      <c r="Z4" s="5">
        <f t="shared" si="0"/>
        <v>700</v>
      </c>
      <c r="AA4" s="5">
        <f t="shared" si="0"/>
        <v>700</v>
      </c>
      <c r="AB4" s="5">
        <f t="shared" si="0"/>
        <v>700</v>
      </c>
      <c r="AC4" s="5">
        <f t="shared" si="0"/>
        <v>700</v>
      </c>
      <c r="AD4" s="5">
        <f t="shared" si="0"/>
        <v>700</v>
      </c>
      <c r="AE4" s="5">
        <f t="shared" si="0"/>
        <v>700</v>
      </c>
      <c r="AF4" s="5">
        <f t="shared" si="0"/>
        <v>700</v>
      </c>
      <c r="AG4" s="22">
        <f>SUM(U4:AF4)</f>
        <v>8400</v>
      </c>
      <c r="AH4" s="2" t="s">
        <v>112</v>
      </c>
    </row>
    <row r="5" spans="1:34" s="2" customFormat="1" x14ac:dyDescent="0.25">
      <c r="A5" s="2" t="s">
        <v>3</v>
      </c>
      <c r="B5" s="36">
        <f>C5*12</f>
        <v>336</v>
      </c>
      <c r="C5" s="37">
        <f>0.04*C3</f>
        <v>28</v>
      </c>
      <c r="E5" s="26" t="s">
        <v>94</v>
      </c>
      <c r="F5" s="26">
        <v>23.57</v>
      </c>
      <c r="G5" s="26"/>
      <c r="H5" s="26"/>
      <c r="I5" s="26"/>
      <c r="J5" s="26"/>
      <c r="K5" s="26"/>
      <c r="L5" s="26"/>
      <c r="M5" s="26" t="s">
        <v>100</v>
      </c>
      <c r="N5" s="56">
        <v>0.34</v>
      </c>
      <c r="O5" s="26"/>
      <c r="T5" s="14" t="s">
        <v>108</v>
      </c>
      <c r="U5" s="5">
        <f t="shared" ref="U5:AF5" si="1">$C$7</f>
        <v>224.59500000000003</v>
      </c>
      <c r="V5" s="5">
        <f t="shared" si="1"/>
        <v>224.59500000000003</v>
      </c>
      <c r="W5" s="5">
        <f t="shared" si="1"/>
        <v>224.59500000000003</v>
      </c>
      <c r="X5" s="5">
        <f t="shared" si="1"/>
        <v>224.59500000000003</v>
      </c>
      <c r="Y5" s="5">
        <f t="shared" si="1"/>
        <v>224.59500000000003</v>
      </c>
      <c r="Z5" s="5">
        <f t="shared" si="1"/>
        <v>224.59500000000003</v>
      </c>
      <c r="AA5" s="5">
        <f t="shared" si="1"/>
        <v>224.59500000000003</v>
      </c>
      <c r="AB5" s="5">
        <f t="shared" si="1"/>
        <v>224.59500000000003</v>
      </c>
      <c r="AC5" s="5">
        <f t="shared" si="1"/>
        <v>224.59500000000003</v>
      </c>
      <c r="AD5" s="5">
        <f t="shared" si="1"/>
        <v>224.59500000000003</v>
      </c>
      <c r="AE5" s="5">
        <f t="shared" si="1"/>
        <v>224.59500000000003</v>
      </c>
      <c r="AF5" s="5">
        <f t="shared" si="1"/>
        <v>224.59500000000003</v>
      </c>
      <c r="AG5" s="15">
        <f>SUM(U5:AF5)</f>
        <v>2695.1400000000003</v>
      </c>
    </row>
    <row r="6" spans="1:34" s="2" customFormat="1" x14ac:dyDescent="0.25">
      <c r="A6" s="33"/>
      <c r="B6" s="38"/>
      <c r="C6" s="39">
        <f>F42/12</f>
        <v>381.60500000000002</v>
      </c>
      <c r="D6" s="2" t="s">
        <v>134</v>
      </c>
      <c r="E6" s="26"/>
      <c r="F6" s="26"/>
      <c r="G6" s="26"/>
      <c r="H6" s="26"/>
      <c r="I6" s="26"/>
      <c r="J6" s="26"/>
      <c r="K6" s="26"/>
      <c r="L6" s="26"/>
      <c r="M6" s="26" t="s">
        <v>101</v>
      </c>
      <c r="N6" s="56">
        <v>0.41</v>
      </c>
      <c r="O6" s="26"/>
      <c r="T6" s="14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15"/>
    </row>
    <row r="7" spans="1:34" x14ac:dyDescent="0.25">
      <c r="A7" s="2"/>
      <c r="B7" s="36">
        <f>B3-B4-B5</f>
        <v>7274.4</v>
      </c>
      <c r="C7" s="37">
        <f>C3-C4-C5-C6</f>
        <v>224.59500000000003</v>
      </c>
      <c r="D7" s="2" t="s">
        <v>135</v>
      </c>
      <c r="E7" s="26"/>
      <c r="F7" s="26"/>
      <c r="G7" s="26"/>
      <c r="H7" s="26"/>
      <c r="I7" s="26"/>
      <c r="J7" s="26"/>
      <c r="K7" s="26"/>
      <c r="L7" s="26"/>
      <c r="M7" s="26" t="s">
        <v>102</v>
      </c>
      <c r="N7" s="56">
        <v>0.48</v>
      </c>
      <c r="O7" s="26"/>
      <c r="T7" s="14" t="s">
        <v>109</v>
      </c>
      <c r="U7" s="21">
        <f>$F$3+$F$5</f>
        <v>70.710000000000008</v>
      </c>
      <c r="V7" s="21">
        <f t="shared" ref="V7:Z7" si="2">$F$3+$F$5</f>
        <v>70.710000000000008</v>
      </c>
      <c r="W7" s="21">
        <f t="shared" si="2"/>
        <v>70.710000000000008</v>
      </c>
      <c r="X7" s="21">
        <f t="shared" si="2"/>
        <v>70.710000000000008</v>
      </c>
      <c r="Y7" s="21">
        <f t="shared" si="2"/>
        <v>70.710000000000008</v>
      </c>
      <c r="Z7" s="21">
        <f t="shared" si="2"/>
        <v>70.710000000000008</v>
      </c>
      <c r="AA7" s="5"/>
      <c r="AB7" s="5"/>
      <c r="AC7" s="5"/>
      <c r="AD7" s="5"/>
      <c r="AE7" s="5"/>
      <c r="AF7" s="5"/>
      <c r="AG7" s="16">
        <f>SUM(U7:AF7)</f>
        <v>424.2600000000001</v>
      </c>
      <c r="AH7" s="2"/>
    </row>
    <row r="8" spans="1:34" x14ac:dyDescent="0.25">
      <c r="A8" s="2"/>
      <c r="C8" s="37">
        <f>ROUND(0.19*C7,2)</f>
        <v>42.67</v>
      </c>
      <c r="D8" s="2" t="s">
        <v>136</v>
      </c>
      <c r="E8" s="26"/>
      <c r="F8" s="26"/>
      <c r="G8" s="26"/>
      <c r="H8" s="26"/>
      <c r="I8" s="26"/>
      <c r="J8" s="26"/>
      <c r="K8" s="26"/>
      <c r="L8" s="26"/>
      <c r="M8" s="26"/>
      <c r="N8" s="56"/>
      <c r="O8" s="26"/>
      <c r="T8" s="14" t="s">
        <v>110</v>
      </c>
      <c r="U8" s="5"/>
      <c r="V8" s="5"/>
      <c r="W8" s="5"/>
      <c r="X8" s="5"/>
      <c r="Y8" s="5"/>
      <c r="Z8" s="5"/>
      <c r="AA8" s="21">
        <f>IF($F$3+$F$5&gt;AA9,$F$3+$F$5,IF($K$3+$K$4&gt;AA9,AA9,$K$3+$K$4))</f>
        <v>70.710000000000008</v>
      </c>
      <c r="AB8" s="21">
        <f t="shared" ref="AB8:AF8" si="3">IF($F$3+$F$5&gt;AB9,$F$3+$F$5,IF($K$3+$K$4&gt;AB9,AB9,$K$3+$K$4))</f>
        <v>70.710000000000008</v>
      </c>
      <c r="AC8" s="21">
        <f t="shared" si="3"/>
        <v>70.710000000000008</v>
      </c>
      <c r="AD8" s="21">
        <f t="shared" si="3"/>
        <v>70.710000000000008</v>
      </c>
      <c r="AE8" s="21">
        <f t="shared" si="3"/>
        <v>70.710000000000008</v>
      </c>
      <c r="AF8" s="21">
        <f t="shared" si="3"/>
        <v>70.710000000000008</v>
      </c>
      <c r="AG8" s="16">
        <f>SUM(U8:AF8)</f>
        <v>424.2600000000001</v>
      </c>
      <c r="AH8" s="2"/>
    </row>
    <row r="9" spans="1:34" x14ac:dyDescent="0.25">
      <c r="A9" s="2"/>
      <c r="C9" s="37"/>
      <c r="E9" s="26"/>
      <c r="F9" s="26"/>
      <c r="G9" s="26"/>
      <c r="H9" s="26"/>
      <c r="I9" s="26"/>
      <c r="J9" s="26"/>
      <c r="K9" s="26"/>
      <c r="L9" s="26"/>
      <c r="M9" s="26"/>
      <c r="N9" s="56"/>
      <c r="O9" s="26"/>
      <c r="T9" s="17" t="s">
        <v>120</v>
      </c>
      <c r="U9" s="18"/>
      <c r="V9" s="18"/>
      <c r="W9" s="18"/>
      <c r="X9" s="18"/>
      <c r="Y9" s="18"/>
      <c r="Z9" s="18"/>
      <c r="AA9" s="18">
        <f>0.27*AA5</f>
        <v>60.640650000000008</v>
      </c>
      <c r="AB9" s="18">
        <f t="shared" ref="AB9:AF9" si="4">0.27*AB5</f>
        <v>60.640650000000008</v>
      </c>
      <c r="AC9" s="18">
        <f t="shared" si="4"/>
        <v>60.640650000000008</v>
      </c>
      <c r="AD9" s="18">
        <f t="shared" si="4"/>
        <v>60.640650000000008</v>
      </c>
      <c r="AE9" s="18">
        <f t="shared" si="4"/>
        <v>60.640650000000008</v>
      </c>
      <c r="AF9" s="18">
        <f t="shared" si="4"/>
        <v>60.640650000000008</v>
      </c>
      <c r="AG9" s="23"/>
    </row>
    <row r="10" spans="1:34" s="2" customFormat="1" x14ac:dyDescent="0.25">
      <c r="A10" s="2" t="s">
        <v>4</v>
      </c>
      <c r="B10" s="35">
        <f>12*C8</f>
        <v>512.04</v>
      </c>
      <c r="C10" s="40"/>
      <c r="E10" s="26" t="s">
        <v>117</v>
      </c>
      <c r="F10" s="5">
        <f>AG7+AG8</f>
        <v>848.52000000000021</v>
      </c>
      <c r="G10" s="26"/>
      <c r="H10" s="26"/>
      <c r="I10" s="26"/>
      <c r="J10" s="26"/>
      <c r="K10" s="55"/>
      <c r="L10" s="26"/>
      <c r="M10" s="26" t="s">
        <v>103</v>
      </c>
      <c r="N10" s="56">
        <v>0.55000000000000004</v>
      </c>
      <c r="O10" s="26"/>
      <c r="T10" s="26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/>
    </row>
    <row r="11" spans="1:34" s="2" customFormat="1" x14ac:dyDescent="0.25">
      <c r="A11" s="2" t="s">
        <v>5</v>
      </c>
      <c r="B11" s="35">
        <v>15450</v>
      </c>
      <c r="C11" s="36">
        <f>ROUND(B11*0.6,2)</f>
        <v>9270</v>
      </c>
      <c r="K11" s="10"/>
      <c r="T11" s="41" t="s">
        <v>159</v>
      </c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</row>
    <row r="12" spans="1:34" s="2" customFormat="1" x14ac:dyDescent="0.25">
      <c r="A12" s="2" t="s">
        <v>8</v>
      </c>
      <c r="B12" s="35" t="s">
        <v>10</v>
      </c>
      <c r="C12" s="40"/>
      <c r="K12" s="11"/>
    </row>
    <row r="13" spans="1:34" s="2" customFormat="1" x14ac:dyDescent="0.25">
      <c r="A13" s="2" t="s">
        <v>6</v>
      </c>
      <c r="B13" s="35">
        <v>1720.95</v>
      </c>
      <c r="C13" s="40"/>
      <c r="T13" s="13"/>
      <c r="U13" s="19">
        <v>7</v>
      </c>
      <c r="V13" s="19">
        <v>8</v>
      </c>
      <c r="W13" s="19">
        <v>9</v>
      </c>
      <c r="X13" s="19">
        <v>10</v>
      </c>
      <c r="Y13" s="19">
        <v>11</v>
      </c>
      <c r="Z13" s="19">
        <v>12</v>
      </c>
      <c r="AA13" s="20"/>
    </row>
    <row r="14" spans="1:34" s="2" customFormat="1" x14ac:dyDescent="0.25">
      <c r="A14" s="2" t="s">
        <v>7</v>
      </c>
      <c r="B14" s="35">
        <v>687.96</v>
      </c>
      <c r="C14" s="40"/>
      <c r="K14" s="12"/>
      <c r="T14" s="14" t="s">
        <v>107</v>
      </c>
      <c r="U14" s="5">
        <f t="shared" ref="U14:Z14" si="5">($B$3)/12</f>
        <v>700</v>
      </c>
      <c r="V14" s="5">
        <f t="shared" si="5"/>
        <v>700</v>
      </c>
      <c r="W14" s="5">
        <f t="shared" si="5"/>
        <v>700</v>
      </c>
      <c r="X14" s="5">
        <f t="shared" si="5"/>
        <v>700</v>
      </c>
      <c r="Y14" s="5">
        <f t="shared" si="5"/>
        <v>700</v>
      </c>
      <c r="Z14" s="5">
        <f t="shared" si="5"/>
        <v>700</v>
      </c>
      <c r="AA14" s="22"/>
    </row>
    <row r="15" spans="1:34" s="2" customFormat="1" x14ac:dyDescent="0.25">
      <c r="A15" s="2" t="s">
        <v>83</v>
      </c>
      <c r="B15" s="35">
        <v>0</v>
      </c>
      <c r="C15" s="40"/>
      <c r="T15" s="14" t="s">
        <v>137</v>
      </c>
      <c r="U15" s="5">
        <f>$F$3+$F$5</f>
        <v>70.710000000000008</v>
      </c>
      <c r="V15" s="5">
        <f t="shared" ref="V15:Z15" si="6">$F$3+$F$5</f>
        <v>70.710000000000008</v>
      </c>
      <c r="W15" s="5">
        <f t="shared" si="6"/>
        <v>70.710000000000008</v>
      </c>
      <c r="X15" s="5">
        <f t="shared" si="6"/>
        <v>70.710000000000008</v>
      </c>
      <c r="Y15" s="5">
        <f t="shared" si="6"/>
        <v>70.710000000000008</v>
      </c>
      <c r="Z15" s="5">
        <f t="shared" si="6"/>
        <v>70.710000000000008</v>
      </c>
      <c r="AA15" s="22">
        <f>SUM(U15:Z15)</f>
        <v>424.2600000000001</v>
      </c>
      <c r="AB15"/>
    </row>
    <row r="16" spans="1:34" s="2" customFormat="1" x14ac:dyDescent="0.25">
      <c r="B16" s="36"/>
      <c r="C16" s="40"/>
      <c r="T16" s="17" t="s">
        <v>138</v>
      </c>
      <c r="U16" s="18">
        <f>$K$3+$K$4</f>
        <v>110</v>
      </c>
      <c r="V16" s="18">
        <f t="shared" ref="V16:Z16" si="7">$K$3+$K$4</f>
        <v>110</v>
      </c>
      <c r="W16" s="18">
        <f t="shared" si="7"/>
        <v>110</v>
      </c>
      <c r="X16" s="18">
        <f t="shared" si="7"/>
        <v>110</v>
      </c>
      <c r="Y16" s="18">
        <f t="shared" si="7"/>
        <v>110</v>
      </c>
      <c r="Z16" s="18">
        <f t="shared" si="7"/>
        <v>110</v>
      </c>
      <c r="AA16" s="60">
        <f>SUM(U16:Z16)</f>
        <v>660</v>
      </c>
      <c r="AB16" t="s">
        <v>139</v>
      </c>
    </row>
    <row r="17" spans="1:34" s="2" customFormat="1" x14ac:dyDescent="0.25">
      <c r="A17" s="42" t="s">
        <v>9</v>
      </c>
      <c r="B17" s="40" t="s">
        <v>10</v>
      </c>
      <c r="C17" s="40"/>
      <c r="T17" s="26"/>
      <c r="U17" s="5"/>
      <c r="V17" s="5"/>
      <c r="W17" s="5"/>
      <c r="X17" s="5"/>
      <c r="Y17" s="5"/>
      <c r="Z17" s="5"/>
      <c r="AA17" s="5"/>
      <c r="AB17"/>
      <c r="AC17"/>
      <c r="AD17"/>
      <c r="AE17"/>
      <c r="AF17"/>
      <c r="AG17"/>
    </row>
    <row r="18" spans="1:34" s="2" customFormat="1" x14ac:dyDescent="0.25">
      <c r="A18" s="42" t="s">
        <v>88</v>
      </c>
      <c r="B18" s="40" t="s">
        <v>11</v>
      </c>
      <c r="C18" s="40"/>
      <c r="T18" s="26"/>
      <c r="U18" s="5"/>
      <c r="V18" s="5"/>
      <c r="W18" s="5"/>
      <c r="X18" s="5"/>
      <c r="Y18" s="5"/>
      <c r="Z18" s="5"/>
      <c r="AA18" s="5"/>
      <c r="AB18"/>
    </row>
    <row r="19" spans="1:34" x14ac:dyDescent="0.25">
      <c r="A19" s="42" t="s">
        <v>12</v>
      </c>
      <c r="B19" s="43" t="s">
        <v>95</v>
      </c>
      <c r="T19" s="13" t="s">
        <v>115</v>
      </c>
      <c r="U19" s="57"/>
      <c r="V19" s="57"/>
      <c r="W19" s="58">
        <f>F23+F36</f>
        <v>11045.49</v>
      </c>
      <c r="X19" s="26" t="s">
        <v>119</v>
      </c>
      <c r="AC19" s="2"/>
      <c r="AD19" s="2"/>
      <c r="AE19" s="2"/>
      <c r="AF19" s="2"/>
      <c r="AG19" s="2"/>
      <c r="AH19" s="2"/>
    </row>
    <row r="20" spans="1:34" x14ac:dyDescent="0.25">
      <c r="T20" s="14" t="s">
        <v>111</v>
      </c>
      <c r="U20" s="26"/>
      <c r="V20" s="26"/>
      <c r="W20" s="15">
        <f>W19/2</f>
        <v>5522.7449999999999</v>
      </c>
      <c r="X20" s="26"/>
    </row>
    <row r="21" spans="1:34" x14ac:dyDescent="0.25">
      <c r="B21" s="9" t="s">
        <v>13</v>
      </c>
      <c r="F21" s="36">
        <f>B3</f>
        <v>8400</v>
      </c>
      <c r="T21" s="17" t="s">
        <v>140</v>
      </c>
      <c r="U21" s="52"/>
      <c r="V21" s="52"/>
      <c r="W21" s="59">
        <f>0.27*W20</f>
        <v>1491.1411500000002</v>
      </c>
      <c r="X21" s="26"/>
    </row>
    <row r="22" spans="1:34" x14ac:dyDescent="0.25">
      <c r="B22" s="9" t="s">
        <v>14</v>
      </c>
      <c r="F22" s="36">
        <f>B4+B5</f>
        <v>1125.5999999999999</v>
      </c>
    </row>
    <row r="23" spans="1:34" x14ac:dyDescent="0.25">
      <c r="B23" s="9" t="s">
        <v>15</v>
      </c>
      <c r="F23" s="6">
        <f>F21-F22</f>
        <v>7274.4</v>
      </c>
    </row>
    <row r="24" spans="1:34" x14ac:dyDescent="0.25">
      <c r="C24" s="6"/>
    </row>
    <row r="25" spans="1:34" x14ac:dyDescent="0.25">
      <c r="B25" t="s">
        <v>16</v>
      </c>
      <c r="F25" s="6" t="s">
        <v>57</v>
      </c>
      <c r="G25" s="6" t="s">
        <v>58</v>
      </c>
    </row>
    <row r="26" spans="1:34" x14ac:dyDescent="0.25">
      <c r="B26" s="6" t="s">
        <v>59</v>
      </c>
      <c r="D26" s="8"/>
      <c r="F26" s="36">
        <f>B11</f>
        <v>15450</v>
      </c>
      <c r="G26" s="36"/>
    </row>
    <row r="27" spans="1:34" x14ac:dyDescent="0.25">
      <c r="B27" s="6" t="s">
        <v>60</v>
      </c>
      <c r="D27" s="1"/>
      <c r="E27" s="1"/>
      <c r="F27" s="6">
        <f>F26</f>
        <v>15450</v>
      </c>
      <c r="G27" s="36">
        <f>IF(ROUND(F27*0.6,2)&gt;20000,20000+F30,ROUND(F27*0.6,2)+F30)</f>
        <v>11678.91</v>
      </c>
    </row>
    <row r="28" spans="1:34" x14ac:dyDescent="0.25">
      <c r="C28" s="6"/>
    </row>
    <row r="29" spans="1:34" x14ac:dyDescent="0.25">
      <c r="B29" t="s">
        <v>17</v>
      </c>
      <c r="C29" s="6"/>
    </row>
    <row r="30" spans="1:34" x14ac:dyDescent="0.25">
      <c r="F30" s="36">
        <f>B13+B14</f>
        <v>2408.91</v>
      </c>
    </row>
    <row r="31" spans="1:34" x14ac:dyDescent="0.25">
      <c r="F31" s="6"/>
    </row>
    <row r="32" spans="1:34" x14ac:dyDescent="0.25">
      <c r="B32" s="9" t="s">
        <v>18</v>
      </c>
      <c r="F32" s="6">
        <f>F27</f>
        <v>15450</v>
      </c>
    </row>
    <row r="33" spans="2:6" x14ac:dyDescent="0.25">
      <c r="B33" s="9" t="s">
        <v>19</v>
      </c>
      <c r="F33" s="6">
        <f>G27</f>
        <v>11678.91</v>
      </c>
    </row>
    <row r="34" spans="2:6" x14ac:dyDescent="0.25">
      <c r="B34" s="9" t="s">
        <v>20</v>
      </c>
      <c r="D34" t="s">
        <v>26</v>
      </c>
      <c r="F34" s="6">
        <f>F32-F33</f>
        <v>3771.09</v>
      </c>
    </row>
    <row r="35" spans="2:6" x14ac:dyDescent="0.25">
      <c r="B35" s="9" t="s">
        <v>22</v>
      </c>
      <c r="D35" t="s">
        <v>25</v>
      </c>
      <c r="F35" s="6"/>
    </row>
    <row r="36" spans="2:6" x14ac:dyDescent="0.25">
      <c r="B36" s="9" t="s">
        <v>21</v>
      </c>
      <c r="D36" t="s">
        <v>27</v>
      </c>
      <c r="F36" s="6">
        <f>F34</f>
        <v>3771.09</v>
      </c>
    </row>
    <row r="37" spans="2:6" x14ac:dyDescent="0.25">
      <c r="B37" s="9" t="s">
        <v>23</v>
      </c>
      <c r="D37" t="s">
        <v>28</v>
      </c>
      <c r="F37" s="6"/>
    </row>
    <row r="38" spans="2:6" x14ac:dyDescent="0.25">
      <c r="B38" s="9" t="s">
        <v>24</v>
      </c>
      <c r="D38" t="s">
        <v>29</v>
      </c>
      <c r="F38" s="6">
        <f>F36</f>
        <v>3771.09</v>
      </c>
    </row>
    <row r="39" spans="2:6" x14ac:dyDescent="0.25">
      <c r="B39" s="9" t="s">
        <v>31</v>
      </c>
      <c r="D39" t="s">
        <v>30</v>
      </c>
      <c r="F39" s="6">
        <f>F38</f>
        <v>3771.09</v>
      </c>
    </row>
    <row r="40" spans="2:6" ht="30" x14ac:dyDescent="0.25">
      <c r="B40" s="9" t="s">
        <v>33</v>
      </c>
      <c r="D40" t="s">
        <v>44</v>
      </c>
      <c r="E40" s="29" t="s">
        <v>47</v>
      </c>
      <c r="F40" s="6">
        <v>0</v>
      </c>
    </row>
    <row r="41" spans="2:6" x14ac:dyDescent="0.25">
      <c r="B41" s="9" t="s">
        <v>32</v>
      </c>
      <c r="D41" t="s">
        <v>34</v>
      </c>
      <c r="E41" s="29"/>
      <c r="F41" s="6">
        <f>F23+F39</f>
        <v>11045.49</v>
      </c>
    </row>
    <row r="42" spans="2:6" x14ac:dyDescent="0.25">
      <c r="B42" s="9" t="s">
        <v>35</v>
      </c>
      <c r="E42" s="29"/>
      <c r="F42" s="45">
        <f>IF(F41&gt;20235.97,9638.25-(F41/4),4579.26)</f>
        <v>4579.26</v>
      </c>
    </row>
    <row r="43" spans="2:6" x14ac:dyDescent="0.25">
      <c r="B43" s="9" t="s">
        <v>36</v>
      </c>
      <c r="D43" t="s">
        <v>37</v>
      </c>
      <c r="E43" s="29"/>
      <c r="F43" s="6">
        <f>F42</f>
        <v>4579.26</v>
      </c>
    </row>
    <row r="44" spans="2:6" x14ac:dyDescent="0.25">
      <c r="B44" s="9" t="s">
        <v>38</v>
      </c>
      <c r="D44" t="s">
        <v>39</v>
      </c>
      <c r="E44" s="29"/>
      <c r="F44" s="6">
        <f>F23-F43</f>
        <v>2695.1399999999994</v>
      </c>
    </row>
    <row r="45" spans="2:6" ht="30" x14ac:dyDescent="0.25">
      <c r="B45" s="9" t="s">
        <v>40</v>
      </c>
      <c r="D45" t="s">
        <v>41</v>
      </c>
      <c r="E45" s="29" t="s">
        <v>47</v>
      </c>
      <c r="F45" s="6">
        <f>F44</f>
        <v>2695.1399999999994</v>
      </c>
    </row>
    <row r="46" spans="2:6" x14ac:dyDescent="0.25">
      <c r="B46" s="9" t="s">
        <v>118</v>
      </c>
      <c r="E46" s="29"/>
      <c r="F46" s="46">
        <f>0.19*F45</f>
        <v>512.07659999999987</v>
      </c>
    </row>
    <row r="47" spans="2:6" x14ac:dyDescent="0.25">
      <c r="E47" s="29"/>
      <c r="F47" s="9"/>
    </row>
    <row r="48" spans="2:6" ht="30" x14ac:dyDescent="0.25">
      <c r="B48" s="9" t="s">
        <v>42</v>
      </c>
      <c r="D48" t="s">
        <v>46</v>
      </c>
      <c r="E48" s="29" t="s">
        <v>45</v>
      </c>
      <c r="F48" s="6">
        <f>F46</f>
        <v>512.07659999999987</v>
      </c>
    </row>
    <row r="49" spans="1:6" x14ac:dyDescent="0.25">
      <c r="B49" s="9" t="s">
        <v>43</v>
      </c>
      <c r="D49" t="s">
        <v>48</v>
      </c>
      <c r="E49" s="29"/>
      <c r="F49" s="6">
        <v>0</v>
      </c>
    </row>
    <row r="50" spans="1:6" x14ac:dyDescent="0.25">
      <c r="B50" s="9" t="s">
        <v>49</v>
      </c>
      <c r="D50" t="s">
        <v>50</v>
      </c>
      <c r="E50" s="29"/>
      <c r="F50" s="6">
        <f>F39-F49</f>
        <v>3771.09</v>
      </c>
    </row>
    <row r="51" spans="1:6" x14ac:dyDescent="0.25">
      <c r="B51" s="9" t="s">
        <v>51</v>
      </c>
      <c r="D51" t="s">
        <v>52</v>
      </c>
      <c r="E51" s="29"/>
      <c r="F51" s="6">
        <f>F50</f>
        <v>3771.09</v>
      </c>
    </row>
    <row r="52" spans="1:6" x14ac:dyDescent="0.25">
      <c r="B52" s="9" t="s">
        <v>53</v>
      </c>
      <c r="E52" s="29"/>
      <c r="F52" s="36">
        <f>B11</f>
        <v>15450</v>
      </c>
    </row>
    <row r="53" spans="1:6" ht="75" x14ac:dyDescent="0.25">
      <c r="B53" s="9" t="s">
        <v>54</v>
      </c>
      <c r="D53" t="s">
        <v>55</v>
      </c>
      <c r="E53" s="29" t="s">
        <v>56</v>
      </c>
      <c r="F53" s="6">
        <f>ROUND(F51*0.15,2)</f>
        <v>565.66</v>
      </c>
    </row>
    <row r="54" spans="1:6" x14ac:dyDescent="0.25">
      <c r="B54" s="9" t="s">
        <v>61</v>
      </c>
      <c r="D54" t="s">
        <v>62</v>
      </c>
      <c r="E54" s="29"/>
      <c r="F54" s="6">
        <f>F53</f>
        <v>565.66</v>
      </c>
    </row>
    <row r="55" spans="1:6" ht="30" x14ac:dyDescent="0.25">
      <c r="B55" s="9" t="s">
        <v>63</v>
      </c>
      <c r="D55" t="s">
        <v>64</v>
      </c>
      <c r="E55" s="29" t="s">
        <v>45</v>
      </c>
      <c r="F55" s="6">
        <v>0</v>
      </c>
    </row>
    <row r="56" spans="1:6" ht="30" x14ac:dyDescent="0.25">
      <c r="B56" s="9" t="s">
        <v>65</v>
      </c>
      <c r="D56" t="s">
        <v>67</v>
      </c>
      <c r="E56" s="29" t="s">
        <v>45</v>
      </c>
      <c r="F56" s="6">
        <v>0</v>
      </c>
    </row>
    <row r="57" spans="1:6" x14ac:dyDescent="0.25">
      <c r="B57" s="9" t="s">
        <v>66</v>
      </c>
      <c r="D57" t="s">
        <v>68</v>
      </c>
      <c r="E57" s="29"/>
      <c r="F57" s="6">
        <f>F48+F54+F56</f>
        <v>1077.7365999999997</v>
      </c>
    </row>
    <row r="58" spans="1:6" x14ac:dyDescent="0.25">
      <c r="A58" s="9" t="s">
        <v>90</v>
      </c>
      <c r="B58" s="9" t="s">
        <v>69</v>
      </c>
      <c r="E58" s="29"/>
      <c r="F58" s="6">
        <f>SUM(F59:F60)</f>
        <v>1084.2600000000002</v>
      </c>
    </row>
    <row r="59" spans="1:6" x14ac:dyDescent="0.25">
      <c r="B59" s="9" t="s">
        <v>91</v>
      </c>
      <c r="E59" s="29"/>
      <c r="F59" s="36">
        <f>AG7</f>
        <v>424.2600000000001</v>
      </c>
    </row>
    <row r="60" spans="1:6" x14ac:dyDescent="0.25">
      <c r="B60" s="9" t="s">
        <v>92</v>
      </c>
      <c r="E60" s="29"/>
      <c r="F60" s="36">
        <f>AA16</f>
        <v>660</v>
      </c>
    </row>
    <row r="61" spans="1:6" ht="30" x14ac:dyDescent="0.25">
      <c r="B61" s="9" t="s">
        <v>70</v>
      </c>
      <c r="D61" t="s">
        <v>71</v>
      </c>
      <c r="E61" s="29" t="s">
        <v>116</v>
      </c>
      <c r="F61" s="6">
        <f>IF(F58&gt;F57,0,F57-F58)</f>
        <v>0</v>
      </c>
    </row>
    <row r="62" spans="1:6" x14ac:dyDescent="0.25">
      <c r="B62" s="9" t="s">
        <v>72</v>
      </c>
      <c r="E62" s="29"/>
      <c r="F62" s="36">
        <f>AG7+AG8</f>
        <v>848.52000000000021</v>
      </c>
    </row>
    <row r="63" spans="1:6" x14ac:dyDescent="0.25">
      <c r="B63" s="9" t="s">
        <v>73</v>
      </c>
      <c r="D63" t="s">
        <v>74</v>
      </c>
      <c r="E63" s="29"/>
      <c r="F63" s="6">
        <f>IF(F58&gt;F62,F58-F62,0)</f>
        <v>235.74</v>
      </c>
    </row>
    <row r="64" spans="1:6" x14ac:dyDescent="0.25">
      <c r="B64" s="9" t="s">
        <v>75</v>
      </c>
      <c r="D64" t="s">
        <v>78</v>
      </c>
      <c r="E64" s="29"/>
      <c r="F64" s="6">
        <f>IF(F63&gt;F57,F63-F57,0)</f>
        <v>0</v>
      </c>
    </row>
    <row r="65" spans="2:6" x14ac:dyDescent="0.25">
      <c r="B65" s="9" t="s">
        <v>76</v>
      </c>
      <c r="D65" t="s">
        <v>79</v>
      </c>
      <c r="E65" s="29"/>
      <c r="F65" s="6">
        <f>IF(F62&gt;F58,F62-F58,0)</f>
        <v>0</v>
      </c>
    </row>
    <row r="66" spans="2:6" x14ac:dyDescent="0.25">
      <c r="B66" s="9" t="s">
        <v>77</v>
      </c>
      <c r="D66" t="s">
        <v>80</v>
      </c>
      <c r="E66" s="29"/>
      <c r="F66" s="6">
        <f>F61</f>
        <v>0</v>
      </c>
    </row>
    <row r="67" spans="2:6" x14ac:dyDescent="0.25">
      <c r="B67" s="9" t="s">
        <v>81</v>
      </c>
      <c r="E67" s="29"/>
      <c r="F67" s="36">
        <f>B10</f>
        <v>512.04</v>
      </c>
    </row>
    <row r="68" spans="2:6" x14ac:dyDescent="0.25">
      <c r="B68" s="9" t="s">
        <v>82</v>
      </c>
      <c r="E68" s="29"/>
      <c r="F68" s="9"/>
    </row>
    <row r="69" spans="2:6" x14ac:dyDescent="0.25">
      <c r="B69" s="9" t="s">
        <v>84</v>
      </c>
      <c r="D69" t="s">
        <v>87</v>
      </c>
      <c r="F69" s="6">
        <f>F57-F58+F62+F64-F66-F67</f>
        <v>329.95659999999975</v>
      </c>
    </row>
    <row r="70" spans="2:6" x14ac:dyDescent="0.25">
      <c r="B70" s="9" t="s">
        <v>85</v>
      </c>
      <c r="D70" t="s">
        <v>86</v>
      </c>
      <c r="F70" s="6"/>
    </row>
    <row r="71" spans="2:6" x14ac:dyDescent="0.25">
      <c r="C71" s="6"/>
    </row>
    <row r="73" spans="2:6" x14ac:dyDescent="0.25">
      <c r="D73" s="26" t="s">
        <v>121</v>
      </c>
      <c r="E73" s="26" t="s">
        <v>122</v>
      </c>
      <c r="F73" s="5">
        <f>B4+B5</f>
        <v>1125.5999999999999</v>
      </c>
    </row>
    <row r="74" spans="2:6" x14ac:dyDescent="0.25">
      <c r="D74" s="26"/>
      <c r="E74" s="26" t="s">
        <v>123</v>
      </c>
      <c r="F74" s="3">
        <f>B4</f>
        <v>789.59999999999991</v>
      </c>
    </row>
    <row r="75" spans="2:6" x14ac:dyDescent="0.25">
      <c r="D75" s="26"/>
      <c r="E75" s="26" t="s">
        <v>124</v>
      </c>
      <c r="F75" s="3">
        <f>B5</f>
        <v>336</v>
      </c>
    </row>
    <row r="76" spans="2:6" x14ac:dyDescent="0.25">
      <c r="D76" s="26"/>
      <c r="E76" s="26" t="s">
        <v>125</v>
      </c>
      <c r="F76" s="3">
        <f>B13</f>
        <v>1720.95</v>
      </c>
    </row>
    <row r="77" spans="2:6" x14ac:dyDescent="0.25">
      <c r="D77" s="26"/>
      <c r="E77" s="26" t="s">
        <v>126</v>
      </c>
      <c r="F77" s="3"/>
    </row>
    <row r="78" spans="2:6" x14ac:dyDescent="0.25">
      <c r="D78" s="26"/>
      <c r="E78" s="26" t="s">
        <v>127</v>
      </c>
      <c r="F78" s="3">
        <f>B14</f>
        <v>687.96</v>
      </c>
    </row>
    <row r="79" spans="2:6" x14ac:dyDescent="0.25">
      <c r="D79" s="26"/>
      <c r="E79" s="26" t="s">
        <v>128</v>
      </c>
      <c r="F79" s="3">
        <f>F78</f>
        <v>687.96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5</vt:i4>
      </vt:variant>
    </vt:vector>
  </HeadingPairs>
  <TitlesOfParts>
    <vt:vector size="5" baseType="lpstr">
      <vt:lpstr>Priklad_1 </vt:lpstr>
      <vt:lpstr>Priklad_2</vt:lpstr>
      <vt:lpstr>Priklad_5</vt:lpstr>
      <vt:lpstr>Priklad_3</vt:lpstr>
      <vt:lpstr>Priklad_4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Advisor</dc:creator>
  <cp:lastModifiedBy>Advisor 5</cp:lastModifiedBy>
  <dcterms:created xsi:type="dcterms:W3CDTF">2022-02-16T21:57:16Z</dcterms:created>
  <dcterms:modified xsi:type="dcterms:W3CDTF">2023-02-11T18:18:16Z</dcterms:modified>
</cp:coreProperties>
</file>