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umerical_routines\integer\"/>
    </mc:Choice>
  </mc:AlternateContent>
  <xr:revisionPtr revIDLastSave="0" documentId="13_ncr:1_{B5D5022A-F669-49A6-AA84-EBD85932E352}" xr6:coauthVersionLast="45" xr6:coauthVersionMax="45" xr10:uidLastSave="{00000000-0000-0000-0000-000000000000}"/>
  <bookViews>
    <workbookView xWindow="-120" yWindow="-120" windowWidth="29040" windowHeight="15840" xr2:uid="{8E938354-78FE-4E42-B184-39721142069A}"/>
  </bookViews>
  <sheets>
    <sheet name="Unsigned 8 bit" sheetId="1" r:id="rId1"/>
  </sheets>
  <definedNames>
    <definedName name="_xlnm._FilterDatabase" localSheetId="0" hidden="1">'Unsigned 8 bit'!$L$5:$U$261</definedName>
    <definedName name="_xlnm.Extract" localSheetId="0">'Unsigned 8 bit'!#REF!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C5" i="1"/>
  <c r="D5" i="1"/>
  <c r="D6" i="1" s="1"/>
  <c r="J5" i="1"/>
  <c r="I5" i="1"/>
  <c r="H5" i="1"/>
  <c r="G5" i="1"/>
  <c r="F5" i="1"/>
  <c r="E5" i="1"/>
  <c r="B6" i="1"/>
  <c r="F6" i="1" l="1"/>
  <c r="E6" i="1"/>
  <c r="J6" i="1"/>
  <c r="C6" i="1"/>
  <c r="I6" i="1"/>
  <c r="H6" i="1"/>
  <c r="B7" i="1"/>
  <c r="G6" i="1"/>
  <c r="I7" i="1" l="1"/>
  <c r="J7" i="1"/>
  <c r="H7" i="1"/>
  <c r="F7" i="1"/>
  <c r="G7" i="1"/>
  <c r="D7" i="1"/>
  <c r="E7" i="1"/>
  <c r="C7" i="1"/>
  <c r="B8" i="1"/>
  <c r="H8" i="1" l="1"/>
  <c r="I8" i="1"/>
  <c r="J8" i="1"/>
  <c r="F8" i="1"/>
  <c r="G8" i="1"/>
  <c r="D8" i="1"/>
  <c r="E8" i="1"/>
  <c r="B9" i="1"/>
  <c r="C8" i="1"/>
  <c r="B10" i="1" l="1"/>
  <c r="I9" i="1"/>
  <c r="J9" i="1"/>
  <c r="H9" i="1"/>
  <c r="G9" i="1"/>
  <c r="F9" i="1"/>
  <c r="D9" i="1"/>
  <c r="E9" i="1"/>
  <c r="C9" i="1"/>
  <c r="B11" i="1" l="1"/>
  <c r="H10" i="1"/>
  <c r="I10" i="1"/>
  <c r="J10" i="1"/>
  <c r="G10" i="1"/>
  <c r="F10" i="1"/>
  <c r="E10" i="1"/>
  <c r="C10" i="1"/>
  <c r="D10" i="1"/>
  <c r="B12" i="1" l="1"/>
  <c r="H11" i="1"/>
  <c r="I11" i="1"/>
  <c r="J11" i="1"/>
  <c r="F11" i="1"/>
  <c r="G11" i="1"/>
  <c r="E11" i="1"/>
  <c r="C11" i="1"/>
  <c r="D11" i="1"/>
  <c r="B13" i="1" l="1"/>
  <c r="H12" i="1"/>
  <c r="J12" i="1"/>
  <c r="F12" i="1"/>
  <c r="I12" i="1"/>
  <c r="G12" i="1"/>
  <c r="E12" i="1"/>
  <c r="D12" i="1"/>
  <c r="C12" i="1"/>
  <c r="B14" i="1" l="1"/>
  <c r="I13" i="1"/>
  <c r="J13" i="1"/>
  <c r="H13" i="1"/>
  <c r="F13" i="1"/>
  <c r="G13" i="1"/>
  <c r="D13" i="1"/>
  <c r="E13" i="1"/>
  <c r="C13" i="1"/>
  <c r="B15" i="1" l="1"/>
  <c r="J14" i="1"/>
  <c r="I14" i="1"/>
  <c r="H14" i="1"/>
  <c r="F14" i="1"/>
  <c r="G14" i="1"/>
  <c r="D14" i="1"/>
  <c r="E14" i="1"/>
  <c r="C14" i="1"/>
  <c r="B16" i="1" l="1"/>
  <c r="I15" i="1"/>
  <c r="J15" i="1"/>
  <c r="H15" i="1"/>
  <c r="F15" i="1"/>
  <c r="G15" i="1"/>
  <c r="D15" i="1"/>
  <c r="E15" i="1"/>
  <c r="C15" i="1"/>
  <c r="B17" i="1" l="1"/>
  <c r="H16" i="1"/>
  <c r="I16" i="1"/>
  <c r="J16" i="1"/>
  <c r="F16" i="1"/>
  <c r="G16" i="1"/>
  <c r="D16" i="1"/>
  <c r="E16" i="1"/>
  <c r="C16" i="1"/>
  <c r="B18" i="1" l="1"/>
  <c r="I17" i="1"/>
  <c r="J17" i="1"/>
  <c r="H17" i="1"/>
  <c r="G17" i="1"/>
  <c r="D17" i="1"/>
  <c r="F17" i="1"/>
  <c r="E17" i="1"/>
  <c r="C17" i="1"/>
  <c r="B19" i="1" l="1"/>
  <c r="H18" i="1"/>
  <c r="I18" i="1"/>
  <c r="J18" i="1"/>
  <c r="G18" i="1"/>
  <c r="F18" i="1"/>
  <c r="E18" i="1"/>
  <c r="C18" i="1"/>
  <c r="D18" i="1"/>
  <c r="B20" i="1" l="1"/>
  <c r="H19" i="1"/>
  <c r="I19" i="1"/>
  <c r="J19" i="1"/>
  <c r="F19" i="1"/>
  <c r="G19" i="1"/>
  <c r="E19" i="1"/>
  <c r="C19" i="1"/>
  <c r="D19" i="1"/>
  <c r="B21" i="1" l="1"/>
  <c r="H20" i="1"/>
  <c r="J20" i="1"/>
  <c r="F20" i="1"/>
  <c r="G20" i="1"/>
  <c r="I20" i="1"/>
  <c r="E20" i="1"/>
  <c r="C20" i="1"/>
  <c r="D20" i="1"/>
  <c r="B22" i="1" l="1"/>
  <c r="I21" i="1"/>
  <c r="J21" i="1"/>
  <c r="F21" i="1"/>
  <c r="G21" i="1"/>
  <c r="D21" i="1"/>
  <c r="H21" i="1"/>
  <c r="E21" i="1"/>
  <c r="C21" i="1"/>
  <c r="B23" i="1" l="1"/>
  <c r="J22" i="1"/>
  <c r="G22" i="1"/>
  <c r="I22" i="1"/>
  <c r="H22" i="1"/>
  <c r="D22" i="1"/>
  <c r="E22" i="1"/>
  <c r="F22" i="1"/>
  <c r="C22" i="1"/>
  <c r="B24" i="1" l="1"/>
  <c r="I23" i="1"/>
  <c r="J23" i="1"/>
  <c r="H23" i="1"/>
  <c r="F23" i="1"/>
  <c r="G23" i="1"/>
  <c r="E23" i="1"/>
  <c r="D23" i="1"/>
  <c r="C23" i="1"/>
  <c r="B25" i="1" l="1"/>
  <c r="H24" i="1"/>
  <c r="I24" i="1"/>
  <c r="J24" i="1"/>
  <c r="F24" i="1"/>
  <c r="G24" i="1"/>
  <c r="D24" i="1"/>
  <c r="E24" i="1"/>
  <c r="C24" i="1"/>
  <c r="B26" i="1" l="1"/>
  <c r="I25" i="1"/>
  <c r="J25" i="1"/>
  <c r="H25" i="1"/>
  <c r="G25" i="1"/>
  <c r="F25" i="1"/>
  <c r="D25" i="1"/>
  <c r="E25" i="1"/>
  <c r="C25" i="1"/>
  <c r="B27" i="1" l="1"/>
  <c r="H26" i="1"/>
  <c r="I26" i="1"/>
  <c r="J26" i="1"/>
  <c r="G26" i="1"/>
  <c r="F26" i="1"/>
  <c r="E26" i="1"/>
  <c r="C26" i="1"/>
  <c r="D26" i="1"/>
  <c r="B28" i="1" l="1"/>
  <c r="H27" i="1"/>
  <c r="I27" i="1"/>
  <c r="J27" i="1"/>
  <c r="F27" i="1"/>
  <c r="G27" i="1"/>
  <c r="E27" i="1"/>
  <c r="C27" i="1"/>
  <c r="D27" i="1"/>
  <c r="B29" i="1" l="1"/>
  <c r="H28" i="1"/>
  <c r="J28" i="1"/>
  <c r="G28" i="1"/>
  <c r="E28" i="1"/>
  <c r="F28" i="1"/>
  <c r="I28" i="1"/>
  <c r="C28" i="1"/>
  <c r="D28" i="1"/>
  <c r="B30" i="1" l="1"/>
  <c r="I29" i="1"/>
  <c r="J29" i="1"/>
  <c r="H29" i="1"/>
  <c r="F29" i="1"/>
  <c r="G29" i="1"/>
  <c r="D29" i="1"/>
  <c r="E29" i="1"/>
  <c r="C29" i="1"/>
  <c r="B31" i="1" l="1"/>
  <c r="J30" i="1"/>
  <c r="H30" i="1"/>
  <c r="G30" i="1"/>
  <c r="I30" i="1"/>
  <c r="D30" i="1"/>
  <c r="F30" i="1"/>
  <c r="E30" i="1"/>
  <c r="C30" i="1"/>
  <c r="B32" i="1" l="1"/>
  <c r="I31" i="1"/>
  <c r="J31" i="1"/>
  <c r="H31" i="1"/>
  <c r="F31" i="1"/>
  <c r="G31" i="1"/>
  <c r="E31" i="1"/>
  <c r="D31" i="1"/>
  <c r="C31" i="1"/>
  <c r="B33" i="1" l="1"/>
  <c r="H32" i="1"/>
  <c r="I32" i="1"/>
  <c r="J32" i="1"/>
  <c r="F32" i="1"/>
  <c r="D32" i="1"/>
  <c r="G32" i="1"/>
  <c r="E32" i="1"/>
  <c r="C32" i="1"/>
  <c r="B34" i="1" l="1"/>
  <c r="I33" i="1"/>
  <c r="J33" i="1"/>
  <c r="H33" i="1"/>
  <c r="G33" i="1"/>
  <c r="F33" i="1"/>
  <c r="D33" i="1"/>
  <c r="E33" i="1"/>
  <c r="C33" i="1"/>
  <c r="B35" i="1" l="1"/>
  <c r="H34" i="1"/>
  <c r="I34" i="1"/>
  <c r="J34" i="1"/>
  <c r="G34" i="1"/>
  <c r="F34" i="1"/>
  <c r="E34" i="1"/>
  <c r="C34" i="1"/>
  <c r="D34" i="1"/>
  <c r="B36" i="1" l="1"/>
  <c r="H35" i="1"/>
  <c r="I35" i="1"/>
  <c r="J35" i="1"/>
  <c r="F35" i="1"/>
  <c r="G35" i="1"/>
  <c r="E35" i="1"/>
  <c r="C35" i="1"/>
  <c r="D35" i="1"/>
  <c r="B37" i="1" l="1"/>
  <c r="H36" i="1"/>
  <c r="J36" i="1"/>
  <c r="I36" i="1"/>
  <c r="G36" i="1"/>
  <c r="E36" i="1"/>
  <c r="F36" i="1"/>
  <c r="C36" i="1"/>
  <c r="D36" i="1"/>
  <c r="B38" i="1" l="1"/>
  <c r="I37" i="1"/>
  <c r="F37" i="1"/>
  <c r="J37" i="1"/>
  <c r="G37" i="1"/>
  <c r="D37" i="1"/>
  <c r="H37" i="1"/>
  <c r="E37" i="1"/>
  <c r="C37" i="1"/>
  <c r="B39" i="1" l="1"/>
  <c r="J38" i="1"/>
  <c r="I38" i="1"/>
  <c r="G38" i="1"/>
  <c r="H38" i="1"/>
  <c r="D38" i="1"/>
  <c r="E38" i="1"/>
  <c r="F38" i="1"/>
  <c r="C38" i="1"/>
  <c r="B40" i="1" l="1"/>
  <c r="I39" i="1"/>
  <c r="J39" i="1"/>
  <c r="H39" i="1"/>
  <c r="F39" i="1"/>
  <c r="G39" i="1"/>
  <c r="E39" i="1"/>
  <c r="D39" i="1"/>
  <c r="C39" i="1"/>
  <c r="B41" i="1" l="1"/>
  <c r="H40" i="1"/>
  <c r="I40" i="1"/>
  <c r="J40" i="1"/>
  <c r="F40" i="1"/>
  <c r="D40" i="1"/>
  <c r="G40" i="1"/>
  <c r="E40" i="1"/>
  <c r="C40" i="1"/>
  <c r="B42" i="1" l="1"/>
  <c r="I41" i="1"/>
  <c r="J41" i="1"/>
  <c r="H41" i="1"/>
  <c r="G41" i="1"/>
  <c r="F41" i="1"/>
  <c r="D41" i="1"/>
  <c r="E41" i="1"/>
  <c r="C41" i="1"/>
  <c r="B43" i="1" l="1"/>
  <c r="H42" i="1"/>
  <c r="I42" i="1"/>
  <c r="J42" i="1"/>
  <c r="G42" i="1"/>
  <c r="F42" i="1"/>
  <c r="E42" i="1"/>
  <c r="C42" i="1"/>
  <c r="D42" i="1"/>
  <c r="B44" i="1" l="1"/>
  <c r="H43" i="1"/>
  <c r="I43" i="1"/>
  <c r="J43" i="1"/>
  <c r="F43" i="1"/>
  <c r="G43" i="1"/>
  <c r="E43" i="1"/>
  <c r="C43" i="1"/>
  <c r="D43" i="1"/>
  <c r="B45" i="1" l="1"/>
  <c r="J44" i="1"/>
  <c r="I44" i="1"/>
  <c r="H44" i="1"/>
  <c r="G44" i="1"/>
  <c r="E44" i="1"/>
  <c r="F44" i="1"/>
  <c r="C44" i="1"/>
  <c r="D44" i="1"/>
  <c r="B46" i="1" l="1"/>
  <c r="I45" i="1"/>
  <c r="F45" i="1"/>
  <c r="H45" i="1"/>
  <c r="G45" i="1"/>
  <c r="J45" i="1"/>
  <c r="D45" i="1"/>
  <c r="E45" i="1"/>
  <c r="C45" i="1"/>
  <c r="B47" i="1" l="1"/>
  <c r="J46" i="1"/>
  <c r="I46" i="1"/>
  <c r="H46" i="1"/>
  <c r="G46" i="1"/>
  <c r="D46" i="1"/>
  <c r="F46" i="1"/>
  <c r="E46" i="1"/>
  <c r="C46" i="1"/>
  <c r="B48" i="1" l="1"/>
  <c r="I47" i="1"/>
  <c r="J47" i="1"/>
  <c r="F47" i="1"/>
  <c r="H47" i="1"/>
  <c r="G47" i="1"/>
  <c r="E47" i="1"/>
  <c r="D47" i="1"/>
  <c r="C47" i="1"/>
  <c r="B49" i="1" l="1"/>
  <c r="H48" i="1"/>
  <c r="I48" i="1"/>
  <c r="J48" i="1"/>
  <c r="F48" i="1"/>
  <c r="D48" i="1"/>
  <c r="E48" i="1"/>
  <c r="G48" i="1"/>
  <c r="C48" i="1"/>
  <c r="B50" i="1" l="1"/>
  <c r="I49" i="1"/>
  <c r="J49" i="1"/>
  <c r="G49" i="1"/>
  <c r="H49" i="1"/>
  <c r="F49" i="1"/>
  <c r="E49" i="1"/>
  <c r="D49" i="1"/>
  <c r="C49" i="1"/>
  <c r="B51" i="1" l="1"/>
  <c r="H50" i="1"/>
  <c r="I50" i="1"/>
  <c r="J50" i="1"/>
  <c r="G50" i="1"/>
  <c r="F50" i="1"/>
  <c r="E50" i="1"/>
  <c r="C50" i="1"/>
  <c r="D50" i="1"/>
  <c r="B52" i="1" l="1"/>
  <c r="H51" i="1"/>
  <c r="I51" i="1"/>
  <c r="J51" i="1"/>
  <c r="F51" i="1"/>
  <c r="G51" i="1"/>
  <c r="E51" i="1"/>
  <c r="C51" i="1"/>
  <c r="D51" i="1"/>
  <c r="B53" i="1" l="1"/>
  <c r="J52" i="1"/>
  <c r="G52" i="1"/>
  <c r="I52" i="1"/>
  <c r="H52" i="1"/>
  <c r="E52" i="1"/>
  <c r="F52" i="1"/>
  <c r="C52" i="1"/>
  <c r="D52" i="1"/>
  <c r="B54" i="1" l="1"/>
  <c r="I53" i="1"/>
  <c r="H53" i="1"/>
  <c r="F53" i="1"/>
  <c r="G53" i="1"/>
  <c r="J53" i="1"/>
  <c r="D53" i="1"/>
  <c r="E53" i="1"/>
  <c r="C53" i="1"/>
  <c r="B55" i="1" l="1"/>
  <c r="J54" i="1"/>
  <c r="H54" i="1"/>
  <c r="G54" i="1"/>
  <c r="I54" i="1"/>
  <c r="D54" i="1"/>
  <c r="E54" i="1"/>
  <c r="F54" i="1"/>
  <c r="C54" i="1"/>
  <c r="B56" i="1" l="1"/>
  <c r="I55" i="1"/>
  <c r="J55" i="1"/>
  <c r="H55" i="1"/>
  <c r="F55" i="1"/>
  <c r="G55" i="1"/>
  <c r="E55" i="1"/>
  <c r="D55" i="1"/>
  <c r="C55" i="1"/>
  <c r="B57" i="1" l="1"/>
  <c r="H56" i="1"/>
  <c r="I56" i="1"/>
  <c r="J56" i="1"/>
  <c r="F56" i="1"/>
  <c r="E56" i="1"/>
  <c r="G56" i="1"/>
  <c r="D56" i="1"/>
  <c r="C56" i="1"/>
  <c r="B58" i="1" l="1"/>
  <c r="I57" i="1"/>
  <c r="J57" i="1"/>
  <c r="H57" i="1"/>
  <c r="G57" i="1"/>
  <c r="F57" i="1"/>
  <c r="E57" i="1"/>
  <c r="D57" i="1"/>
  <c r="C57" i="1"/>
  <c r="B59" i="1" l="1"/>
  <c r="H58" i="1"/>
  <c r="I58" i="1"/>
  <c r="J58" i="1"/>
  <c r="G58" i="1"/>
  <c r="F58" i="1"/>
  <c r="E58" i="1"/>
  <c r="D58" i="1"/>
  <c r="C58" i="1"/>
  <c r="B60" i="1" l="1"/>
  <c r="H59" i="1"/>
  <c r="I59" i="1"/>
  <c r="J59" i="1"/>
  <c r="F59" i="1"/>
  <c r="G59" i="1"/>
  <c r="E59" i="1"/>
  <c r="D59" i="1"/>
  <c r="C59" i="1"/>
  <c r="B61" i="1" l="1"/>
  <c r="J60" i="1"/>
  <c r="G60" i="1"/>
  <c r="H60" i="1"/>
  <c r="E60" i="1"/>
  <c r="F60" i="1"/>
  <c r="I60" i="1"/>
  <c r="D60" i="1"/>
  <c r="C60" i="1"/>
  <c r="B62" i="1" l="1"/>
  <c r="I61" i="1"/>
  <c r="F61" i="1"/>
  <c r="G61" i="1"/>
  <c r="H61" i="1"/>
  <c r="J61" i="1"/>
  <c r="D61" i="1"/>
  <c r="E61" i="1"/>
  <c r="C61" i="1"/>
  <c r="B63" i="1" l="1"/>
  <c r="J62" i="1"/>
  <c r="G62" i="1"/>
  <c r="I62" i="1"/>
  <c r="D62" i="1"/>
  <c r="F62" i="1"/>
  <c r="E62" i="1"/>
  <c r="H62" i="1"/>
  <c r="C62" i="1"/>
  <c r="B64" i="1" l="1"/>
  <c r="I63" i="1"/>
  <c r="J63" i="1"/>
  <c r="F63" i="1"/>
  <c r="G63" i="1"/>
  <c r="H63" i="1"/>
  <c r="E63" i="1"/>
  <c r="D63" i="1"/>
  <c r="C63" i="1"/>
  <c r="B65" i="1" l="1"/>
  <c r="H64" i="1"/>
  <c r="I64" i="1"/>
  <c r="J64" i="1"/>
  <c r="F64" i="1"/>
  <c r="G64" i="1"/>
  <c r="E64" i="1"/>
  <c r="C64" i="1"/>
  <c r="D64" i="1"/>
  <c r="B66" i="1" l="1"/>
  <c r="I65" i="1"/>
  <c r="J65" i="1"/>
  <c r="H65" i="1"/>
  <c r="G65" i="1"/>
  <c r="F65" i="1"/>
  <c r="E65" i="1"/>
  <c r="D65" i="1"/>
  <c r="C65" i="1"/>
  <c r="B67" i="1" l="1"/>
  <c r="H66" i="1"/>
  <c r="I66" i="1"/>
  <c r="J66" i="1"/>
  <c r="G66" i="1"/>
  <c r="F66" i="1"/>
  <c r="E66" i="1"/>
  <c r="C66" i="1"/>
  <c r="D66" i="1"/>
  <c r="B68" i="1" l="1"/>
  <c r="H67" i="1"/>
  <c r="I67" i="1"/>
  <c r="J67" i="1"/>
  <c r="F67" i="1"/>
  <c r="G67" i="1"/>
  <c r="E67" i="1"/>
  <c r="C67" i="1"/>
  <c r="D67" i="1"/>
  <c r="B69" i="1" l="1"/>
  <c r="J68" i="1"/>
  <c r="I68" i="1"/>
  <c r="H68" i="1"/>
  <c r="G68" i="1"/>
  <c r="E68" i="1"/>
  <c r="F68" i="1"/>
  <c r="D68" i="1"/>
  <c r="C68" i="1"/>
  <c r="B70" i="1" l="1"/>
  <c r="I69" i="1"/>
  <c r="H69" i="1"/>
  <c r="F69" i="1"/>
  <c r="G69" i="1"/>
  <c r="J69" i="1"/>
  <c r="D69" i="1"/>
  <c r="E69" i="1"/>
  <c r="C69" i="1"/>
  <c r="B71" i="1" l="1"/>
  <c r="J70" i="1"/>
  <c r="I70" i="1"/>
  <c r="H70" i="1"/>
  <c r="G70" i="1"/>
  <c r="D70" i="1"/>
  <c r="E70" i="1"/>
  <c r="F70" i="1"/>
  <c r="C70" i="1"/>
  <c r="B72" i="1" l="1"/>
  <c r="I71" i="1"/>
  <c r="J71" i="1"/>
  <c r="H71" i="1"/>
  <c r="F71" i="1"/>
  <c r="G71" i="1"/>
  <c r="E71" i="1"/>
  <c r="D71" i="1"/>
  <c r="C71" i="1"/>
  <c r="B73" i="1" l="1"/>
  <c r="H72" i="1"/>
  <c r="I72" i="1"/>
  <c r="J72" i="1"/>
  <c r="F72" i="1"/>
  <c r="G72" i="1"/>
  <c r="E72" i="1"/>
  <c r="D72" i="1"/>
  <c r="C72" i="1"/>
  <c r="B74" i="1" l="1"/>
  <c r="I73" i="1"/>
  <c r="J73" i="1"/>
  <c r="H73" i="1"/>
  <c r="G73" i="1"/>
  <c r="F73" i="1"/>
  <c r="E73" i="1"/>
  <c r="D73" i="1"/>
  <c r="C73" i="1"/>
  <c r="B75" i="1" l="1"/>
  <c r="H74" i="1"/>
  <c r="I74" i="1"/>
  <c r="J74" i="1"/>
  <c r="G74" i="1"/>
  <c r="F74" i="1"/>
  <c r="E74" i="1"/>
  <c r="C74" i="1"/>
  <c r="D74" i="1"/>
  <c r="B76" i="1" l="1"/>
  <c r="H75" i="1"/>
  <c r="I75" i="1"/>
  <c r="J75" i="1"/>
  <c r="F75" i="1"/>
  <c r="G75" i="1"/>
  <c r="E75" i="1"/>
  <c r="C75" i="1"/>
  <c r="D75" i="1"/>
  <c r="B77" i="1" l="1"/>
  <c r="J76" i="1"/>
  <c r="I76" i="1"/>
  <c r="G76" i="1"/>
  <c r="E76" i="1"/>
  <c r="F76" i="1"/>
  <c r="H76" i="1"/>
  <c r="C76" i="1"/>
  <c r="D76" i="1"/>
  <c r="B78" i="1" l="1"/>
  <c r="I77" i="1"/>
  <c r="J77" i="1"/>
  <c r="F77" i="1"/>
  <c r="G77" i="1"/>
  <c r="H77" i="1"/>
  <c r="D77" i="1"/>
  <c r="E77" i="1"/>
  <c r="C77" i="1"/>
  <c r="B79" i="1" l="1"/>
  <c r="J78" i="1"/>
  <c r="H78" i="1"/>
  <c r="I78" i="1"/>
  <c r="G78" i="1"/>
  <c r="D78" i="1"/>
  <c r="F78" i="1"/>
  <c r="E78" i="1"/>
  <c r="C78" i="1"/>
  <c r="B80" i="1" l="1"/>
  <c r="I79" i="1"/>
  <c r="J79" i="1"/>
  <c r="H79" i="1"/>
  <c r="F79" i="1"/>
  <c r="G79" i="1"/>
  <c r="E79" i="1"/>
  <c r="C79" i="1"/>
  <c r="D79" i="1"/>
  <c r="B81" i="1" l="1"/>
  <c r="H80" i="1"/>
  <c r="I80" i="1"/>
  <c r="J80" i="1"/>
  <c r="F80" i="1"/>
  <c r="G80" i="1"/>
  <c r="E80" i="1"/>
  <c r="D80" i="1"/>
  <c r="C80" i="1"/>
  <c r="B82" i="1" l="1"/>
  <c r="I81" i="1"/>
  <c r="J81" i="1"/>
  <c r="H81" i="1"/>
  <c r="G81" i="1"/>
  <c r="F81" i="1"/>
  <c r="E81" i="1"/>
  <c r="D81" i="1"/>
  <c r="C81" i="1"/>
  <c r="B83" i="1" l="1"/>
  <c r="H82" i="1"/>
  <c r="I82" i="1"/>
  <c r="J82" i="1"/>
  <c r="G82" i="1"/>
  <c r="F82" i="1"/>
  <c r="E82" i="1"/>
  <c r="C82" i="1"/>
  <c r="D82" i="1"/>
  <c r="B84" i="1" l="1"/>
  <c r="H83" i="1"/>
  <c r="I83" i="1"/>
  <c r="J83" i="1"/>
  <c r="F83" i="1"/>
  <c r="G83" i="1"/>
  <c r="E83" i="1"/>
  <c r="C83" i="1"/>
  <c r="D83" i="1"/>
  <c r="B85" i="1" l="1"/>
  <c r="J84" i="1"/>
  <c r="G84" i="1"/>
  <c r="H84" i="1"/>
  <c r="I84" i="1"/>
  <c r="E84" i="1"/>
  <c r="F84" i="1"/>
  <c r="C84" i="1"/>
  <c r="D84" i="1"/>
  <c r="B86" i="1" l="1"/>
  <c r="I85" i="1"/>
  <c r="J85" i="1"/>
  <c r="F85" i="1"/>
  <c r="G85" i="1"/>
  <c r="H85" i="1"/>
  <c r="D85" i="1"/>
  <c r="E85" i="1"/>
  <c r="C85" i="1"/>
  <c r="B87" i="1" l="1"/>
  <c r="J86" i="1"/>
  <c r="G86" i="1"/>
  <c r="I86" i="1"/>
  <c r="H86" i="1"/>
  <c r="D86" i="1"/>
  <c r="E86" i="1"/>
  <c r="F86" i="1"/>
  <c r="C86" i="1"/>
  <c r="B88" i="1" l="1"/>
  <c r="I87" i="1"/>
  <c r="J87" i="1"/>
  <c r="F87" i="1"/>
  <c r="G87" i="1"/>
  <c r="E87" i="1"/>
  <c r="H87" i="1"/>
  <c r="D87" i="1"/>
  <c r="C87" i="1"/>
  <c r="B89" i="1" l="1"/>
  <c r="H88" i="1"/>
  <c r="I88" i="1"/>
  <c r="J88" i="1"/>
  <c r="F88" i="1"/>
  <c r="G88" i="1"/>
  <c r="E88" i="1"/>
  <c r="C88" i="1"/>
  <c r="D88" i="1"/>
  <c r="B90" i="1" l="1"/>
  <c r="I89" i="1"/>
  <c r="J89" i="1"/>
  <c r="H89" i="1"/>
  <c r="G89" i="1"/>
  <c r="F89" i="1"/>
  <c r="E89" i="1"/>
  <c r="D89" i="1"/>
  <c r="C89" i="1"/>
  <c r="B91" i="1" l="1"/>
  <c r="H90" i="1"/>
  <c r="I90" i="1"/>
  <c r="J90" i="1"/>
  <c r="G90" i="1"/>
  <c r="F90" i="1"/>
  <c r="E90" i="1"/>
  <c r="D90" i="1"/>
  <c r="C90" i="1"/>
  <c r="B92" i="1" l="1"/>
  <c r="H91" i="1"/>
  <c r="I91" i="1"/>
  <c r="J91" i="1"/>
  <c r="G91" i="1"/>
  <c r="E91" i="1"/>
  <c r="F91" i="1"/>
  <c r="D91" i="1"/>
  <c r="C91" i="1"/>
  <c r="B93" i="1" l="1"/>
  <c r="J92" i="1"/>
  <c r="H92" i="1"/>
  <c r="G92" i="1"/>
  <c r="E92" i="1"/>
  <c r="F92" i="1"/>
  <c r="I92" i="1"/>
  <c r="D92" i="1"/>
  <c r="C92" i="1"/>
  <c r="B94" i="1" l="1"/>
  <c r="I93" i="1"/>
  <c r="H93" i="1"/>
  <c r="J93" i="1"/>
  <c r="F93" i="1"/>
  <c r="G93" i="1"/>
  <c r="D93" i="1"/>
  <c r="E93" i="1"/>
  <c r="C93" i="1"/>
  <c r="B95" i="1" l="1"/>
  <c r="J94" i="1"/>
  <c r="H94" i="1"/>
  <c r="G94" i="1"/>
  <c r="I94" i="1"/>
  <c r="D94" i="1"/>
  <c r="E94" i="1"/>
  <c r="F94" i="1"/>
  <c r="C94" i="1"/>
  <c r="B96" i="1" l="1"/>
  <c r="I95" i="1"/>
  <c r="J95" i="1"/>
  <c r="H95" i="1"/>
  <c r="G95" i="1"/>
  <c r="E95" i="1"/>
  <c r="F95" i="1"/>
  <c r="D95" i="1"/>
  <c r="C95" i="1"/>
  <c r="B97" i="1" l="1"/>
  <c r="H96" i="1"/>
  <c r="I96" i="1"/>
  <c r="J96" i="1"/>
  <c r="G96" i="1"/>
  <c r="E96" i="1"/>
  <c r="F96" i="1"/>
  <c r="C96" i="1"/>
  <c r="D96" i="1"/>
  <c r="B98" i="1" l="1"/>
  <c r="I97" i="1"/>
  <c r="J97" i="1"/>
  <c r="H97" i="1"/>
  <c r="G97" i="1"/>
  <c r="E97" i="1"/>
  <c r="F97" i="1"/>
  <c r="D97" i="1"/>
  <c r="C97" i="1"/>
  <c r="B99" i="1" l="1"/>
  <c r="H98" i="1"/>
  <c r="I98" i="1"/>
  <c r="J98" i="1"/>
  <c r="G98" i="1"/>
  <c r="F98" i="1"/>
  <c r="E98" i="1"/>
  <c r="C98" i="1"/>
  <c r="D98" i="1"/>
  <c r="B100" i="1" l="1"/>
  <c r="H99" i="1"/>
  <c r="I99" i="1"/>
  <c r="J99" i="1"/>
  <c r="G99" i="1"/>
  <c r="E99" i="1"/>
  <c r="F99" i="1"/>
  <c r="C99" i="1"/>
  <c r="D99" i="1"/>
  <c r="B101" i="1" l="1"/>
  <c r="J100" i="1"/>
  <c r="I100" i="1"/>
  <c r="G100" i="1"/>
  <c r="H100" i="1"/>
  <c r="E100" i="1"/>
  <c r="F100" i="1"/>
  <c r="D100" i="1"/>
  <c r="C100" i="1"/>
  <c r="B102" i="1" l="1"/>
  <c r="I101" i="1"/>
  <c r="J101" i="1"/>
  <c r="G101" i="1"/>
  <c r="D101" i="1"/>
  <c r="E101" i="1"/>
  <c r="F101" i="1"/>
  <c r="H101" i="1"/>
  <c r="C101" i="1"/>
  <c r="B103" i="1" l="1"/>
  <c r="J102" i="1"/>
  <c r="I102" i="1"/>
  <c r="G102" i="1"/>
  <c r="H102" i="1"/>
  <c r="D102" i="1"/>
  <c r="E102" i="1"/>
  <c r="F102" i="1"/>
  <c r="C102" i="1"/>
  <c r="B104" i="1" l="1"/>
  <c r="I103" i="1"/>
  <c r="J103" i="1"/>
  <c r="H103" i="1"/>
  <c r="G103" i="1"/>
  <c r="E103" i="1"/>
  <c r="F103" i="1"/>
  <c r="D103" i="1"/>
  <c r="C103" i="1"/>
  <c r="B105" i="1" l="1"/>
  <c r="I104" i="1"/>
  <c r="J104" i="1"/>
  <c r="H104" i="1"/>
  <c r="G104" i="1"/>
  <c r="E104" i="1"/>
  <c r="F104" i="1"/>
  <c r="C104" i="1"/>
  <c r="D104" i="1"/>
  <c r="B106" i="1" l="1"/>
  <c r="I105" i="1"/>
  <c r="J105" i="1"/>
  <c r="H105" i="1"/>
  <c r="G105" i="1"/>
  <c r="E105" i="1"/>
  <c r="F105" i="1"/>
  <c r="D105" i="1"/>
  <c r="C105" i="1"/>
  <c r="B107" i="1" l="1"/>
  <c r="H106" i="1"/>
  <c r="I106" i="1"/>
  <c r="J106" i="1"/>
  <c r="G106" i="1"/>
  <c r="F106" i="1"/>
  <c r="E106" i="1"/>
  <c r="C106" i="1"/>
  <c r="D106" i="1"/>
  <c r="B108" i="1" l="1"/>
  <c r="H107" i="1"/>
  <c r="I107" i="1"/>
  <c r="J107" i="1"/>
  <c r="G107" i="1"/>
  <c r="E107" i="1"/>
  <c r="F107" i="1"/>
  <c r="C107" i="1"/>
  <c r="D107" i="1"/>
  <c r="B109" i="1" l="1"/>
  <c r="J108" i="1"/>
  <c r="I108" i="1"/>
  <c r="G108" i="1"/>
  <c r="H108" i="1"/>
  <c r="E108" i="1"/>
  <c r="F108" i="1"/>
  <c r="C108" i="1"/>
  <c r="D108" i="1"/>
  <c r="B110" i="1" l="1"/>
  <c r="I109" i="1"/>
  <c r="G109" i="1"/>
  <c r="J109" i="1"/>
  <c r="H109" i="1"/>
  <c r="D109" i="1"/>
  <c r="E109" i="1"/>
  <c r="F109" i="1"/>
  <c r="C109" i="1"/>
  <c r="B111" i="1" l="1"/>
  <c r="J110" i="1"/>
  <c r="I110" i="1"/>
  <c r="G110" i="1"/>
  <c r="H110" i="1"/>
  <c r="D110" i="1"/>
  <c r="E110" i="1"/>
  <c r="F110" i="1"/>
  <c r="C110" i="1"/>
  <c r="B112" i="1" l="1"/>
  <c r="I111" i="1"/>
  <c r="J111" i="1"/>
  <c r="G111" i="1"/>
  <c r="H111" i="1"/>
  <c r="E111" i="1"/>
  <c r="F111" i="1"/>
  <c r="C111" i="1"/>
  <c r="D111" i="1"/>
  <c r="B113" i="1" l="1"/>
  <c r="I112" i="1"/>
  <c r="J112" i="1"/>
  <c r="H112" i="1"/>
  <c r="E112" i="1"/>
  <c r="G112" i="1"/>
  <c r="F112" i="1"/>
  <c r="D112" i="1"/>
  <c r="C112" i="1"/>
  <c r="B114" i="1" l="1"/>
  <c r="I113" i="1"/>
  <c r="J113" i="1"/>
  <c r="H113" i="1"/>
  <c r="G113" i="1"/>
  <c r="E113" i="1"/>
  <c r="F113" i="1"/>
  <c r="D113" i="1"/>
  <c r="C113" i="1"/>
  <c r="B115" i="1" l="1"/>
  <c r="H114" i="1"/>
  <c r="I114" i="1"/>
  <c r="J114" i="1"/>
  <c r="G114" i="1"/>
  <c r="F114" i="1"/>
  <c r="E114" i="1"/>
  <c r="C114" i="1"/>
  <c r="D114" i="1"/>
  <c r="B116" i="1" l="1"/>
  <c r="H115" i="1"/>
  <c r="I115" i="1"/>
  <c r="J115" i="1"/>
  <c r="G115" i="1"/>
  <c r="E115" i="1"/>
  <c r="F115" i="1"/>
  <c r="C115" i="1"/>
  <c r="D115" i="1"/>
  <c r="B117" i="1" l="1"/>
  <c r="J116" i="1"/>
  <c r="H116" i="1"/>
  <c r="G116" i="1"/>
  <c r="I116" i="1"/>
  <c r="E116" i="1"/>
  <c r="F116" i="1"/>
  <c r="C116" i="1"/>
  <c r="D116" i="1"/>
  <c r="B118" i="1" l="1"/>
  <c r="I117" i="1"/>
  <c r="H117" i="1"/>
  <c r="G117" i="1"/>
  <c r="J117" i="1"/>
  <c r="D117" i="1"/>
  <c r="E117" i="1"/>
  <c r="F117" i="1"/>
  <c r="C117" i="1"/>
  <c r="B119" i="1" l="1"/>
  <c r="J118" i="1"/>
  <c r="H118" i="1"/>
  <c r="G118" i="1"/>
  <c r="I118" i="1"/>
  <c r="D118" i="1"/>
  <c r="E118" i="1"/>
  <c r="F118" i="1"/>
  <c r="C118" i="1"/>
  <c r="B120" i="1" l="1"/>
  <c r="I119" i="1"/>
  <c r="J119" i="1"/>
  <c r="H119" i="1"/>
  <c r="G119" i="1"/>
  <c r="E119" i="1"/>
  <c r="F119" i="1"/>
  <c r="D119" i="1"/>
  <c r="C119" i="1"/>
  <c r="B121" i="1" l="1"/>
  <c r="I120" i="1"/>
  <c r="J120" i="1"/>
  <c r="H120" i="1"/>
  <c r="E120" i="1"/>
  <c r="F120" i="1"/>
  <c r="G120" i="1"/>
  <c r="D120" i="1"/>
  <c r="C120" i="1"/>
  <c r="B122" i="1" l="1"/>
  <c r="I121" i="1"/>
  <c r="J121" i="1"/>
  <c r="G121" i="1"/>
  <c r="H121" i="1"/>
  <c r="E121" i="1"/>
  <c r="F121" i="1"/>
  <c r="D121" i="1"/>
  <c r="C121" i="1"/>
  <c r="B123" i="1" l="1"/>
  <c r="H122" i="1"/>
  <c r="I122" i="1"/>
  <c r="J122" i="1"/>
  <c r="G122" i="1"/>
  <c r="F122" i="1"/>
  <c r="E122" i="1"/>
  <c r="D122" i="1"/>
  <c r="C122" i="1"/>
  <c r="B124" i="1" l="1"/>
  <c r="H123" i="1"/>
  <c r="I123" i="1"/>
  <c r="J123" i="1"/>
  <c r="G123" i="1"/>
  <c r="E123" i="1"/>
  <c r="F123" i="1"/>
  <c r="D123" i="1"/>
  <c r="C123" i="1"/>
  <c r="B125" i="1" l="1"/>
  <c r="J124" i="1"/>
  <c r="G124" i="1"/>
  <c r="H124" i="1"/>
  <c r="I124" i="1"/>
  <c r="E124" i="1"/>
  <c r="F124" i="1"/>
  <c r="D124" i="1"/>
  <c r="C124" i="1"/>
  <c r="B126" i="1" l="1"/>
  <c r="I125" i="1"/>
  <c r="H125" i="1"/>
  <c r="G125" i="1"/>
  <c r="D125" i="1"/>
  <c r="J125" i="1"/>
  <c r="E125" i="1"/>
  <c r="F125" i="1"/>
  <c r="C125" i="1"/>
  <c r="B127" i="1" l="1"/>
  <c r="J126" i="1"/>
  <c r="H126" i="1"/>
  <c r="G126" i="1"/>
  <c r="I126" i="1"/>
  <c r="D126" i="1"/>
  <c r="E126" i="1"/>
  <c r="F126" i="1"/>
  <c r="C126" i="1"/>
  <c r="B128" i="1" l="1"/>
  <c r="I127" i="1"/>
  <c r="J127" i="1"/>
  <c r="H127" i="1"/>
  <c r="G127" i="1"/>
  <c r="E127" i="1"/>
  <c r="F127" i="1"/>
  <c r="D127" i="1"/>
  <c r="C127" i="1"/>
  <c r="B129" i="1" l="1"/>
  <c r="I128" i="1"/>
  <c r="J128" i="1"/>
  <c r="H128" i="1"/>
  <c r="G128" i="1"/>
  <c r="E128" i="1"/>
  <c r="F128" i="1"/>
  <c r="C128" i="1"/>
  <c r="D128" i="1"/>
  <c r="B130" i="1" l="1"/>
  <c r="I129" i="1"/>
  <c r="J129" i="1"/>
  <c r="H129" i="1"/>
  <c r="G129" i="1"/>
  <c r="E129" i="1"/>
  <c r="F129" i="1"/>
  <c r="D129" i="1"/>
  <c r="C129" i="1"/>
  <c r="B131" i="1" l="1"/>
  <c r="H130" i="1"/>
  <c r="I130" i="1"/>
  <c r="J130" i="1"/>
  <c r="G130" i="1"/>
  <c r="F130" i="1"/>
  <c r="E130" i="1"/>
  <c r="C130" i="1"/>
  <c r="D130" i="1"/>
  <c r="B132" i="1" l="1"/>
  <c r="H131" i="1"/>
  <c r="I131" i="1"/>
  <c r="J131" i="1"/>
  <c r="G131" i="1"/>
  <c r="E131" i="1"/>
  <c r="F131" i="1"/>
  <c r="C131" i="1"/>
  <c r="D131" i="1"/>
  <c r="B133" i="1" l="1"/>
  <c r="J132" i="1"/>
  <c r="I132" i="1"/>
  <c r="G132" i="1"/>
  <c r="H132" i="1"/>
  <c r="E132" i="1"/>
  <c r="F132" i="1"/>
  <c r="D132" i="1"/>
  <c r="C132" i="1"/>
  <c r="B134" i="1" l="1"/>
  <c r="I133" i="1"/>
  <c r="G133" i="1"/>
  <c r="J133" i="1"/>
  <c r="D133" i="1"/>
  <c r="H133" i="1"/>
  <c r="E133" i="1"/>
  <c r="F133" i="1"/>
  <c r="C133" i="1"/>
  <c r="B135" i="1" l="1"/>
  <c r="J134" i="1"/>
  <c r="I134" i="1"/>
  <c r="G134" i="1"/>
  <c r="H134" i="1"/>
  <c r="D134" i="1"/>
  <c r="E134" i="1"/>
  <c r="F134" i="1"/>
  <c r="C134" i="1"/>
  <c r="B136" i="1" l="1"/>
  <c r="I135" i="1"/>
  <c r="J135" i="1"/>
  <c r="H135" i="1"/>
  <c r="G135" i="1"/>
  <c r="E135" i="1"/>
  <c r="F135" i="1"/>
  <c r="D135" i="1"/>
  <c r="C135" i="1"/>
  <c r="B137" i="1" l="1"/>
  <c r="I136" i="1"/>
  <c r="J136" i="1"/>
  <c r="H136" i="1"/>
  <c r="G136" i="1"/>
  <c r="E136" i="1"/>
  <c r="F136" i="1"/>
  <c r="D136" i="1"/>
  <c r="C136" i="1"/>
  <c r="B138" i="1" l="1"/>
  <c r="I137" i="1"/>
  <c r="J137" i="1"/>
  <c r="H137" i="1"/>
  <c r="G137" i="1"/>
  <c r="E137" i="1"/>
  <c r="F137" i="1"/>
  <c r="D137" i="1"/>
  <c r="C137" i="1"/>
  <c r="B139" i="1" l="1"/>
  <c r="H138" i="1"/>
  <c r="I138" i="1"/>
  <c r="J138" i="1"/>
  <c r="G138" i="1"/>
  <c r="F138" i="1"/>
  <c r="E138" i="1"/>
  <c r="C138" i="1"/>
  <c r="D138" i="1"/>
  <c r="B140" i="1" l="1"/>
  <c r="E139" i="1"/>
  <c r="H139" i="1"/>
  <c r="I139" i="1"/>
  <c r="J139" i="1"/>
  <c r="G139" i="1"/>
  <c r="F139" i="1"/>
  <c r="C139" i="1"/>
  <c r="D139" i="1"/>
  <c r="B141" i="1" l="1"/>
  <c r="J140" i="1"/>
  <c r="I140" i="1"/>
  <c r="G140" i="1"/>
  <c r="H140" i="1"/>
  <c r="E140" i="1"/>
  <c r="F140" i="1"/>
  <c r="C140" i="1"/>
  <c r="D140" i="1"/>
  <c r="B142" i="1" l="1"/>
  <c r="J141" i="1"/>
  <c r="I141" i="1"/>
  <c r="G141" i="1"/>
  <c r="H141" i="1"/>
  <c r="D141" i="1"/>
  <c r="E141" i="1"/>
  <c r="F141" i="1"/>
  <c r="C141" i="1"/>
  <c r="B143" i="1" l="1"/>
  <c r="J142" i="1"/>
  <c r="I142" i="1"/>
  <c r="G142" i="1"/>
  <c r="H142" i="1"/>
  <c r="D142" i="1"/>
  <c r="E142" i="1"/>
  <c r="F142" i="1"/>
  <c r="C142" i="1"/>
  <c r="B144" i="1" l="1"/>
  <c r="I143" i="1"/>
  <c r="J143" i="1"/>
  <c r="G143" i="1"/>
  <c r="H143" i="1"/>
  <c r="E143" i="1"/>
  <c r="F143" i="1"/>
  <c r="C143" i="1"/>
  <c r="D143" i="1"/>
  <c r="B145" i="1" l="1"/>
  <c r="J144" i="1"/>
  <c r="I144" i="1"/>
  <c r="H144" i="1"/>
  <c r="G144" i="1"/>
  <c r="E144" i="1"/>
  <c r="F144" i="1"/>
  <c r="D144" i="1"/>
  <c r="C144" i="1"/>
  <c r="B146" i="1" l="1"/>
  <c r="I145" i="1"/>
  <c r="J145" i="1"/>
  <c r="H145" i="1"/>
  <c r="G145" i="1"/>
  <c r="E145" i="1"/>
  <c r="F145" i="1"/>
  <c r="D145" i="1"/>
  <c r="C145" i="1"/>
  <c r="B147" i="1" l="1"/>
  <c r="H146" i="1"/>
  <c r="I146" i="1"/>
  <c r="J146" i="1"/>
  <c r="G146" i="1"/>
  <c r="F146" i="1"/>
  <c r="E146" i="1"/>
  <c r="C146" i="1"/>
  <c r="D146" i="1"/>
  <c r="B148" i="1" l="1"/>
  <c r="H147" i="1"/>
  <c r="I147" i="1"/>
  <c r="J147" i="1"/>
  <c r="G147" i="1"/>
  <c r="F147" i="1"/>
  <c r="E147" i="1"/>
  <c r="C147" i="1"/>
  <c r="D147" i="1"/>
  <c r="B149" i="1" l="1"/>
  <c r="J148" i="1"/>
  <c r="H148" i="1"/>
  <c r="G148" i="1"/>
  <c r="E148" i="1"/>
  <c r="I148" i="1"/>
  <c r="F148" i="1"/>
  <c r="C148" i="1"/>
  <c r="D148" i="1"/>
  <c r="B150" i="1" l="1"/>
  <c r="J149" i="1"/>
  <c r="H149" i="1"/>
  <c r="G149" i="1"/>
  <c r="I149" i="1"/>
  <c r="E149" i="1"/>
  <c r="F149" i="1"/>
  <c r="C149" i="1"/>
  <c r="D149" i="1"/>
  <c r="B151" i="1" l="1"/>
  <c r="J150" i="1"/>
  <c r="I150" i="1"/>
  <c r="H150" i="1"/>
  <c r="G150" i="1"/>
  <c r="E150" i="1"/>
  <c r="F150" i="1"/>
  <c r="C150" i="1"/>
  <c r="D150" i="1"/>
  <c r="B152" i="1" l="1"/>
  <c r="I151" i="1"/>
  <c r="J151" i="1"/>
  <c r="H151" i="1"/>
  <c r="G151" i="1"/>
  <c r="E151" i="1"/>
  <c r="F151" i="1"/>
  <c r="C151" i="1"/>
  <c r="D151" i="1"/>
  <c r="B153" i="1" l="1"/>
  <c r="J152" i="1"/>
  <c r="I152" i="1"/>
  <c r="H152" i="1"/>
  <c r="G152" i="1"/>
  <c r="E152" i="1"/>
  <c r="F152" i="1"/>
  <c r="D152" i="1"/>
  <c r="C152" i="1"/>
  <c r="B154" i="1" l="1"/>
  <c r="I153" i="1"/>
  <c r="J153" i="1"/>
  <c r="G153" i="1"/>
  <c r="H153" i="1"/>
  <c r="E153" i="1"/>
  <c r="F153" i="1"/>
  <c r="D153" i="1"/>
  <c r="C153" i="1"/>
  <c r="B155" i="1" l="1"/>
  <c r="H154" i="1"/>
  <c r="I154" i="1"/>
  <c r="J154" i="1"/>
  <c r="G154" i="1"/>
  <c r="F154" i="1"/>
  <c r="E154" i="1"/>
  <c r="C154" i="1"/>
  <c r="D154" i="1"/>
  <c r="B156" i="1" l="1"/>
  <c r="H155" i="1"/>
  <c r="I155" i="1"/>
  <c r="J155" i="1"/>
  <c r="G155" i="1"/>
  <c r="F155" i="1"/>
  <c r="E155" i="1"/>
  <c r="C155" i="1"/>
  <c r="D155" i="1"/>
  <c r="B157" i="1" l="1"/>
  <c r="J156" i="1"/>
  <c r="I156" i="1"/>
  <c r="G156" i="1"/>
  <c r="H156" i="1"/>
  <c r="E156" i="1"/>
  <c r="F156" i="1"/>
  <c r="C156" i="1"/>
  <c r="D156" i="1"/>
  <c r="B158" i="1" l="1"/>
  <c r="H157" i="1"/>
  <c r="J157" i="1"/>
  <c r="I157" i="1"/>
  <c r="G157" i="1"/>
  <c r="E157" i="1"/>
  <c r="F157" i="1"/>
  <c r="C157" i="1"/>
  <c r="D157" i="1"/>
  <c r="B159" i="1" l="1"/>
  <c r="J158" i="1"/>
  <c r="H158" i="1"/>
  <c r="I158" i="1"/>
  <c r="G158" i="1"/>
  <c r="E158" i="1"/>
  <c r="F158" i="1"/>
  <c r="C158" i="1"/>
  <c r="D158" i="1"/>
  <c r="B160" i="1" l="1"/>
  <c r="I159" i="1"/>
  <c r="J159" i="1"/>
  <c r="H159" i="1"/>
  <c r="G159" i="1"/>
  <c r="E159" i="1"/>
  <c r="F159" i="1"/>
  <c r="C159" i="1"/>
  <c r="D159" i="1"/>
  <c r="B161" i="1" l="1"/>
  <c r="J160" i="1"/>
  <c r="H160" i="1"/>
  <c r="I160" i="1"/>
  <c r="G160" i="1"/>
  <c r="E160" i="1"/>
  <c r="F160" i="1"/>
  <c r="D160" i="1"/>
  <c r="C160" i="1"/>
  <c r="B162" i="1" l="1"/>
  <c r="I161" i="1"/>
  <c r="J161" i="1"/>
  <c r="H161" i="1"/>
  <c r="G161" i="1"/>
  <c r="E161" i="1"/>
  <c r="F161" i="1"/>
  <c r="D161" i="1"/>
  <c r="C161" i="1"/>
  <c r="B163" i="1" l="1"/>
  <c r="H162" i="1"/>
  <c r="I162" i="1"/>
  <c r="J162" i="1"/>
  <c r="G162" i="1"/>
  <c r="F162" i="1"/>
  <c r="E162" i="1"/>
  <c r="C162" i="1"/>
  <c r="D162" i="1"/>
  <c r="B164" i="1" l="1"/>
  <c r="H163" i="1"/>
  <c r="I163" i="1"/>
  <c r="J163" i="1"/>
  <c r="G163" i="1"/>
  <c r="F163" i="1"/>
  <c r="E163" i="1"/>
  <c r="C163" i="1"/>
  <c r="D163" i="1"/>
  <c r="B165" i="1" l="1"/>
  <c r="J164" i="1"/>
  <c r="G164" i="1"/>
  <c r="H164" i="1"/>
  <c r="E164" i="1"/>
  <c r="I164" i="1"/>
  <c r="F164" i="1"/>
  <c r="C164" i="1"/>
  <c r="D164" i="1"/>
  <c r="B166" i="1" l="1"/>
  <c r="J165" i="1"/>
  <c r="G165" i="1"/>
  <c r="I165" i="1"/>
  <c r="E165" i="1"/>
  <c r="F165" i="1"/>
  <c r="H165" i="1"/>
  <c r="C165" i="1"/>
  <c r="D165" i="1"/>
  <c r="B167" i="1" l="1"/>
  <c r="J166" i="1"/>
  <c r="I166" i="1"/>
  <c r="G166" i="1"/>
  <c r="H166" i="1"/>
  <c r="E166" i="1"/>
  <c r="F166" i="1"/>
  <c r="C166" i="1"/>
  <c r="D166" i="1"/>
  <c r="B168" i="1" l="1"/>
  <c r="I167" i="1"/>
  <c r="J167" i="1"/>
  <c r="H167" i="1"/>
  <c r="G167" i="1"/>
  <c r="E167" i="1"/>
  <c r="F167" i="1"/>
  <c r="C167" i="1"/>
  <c r="D167" i="1"/>
  <c r="B169" i="1" l="1"/>
  <c r="J168" i="1"/>
  <c r="I168" i="1"/>
  <c r="H168" i="1"/>
  <c r="E168" i="1"/>
  <c r="G168" i="1"/>
  <c r="F168" i="1"/>
  <c r="D168" i="1"/>
  <c r="C168" i="1"/>
  <c r="B170" i="1" l="1"/>
  <c r="I169" i="1"/>
  <c r="J169" i="1"/>
  <c r="H169" i="1"/>
  <c r="G169" i="1"/>
  <c r="E169" i="1"/>
  <c r="F169" i="1"/>
  <c r="D169" i="1"/>
  <c r="C169" i="1"/>
  <c r="B171" i="1" l="1"/>
  <c r="H170" i="1"/>
  <c r="I170" i="1"/>
  <c r="J170" i="1"/>
  <c r="G170" i="1"/>
  <c r="F170" i="1"/>
  <c r="E170" i="1"/>
  <c r="C170" i="1"/>
  <c r="D170" i="1"/>
  <c r="B172" i="1" l="1"/>
  <c r="H171" i="1"/>
  <c r="I171" i="1"/>
  <c r="J171" i="1"/>
  <c r="G171" i="1"/>
  <c r="F171" i="1"/>
  <c r="E171" i="1"/>
  <c r="C171" i="1"/>
  <c r="D171" i="1"/>
  <c r="B173" i="1" l="1"/>
  <c r="J172" i="1"/>
  <c r="I172" i="1"/>
  <c r="G172" i="1"/>
  <c r="H172" i="1"/>
  <c r="E172" i="1"/>
  <c r="F172" i="1"/>
  <c r="C172" i="1"/>
  <c r="D172" i="1"/>
  <c r="B174" i="1" l="1"/>
  <c r="I173" i="1"/>
  <c r="G173" i="1"/>
  <c r="J173" i="1"/>
  <c r="H173" i="1"/>
  <c r="E173" i="1"/>
  <c r="F173" i="1"/>
  <c r="C173" i="1"/>
  <c r="D173" i="1"/>
  <c r="B175" i="1" l="1"/>
  <c r="J174" i="1"/>
  <c r="I174" i="1"/>
  <c r="G174" i="1"/>
  <c r="H174" i="1"/>
  <c r="E174" i="1"/>
  <c r="F174" i="1"/>
  <c r="C174" i="1"/>
  <c r="D174" i="1"/>
  <c r="B176" i="1" l="1"/>
  <c r="I175" i="1"/>
  <c r="J175" i="1"/>
  <c r="G175" i="1"/>
  <c r="E175" i="1"/>
  <c r="F175" i="1"/>
  <c r="H175" i="1"/>
  <c r="C175" i="1"/>
  <c r="D175" i="1"/>
  <c r="B177" i="1" l="1"/>
  <c r="J176" i="1"/>
  <c r="I176" i="1"/>
  <c r="H176" i="1"/>
  <c r="E176" i="1"/>
  <c r="G176" i="1"/>
  <c r="F176" i="1"/>
  <c r="D176" i="1"/>
  <c r="C176" i="1"/>
  <c r="B178" i="1" l="1"/>
  <c r="I177" i="1"/>
  <c r="J177" i="1"/>
  <c r="H177" i="1"/>
  <c r="G177" i="1"/>
  <c r="E177" i="1"/>
  <c r="F177" i="1"/>
  <c r="D177" i="1"/>
  <c r="C177" i="1"/>
  <c r="B179" i="1" l="1"/>
  <c r="I178" i="1"/>
  <c r="J178" i="1"/>
  <c r="G178" i="1"/>
  <c r="H178" i="1"/>
  <c r="F178" i="1"/>
  <c r="E178" i="1"/>
  <c r="C178" i="1"/>
  <c r="D178" i="1"/>
  <c r="B180" i="1" l="1"/>
  <c r="I179" i="1"/>
  <c r="J179" i="1"/>
  <c r="G179" i="1"/>
  <c r="H179" i="1"/>
  <c r="F179" i="1"/>
  <c r="E179" i="1"/>
  <c r="C179" i="1"/>
  <c r="D179" i="1"/>
  <c r="B181" i="1" l="1"/>
  <c r="J180" i="1"/>
  <c r="G180" i="1"/>
  <c r="H180" i="1"/>
  <c r="E180" i="1"/>
  <c r="F180" i="1"/>
  <c r="I180" i="1"/>
  <c r="C180" i="1"/>
  <c r="D180" i="1"/>
  <c r="B182" i="1" l="1"/>
  <c r="G181" i="1"/>
  <c r="H181" i="1"/>
  <c r="J181" i="1"/>
  <c r="I181" i="1"/>
  <c r="E181" i="1"/>
  <c r="F181" i="1"/>
  <c r="C181" i="1"/>
  <c r="D181" i="1"/>
  <c r="B183" i="1" l="1"/>
  <c r="J182" i="1"/>
  <c r="I182" i="1"/>
  <c r="G182" i="1"/>
  <c r="H182" i="1"/>
  <c r="E182" i="1"/>
  <c r="F182" i="1"/>
  <c r="C182" i="1"/>
  <c r="D182" i="1"/>
  <c r="B184" i="1" l="1"/>
  <c r="I183" i="1"/>
  <c r="J183" i="1"/>
  <c r="G183" i="1"/>
  <c r="E183" i="1"/>
  <c r="F183" i="1"/>
  <c r="H183" i="1"/>
  <c r="C183" i="1"/>
  <c r="D183" i="1"/>
  <c r="B185" i="1" l="1"/>
  <c r="J184" i="1"/>
  <c r="I184" i="1"/>
  <c r="H184" i="1"/>
  <c r="E184" i="1"/>
  <c r="F184" i="1"/>
  <c r="G184" i="1"/>
  <c r="D184" i="1"/>
  <c r="C184" i="1"/>
  <c r="B186" i="1" l="1"/>
  <c r="I185" i="1"/>
  <c r="J185" i="1"/>
  <c r="H185" i="1"/>
  <c r="G185" i="1"/>
  <c r="E185" i="1"/>
  <c r="F185" i="1"/>
  <c r="D185" i="1"/>
  <c r="C185" i="1"/>
  <c r="B187" i="1" l="1"/>
  <c r="I186" i="1"/>
  <c r="J186" i="1"/>
  <c r="G186" i="1"/>
  <c r="H186" i="1"/>
  <c r="F186" i="1"/>
  <c r="E186" i="1"/>
  <c r="C186" i="1"/>
  <c r="D186" i="1"/>
  <c r="B188" i="1" l="1"/>
  <c r="I187" i="1"/>
  <c r="G187" i="1"/>
  <c r="H187" i="1"/>
  <c r="F187" i="1"/>
  <c r="J187" i="1"/>
  <c r="E187" i="1"/>
  <c r="C187" i="1"/>
  <c r="D187" i="1"/>
  <c r="B189" i="1" l="1"/>
  <c r="J188" i="1"/>
  <c r="I188" i="1"/>
  <c r="G188" i="1"/>
  <c r="H188" i="1"/>
  <c r="E188" i="1"/>
  <c r="F188" i="1"/>
  <c r="C188" i="1"/>
  <c r="D188" i="1"/>
  <c r="B190" i="1" l="1"/>
  <c r="I189" i="1"/>
  <c r="G189" i="1"/>
  <c r="H189" i="1"/>
  <c r="J189" i="1"/>
  <c r="E189" i="1"/>
  <c r="F189" i="1"/>
  <c r="C189" i="1"/>
  <c r="D189" i="1"/>
  <c r="B191" i="1" l="1"/>
  <c r="J190" i="1"/>
  <c r="I190" i="1"/>
  <c r="G190" i="1"/>
  <c r="H190" i="1"/>
  <c r="E190" i="1"/>
  <c r="F190" i="1"/>
  <c r="C190" i="1"/>
  <c r="D190" i="1"/>
  <c r="B192" i="1" l="1"/>
  <c r="I191" i="1"/>
  <c r="J191" i="1"/>
  <c r="G191" i="1"/>
  <c r="H191" i="1"/>
  <c r="E191" i="1"/>
  <c r="F191" i="1"/>
  <c r="C191" i="1"/>
  <c r="D191" i="1"/>
  <c r="B193" i="1" l="1"/>
  <c r="J192" i="1"/>
  <c r="I192" i="1"/>
  <c r="H192" i="1"/>
  <c r="G192" i="1"/>
  <c r="E192" i="1"/>
  <c r="F192" i="1"/>
  <c r="D192" i="1"/>
  <c r="C192" i="1"/>
  <c r="B194" i="1" l="1"/>
  <c r="I193" i="1"/>
  <c r="J193" i="1"/>
  <c r="H193" i="1"/>
  <c r="G193" i="1"/>
  <c r="E193" i="1"/>
  <c r="F193" i="1"/>
  <c r="D193" i="1"/>
  <c r="C193" i="1"/>
  <c r="B195" i="1" l="1"/>
  <c r="I194" i="1"/>
  <c r="J194" i="1"/>
  <c r="G194" i="1"/>
  <c r="H194" i="1"/>
  <c r="F194" i="1"/>
  <c r="E194" i="1"/>
  <c r="C194" i="1"/>
  <c r="D194" i="1"/>
  <c r="B196" i="1" l="1"/>
  <c r="I195" i="1"/>
  <c r="J195" i="1"/>
  <c r="G195" i="1"/>
  <c r="H195" i="1"/>
  <c r="F195" i="1"/>
  <c r="E195" i="1"/>
  <c r="C195" i="1"/>
  <c r="D195" i="1"/>
  <c r="B197" i="1" l="1"/>
  <c r="J196" i="1"/>
  <c r="G196" i="1"/>
  <c r="H196" i="1"/>
  <c r="E196" i="1"/>
  <c r="F196" i="1"/>
  <c r="I196" i="1"/>
  <c r="C196" i="1"/>
  <c r="D196" i="1"/>
  <c r="B198" i="1" l="1"/>
  <c r="J197" i="1"/>
  <c r="G197" i="1"/>
  <c r="H197" i="1"/>
  <c r="I197" i="1"/>
  <c r="E197" i="1"/>
  <c r="F197" i="1"/>
  <c r="C197" i="1"/>
  <c r="D197" i="1"/>
  <c r="B199" i="1" l="1"/>
  <c r="J198" i="1"/>
  <c r="I198" i="1"/>
  <c r="G198" i="1"/>
  <c r="H198" i="1"/>
  <c r="E198" i="1"/>
  <c r="F198" i="1"/>
  <c r="C198" i="1"/>
  <c r="D198" i="1"/>
  <c r="B200" i="1" l="1"/>
  <c r="I199" i="1"/>
  <c r="J199" i="1"/>
  <c r="G199" i="1"/>
  <c r="H199" i="1"/>
  <c r="E199" i="1"/>
  <c r="F199" i="1"/>
  <c r="C199" i="1"/>
  <c r="D199" i="1"/>
  <c r="B201" i="1" l="1"/>
  <c r="J200" i="1"/>
  <c r="I200" i="1"/>
  <c r="H200" i="1"/>
  <c r="G200" i="1"/>
  <c r="E200" i="1"/>
  <c r="F200" i="1"/>
  <c r="D200" i="1"/>
  <c r="C200" i="1"/>
  <c r="B202" i="1" l="1"/>
  <c r="I201" i="1"/>
  <c r="J201" i="1"/>
  <c r="H201" i="1"/>
  <c r="G201" i="1"/>
  <c r="E201" i="1"/>
  <c r="F201" i="1"/>
  <c r="D201" i="1"/>
  <c r="C201" i="1"/>
  <c r="B203" i="1" l="1"/>
  <c r="I202" i="1"/>
  <c r="J202" i="1"/>
  <c r="G202" i="1"/>
  <c r="H202" i="1"/>
  <c r="F202" i="1"/>
  <c r="E202" i="1"/>
  <c r="C202" i="1"/>
  <c r="D202" i="1"/>
  <c r="B204" i="1" l="1"/>
  <c r="I203" i="1"/>
  <c r="G203" i="1"/>
  <c r="J203" i="1"/>
  <c r="H203" i="1"/>
  <c r="F203" i="1"/>
  <c r="E203" i="1"/>
  <c r="C203" i="1"/>
  <c r="D203" i="1"/>
  <c r="B205" i="1" l="1"/>
  <c r="J204" i="1"/>
  <c r="I204" i="1"/>
  <c r="G204" i="1"/>
  <c r="H204" i="1"/>
  <c r="E204" i="1"/>
  <c r="F204" i="1"/>
  <c r="C204" i="1"/>
  <c r="D204" i="1"/>
  <c r="B206" i="1" l="1"/>
  <c r="J205" i="1"/>
  <c r="I205" i="1"/>
  <c r="G205" i="1"/>
  <c r="H205" i="1"/>
  <c r="E205" i="1"/>
  <c r="F205" i="1"/>
  <c r="C205" i="1"/>
  <c r="D205" i="1"/>
  <c r="B207" i="1" l="1"/>
  <c r="J206" i="1"/>
  <c r="I206" i="1"/>
  <c r="G206" i="1"/>
  <c r="H206" i="1"/>
  <c r="E206" i="1"/>
  <c r="F206" i="1"/>
  <c r="C206" i="1"/>
  <c r="D206" i="1"/>
  <c r="B208" i="1" l="1"/>
  <c r="I207" i="1"/>
  <c r="J207" i="1"/>
  <c r="G207" i="1"/>
  <c r="H207" i="1"/>
  <c r="E207" i="1"/>
  <c r="F207" i="1"/>
  <c r="C207" i="1"/>
  <c r="D207" i="1"/>
  <c r="B209" i="1" l="1"/>
  <c r="J208" i="1"/>
  <c r="I208" i="1"/>
  <c r="H208" i="1"/>
  <c r="G208" i="1"/>
  <c r="E208" i="1"/>
  <c r="F208" i="1"/>
  <c r="D208" i="1"/>
  <c r="C208" i="1"/>
  <c r="B210" i="1" l="1"/>
  <c r="I209" i="1"/>
  <c r="J209" i="1"/>
  <c r="H209" i="1"/>
  <c r="G209" i="1"/>
  <c r="E209" i="1"/>
  <c r="F209" i="1"/>
  <c r="D209" i="1"/>
  <c r="C209" i="1"/>
  <c r="B211" i="1" l="1"/>
  <c r="I210" i="1"/>
  <c r="J210" i="1"/>
  <c r="G210" i="1"/>
  <c r="H210" i="1"/>
  <c r="F210" i="1"/>
  <c r="E210" i="1"/>
  <c r="C210" i="1"/>
  <c r="D210" i="1"/>
  <c r="B212" i="1" l="1"/>
  <c r="I211" i="1"/>
  <c r="G211" i="1"/>
  <c r="H211" i="1"/>
  <c r="J211" i="1"/>
  <c r="F211" i="1"/>
  <c r="C211" i="1"/>
  <c r="E211" i="1"/>
  <c r="D211" i="1"/>
  <c r="B213" i="1" l="1"/>
  <c r="J212" i="1"/>
  <c r="G212" i="1"/>
  <c r="H212" i="1"/>
  <c r="E212" i="1"/>
  <c r="F212" i="1"/>
  <c r="I212" i="1"/>
  <c r="C212" i="1"/>
  <c r="D212" i="1"/>
  <c r="B214" i="1" l="1"/>
  <c r="G213" i="1"/>
  <c r="H213" i="1"/>
  <c r="J213" i="1"/>
  <c r="I213" i="1"/>
  <c r="E213" i="1"/>
  <c r="F213" i="1"/>
  <c r="C213" i="1"/>
  <c r="D213" i="1"/>
  <c r="B215" i="1" l="1"/>
  <c r="J214" i="1"/>
  <c r="I214" i="1"/>
  <c r="G214" i="1"/>
  <c r="H214" i="1"/>
  <c r="E214" i="1"/>
  <c r="F214" i="1"/>
  <c r="C214" i="1"/>
  <c r="D214" i="1"/>
  <c r="B216" i="1" l="1"/>
  <c r="I215" i="1"/>
  <c r="J215" i="1"/>
  <c r="G215" i="1"/>
  <c r="H215" i="1"/>
  <c r="E215" i="1"/>
  <c r="F215" i="1"/>
  <c r="C215" i="1"/>
  <c r="D215" i="1"/>
  <c r="B217" i="1" l="1"/>
  <c r="J216" i="1"/>
  <c r="I216" i="1"/>
  <c r="H216" i="1"/>
  <c r="G216" i="1"/>
  <c r="E216" i="1"/>
  <c r="F216" i="1"/>
  <c r="D216" i="1"/>
  <c r="C216" i="1"/>
  <c r="B218" i="1" l="1"/>
  <c r="I217" i="1"/>
  <c r="J217" i="1"/>
  <c r="H217" i="1"/>
  <c r="G217" i="1"/>
  <c r="E217" i="1"/>
  <c r="F217" i="1"/>
  <c r="D217" i="1"/>
  <c r="C217" i="1"/>
  <c r="B219" i="1" l="1"/>
  <c r="I218" i="1"/>
  <c r="J218" i="1"/>
  <c r="G218" i="1"/>
  <c r="H218" i="1"/>
  <c r="F218" i="1"/>
  <c r="E218" i="1"/>
  <c r="C218" i="1"/>
  <c r="D218" i="1"/>
  <c r="B220" i="1" l="1"/>
  <c r="I219" i="1"/>
  <c r="G219" i="1"/>
  <c r="H219" i="1"/>
  <c r="F219" i="1"/>
  <c r="J219" i="1"/>
  <c r="C219" i="1"/>
  <c r="E219" i="1"/>
  <c r="D219" i="1"/>
  <c r="B221" i="1" l="1"/>
  <c r="J220" i="1"/>
  <c r="I220" i="1"/>
  <c r="G220" i="1"/>
  <c r="H220" i="1"/>
  <c r="E220" i="1"/>
  <c r="F220" i="1"/>
  <c r="C220" i="1"/>
  <c r="D220" i="1"/>
  <c r="B222" i="1" l="1"/>
  <c r="I221" i="1"/>
  <c r="G221" i="1"/>
  <c r="H221" i="1"/>
  <c r="J221" i="1"/>
  <c r="E221" i="1"/>
  <c r="F221" i="1"/>
  <c r="C221" i="1"/>
  <c r="D221" i="1"/>
  <c r="B223" i="1" l="1"/>
  <c r="J222" i="1"/>
  <c r="I222" i="1"/>
  <c r="G222" i="1"/>
  <c r="H222" i="1"/>
  <c r="E222" i="1"/>
  <c r="F222" i="1"/>
  <c r="C222" i="1"/>
  <c r="D222" i="1"/>
  <c r="B224" i="1" l="1"/>
  <c r="I223" i="1"/>
  <c r="J223" i="1"/>
  <c r="G223" i="1"/>
  <c r="E223" i="1"/>
  <c r="H223" i="1"/>
  <c r="F223" i="1"/>
  <c r="C223" i="1"/>
  <c r="D223" i="1"/>
  <c r="B225" i="1" l="1"/>
  <c r="J224" i="1"/>
  <c r="I224" i="1"/>
  <c r="H224" i="1"/>
  <c r="G224" i="1"/>
  <c r="E224" i="1"/>
  <c r="F224" i="1"/>
  <c r="D224" i="1"/>
  <c r="C224" i="1"/>
  <c r="B226" i="1" l="1"/>
  <c r="I225" i="1"/>
  <c r="J225" i="1"/>
  <c r="H225" i="1"/>
  <c r="G225" i="1"/>
  <c r="E225" i="1"/>
  <c r="F225" i="1"/>
  <c r="D225" i="1"/>
  <c r="C225" i="1"/>
  <c r="B227" i="1" l="1"/>
  <c r="I226" i="1"/>
  <c r="J226" i="1"/>
  <c r="G226" i="1"/>
  <c r="H226" i="1"/>
  <c r="F226" i="1"/>
  <c r="E226" i="1"/>
  <c r="C226" i="1"/>
  <c r="D226" i="1"/>
  <c r="B228" i="1" l="1"/>
  <c r="I227" i="1"/>
  <c r="J227" i="1"/>
  <c r="G227" i="1"/>
  <c r="H227" i="1"/>
  <c r="F227" i="1"/>
  <c r="C227" i="1"/>
  <c r="D227" i="1"/>
  <c r="E227" i="1"/>
  <c r="B229" i="1" l="1"/>
  <c r="J228" i="1"/>
  <c r="G228" i="1"/>
  <c r="H228" i="1"/>
  <c r="E228" i="1"/>
  <c r="F228" i="1"/>
  <c r="I228" i="1"/>
  <c r="C228" i="1"/>
  <c r="D228" i="1"/>
  <c r="B230" i="1" l="1"/>
  <c r="J229" i="1"/>
  <c r="G229" i="1"/>
  <c r="H229" i="1"/>
  <c r="I229" i="1"/>
  <c r="E229" i="1"/>
  <c r="F229" i="1"/>
  <c r="C229" i="1"/>
  <c r="D229" i="1"/>
  <c r="B231" i="1" l="1"/>
  <c r="J230" i="1"/>
  <c r="I230" i="1"/>
  <c r="G230" i="1"/>
  <c r="H230" i="1"/>
  <c r="E230" i="1"/>
  <c r="F230" i="1"/>
  <c r="C230" i="1"/>
  <c r="D230" i="1"/>
  <c r="B232" i="1" l="1"/>
  <c r="I231" i="1"/>
  <c r="J231" i="1"/>
  <c r="G231" i="1"/>
  <c r="E231" i="1"/>
  <c r="H231" i="1"/>
  <c r="F231" i="1"/>
  <c r="C231" i="1"/>
  <c r="D231" i="1"/>
  <c r="B233" i="1" l="1"/>
  <c r="J232" i="1"/>
  <c r="I232" i="1"/>
  <c r="H232" i="1"/>
  <c r="E232" i="1"/>
  <c r="G232" i="1"/>
  <c r="F232" i="1"/>
  <c r="D232" i="1"/>
  <c r="C232" i="1"/>
  <c r="B234" i="1" l="1"/>
  <c r="I233" i="1"/>
  <c r="J233" i="1"/>
  <c r="H233" i="1"/>
  <c r="G233" i="1"/>
  <c r="E233" i="1"/>
  <c r="F233" i="1"/>
  <c r="D233" i="1"/>
  <c r="C233" i="1"/>
  <c r="B235" i="1" l="1"/>
  <c r="I234" i="1"/>
  <c r="J234" i="1"/>
  <c r="G234" i="1"/>
  <c r="H234" i="1"/>
  <c r="F234" i="1"/>
  <c r="E234" i="1"/>
  <c r="C234" i="1"/>
  <c r="D234" i="1"/>
  <c r="B236" i="1" l="1"/>
  <c r="I235" i="1"/>
  <c r="G235" i="1"/>
  <c r="J235" i="1"/>
  <c r="H235" i="1"/>
  <c r="F235" i="1"/>
  <c r="C235" i="1"/>
  <c r="D235" i="1"/>
  <c r="E235" i="1"/>
  <c r="B237" i="1" l="1"/>
  <c r="J236" i="1"/>
  <c r="I236" i="1"/>
  <c r="G236" i="1"/>
  <c r="H236" i="1"/>
  <c r="E236" i="1"/>
  <c r="F236" i="1"/>
  <c r="C236" i="1"/>
  <c r="D236" i="1"/>
  <c r="B238" i="1" l="1"/>
  <c r="J237" i="1"/>
  <c r="I237" i="1"/>
  <c r="G237" i="1"/>
  <c r="H237" i="1"/>
  <c r="E237" i="1"/>
  <c r="F237" i="1"/>
  <c r="C237" i="1"/>
  <c r="D237" i="1"/>
  <c r="B239" i="1" l="1"/>
  <c r="J238" i="1"/>
  <c r="I238" i="1"/>
  <c r="G238" i="1"/>
  <c r="H238" i="1"/>
  <c r="E238" i="1"/>
  <c r="F238" i="1"/>
  <c r="D238" i="1"/>
  <c r="C238" i="1"/>
  <c r="B240" i="1" l="1"/>
  <c r="I239" i="1"/>
  <c r="J239" i="1"/>
  <c r="G239" i="1"/>
  <c r="E239" i="1"/>
  <c r="F239" i="1"/>
  <c r="H239" i="1"/>
  <c r="C239" i="1"/>
  <c r="D239" i="1"/>
  <c r="B241" i="1" l="1"/>
  <c r="J240" i="1"/>
  <c r="I240" i="1"/>
  <c r="H240" i="1"/>
  <c r="E240" i="1"/>
  <c r="G240" i="1"/>
  <c r="F240" i="1"/>
  <c r="D240" i="1"/>
  <c r="C240" i="1"/>
  <c r="B242" i="1" l="1"/>
  <c r="I241" i="1"/>
  <c r="J241" i="1"/>
  <c r="H241" i="1"/>
  <c r="G241" i="1"/>
  <c r="E241" i="1"/>
  <c r="F241" i="1"/>
  <c r="D241" i="1"/>
  <c r="C241" i="1"/>
  <c r="B243" i="1" l="1"/>
  <c r="I242" i="1"/>
  <c r="J242" i="1"/>
  <c r="G242" i="1"/>
  <c r="H242" i="1"/>
  <c r="F242" i="1"/>
  <c r="C242" i="1"/>
  <c r="D242" i="1"/>
  <c r="E242" i="1"/>
  <c r="B244" i="1" l="1"/>
  <c r="I243" i="1"/>
  <c r="G243" i="1"/>
  <c r="H243" i="1"/>
  <c r="J243" i="1"/>
  <c r="F243" i="1"/>
  <c r="C243" i="1"/>
  <c r="D243" i="1"/>
  <c r="E243" i="1"/>
  <c r="B245" i="1" l="1"/>
  <c r="J244" i="1"/>
  <c r="G244" i="1"/>
  <c r="H244" i="1"/>
  <c r="E244" i="1"/>
  <c r="F244" i="1"/>
  <c r="I244" i="1"/>
  <c r="C244" i="1"/>
  <c r="D244" i="1"/>
  <c r="B246" i="1" l="1"/>
  <c r="G245" i="1"/>
  <c r="H245" i="1"/>
  <c r="J245" i="1"/>
  <c r="I245" i="1"/>
  <c r="E245" i="1"/>
  <c r="F245" i="1"/>
  <c r="C245" i="1"/>
  <c r="D245" i="1"/>
  <c r="B247" i="1" l="1"/>
  <c r="J246" i="1"/>
  <c r="I246" i="1"/>
  <c r="G246" i="1"/>
  <c r="H246" i="1"/>
  <c r="E246" i="1"/>
  <c r="F246" i="1"/>
  <c r="C246" i="1"/>
  <c r="D246" i="1"/>
  <c r="B248" i="1" l="1"/>
  <c r="I247" i="1"/>
  <c r="J247" i="1"/>
  <c r="G247" i="1"/>
  <c r="E247" i="1"/>
  <c r="F247" i="1"/>
  <c r="H247" i="1"/>
  <c r="C247" i="1"/>
  <c r="D247" i="1"/>
  <c r="B249" i="1" l="1"/>
  <c r="J248" i="1"/>
  <c r="I248" i="1"/>
  <c r="H248" i="1"/>
  <c r="E248" i="1"/>
  <c r="F248" i="1"/>
  <c r="G248" i="1"/>
  <c r="D248" i="1"/>
  <c r="C248" i="1"/>
  <c r="B250" i="1" l="1"/>
  <c r="I249" i="1"/>
  <c r="J249" i="1"/>
  <c r="H249" i="1"/>
  <c r="G249" i="1"/>
  <c r="F249" i="1"/>
  <c r="E249" i="1"/>
  <c r="D249" i="1"/>
  <c r="C249" i="1"/>
  <c r="B251" i="1" l="1"/>
  <c r="I250" i="1"/>
  <c r="J250" i="1"/>
  <c r="G250" i="1"/>
  <c r="H250" i="1"/>
  <c r="F250" i="1"/>
  <c r="C250" i="1"/>
  <c r="E250" i="1"/>
  <c r="D250" i="1"/>
  <c r="B252" i="1" l="1"/>
  <c r="I251" i="1"/>
  <c r="G251" i="1"/>
  <c r="H251" i="1"/>
  <c r="F251" i="1"/>
  <c r="J251" i="1"/>
  <c r="C251" i="1"/>
  <c r="E251" i="1"/>
  <c r="D251" i="1"/>
  <c r="B253" i="1" l="1"/>
  <c r="J252" i="1"/>
  <c r="I252" i="1"/>
  <c r="G252" i="1"/>
  <c r="H252" i="1"/>
  <c r="E252" i="1"/>
  <c r="F252" i="1"/>
  <c r="C252" i="1"/>
  <c r="D252" i="1"/>
  <c r="B254" i="1" l="1"/>
  <c r="I253" i="1"/>
  <c r="G253" i="1"/>
  <c r="H253" i="1"/>
  <c r="J253" i="1"/>
  <c r="E253" i="1"/>
  <c r="F253" i="1"/>
  <c r="C253" i="1"/>
  <c r="D253" i="1"/>
  <c r="B255" i="1" l="1"/>
  <c r="J254" i="1"/>
  <c r="I254" i="1"/>
  <c r="G254" i="1"/>
  <c r="H254" i="1"/>
  <c r="E254" i="1"/>
  <c r="F254" i="1"/>
  <c r="C254" i="1"/>
  <c r="D254" i="1"/>
  <c r="B256" i="1" l="1"/>
  <c r="I255" i="1"/>
  <c r="J255" i="1"/>
  <c r="G255" i="1"/>
  <c r="H255" i="1"/>
  <c r="E255" i="1"/>
  <c r="F255" i="1"/>
  <c r="C255" i="1"/>
  <c r="D255" i="1"/>
  <c r="B257" i="1" l="1"/>
  <c r="J256" i="1"/>
  <c r="I256" i="1"/>
  <c r="H256" i="1"/>
  <c r="G256" i="1"/>
  <c r="E256" i="1"/>
  <c r="F256" i="1"/>
  <c r="D256" i="1"/>
  <c r="C256" i="1"/>
  <c r="B258" i="1" l="1"/>
  <c r="I257" i="1"/>
  <c r="J257" i="1"/>
  <c r="H257" i="1"/>
  <c r="G257" i="1"/>
  <c r="F257" i="1"/>
  <c r="D257" i="1"/>
  <c r="E257" i="1"/>
  <c r="C257" i="1"/>
  <c r="B259" i="1" l="1"/>
  <c r="I258" i="1"/>
  <c r="J258" i="1"/>
  <c r="G258" i="1"/>
  <c r="H258" i="1"/>
  <c r="F258" i="1"/>
  <c r="C258" i="1"/>
  <c r="D258" i="1"/>
  <c r="E258" i="1"/>
  <c r="B260" i="1" l="1"/>
  <c r="I259" i="1"/>
  <c r="J259" i="1"/>
  <c r="G259" i="1"/>
  <c r="H259" i="1"/>
  <c r="F259" i="1"/>
  <c r="C259" i="1"/>
  <c r="D259" i="1"/>
  <c r="E259" i="1"/>
  <c r="J260" i="1" l="1"/>
  <c r="G260" i="1"/>
  <c r="H260" i="1"/>
  <c r="I260" i="1"/>
  <c r="E260" i="1"/>
  <c r="F260" i="1"/>
  <c r="C260" i="1"/>
  <c r="B261" i="1"/>
  <c r="D260" i="1"/>
  <c r="J261" i="1" l="1"/>
  <c r="G261" i="1"/>
  <c r="H261" i="1"/>
  <c r="I261" i="1"/>
  <c r="E261" i="1"/>
  <c r="F261" i="1"/>
  <c r="C261" i="1"/>
  <c r="D261" i="1"/>
</calcChain>
</file>

<file path=xl/sharedStrings.xml><?xml version="1.0" encoding="utf-8"?>
<sst xmlns="http://schemas.openxmlformats.org/spreadsheetml/2006/main" count="2321" uniqueCount="1171">
  <si>
    <t>Numerator</t>
  </si>
  <si>
    <t>Denominator</t>
  </si>
  <si>
    <t>Second or later occurrence of a value.</t>
  </si>
  <si>
    <t>First occurrence of a value.</t>
  </si>
  <si>
    <t>Unique Values</t>
  </si>
  <si>
    <t>0 ÷ 1</t>
  </si>
  <si>
    <t>1 ÷ 128</t>
  </si>
  <si>
    <t>1 ÷ 64</t>
  </si>
  <si>
    <t>3 ÷ 128</t>
  </si>
  <si>
    <t>1 ÷ 32</t>
  </si>
  <si>
    <t>5 ÷ 128</t>
  </si>
  <si>
    <t>3 ÷ 64</t>
  </si>
  <si>
    <t>7 ÷ 128</t>
  </si>
  <si>
    <t>1 ÷ 16</t>
  </si>
  <si>
    <t>9 ÷ 128</t>
  </si>
  <si>
    <t>5 ÷ 64</t>
  </si>
  <si>
    <t>1 ÷ 1</t>
  </si>
  <si>
    <t>128 ÷ 1</t>
  </si>
  <si>
    <t>130 ÷ 1</t>
  </si>
  <si>
    <t>131 ÷ 1</t>
  </si>
  <si>
    <t>132 ÷ 1</t>
  </si>
  <si>
    <t>133 ÷ 1</t>
  </si>
  <si>
    <t>134 ÷ 1</t>
  </si>
  <si>
    <t>135 ÷ 1</t>
  </si>
  <si>
    <t>136 ÷ 1</t>
  </si>
  <si>
    <t>137 ÷ 1</t>
  </si>
  <si>
    <t>138 ÷ 1</t>
  </si>
  <si>
    <t>139 ÷ 1</t>
  </si>
  <si>
    <t>140 ÷ 1</t>
  </si>
  <si>
    <t>141 ÷ 1</t>
  </si>
  <si>
    <t>142 ÷ 1</t>
  </si>
  <si>
    <t>143 ÷ 1</t>
  </si>
  <si>
    <t>144 ÷ 1</t>
  </si>
  <si>
    <t>145 ÷ 1</t>
  </si>
  <si>
    <t>146 ÷ 1</t>
  </si>
  <si>
    <t>147 ÷ 1</t>
  </si>
  <si>
    <t>148 ÷ 1</t>
  </si>
  <si>
    <t>149 ÷ 1</t>
  </si>
  <si>
    <t>150 ÷ 1</t>
  </si>
  <si>
    <t>151 ÷ 1</t>
  </si>
  <si>
    <t>152 ÷ 1</t>
  </si>
  <si>
    <t>153 ÷ 1</t>
  </si>
  <si>
    <t>154 ÷ 1</t>
  </si>
  <si>
    <t>155 ÷ 1</t>
  </si>
  <si>
    <t>156 ÷ 1</t>
  </si>
  <si>
    <t>157 ÷ 1</t>
  </si>
  <si>
    <t>158 ÷ 1</t>
  </si>
  <si>
    <t>159 ÷ 1</t>
  </si>
  <si>
    <t>160 ÷ 1</t>
  </si>
  <si>
    <t>129 ÷ 1</t>
  </si>
  <si>
    <t>161 ÷ 1</t>
  </si>
  <si>
    <t>162 ÷ 1</t>
  </si>
  <si>
    <t>163 ÷ 1</t>
  </si>
  <si>
    <t>164 ÷ 1</t>
  </si>
  <si>
    <t>165 ÷ 1</t>
  </si>
  <si>
    <t>166 ÷ 1</t>
  </si>
  <si>
    <t>167 ÷ 1</t>
  </si>
  <si>
    <t>168 ÷ 1</t>
  </si>
  <si>
    <t>169 ÷ 1</t>
  </si>
  <si>
    <t>170 ÷ 1</t>
  </si>
  <si>
    <t>171 ÷ 1</t>
  </si>
  <si>
    <t>172 ÷ 1</t>
  </si>
  <si>
    <t>173 ÷ 1</t>
  </si>
  <si>
    <t>174 ÷ 1</t>
  </si>
  <si>
    <t>175 ÷ 1</t>
  </si>
  <si>
    <t>176 ÷ 1</t>
  </si>
  <si>
    <t>177 ÷ 1</t>
  </si>
  <si>
    <t>178 ÷ 1</t>
  </si>
  <si>
    <t>179 ÷ 1</t>
  </si>
  <si>
    <t>180 ÷ 1</t>
  </si>
  <si>
    <t>181 ÷ 1</t>
  </si>
  <si>
    <t>182 ÷ 1</t>
  </si>
  <si>
    <t>183 ÷ 1</t>
  </si>
  <si>
    <t>184 ÷ 1</t>
  </si>
  <si>
    <t>185 ÷ 1</t>
  </si>
  <si>
    <t>186 ÷ 1</t>
  </si>
  <si>
    <t>187 ÷ 1</t>
  </si>
  <si>
    <t>188 ÷ 1</t>
  </si>
  <si>
    <t>189 ÷ 1</t>
  </si>
  <si>
    <t>190 ÷ 1</t>
  </si>
  <si>
    <t>191 ÷ 1</t>
  </si>
  <si>
    <t>192 ÷ 1</t>
  </si>
  <si>
    <t>193 ÷ 1</t>
  </si>
  <si>
    <t>194 ÷ 1</t>
  </si>
  <si>
    <t>195 ÷ 1</t>
  </si>
  <si>
    <t>196 ÷ 1</t>
  </si>
  <si>
    <t>197 ÷ 1</t>
  </si>
  <si>
    <t>198 ÷ 1</t>
  </si>
  <si>
    <t>199 ÷ 1</t>
  </si>
  <si>
    <t>200 ÷ 1</t>
  </si>
  <si>
    <t>201 ÷ 1</t>
  </si>
  <si>
    <t>202 ÷ 1</t>
  </si>
  <si>
    <t>203 ÷ 1</t>
  </si>
  <si>
    <t>204 ÷ 1</t>
  </si>
  <si>
    <t>205 ÷ 1</t>
  </si>
  <si>
    <t>206 ÷ 1</t>
  </si>
  <si>
    <t>207 ÷ 1</t>
  </si>
  <si>
    <t>208 ÷ 1</t>
  </si>
  <si>
    <t>209 ÷ 1</t>
  </si>
  <si>
    <t>210 ÷ 1</t>
  </si>
  <si>
    <t>211 ÷ 1</t>
  </si>
  <si>
    <t>212 ÷ 1</t>
  </si>
  <si>
    <t>213 ÷ 1</t>
  </si>
  <si>
    <t>214 ÷ 1</t>
  </si>
  <si>
    <t>215 ÷ 1</t>
  </si>
  <si>
    <t>216 ÷ 1</t>
  </si>
  <si>
    <t>217 ÷ 1</t>
  </si>
  <si>
    <t>218 ÷ 1</t>
  </si>
  <si>
    <t>219 ÷ 1</t>
  </si>
  <si>
    <t>220 ÷ 1</t>
  </si>
  <si>
    <t>221 ÷ 1</t>
  </si>
  <si>
    <t>222 ÷ 1</t>
  </si>
  <si>
    <t>223 ÷ 1</t>
  </si>
  <si>
    <t>224 ÷ 1</t>
  </si>
  <si>
    <t>225 ÷ 1</t>
  </si>
  <si>
    <t>226 ÷ 1</t>
  </si>
  <si>
    <t>227 ÷ 1</t>
  </si>
  <si>
    <t>228 ÷ 1</t>
  </si>
  <si>
    <t>229 ÷ 1</t>
  </si>
  <si>
    <t>230 ÷ 1</t>
  </si>
  <si>
    <t>231 ÷ 1</t>
  </si>
  <si>
    <t>232 ÷ 1</t>
  </si>
  <si>
    <t>233 ÷ 1</t>
  </si>
  <si>
    <t>234 ÷ 1</t>
  </si>
  <si>
    <t>235 ÷ 1</t>
  </si>
  <si>
    <t>236 ÷ 1</t>
  </si>
  <si>
    <t>237 ÷ 1</t>
  </si>
  <si>
    <t>238 ÷ 1</t>
  </si>
  <si>
    <t>239 ÷ 1</t>
  </si>
  <si>
    <t>240 ÷ 1</t>
  </si>
  <si>
    <t>241 ÷ 1</t>
  </si>
  <si>
    <t>242 ÷ 1</t>
  </si>
  <si>
    <t>243 ÷ 1</t>
  </si>
  <si>
    <t>244 ÷ 1</t>
  </si>
  <si>
    <t>245 ÷ 1</t>
  </si>
  <si>
    <t>246 ÷ 1</t>
  </si>
  <si>
    <t>247 ÷ 1</t>
  </si>
  <si>
    <t>248 ÷ 1</t>
  </si>
  <si>
    <t>249 ÷ 1</t>
  </si>
  <si>
    <t>250 ÷ 1</t>
  </si>
  <si>
    <t>251 ÷ 1</t>
  </si>
  <si>
    <t>252 ÷ 1</t>
  </si>
  <si>
    <t>253 ÷ 1</t>
  </si>
  <si>
    <t>254 ÷ 1</t>
  </si>
  <si>
    <t>255 ÷ 1</t>
  </si>
  <si>
    <t>11 ÷ 128</t>
  </si>
  <si>
    <t>3 ÷ 32</t>
  </si>
  <si>
    <t>13 ÷ 128</t>
  </si>
  <si>
    <t>7 ÷ 64</t>
  </si>
  <si>
    <t>15 ÷ 128</t>
  </si>
  <si>
    <t>1 ÷ 8</t>
  </si>
  <si>
    <t>Difference</t>
  </si>
  <si>
    <t>—</t>
  </si>
  <si>
    <t>17 ÷ 128</t>
  </si>
  <si>
    <t>19 ÷ 128</t>
  </si>
  <si>
    <t>21 ÷ 128</t>
  </si>
  <si>
    <t>23 ÷ 128</t>
  </si>
  <si>
    <t>25 ÷ 128</t>
  </si>
  <si>
    <t>27 ÷ 128</t>
  </si>
  <si>
    <t>29 ÷ 128</t>
  </si>
  <si>
    <t>31 ÷ 128</t>
  </si>
  <si>
    <t>33 ÷ 128</t>
  </si>
  <si>
    <t>35 ÷ 128</t>
  </si>
  <si>
    <t>37 ÷ 128</t>
  </si>
  <si>
    <t>39 ÷ 128</t>
  </si>
  <si>
    <t>41 ÷ 128</t>
  </si>
  <si>
    <t>43 ÷ 128</t>
  </si>
  <si>
    <t>45 ÷ 128</t>
  </si>
  <si>
    <t>47 ÷ 128</t>
  </si>
  <si>
    <t>49 ÷ 128</t>
  </si>
  <si>
    <t>51 ÷ 128</t>
  </si>
  <si>
    <t>53 ÷ 128</t>
  </si>
  <si>
    <t>55 ÷ 128</t>
  </si>
  <si>
    <t>57 ÷ 128</t>
  </si>
  <si>
    <t>59 ÷ 128</t>
  </si>
  <si>
    <t>61 ÷ 128</t>
  </si>
  <si>
    <t>63 ÷ 128</t>
  </si>
  <si>
    <t>65 ÷ 128</t>
  </si>
  <si>
    <t>67 ÷ 128</t>
  </si>
  <si>
    <t>69 ÷ 128</t>
  </si>
  <si>
    <t>71 ÷ 128</t>
  </si>
  <si>
    <t>73 ÷ 128</t>
  </si>
  <si>
    <t>75 ÷ 128</t>
  </si>
  <si>
    <t>77 ÷ 128</t>
  </si>
  <si>
    <t>79 ÷ 128</t>
  </si>
  <si>
    <t>81 ÷ 128</t>
  </si>
  <si>
    <t>83 ÷ 128</t>
  </si>
  <si>
    <t>85 ÷ 128</t>
  </si>
  <si>
    <t>87 ÷ 128</t>
  </si>
  <si>
    <t>89 ÷ 128</t>
  </si>
  <si>
    <t>91 ÷ 128</t>
  </si>
  <si>
    <t>93 ÷ 128</t>
  </si>
  <si>
    <t>95 ÷ 128</t>
  </si>
  <si>
    <t>97 ÷ 128</t>
  </si>
  <si>
    <t>99 ÷ 128</t>
  </si>
  <si>
    <t>101 ÷ 128</t>
  </si>
  <si>
    <t>103 ÷ 128</t>
  </si>
  <si>
    <t>105 ÷ 128</t>
  </si>
  <si>
    <t>107 ÷ 128</t>
  </si>
  <si>
    <t>109 ÷ 128</t>
  </si>
  <si>
    <t>111 ÷ 128</t>
  </si>
  <si>
    <t>113 ÷ 128</t>
  </si>
  <si>
    <t>115 ÷ 128</t>
  </si>
  <si>
    <t>117 ÷ 128</t>
  </si>
  <si>
    <t>119 ÷ 128</t>
  </si>
  <si>
    <t>121 ÷ 128</t>
  </si>
  <si>
    <t>123 ÷ 128</t>
  </si>
  <si>
    <t>125 ÷ 128</t>
  </si>
  <si>
    <t>127 ÷ 128</t>
  </si>
  <si>
    <t>129 ÷ 128</t>
  </si>
  <si>
    <t>131 ÷ 128</t>
  </si>
  <si>
    <t>133 ÷ 128</t>
  </si>
  <si>
    <t>135 ÷ 128</t>
  </si>
  <si>
    <t>137 ÷ 128</t>
  </si>
  <si>
    <t>139 ÷ 128</t>
  </si>
  <si>
    <t>141 ÷ 128</t>
  </si>
  <si>
    <t>143 ÷ 128</t>
  </si>
  <si>
    <t>145 ÷ 128</t>
  </si>
  <si>
    <t>147 ÷ 128</t>
  </si>
  <si>
    <t>149 ÷ 128</t>
  </si>
  <si>
    <t>151 ÷ 128</t>
  </si>
  <si>
    <t>153 ÷ 128</t>
  </si>
  <si>
    <t>155 ÷ 128</t>
  </si>
  <si>
    <t>157 ÷ 128</t>
  </si>
  <si>
    <t>159 ÷ 128</t>
  </si>
  <si>
    <t>161 ÷ 128</t>
  </si>
  <si>
    <t>163 ÷ 128</t>
  </si>
  <si>
    <t>165 ÷ 128</t>
  </si>
  <si>
    <t>167 ÷ 128</t>
  </si>
  <si>
    <t>169 ÷ 128</t>
  </si>
  <si>
    <t>171 ÷ 128</t>
  </si>
  <si>
    <t>173 ÷ 128</t>
  </si>
  <si>
    <t>175 ÷ 128</t>
  </si>
  <si>
    <t>177 ÷ 128</t>
  </si>
  <si>
    <t>179 ÷ 128</t>
  </si>
  <si>
    <t>181 ÷ 128</t>
  </si>
  <si>
    <t>183 ÷ 128</t>
  </si>
  <si>
    <t>185 ÷ 128</t>
  </si>
  <si>
    <t>187 ÷ 128</t>
  </si>
  <si>
    <t>189 ÷ 128</t>
  </si>
  <si>
    <t>191 ÷ 128</t>
  </si>
  <si>
    <t>193 ÷ 128</t>
  </si>
  <si>
    <t>195 ÷ 128</t>
  </si>
  <si>
    <t>197 ÷ 128</t>
  </si>
  <si>
    <t>199 ÷ 128</t>
  </si>
  <si>
    <t>201 ÷ 128</t>
  </si>
  <si>
    <t>203 ÷ 128</t>
  </si>
  <si>
    <t>205 ÷ 128</t>
  </si>
  <si>
    <t>207 ÷ 128</t>
  </si>
  <si>
    <t>209 ÷ 128</t>
  </si>
  <si>
    <t>211 ÷ 128</t>
  </si>
  <si>
    <t>213 ÷ 128</t>
  </si>
  <si>
    <t>215 ÷ 128</t>
  </si>
  <si>
    <t>217 ÷ 128</t>
  </si>
  <si>
    <t>219 ÷ 128</t>
  </si>
  <si>
    <t>221 ÷ 128</t>
  </si>
  <si>
    <t>223 ÷ 128</t>
  </si>
  <si>
    <t>225 ÷ 128</t>
  </si>
  <si>
    <t>227 ÷ 128</t>
  </si>
  <si>
    <t>229 ÷ 128</t>
  </si>
  <si>
    <t>231 ÷ 128</t>
  </si>
  <si>
    <t>233 ÷ 128</t>
  </si>
  <si>
    <t>235 ÷ 128</t>
  </si>
  <si>
    <t>237 ÷ 128</t>
  </si>
  <si>
    <t>239 ÷ 128</t>
  </si>
  <si>
    <t>241 ÷ 128</t>
  </si>
  <si>
    <t>243 ÷ 128</t>
  </si>
  <si>
    <t>245 ÷ 128</t>
  </si>
  <si>
    <t>247 ÷ 128</t>
  </si>
  <si>
    <t>249 ÷ 128</t>
  </si>
  <si>
    <t>251 ÷ 128</t>
  </si>
  <si>
    <t>253 ÷ 128</t>
  </si>
  <si>
    <t>255 ÷ 128</t>
  </si>
  <si>
    <t>1</t>
  </si>
  <si>
    <t>1 ÷ 4</t>
  </si>
  <si>
    <t>1 ÷ 2</t>
  </si>
  <si>
    <t>Comment</t>
  </si>
  <si>
    <t>257 values 1 ÷ 128 apart from 0 through 256 ÷ 128 (2)</t>
  </si>
  <si>
    <t>129 values 1 ÷ 64 apart from 256 ÷ 128 (2) through 256 ÷ 64 (4)</t>
  </si>
  <si>
    <t>129 values 1 ÷ 32 apart from 256 ÷ 64 (4) through 256 ÷ 32 (8)</t>
  </si>
  <si>
    <t>129 values 1 ÷ 16 apart from 256 ÷ 32 (8) through 256 ÷ 16 (16)</t>
  </si>
  <si>
    <t>128 values 1 apart from 256 ÷ 2 (128) through 255</t>
  </si>
  <si>
    <t>129 values 1 ÷ 2 apart from 256 ÷ 4 (64) through 256 ÷ 2 (128)</t>
  </si>
  <si>
    <t>129 values 1 ÷ 8 apart from 256 ÷ 16 (16) through 256 ÷ 8 (32)</t>
  </si>
  <si>
    <t>129 values 1 ÷ 4 apart from 256 ÷ 8 (32) through 256 ÷ 4 (64)</t>
  </si>
  <si>
    <t>64 ÷ 1</t>
  </si>
  <si>
    <t>6 ÷ 1</t>
  </si>
  <si>
    <t>66 ÷ 1</t>
  </si>
  <si>
    <t>67 ÷ 1</t>
  </si>
  <si>
    <t>68 ÷ 1</t>
  </si>
  <si>
    <t>69 ÷ 1</t>
  </si>
  <si>
    <t>70 ÷ 1</t>
  </si>
  <si>
    <t>127 ÷ 1</t>
  </si>
  <si>
    <t>126 ÷ 1</t>
  </si>
  <si>
    <t>125 ÷ 1</t>
  </si>
  <si>
    <t>2 ÷ 1</t>
  </si>
  <si>
    <t>3 ÷ 1</t>
  </si>
  <si>
    <t>4 ÷ 1</t>
  </si>
  <si>
    <t>5 ÷ 1</t>
  </si>
  <si>
    <t>7 ÷ 1</t>
  </si>
  <si>
    <t>71 ÷ 1</t>
  </si>
  <si>
    <t>72 ÷ 1</t>
  </si>
  <si>
    <t>73 ÷ 1</t>
  </si>
  <si>
    <t>74 ÷ 1</t>
  </si>
  <si>
    <t>75 ÷ 1</t>
  </si>
  <si>
    <t>76 ÷ 1</t>
  </si>
  <si>
    <t>77 ÷ 1</t>
  </si>
  <si>
    <t>78 ÷ 1</t>
  </si>
  <si>
    <t>79 ÷ 1</t>
  </si>
  <si>
    <t>80 ÷ 1</t>
  </si>
  <si>
    <t>81 ÷ 1</t>
  </si>
  <si>
    <t>82 ÷ 1</t>
  </si>
  <si>
    <t>83 ÷ 1</t>
  </si>
  <si>
    <t>84 ÷ 1</t>
  </si>
  <si>
    <t>85 ÷ 1</t>
  </si>
  <si>
    <t>86 ÷ 1</t>
  </si>
  <si>
    <t>87 ÷ 1</t>
  </si>
  <si>
    <t>88 ÷ 1</t>
  </si>
  <si>
    <t>89 ÷ 1</t>
  </si>
  <si>
    <t>90 ÷ 1</t>
  </si>
  <si>
    <t>91 ÷ 1</t>
  </si>
  <si>
    <t>92 ÷ 1</t>
  </si>
  <si>
    <t>93 ÷ 1</t>
  </si>
  <si>
    <t>94 ÷ 1</t>
  </si>
  <si>
    <t>95 ÷ 1</t>
  </si>
  <si>
    <t>96 ÷ 1</t>
  </si>
  <si>
    <t>97 ÷ 1</t>
  </si>
  <si>
    <t>98 ÷ 1</t>
  </si>
  <si>
    <t>99 ÷ 1</t>
  </si>
  <si>
    <t>100 ÷ 1</t>
  </si>
  <si>
    <t>101 ÷ 1</t>
  </si>
  <si>
    <t>102 ÷ 1</t>
  </si>
  <si>
    <t>103 ÷ 1</t>
  </si>
  <si>
    <t>104 ÷ 1</t>
  </si>
  <si>
    <t>105 ÷ 1</t>
  </si>
  <si>
    <t>106 ÷ 1</t>
  </si>
  <si>
    <t>107 ÷ 1</t>
  </si>
  <si>
    <t>108 ÷ 1</t>
  </si>
  <si>
    <t>109 ÷ 1</t>
  </si>
  <si>
    <t>110 ÷ 1</t>
  </si>
  <si>
    <t>111 ÷ 1</t>
  </si>
  <si>
    <t>112 ÷ 1</t>
  </si>
  <si>
    <t>113 ÷ 1</t>
  </si>
  <si>
    <t>114 ÷ 1</t>
  </si>
  <si>
    <t>115 ÷ 1</t>
  </si>
  <si>
    <t>116 ÷ 1</t>
  </si>
  <si>
    <t>117 ÷ 1</t>
  </si>
  <si>
    <t>118 ÷ 1</t>
  </si>
  <si>
    <t>119 ÷ 1</t>
  </si>
  <si>
    <t>120 ÷ 1</t>
  </si>
  <si>
    <t>121 ÷ 1</t>
  </si>
  <si>
    <t>122 ÷ 1</t>
  </si>
  <si>
    <t>123 ÷ 1</t>
  </si>
  <si>
    <t>124 ÷ 1</t>
  </si>
  <si>
    <t>8 ÷ 1</t>
  </si>
  <si>
    <t>9 ÷ 1</t>
  </si>
  <si>
    <t>10 ÷ 1</t>
  </si>
  <si>
    <t>11 ÷ 1</t>
  </si>
  <si>
    <t>12 ÷ 1</t>
  </si>
  <si>
    <t>13 ÷ 1</t>
  </si>
  <si>
    <t>14 ÷ 1</t>
  </si>
  <si>
    <t>15 ÷ 1</t>
  </si>
  <si>
    <t>16 ÷ 1</t>
  </si>
  <si>
    <t>17 ÷ 1</t>
  </si>
  <si>
    <t>18 ÷ 1</t>
  </si>
  <si>
    <t>19 ÷ 1</t>
  </si>
  <si>
    <t>20 ÷ 1</t>
  </si>
  <si>
    <t>21 ÷ 1</t>
  </si>
  <si>
    <t>22 ÷ 1</t>
  </si>
  <si>
    <t>23 ÷ 1</t>
  </si>
  <si>
    <t>24 ÷ 1</t>
  </si>
  <si>
    <t>25 ÷ 1</t>
  </si>
  <si>
    <t>26 ÷ 1</t>
  </si>
  <si>
    <t>27 ÷ 1</t>
  </si>
  <si>
    <t>28 ÷ 1</t>
  </si>
  <si>
    <t>29 ÷ 1</t>
  </si>
  <si>
    <t>30 ÷ 1</t>
  </si>
  <si>
    <t>31 ÷ 1</t>
  </si>
  <si>
    <t>32 ÷ 1</t>
  </si>
  <si>
    <t>33 ÷ 1</t>
  </si>
  <si>
    <t>34 ÷ 1</t>
  </si>
  <si>
    <t>35 ÷ 1</t>
  </si>
  <si>
    <t>36 ÷ 1</t>
  </si>
  <si>
    <t>37 ÷ 1</t>
  </si>
  <si>
    <t>38 ÷ 1</t>
  </si>
  <si>
    <t>39 ÷ 1</t>
  </si>
  <si>
    <t>40 ÷ 1</t>
  </si>
  <si>
    <t>41 ÷ 1</t>
  </si>
  <si>
    <t>42 ÷ 1</t>
  </si>
  <si>
    <t>43 ÷ 1</t>
  </si>
  <si>
    <t>44 ÷ 1</t>
  </si>
  <si>
    <t>45 ÷ 1</t>
  </si>
  <si>
    <t>46 ÷ 1</t>
  </si>
  <si>
    <t>47 ÷ 1</t>
  </si>
  <si>
    <t>48 ÷ 1</t>
  </si>
  <si>
    <t>49 ÷ 1</t>
  </si>
  <si>
    <t>50 ÷ 1</t>
  </si>
  <si>
    <t>51 ÷ 1</t>
  </si>
  <si>
    <t>52 ÷ 1</t>
  </si>
  <si>
    <t>53 ÷ 1</t>
  </si>
  <si>
    <t>54 ÷ 1</t>
  </si>
  <si>
    <t>55 ÷ 1</t>
  </si>
  <si>
    <t>56 ÷ 1</t>
  </si>
  <si>
    <t>57 ÷ 1</t>
  </si>
  <si>
    <t>58 ÷ 1</t>
  </si>
  <si>
    <t>59 ÷ 1</t>
  </si>
  <si>
    <t>60 ÷ 1</t>
  </si>
  <si>
    <t>61 ÷ 1</t>
  </si>
  <si>
    <t>62 ÷ 1</t>
  </si>
  <si>
    <t>63 ÷ 1</t>
  </si>
  <si>
    <t>255 ÷ 2</t>
  </si>
  <si>
    <t>253 ÷ 2</t>
  </si>
  <si>
    <t>129 ÷ 2</t>
  </si>
  <si>
    <t>131 ÷ 2</t>
  </si>
  <si>
    <t>133 ÷ 2</t>
  </si>
  <si>
    <t>135 ÷ 2</t>
  </si>
  <si>
    <t>137 ÷ 2</t>
  </si>
  <si>
    <t>139 ÷ 2</t>
  </si>
  <si>
    <t>141 ÷ 2</t>
  </si>
  <si>
    <t>143 ÷ 2</t>
  </si>
  <si>
    <t>145 ÷ 2</t>
  </si>
  <si>
    <t>147 ÷ 2</t>
  </si>
  <si>
    <t>149 ÷ 2</t>
  </si>
  <si>
    <t>151 ÷ 2</t>
  </si>
  <si>
    <t>153 ÷ 2</t>
  </si>
  <si>
    <t>155 ÷ 2</t>
  </si>
  <si>
    <t>157 ÷ 2</t>
  </si>
  <si>
    <t>159 ÷ 2</t>
  </si>
  <si>
    <t>161 ÷ 2</t>
  </si>
  <si>
    <t>163 ÷ 2</t>
  </si>
  <si>
    <t>165 ÷ 2</t>
  </si>
  <si>
    <t>167 ÷ 2</t>
  </si>
  <si>
    <t>169 ÷ 2</t>
  </si>
  <si>
    <t>171 ÷ 2</t>
  </si>
  <si>
    <t>173 ÷ 2</t>
  </si>
  <si>
    <t>175 ÷ 2</t>
  </si>
  <si>
    <t>177 ÷ 2</t>
  </si>
  <si>
    <t>179 ÷ 2</t>
  </si>
  <si>
    <t>181 ÷ 2</t>
  </si>
  <si>
    <t>183 ÷ 2</t>
  </si>
  <si>
    <t>185 ÷ 2</t>
  </si>
  <si>
    <t>187 ÷ 2</t>
  </si>
  <si>
    <t>189 ÷ 2</t>
  </si>
  <si>
    <t>191 ÷ 2</t>
  </si>
  <si>
    <t>193 ÷ 2</t>
  </si>
  <si>
    <t>195 ÷ 2</t>
  </si>
  <si>
    <t>197 ÷ 2</t>
  </si>
  <si>
    <t>199 ÷ 2</t>
  </si>
  <si>
    <t>201 ÷ 2</t>
  </si>
  <si>
    <t>203 ÷ 2</t>
  </si>
  <si>
    <t>205 ÷ 2</t>
  </si>
  <si>
    <t>207 ÷ 2</t>
  </si>
  <si>
    <t>209 ÷ 2</t>
  </si>
  <si>
    <t>211 ÷ 2</t>
  </si>
  <si>
    <t>213 ÷ 2</t>
  </si>
  <si>
    <t>215 ÷ 2</t>
  </si>
  <si>
    <t>217 ÷ 2</t>
  </si>
  <si>
    <t>219 ÷ 2</t>
  </si>
  <si>
    <t>221 ÷ 2</t>
  </si>
  <si>
    <t>223 ÷ 2</t>
  </si>
  <si>
    <t>225 ÷ 2</t>
  </si>
  <si>
    <t>227 ÷ 2</t>
  </si>
  <si>
    <t>229 ÷ 2</t>
  </si>
  <si>
    <t>231 ÷ 2</t>
  </si>
  <si>
    <t>233 ÷ 2</t>
  </si>
  <si>
    <t>235 ÷ 2</t>
  </si>
  <si>
    <t>237 ÷ 2</t>
  </si>
  <si>
    <t>239 ÷ 2</t>
  </si>
  <si>
    <t>241 ÷ 2</t>
  </si>
  <si>
    <t>243 ÷ 2</t>
  </si>
  <si>
    <t>245 ÷ 2</t>
  </si>
  <si>
    <t>247 ÷ 2</t>
  </si>
  <si>
    <t>249 ÷ 2</t>
  </si>
  <si>
    <t>251 ÷ 2</t>
  </si>
  <si>
    <t>65 ÷ 2</t>
  </si>
  <si>
    <t>67 ÷ 2</t>
  </si>
  <si>
    <t>69 ÷ 2</t>
  </si>
  <si>
    <t>71 ÷ 2</t>
  </si>
  <si>
    <t>73 ÷ 2</t>
  </si>
  <si>
    <t>75 ÷ 2</t>
  </si>
  <si>
    <t>77 ÷ 2</t>
  </si>
  <si>
    <t>79 ÷ 2</t>
  </si>
  <si>
    <t>81 ÷ 2</t>
  </si>
  <si>
    <t>83 ÷ 2</t>
  </si>
  <si>
    <t>85 ÷ 2</t>
  </si>
  <si>
    <t>87 ÷ 2</t>
  </si>
  <si>
    <t>89 ÷ 2</t>
  </si>
  <si>
    <t>91 ÷ 2</t>
  </si>
  <si>
    <t>93 ÷ 2</t>
  </si>
  <si>
    <t>95 ÷ 2</t>
  </si>
  <si>
    <t>97 ÷ 2</t>
  </si>
  <si>
    <t>99 ÷ 2</t>
  </si>
  <si>
    <t>101 ÷ 2</t>
  </si>
  <si>
    <t>103 ÷ 2</t>
  </si>
  <si>
    <t>105 ÷ 2</t>
  </si>
  <si>
    <t>107 ÷ 2</t>
  </si>
  <si>
    <t>109 ÷ 2</t>
  </si>
  <si>
    <t>111 ÷ 2</t>
  </si>
  <si>
    <t>113 ÷ 2</t>
  </si>
  <si>
    <t>115 ÷ 2</t>
  </si>
  <si>
    <t>117 ÷ 2</t>
  </si>
  <si>
    <t>119 ÷ 2</t>
  </si>
  <si>
    <t>121 ÷ 2</t>
  </si>
  <si>
    <t>123 ÷ 2</t>
  </si>
  <si>
    <t>125 ÷ 2</t>
  </si>
  <si>
    <t>127 ÷ 2</t>
  </si>
  <si>
    <t>3 ÷ 2</t>
  </si>
  <si>
    <t>5 ÷ 2</t>
  </si>
  <si>
    <t>7 ÷ 2</t>
  </si>
  <si>
    <t>9 ÷ 2</t>
  </si>
  <si>
    <t>11 ÷ 2</t>
  </si>
  <si>
    <t>13 ÷ 2</t>
  </si>
  <si>
    <t>15 ÷ 2</t>
  </si>
  <si>
    <t>17 ÷ 2</t>
  </si>
  <si>
    <t>19 ÷ 2</t>
  </si>
  <si>
    <t>21 ÷ 2</t>
  </si>
  <si>
    <t>23 ÷ 2</t>
  </si>
  <si>
    <t>25 ÷ 2</t>
  </si>
  <si>
    <t>27 ÷ 2</t>
  </si>
  <si>
    <t>29 ÷ 2</t>
  </si>
  <si>
    <t>31 ÷ 2</t>
  </si>
  <si>
    <t>33 ÷ 2</t>
  </si>
  <si>
    <t>35 ÷ 2</t>
  </si>
  <si>
    <t>37 ÷ 2</t>
  </si>
  <si>
    <t>39 ÷ 2</t>
  </si>
  <si>
    <t>41 ÷ 2</t>
  </si>
  <si>
    <t>43 ÷ 2</t>
  </si>
  <si>
    <t>45 ÷ 2</t>
  </si>
  <si>
    <t>47 ÷ 2</t>
  </si>
  <si>
    <t>49 ÷ 2</t>
  </si>
  <si>
    <t>51 ÷ 2</t>
  </si>
  <si>
    <t>53 ÷ 2</t>
  </si>
  <si>
    <t>55 ÷ 2</t>
  </si>
  <si>
    <t>57 ÷ 2</t>
  </si>
  <si>
    <t>59 ÷ 2</t>
  </si>
  <si>
    <t>61 ÷ 2</t>
  </si>
  <si>
    <t>63 ÷ 2</t>
  </si>
  <si>
    <t>3 ÷ 4</t>
  </si>
  <si>
    <t>5 ÷ 4</t>
  </si>
  <si>
    <t>7 ÷ 4</t>
  </si>
  <si>
    <t>9 ÷ 4</t>
  </si>
  <si>
    <t>11 ÷ 4</t>
  </si>
  <si>
    <t>13 ÷ 4</t>
  </si>
  <si>
    <t>15 ÷ 4</t>
  </si>
  <si>
    <t>17 ÷ 4</t>
  </si>
  <si>
    <t>19 ÷ 4</t>
  </si>
  <si>
    <t>21 ÷ 4</t>
  </si>
  <si>
    <t>23 ÷ 4</t>
  </si>
  <si>
    <t>25 ÷ 4</t>
  </si>
  <si>
    <t>27 ÷ 4</t>
  </si>
  <si>
    <t>29 ÷ 4</t>
  </si>
  <si>
    <t>31 ÷ 4</t>
  </si>
  <si>
    <t>33 ÷ 4</t>
  </si>
  <si>
    <t>35 ÷ 4</t>
  </si>
  <si>
    <t>37 ÷ 4</t>
  </si>
  <si>
    <t>39 ÷ 4</t>
  </si>
  <si>
    <t>41 ÷ 4</t>
  </si>
  <si>
    <t>43 ÷ 4</t>
  </si>
  <si>
    <t>45 ÷ 4</t>
  </si>
  <si>
    <t>47 ÷ 4</t>
  </si>
  <si>
    <t>49 ÷ 4</t>
  </si>
  <si>
    <t>51 ÷ 4</t>
  </si>
  <si>
    <t>53 ÷ 4</t>
  </si>
  <si>
    <t>55 ÷ 4</t>
  </si>
  <si>
    <t>57 ÷ 4</t>
  </si>
  <si>
    <t>59 ÷ 4</t>
  </si>
  <si>
    <t>61 ÷ 4</t>
  </si>
  <si>
    <t>63 ÷ 4</t>
  </si>
  <si>
    <t>65 ÷ 4</t>
  </si>
  <si>
    <t>67 ÷ 4</t>
  </si>
  <si>
    <t>69 ÷ 4</t>
  </si>
  <si>
    <t>71 ÷ 4</t>
  </si>
  <si>
    <t>73 ÷ 4</t>
  </si>
  <si>
    <t>75 ÷ 4</t>
  </si>
  <si>
    <t>77 ÷ 4</t>
  </si>
  <si>
    <t>79 ÷ 4</t>
  </si>
  <si>
    <t>81 ÷ 4</t>
  </si>
  <si>
    <t>83 ÷ 4</t>
  </si>
  <si>
    <t>85 ÷ 4</t>
  </si>
  <si>
    <t>87 ÷ 4</t>
  </si>
  <si>
    <t>89 ÷ 4</t>
  </si>
  <si>
    <t>91 ÷ 4</t>
  </si>
  <si>
    <t>93 ÷ 4</t>
  </si>
  <si>
    <t>95 ÷ 4</t>
  </si>
  <si>
    <t>97 ÷ 4</t>
  </si>
  <si>
    <t>99 ÷ 4</t>
  </si>
  <si>
    <t>101 ÷ 4</t>
  </si>
  <si>
    <t>103 ÷ 4</t>
  </si>
  <si>
    <t>105 ÷ 4</t>
  </si>
  <si>
    <t>107 ÷ 4</t>
  </si>
  <si>
    <t>109 ÷ 4</t>
  </si>
  <si>
    <t>111 ÷ 4</t>
  </si>
  <si>
    <t>113 ÷ 4</t>
  </si>
  <si>
    <t>115 ÷ 4</t>
  </si>
  <si>
    <t>117 ÷ 4</t>
  </si>
  <si>
    <t>119 ÷ 4</t>
  </si>
  <si>
    <t>121 ÷ 4</t>
  </si>
  <si>
    <t>123 ÷ 4</t>
  </si>
  <si>
    <t>125 ÷ 4</t>
  </si>
  <si>
    <t>127 ÷ 4</t>
  </si>
  <si>
    <t>129 ÷ 4</t>
  </si>
  <si>
    <t>131 ÷ 4</t>
  </si>
  <si>
    <t>133 ÷ 4</t>
  </si>
  <si>
    <t>135 ÷ 4</t>
  </si>
  <si>
    <t>137 ÷ 4</t>
  </si>
  <si>
    <t>139 ÷ 4</t>
  </si>
  <si>
    <t>141 ÷ 4</t>
  </si>
  <si>
    <t>143 ÷ 4</t>
  </si>
  <si>
    <t>145 ÷ 4</t>
  </si>
  <si>
    <t>147 ÷ 4</t>
  </si>
  <si>
    <t>149 ÷ 4</t>
  </si>
  <si>
    <t>151 ÷ 4</t>
  </si>
  <si>
    <t>153 ÷ 4</t>
  </si>
  <si>
    <t>155 ÷ 4</t>
  </si>
  <si>
    <t>157 ÷ 4</t>
  </si>
  <si>
    <t>159 ÷ 4</t>
  </si>
  <si>
    <t>161 ÷ 4</t>
  </si>
  <si>
    <t>163 ÷ 4</t>
  </si>
  <si>
    <t>165 ÷ 4</t>
  </si>
  <si>
    <t>167 ÷ 4</t>
  </si>
  <si>
    <t>169 ÷ 4</t>
  </si>
  <si>
    <t>171 ÷ 4</t>
  </si>
  <si>
    <t>173 ÷ 4</t>
  </si>
  <si>
    <t>175 ÷ 4</t>
  </si>
  <si>
    <t>177 ÷ 4</t>
  </si>
  <si>
    <t>179 ÷ 4</t>
  </si>
  <si>
    <t>181 ÷ 4</t>
  </si>
  <si>
    <t>183 ÷ 4</t>
  </si>
  <si>
    <t>185 ÷ 4</t>
  </si>
  <si>
    <t>187 ÷ 4</t>
  </si>
  <si>
    <t>189 ÷ 4</t>
  </si>
  <si>
    <t>191 ÷ 4</t>
  </si>
  <si>
    <t>193 ÷ 4</t>
  </si>
  <si>
    <t>195 ÷ 4</t>
  </si>
  <si>
    <t>197 ÷ 4</t>
  </si>
  <si>
    <t>199 ÷ 4</t>
  </si>
  <si>
    <t>201 ÷ 4</t>
  </si>
  <si>
    <t>203 ÷ 4</t>
  </si>
  <si>
    <t>205 ÷ 4</t>
  </si>
  <si>
    <t>207 ÷ 4</t>
  </si>
  <si>
    <t>209 ÷ 4</t>
  </si>
  <si>
    <t>211 ÷ 4</t>
  </si>
  <si>
    <t>213 ÷ 4</t>
  </si>
  <si>
    <t>215 ÷ 4</t>
  </si>
  <si>
    <t>217 ÷ 4</t>
  </si>
  <si>
    <t>219 ÷ 4</t>
  </si>
  <si>
    <t>221 ÷ 4</t>
  </si>
  <si>
    <t>223 ÷ 4</t>
  </si>
  <si>
    <t>225 ÷ 4</t>
  </si>
  <si>
    <t>227 ÷ 4</t>
  </si>
  <si>
    <t>229 ÷ 4</t>
  </si>
  <si>
    <t>231 ÷ 4</t>
  </si>
  <si>
    <t>233 ÷ 4</t>
  </si>
  <si>
    <t>235 ÷ 4</t>
  </si>
  <si>
    <t>237 ÷ 4</t>
  </si>
  <si>
    <t>239 ÷ 4</t>
  </si>
  <si>
    <t>241 ÷ 4</t>
  </si>
  <si>
    <t>243 ÷ 4</t>
  </si>
  <si>
    <t>245 ÷ 4</t>
  </si>
  <si>
    <t>247 ÷ 4</t>
  </si>
  <si>
    <t>249 ÷ 4</t>
  </si>
  <si>
    <t>251 ÷ 4</t>
  </si>
  <si>
    <t>253 ÷ 4</t>
  </si>
  <si>
    <t>255 ÷ 4</t>
  </si>
  <si>
    <t>3 ÷ 8</t>
  </si>
  <si>
    <t>5 ÷ 8</t>
  </si>
  <si>
    <t>7 ÷ 8</t>
  </si>
  <si>
    <t>9 ÷ 8</t>
  </si>
  <si>
    <t>11 ÷ 8</t>
  </si>
  <si>
    <t>13 ÷ 8</t>
  </si>
  <si>
    <t>15 ÷ 8</t>
  </si>
  <si>
    <t>17 ÷ 8</t>
  </si>
  <si>
    <t>19 ÷ 8</t>
  </si>
  <si>
    <t>21 ÷ 8</t>
  </si>
  <si>
    <t>23 ÷ 8</t>
  </si>
  <si>
    <t>25 ÷ 8</t>
  </si>
  <si>
    <t>27 ÷ 8</t>
  </si>
  <si>
    <t>29 ÷ 8</t>
  </si>
  <si>
    <t>31 ÷ 8</t>
  </si>
  <si>
    <t>33 ÷ 8</t>
  </si>
  <si>
    <t>35 ÷ 8</t>
  </si>
  <si>
    <t>37 ÷ 8</t>
  </si>
  <si>
    <t>39 ÷ 8</t>
  </si>
  <si>
    <t>41 ÷ 8</t>
  </si>
  <si>
    <t>43 ÷ 8</t>
  </si>
  <si>
    <t>45 ÷ 8</t>
  </si>
  <si>
    <t>47 ÷ 8</t>
  </si>
  <si>
    <t>49 ÷ 8</t>
  </si>
  <si>
    <t>51 ÷ 8</t>
  </si>
  <si>
    <t>53 ÷ 8</t>
  </si>
  <si>
    <t>55 ÷ 8</t>
  </si>
  <si>
    <t>57 ÷ 8</t>
  </si>
  <si>
    <t>59 ÷ 8</t>
  </si>
  <si>
    <t>61 ÷ 8</t>
  </si>
  <si>
    <t>63 ÷ 8</t>
  </si>
  <si>
    <t>65 ÷ 8</t>
  </si>
  <si>
    <t>67 ÷ 8</t>
  </si>
  <si>
    <t>69 ÷ 8</t>
  </si>
  <si>
    <t>71 ÷ 8</t>
  </si>
  <si>
    <t>73 ÷ 8</t>
  </si>
  <si>
    <t>75 ÷ 8</t>
  </si>
  <si>
    <t>77 ÷ 8</t>
  </si>
  <si>
    <t>79 ÷ 8</t>
  </si>
  <si>
    <t>81 ÷ 8</t>
  </si>
  <si>
    <t>83 ÷ 8</t>
  </si>
  <si>
    <t>85 ÷ 8</t>
  </si>
  <si>
    <t>87 ÷ 8</t>
  </si>
  <si>
    <t>89 ÷ 8</t>
  </si>
  <si>
    <t>91 ÷ 8</t>
  </si>
  <si>
    <t>93 ÷ 8</t>
  </si>
  <si>
    <t>95 ÷ 8</t>
  </si>
  <si>
    <t>97 ÷ 8</t>
  </si>
  <si>
    <t>99 ÷ 8</t>
  </si>
  <si>
    <t>101 ÷ 8</t>
  </si>
  <si>
    <t>103 ÷ 8</t>
  </si>
  <si>
    <t>105 ÷ 8</t>
  </si>
  <si>
    <t>107 ÷ 8</t>
  </si>
  <si>
    <t>109 ÷ 8</t>
  </si>
  <si>
    <t>111 ÷ 8</t>
  </si>
  <si>
    <t>113 ÷ 8</t>
  </si>
  <si>
    <t>115 ÷ 8</t>
  </si>
  <si>
    <t>117 ÷ 8</t>
  </si>
  <si>
    <t>119 ÷ 8</t>
  </si>
  <si>
    <t>121 ÷ 8</t>
  </si>
  <si>
    <t>123 ÷ 8</t>
  </si>
  <si>
    <t>125 ÷ 8</t>
  </si>
  <si>
    <t>127 ÷ 8</t>
  </si>
  <si>
    <t>129 ÷ 8</t>
  </si>
  <si>
    <t>131 ÷ 8</t>
  </si>
  <si>
    <t>133 ÷ 8</t>
  </si>
  <si>
    <t>135 ÷ 8</t>
  </si>
  <si>
    <t>137 ÷ 8</t>
  </si>
  <si>
    <t>139 ÷ 8</t>
  </si>
  <si>
    <t>141 ÷ 8</t>
  </si>
  <si>
    <t>143 ÷ 8</t>
  </si>
  <si>
    <t>145 ÷ 8</t>
  </si>
  <si>
    <t>147 ÷ 8</t>
  </si>
  <si>
    <t>149 ÷ 8</t>
  </si>
  <si>
    <t>151 ÷ 8</t>
  </si>
  <si>
    <t>153 ÷ 8</t>
  </si>
  <si>
    <t>155 ÷ 8</t>
  </si>
  <si>
    <t>157 ÷ 8</t>
  </si>
  <si>
    <t>159 ÷ 8</t>
  </si>
  <si>
    <t>161 ÷ 8</t>
  </si>
  <si>
    <t>163 ÷ 8</t>
  </si>
  <si>
    <t>165 ÷ 8</t>
  </si>
  <si>
    <t>167 ÷ 8</t>
  </si>
  <si>
    <t>169 ÷ 8</t>
  </si>
  <si>
    <t>171 ÷ 8</t>
  </si>
  <si>
    <t>173 ÷ 8</t>
  </si>
  <si>
    <t>175 ÷ 8</t>
  </si>
  <si>
    <t>177 ÷ 8</t>
  </si>
  <si>
    <t>179 ÷ 8</t>
  </si>
  <si>
    <t>181 ÷ 8</t>
  </si>
  <si>
    <t>183 ÷ 8</t>
  </si>
  <si>
    <t>185 ÷ 8</t>
  </si>
  <si>
    <t>187 ÷ 8</t>
  </si>
  <si>
    <t>189 ÷ 8</t>
  </si>
  <si>
    <t>191 ÷ 8</t>
  </si>
  <si>
    <t>193 ÷ 8</t>
  </si>
  <si>
    <t>195 ÷ 8</t>
  </si>
  <si>
    <t>197 ÷ 8</t>
  </si>
  <si>
    <t>199 ÷ 8</t>
  </si>
  <si>
    <t>201 ÷ 8</t>
  </si>
  <si>
    <t>203 ÷ 8</t>
  </si>
  <si>
    <t>205 ÷ 8</t>
  </si>
  <si>
    <t>207 ÷ 8</t>
  </si>
  <si>
    <t>209 ÷ 8</t>
  </si>
  <si>
    <t>211 ÷ 8</t>
  </si>
  <si>
    <t>213 ÷ 8</t>
  </si>
  <si>
    <t>215 ÷ 8</t>
  </si>
  <si>
    <t>217 ÷ 8</t>
  </si>
  <si>
    <t>219 ÷ 8</t>
  </si>
  <si>
    <t>221 ÷ 8</t>
  </si>
  <si>
    <t>223 ÷ 8</t>
  </si>
  <si>
    <t>225 ÷ 8</t>
  </si>
  <si>
    <t>227 ÷ 8</t>
  </si>
  <si>
    <t>229 ÷ 8</t>
  </si>
  <si>
    <t>231 ÷ 8</t>
  </si>
  <si>
    <t>233 ÷ 8</t>
  </si>
  <si>
    <t>235 ÷ 8</t>
  </si>
  <si>
    <t>237 ÷ 8</t>
  </si>
  <si>
    <t>239 ÷ 8</t>
  </si>
  <si>
    <t>241 ÷ 8</t>
  </si>
  <si>
    <t>243 ÷ 8</t>
  </si>
  <si>
    <t>245 ÷ 8</t>
  </si>
  <si>
    <t>247 ÷ 8</t>
  </si>
  <si>
    <t>249 ÷ 8</t>
  </si>
  <si>
    <t>251 ÷ 8</t>
  </si>
  <si>
    <t>253 ÷ 8</t>
  </si>
  <si>
    <t>255 ÷ 8</t>
  </si>
  <si>
    <t>3 ÷ 16</t>
  </si>
  <si>
    <t>5 ÷ 16</t>
  </si>
  <si>
    <t>7 ÷ 16</t>
  </si>
  <si>
    <t>9 ÷ 16</t>
  </si>
  <si>
    <t>11 ÷ 16</t>
  </si>
  <si>
    <t>13 ÷ 16</t>
  </si>
  <si>
    <t>15 ÷ 16</t>
  </si>
  <si>
    <t>17 ÷ 16</t>
  </si>
  <si>
    <t>19 ÷ 16</t>
  </si>
  <si>
    <t>21 ÷ 16</t>
  </si>
  <si>
    <t>23 ÷ 16</t>
  </si>
  <si>
    <t>25 ÷ 16</t>
  </si>
  <si>
    <t>27 ÷ 16</t>
  </si>
  <si>
    <t>29 ÷ 16</t>
  </si>
  <si>
    <t>31 ÷ 16</t>
  </si>
  <si>
    <t>33 ÷ 16</t>
  </si>
  <si>
    <t>35 ÷ 16</t>
  </si>
  <si>
    <t>37 ÷ 16</t>
  </si>
  <si>
    <t>39 ÷ 16</t>
  </si>
  <si>
    <t>41 ÷ 16</t>
  </si>
  <si>
    <t>43 ÷ 16</t>
  </si>
  <si>
    <t>45 ÷ 16</t>
  </si>
  <si>
    <t>47 ÷ 16</t>
  </si>
  <si>
    <t>49 ÷ 16</t>
  </si>
  <si>
    <t>51 ÷ 16</t>
  </si>
  <si>
    <t>53 ÷ 16</t>
  </si>
  <si>
    <t>55 ÷ 16</t>
  </si>
  <si>
    <t>57 ÷ 16</t>
  </si>
  <si>
    <t>59 ÷ 16</t>
  </si>
  <si>
    <t>61 ÷ 16</t>
  </si>
  <si>
    <t>63 ÷ 16</t>
  </si>
  <si>
    <t>65 ÷ 16</t>
  </si>
  <si>
    <t>67 ÷ 16</t>
  </si>
  <si>
    <t>69 ÷ 16</t>
  </si>
  <si>
    <t>71 ÷ 16</t>
  </si>
  <si>
    <t>73 ÷ 16</t>
  </si>
  <si>
    <t>75 ÷ 16</t>
  </si>
  <si>
    <t>77 ÷ 16</t>
  </si>
  <si>
    <t>79 ÷ 16</t>
  </si>
  <si>
    <t>81 ÷ 16</t>
  </si>
  <si>
    <t>83 ÷ 16</t>
  </si>
  <si>
    <t>85 ÷ 16</t>
  </si>
  <si>
    <t>87 ÷ 16</t>
  </si>
  <si>
    <t>89 ÷ 16</t>
  </si>
  <si>
    <t>91 ÷ 16</t>
  </si>
  <si>
    <t>93 ÷ 16</t>
  </si>
  <si>
    <t>95 ÷ 16</t>
  </si>
  <si>
    <t>97 ÷ 16</t>
  </si>
  <si>
    <t>99 ÷ 16</t>
  </si>
  <si>
    <t>101 ÷ 16</t>
  </si>
  <si>
    <t>103 ÷ 16</t>
  </si>
  <si>
    <t>105 ÷ 16</t>
  </si>
  <si>
    <t>107 ÷ 16</t>
  </si>
  <si>
    <t>109 ÷ 16</t>
  </si>
  <si>
    <t>111 ÷ 16</t>
  </si>
  <si>
    <t>113 ÷ 16</t>
  </si>
  <si>
    <t>115 ÷ 16</t>
  </si>
  <si>
    <t>117 ÷ 16</t>
  </si>
  <si>
    <t>119 ÷ 16</t>
  </si>
  <si>
    <t>121 ÷ 16</t>
  </si>
  <si>
    <t>123 ÷ 16</t>
  </si>
  <si>
    <t>125 ÷ 16</t>
  </si>
  <si>
    <t>127 ÷ 16</t>
  </si>
  <si>
    <t>129 ÷ 16</t>
  </si>
  <si>
    <t>131 ÷ 16</t>
  </si>
  <si>
    <t>133 ÷ 16</t>
  </si>
  <si>
    <t>135 ÷ 16</t>
  </si>
  <si>
    <t>137 ÷ 16</t>
  </si>
  <si>
    <t>139 ÷ 16</t>
  </si>
  <si>
    <t>141 ÷ 16</t>
  </si>
  <si>
    <t>143 ÷ 16</t>
  </si>
  <si>
    <t>145 ÷ 16</t>
  </si>
  <si>
    <t>147 ÷ 16</t>
  </si>
  <si>
    <t>149 ÷ 16</t>
  </si>
  <si>
    <t>151 ÷ 16</t>
  </si>
  <si>
    <t>153 ÷ 16</t>
  </si>
  <si>
    <t>155 ÷ 16</t>
  </si>
  <si>
    <t>157 ÷ 16</t>
  </si>
  <si>
    <t>159 ÷ 16</t>
  </si>
  <si>
    <t>161 ÷ 16</t>
  </si>
  <si>
    <t>163 ÷ 16</t>
  </si>
  <si>
    <t>165 ÷ 16</t>
  </si>
  <si>
    <t>167 ÷ 16</t>
  </si>
  <si>
    <t>169 ÷ 16</t>
  </si>
  <si>
    <t>171 ÷ 16</t>
  </si>
  <si>
    <t>173 ÷ 16</t>
  </si>
  <si>
    <t>175 ÷ 16</t>
  </si>
  <si>
    <t>177 ÷ 16</t>
  </si>
  <si>
    <t>179 ÷ 16</t>
  </si>
  <si>
    <t>181 ÷ 16</t>
  </si>
  <si>
    <t>183 ÷ 16</t>
  </si>
  <si>
    <t>185 ÷ 16</t>
  </si>
  <si>
    <t>187 ÷ 16</t>
  </si>
  <si>
    <t>189 ÷ 16</t>
  </si>
  <si>
    <t>191 ÷ 16</t>
  </si>
  <si>
    <t>193 ÷ 16</t>
  </si>
  <si>
    <t>195 ÷ 16</t>
  </si>
  <si>
    <t>197 ÷ 16</t>
  </si>
  <si>
    <t>199 ÷ 16</t>
  </si>
  <si>
    <t>201 ÷ 16</t>
  </si>
  <si>
    <t>203 ÷ 16</t>
  </si>
  <si>
    <t>205 ÷ 16</t>
  </si>
  <si>
    <t>207 ÷ 16</t>
  </si>
  <si>
    <t>209 ÷ 16</t>
  </si>
  <si>
    <t>211 ÷ 16</t>
  </si>
  <si>
    <t>213 ÷ 16</t>
  </si>
  <si>
    <t>215 ÷ 16</t>
  </si>
  <si>
    <t>217 ÷ 16</t>
  </si>
  <si>
    <t>219 ÷ 16</t>
  </si>
  <si>
    <t>221 ÷ 16</t>
  </si>
  <si>
    <t>223 ÷ 16</t>
  </si>
  <si>
    <t>225 ÷ 16</t>
  </si>
  <si>
    <t>227 ÷ 16</t>
  </si>
  <si>
    <t>229 ÷ 16</t>
  </si>
  <si>
    <t>231 ÷ 16</t>
  </si>
  <si>
    <t>233 ÷ 16</t>
  </si>
  <si>
    <t>235 ÷ 16</t>
  </si>
  <si>
    <t>237 ÷ 16</t>
  </si>
  <si>
    <t>239 ÷ 16</t>
  </si>
  <si>
    <t>241 ÷ 16</t>
  </si>
  <si>
    <t>243 ÷ 16</t>
  </si>
  <si>
    <t>245 ÷ 16</t>
  </si>
  <si>
    <t>247 ÷ 16</t>
  </si>
  <si>
    <t>249 ÷ 16</t>
  </si>
  <si>
    <t>251 ÷ 16</t>
  </si>
  <si>
    <t>253 ÷ 16</t>
  </si>
  <si>
    <t>255 ÷ 16</t>
  </si>
  <si>
    <t>5 ÷ 32</t>
  </si>
  <si>
    <t>7 ÷ 32</t>
  </si>
  <si>
    <t>9 ÷ 32</t>
  </si>
  <si>
    <t>11 ÷ 32</t>
  </si>
  <si>
    <t>13 ÷ 32</t>
  </si>
  <si>
    <t>15 ÷ 32</t>
  </si>
  <si>
    <t>17 ÷ 32</t>
  </si>
  <si>
    <t>19 ÷ 32</t>
  </si>
  <si>
    <t>21 ÷ 32</t>
  </si>
  <si>
    <t>23 ÷ 32</t>
  </si>
  <si>
    <t>25 ÷ 32</t>
  </si>
  <si>
    <t>27 ÷ 32</t>
  </si>
  <si>
    <t>29 ÷ 32</t>
  </si>
  <si>
    <t>31 ÷ 32</t>
  </si>
  <si>
    <t>33 ÷ 32</t>
  </si>
  <si>
    <t>35 ÷ 32</t>
  </si>
  <si>
    <t>37 ÷ 32</t>
  </si>
  <si>
    <t>39 ÷ 32</t>
  </si>
  <si>
    <t>41 ÷ 32</t>
  </si>
  <si>
    <t>43 ÷ 32</t>
  </si>
  <si>
    <t>45 ÷ 32</t>
  </si>
  <si>
    <t>47 ÷ 32</t>
  </si>
  <si>
    <t>49 ÷ 32</t>
  </si>
  <si>
    <t>51 ÷ 32</t>
  </si>
  <si>
    <t>53 ÷ 32</t>
  </si>
  <si>
    <t>55 ÷ 32</t>
  </si>
  <si>
    <t>57 ÷ 32</t>
  </si>
  <si>
    <t>59 ÷ 32</t>
  </si>
  <si>
    <t>61 ÷ 32</t>
  </si>
  <si>
    <t>63 ÷ 32</t>
  </si>
  <si>
    <t>65 ÷ 32</t>
  </si>
  <si>
    <t>67 ÷ 32</t>
  </si>
  <si>
    <t>69 ÷ 32</t>
  </si>
  <si>
    <t>71 ÷ 32</t>
  </si>
  <si>
    <t>73 ÷ 32</t>
  </si>
  <si>
    <t>75 ÷ 32</t>
  </si>
  <si>
    <t>77 ÷ 32</t>
  </si>
  <si>
    <t>79 ÷ 32</t>
  </si>
  <si>
    <t>81 ÷ 32</t>
  </si>
  <si>
    <t>83 ÷ 32</t>
  </si>
  <si>
    <t>85 ÷ 32</t>
  </si>
  <si>
    <t>87 ÷ 32</t>
  </si>
  <si>
    <t>89 ÷ 32</t>
  </si>
  <si>
    <t>91 ÷ 32</t>
  </si>
  <si>
    <t>93 ÷ 32</t>
  </si>
  <si>
    <t>95 ÷ 32</t>
  </si>
  <si>
    <t>97 ÷ 32</t>
  </si>
  <si>
    <t>99 ÷ 32</t>
  </si>
  <si>
    <t>101 ÷ 32</t>
  </si>
  <si>
    <t>103 ÷ 32</t>
  </si>
  <si>
    <t>105 ÷ 32</t>
  </si>
  <si>
    <t>107 ÷ 32</t>
  </si>
  <si>
    <t>109 ÷ 32</t>
  </si>
  <si>
    <t>111 ÷ 32</t>
  </si>
  <si>
    <t>113 ÷ 32</t>
  </si>
  <si>
    <t>115 ÷ 32</t>
  </si>
  <si>
    <t>117 ÷ 32</t>
  </si>
  <si>
    <t>119 ÷ 32</t>
  </si>
  <si>
    <t>121 ÷ 32</t>
  </si>
  <si>
    <t>123 ÷ 32</t>
  </si>
  <si>
    <t>125 ÷ 32</t>
  </si>
  <si>
    <t>127 ÷ 32</t>
  </si>
  <si>
    <t>129 ÷ 32</t>
  </si>
  <si>
    <t>131 ÷ 32</t>
  </si>
  <si>
    <t>133 ÷ 32</t>
  </si>
  <si>
    <t>135 ÷ 32</t>
  </si>
  <si>
    <t>137 ÷ 32</t>
  </si>
  <si>
    <t>139 ÷ 32</t>
  </si>
  <si>
    <t>141 ÷ 32</t>
  </si>
  <si>
    <t>143 ÷ 32</t>
  </si>
  <si>
    <t>145 ÷ 32</t>
  </si>
  <si>
    <t>147 ÷ 32</t>
  </si>
  <si>
    <t>149 ÷ 32</t>
  </si>
  <si>
    <t>151 ÷ 32</t>
  </si>
  <si>
    <t>153 ÷ 32</t>
  </si>
  <si>
    <t>155 ÷ 32</t>
  </si>
  <si>
    <t>157 ÷ 32</t>
  </si>
  <si>
    <t>159 ÷ 32</t>
  </si>
  <si>
    <t>161 ÷ 32</t>
  </si>
  <si>
    <t>163 ÷ 32</t>
  </si>
  <si>
    <t>165 ÷ 32</t>
  </si>
  <si>
    <t>167 ÷ 32</t>
  </si>
  <si>
    <t>169 ÷ 32</t>
  </si>
  <si>
    <t>171 ÷ 32</t>
  </si>
  <si>
    <t>173 ÷ 32</t>
  </si>
  <si>
    <t>175 ÷ 32</t>
  </si>
  <si>
    <t>177 ÷ 32</t>
  </si>
  <si>
    <t>179 ÷ 32</t>
  </si>
  <si>
    <t>181 ÷ 32</t>
  </si>
  <si>
    <t>183 ÷ 32</t>
  </si>
  <si>
    <t>185 ÷ 32</t>
  </si>
  <si>
    <t>187 ÷ 32</t>
  </si>
  <si>
    <t>189 ÷ 32</t>
  </si>
  <si>
    <t>191 ÷ 32</t>
  </si>
  <si>
    <t>193 ÷ 32</t>
  </si>
  <si>
    <t>195 ÷ 32</t>
  </si>
  <si>
    <t>197 ÷ 32</t>
  </si>
  <si>
    <t>199 ÷ 32</t>
  </si>
  <si>
    <t>201 ÷ 32</t>
  </si>
  <si>
    <t>203 ÷ 32</t>
  </si>
  <si>
    <t>205 ÷ 32</t>
  </si>
  <si>
    <t>207 ÷ 32</t>
  </si>
  <si>
    <t>209 ÷ 32</t>
  </si>
  <si>
    <t>211 ÷ 32</t>
  </si>
  <si>
    <t>213 ÷ 32</t>
  </si>
  <si>
    <t>215 ÷ 32</t>
  </si>
  <si>
    <t>217 ÷ 32</t>
  </si>
  <si>
    <t>219 ÷ 32</t>
  </si>
  <si>
    <t>221 ÷ 32</t>
  </si>
  <si>
    <t>223 ÷ 32</t>
  </si>
  <si>
    <t>225 ÷ 32</t>
  </si>
  <si>
    <t>227 ÷ 32</t>
  </si>
  <si>
    <t>229 ÷ 32</t>
  </si>
  <si>
    <t>231 ÷ 32</t>
  </si>
  <si>
    <t>233 ÷ 32</t>
  </si>
  <si>
    <t>235 ÷ 32</t>
  </si>
  <si>
    <t>237 ÷ 32</t>
  </si>
  <si>
    <t>239 ÷ 32</t>
  </si>
  <si>
    <t>241 ÷ 32</t>
  </si>
  <si>
    <t>243 ÷ 32</t>
  </si>
  <si>
    <t>245 ÷ 32</t>
  </si>
  <si>
    <t>247 ÷ 32</t>
  </si>
  <si>
    <t>249 ÷ 32</t>
  </si>
  <si>
    <t>251 ÷ 32</t>
  </si>
  <si>
    <t>253 ÷ 32</t>
  </si>
  <si>
    <t>255 ÷ 32</t>
  </si>
  <si>
    <t>9 ÷ 64</t>
  </si>
  <si>
    <t>11 ÷ 64</t>
  </si>
  <si>
    <t>13 ÷ 64</t>
  </si>
  <si>
    <t>15 ÷ 64</t>
  </si>
  <si>
    <t>17 ÷ 64</t>
  </si>
  <si>
    <t>19 ÷ 64</t>
  </si>
  <si>
    <t>21 ÷ 64</t>
  </si>
  <si>
    <t>23 ÷ 64</t>
  </si>
  <si>
    <t>25 ÷ 64</t>
  </si>
  <si>
    <t>27 ÷ 64</t>
  </si>
  <si>
    <t>29 ÷ 64</t>
  </si>
  <si>
    <t>31 ÷ 64</t>
  </si>
  <si>
    <t>33 ÷ 64</t>
  </si>
  <si>
    <t>35 ÷ 64</t>
  </si>
  <si>
    <t>37 ÷ 64</t>
  </si>
  <si>
    <t>39 ÷ 64</t>
  </si>
  <si>
    <t>41 ÷ 64</t>
  </si>
  <si>
    <t>43 ÷ 64</t>
  </si>
  <si>
    <t>45 ÷ 64</t>
  </si>
  <si>
    <t>47 ÷ 64</t>
  </si>
  <si>
    <t>49 ÷ 64</t>
  </si>
  <si>
    <t>51 ÷ 64</t>
  </si>
  <si>
    <t>53 ÷ 64</t>
  </si>
  <si>
    <t>55 ÷ 64</t>
  </si>
  <si>
    <t>57 ÷ 64</t>
  </si>
  <si>
    <t>59 ÷ 64</t>
  </si>
  <si>
    <t>61 ÷ 64</t>
  </si>
  <si>
    <t>63 ÷ 64</t>
  </si>
  <si>
    <t>65 ÷ 64</t>
  </si>
  <si>
    <t>67 ÷ 64</t>
  </si>
  <si>
    <t>69 ÷ 64</t>
  </si>
  <si>
    <t>71 ÷ 64</t>
  </si>
  <si>
    <t>73 ÷ 64</t>
  </si>
  <si>
    <t>75 ÷ 64</t>
  </si>
  <si>
    <t>77 ÷ 64</t>
  </si>
  <si>
    <t>79 ÷ 64</t>
  </si>
  <si>
    <t>81 ÷ 64</t>
  </si>
  <si>
    <t>83 ÷ 64</t>
  </si>
  <si>
    <t>85 ÷ 64</t>
  </si>
  <si>
    <t>87 ÷ 64</t>
  </si>
  <si>
    <t>89 ÷ 64</t>
  </si>
  <si>
    <t>91 ÷ 64</t>
  </si>
  <si>
    <t>93 ÷ 64</t>
  </si>
  <si>
    <t>95 ÷ 64</t>
  </si>
  <si>
    <t>97 ÷ 64</t>
  </si>
  <si>
    <t>99 ÷ 64</t>
  </si>
  <si>
    <t>101 ÷ 64</t>
  </si>
  <si>
    <t>103 ÷ 64</t>
  </si>
  <si>
    <t>105 ÷ 64</t>
  </si>
  <si>
    <t>107 ÷ 64</t>
  </si>
  <si>
    <t>109 ÷ 64</t>
  </si>
  <si>
    <t>111 ÷ 64</t>
  </si>
  <si>
    <t>113 ÷ 64</t>
  </si>
  <si>
    <t>115 ÷ 64</t>
  </si>
  <si>
    <t>117 ÷ 64</t>
  </si>
  <si>
    <t>119 ÷ 64</t>
  </si>
  <si>
    <t>121 ÷ 64</t>
  </si>
  <si>
    <t>123 ÷ 64</t>
  </si>
  <si>
    <t>125 ÷ 64</t>
  </si>
  <si>
    <t>127 ÷ 64</t>
  </si>
  <si>
    <t>129 ÷ 64</t>
  </si>
  <si>
    <t>131 ÷ 64</t>
  </si>
  <si>
    <t>133 ÷ 64</t>
  </si>
  <si>
    <t>135 ÷ 64</t>
  </si>
  <si>
    <t>137 ÷ 64</t>
  </si>
  <si>
    <t>139 ÷ 64</t>
  </si>
  <si>
    <t>141 ÷ 64</t>
  </si>
  <si>
    <t>143 ÷ 64</t>
  </si>
  <si>
    <t>145 ÷ 64</t>
  </si>
  <si>
    <t>147 ÷ 64</t>
  </si>
  <si>
    <t>149 ÷ 64</t>
  </si>
  <si>
    <t>151 ÷ 64</t>
  </si>
  <si>
    <t>153 ÷ 64</t>
  </si>
  <si>
    <t>155 ÷ 64</t>
  </si>
  <si>
    <t>157 ÷ 64</t>
  </si>
  <si>
    <t>159 ÷ 64</t>
  </si>
  <si>
    <t>161 ÷ 64</t>
  </si>
  <si>
    <t>163 ÷ 64</t>
  </si>
  <si>
    <t>165 ÷ 64</t>
  </si>
  <si>
    <t>167 ÷ 64</t>
  </si>
  <si>
    <t>169 ÷ 64</t>
  </si>
  <si>
    <t>171 ÷ 64</t>
  </si>
  <si>
    <t>173 ÷ 64</t>
  </si>
  <si>
    <t>175 ÷ 64</t>
  </si>
  <si>
    <t>177 ÷ 64</t>
  </si>
  <si>
    <t>179 ÷ 64</t>
  </si>
  <si>
    <t>181 ÷ 64</t>
  </si>
  <si>
    <t>183 ÷ 64</t>
  </si>
  <si>
    <t>185 ÷ 64</t>
  </si>
  <si>
    <t>187 ÷ 64</t>
  </si>
  <si>
    <t>189 ÷ 64</t>
  </si>
  <si>
    <t>191 ÷ 64</t>
  </si>
  <si>
    <t>193 ÷ 64</t>
  </si>
  <si>
    <t>195 ÷ 64</t>
  </si>
  <si>
    <t>197 ÷ 64</t>
  </si>
  <si>
    <t>199 ÷ 64</t>
  </si>
  <si>
    <t>201 ÷ 64</t>
  </si>
  <si>
    <t>203 ÷ 64</t>
  </si>
  <si>
    <t>205 ÷ 64</t>
  </si>
  <si>
    <t>207 ÷ 64</t>
  </si>
  <si>
    <t>209 ÷ 64</t>
  </si>
  <si>
    <t>211 ÷ 64</t>
  </si>
  <si>
    <t>213 ÷ 64</t>
  </si>
  <si>
    <t>215 ÷ 64</t>
  </si>
  <si>
    <t>217 ÷ 64</t>
  </si>
  <si>
    <t>219 ÷ 64</t>
  </si>
  <si>
    <t>221 ÷ 64</t>
  </si>
  <si>
    <t>223 ÷ 64</t>
  </si>
  <si>
    <t>225 ÷ 64</t>
  </si>
  <si>
    <t>227 ÷ 64</t>
  </si>
  <si>
    <t>229 ÷ 64</t>
  </si>
  <si>
    <t>231 ÷ 64</t>
  </si>
  <si>
    <t>233 ÷ 64</t>
  </si>
  <si>
    <t>235 ÷ 64</t>
  </si>
  <si>
    <t>237 ÷ 64</t>
  </si>
  <si>
    <t>239 ÷ 64</t>
  </si>
  <si>
    <t>241 ÷ 64</t>
  </si>
  <si>
    <t>243 ÷ 64</t>
  </si>
  <si>
    <t>245 ÷ 64</t>
  </si>
  <si>
    <t>247 ÷ 64</t>
  </si>
  <si>
    <t>249 ÷ 64</t>
  </si>
  <si>
    <t>251 ÷ 64</t>
  </si>
  <si>
    <t>253 ÷ 64</t>
  </si>
  <si>
    <t>255 ÷ 64</t>
  </si>
  <si>
    <t>65 ÷ 1</t>
  </si>
  <si>
    <t>Check Calc</t>
  </si>
  <si>
    <t>Check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</si>
</sst>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1" xfId="0" quotePrefix="1" applyBorder="1"/>
    <xf numFmtId="0" fontId="0" fillId="6" borderId="1" xfId="0" quotePrefix="1" applyFill="1" applyBorder="1" applyAlignment="1">
      <alignment horizontal="left"/>
    </xf>
    <xf numFmtId="164" fontId="0" fillId="7" borderId="1" xfId="0" quotePrefix="1" applyNumberFormat="1" applyFill="1" applyBorder="1"/>
    <xf numFmtId="164" fontId="0" fillId="6" borderId="1" xfId="0" quotePrefix="1" applyNumberFormat="1" applyFont="1" applyFill="1" applyBorder="1"/>
    <xf numFmtId="164" fontId="0" fillId="6" borderId="1" xfId="0" quotePrefix="1" applyNumberFormat="1" applyFill="1" applyBorder="1"/>
    <xf numFmtId="0" fontId="1" fillId="0" borderId="9" xfId="0" applyFont="1" applyFill="1" applyBorder="1" applyAlignment="1">
      <alignment horizontal="center"/>
    </xf>
    <xf numFmtId="0" fontId="1" fillId="6" borderId="2" xfId="0" quotePrefix="1" applyFont="1" applyFill="1" applyBorder="1" applyAlignment="1">
      <alignment horizontal="center" vertical="top"/>
    </xf>
    <xf numFmtId="0" fontId="1" fillId="6" borderId="3" xfId="0" quotePrefix="1" applyFont="1" applyFill="1" applyBorder="1" applyAlignment="1">
      <alignment horizontal="center" vertical="top"/>
    </xf>
    <xf numFmtId="0" fontId="1" fillId="6" borderId="11" xfId="0" quotePrefix="1" applyFont="1" applyFill="1" applyBorder="1" applyAlignment="1">
      <alignment horizontal="center" vertical="top"/>
    </xf>
    <xf numFmtId="0" fontId="1" fillId="6" borderId="0" xfId="0" quotePrefix="1" applyFont="1" applyFill="1" applyBorder="1" applyAlignment="1">
      <alignment horizontal="center" vertical="top"/>
    </xf>
    <xf numFmtId="0" fontId="1" fillId="6" borderId="4" xfId="0" quotePrefix="1" applyFont="1" applyFill="1" applyBorder="1" applyAlignment="1">
      <alignment horizontal="center" vertical="top"/>
    </xf>
    <xf numFmtId="0" fontId="1" fillId="6" borderId="12" xfId="0" quotePrefix="1" applyFont="1" applyFill="1" applyBorder="1" applyAlignment="1">
      <alignment horizontal="center" vertical="top"/>
    </xf>
    <xf numFmtId="0" fontId="1" fillId="7" borderId="2" xfId="0" quotePrefix="1" applyFont="1" applyFill="1" applyBorder="1" applyAlignment="1">
      <alignment horizontal="center" vertical="top"/>
    </xf>
    <xf numFmtId="0" fontId="1" fillId="7" borderId="3" xfId="0" quotePrefix="1" applyFont="1" applyFill="1" applyBorder="1" applyAlignment="1">
      <alignment horizontal="center" vertical="top"/>
    </xf>
    <xf numFmtId="0" fontId="1" fillId="7" borderId="11" xfId="0" quotePrefix="1" applyFont="1" applyFill="1" applyBorder="1" applyAlignment="1">
      <alignment horizontal="center" vertical="top"/>
    </xf>
    <xf numFmtId="0" fontId="1" fillId="7" borderId="0" xfId="0" quotePrefix="1" applyFont="1" applyFill="1" applyBorder="1" applyAlignment="1">
      <alignment horizontal="center" vertical="top"/>
    </xf>
    <xf numFmtId="0" fontId="1" fillId="7" borderId="5" xfId="0" quotePrefix="1" applyFont="1" applyFill="1" applyBorder="1" applyAlignment="1">
      <alignment horizontal="center" vertical="top"/>
    </xf>
    <xf numFmtId="0" fontId="1" fillId="7" borderId="6" xfId="0" quotePrefix="1" applyFont="1" applyFill="1" applyBorder="1" applyAlignment="1">
      <alignment horizontal="center" vertical="top"/>
    </xf>
    <xf numFmtId="0" fontId="1" fillId="7" borderId="12" xfId="0" quotePrefix="1" applyFont="1" applyFill="1" applyBorder="1" applyAlignment="1">
      <alignment horizontal="center" vertical="top"/>
    </xf>
    <xf numFmtId="0" fontId="1" fillId="7" borderId="7" xfId="0" quotePrefix="1" applyFont="1" applyFill="1" applyBorder="1" applyAlignment="1">
      <alignment horizontal="center" vertical="top"/>
    </xf>
    <xf numFmtId="0" fontId="1" fillId="6" borderId="5" xfId="0" quotePrefix="1" applyFont="1" applyFill="1" applyBorder="1" applyAlignment="1">
      <alignment vertical="top"/>
    </xf>
    <xf numFmtId="0" fontId="1" fillId="6" borderId="6" xfId="0" quotePrefix="1" applyFont="1" applyFill="1" applyBorder="1" applyAlignment="1">
      <alignment vertical="top"/>
    </xf>
    <xf numFmtId="0" fontId="1" fillId="6" borderId="3" xfId="0" quotePrefix="1" applyFont="1" applyFill="1" applyBorder="1" applyAlignment="1">
      <alignment vertical="top"/>
    </xf>
    <xf numFmtId="0" fontId="1" fillId="6" borderId="4" xfId="0" quotePrefix="1" applyFont="1" applyFill="1" applyBorder="1" applyAlignment="1">
      <alignment vertical="top"/>
    </xf>
    <xf numFmtId="0" fontId="1" fillId="7" borderId="6" xfId="0" quotePrefix="1" applyFont="1" applyFill="1" applyBorder="1" applyAlignment="1">
      <alignment vertical="top"/>
    </xf>
    <xf numFmtId="0" fontId="1" fillId="7" borderId="4" xfId="0" quotePrefix="1" applyFont="1" applyFill="1" applyBorder="1" applyAlignment="1">
      <alignment vertical="top"/>
    </xf>
    <xf numFmtId="0" fontId="1" fillId="7" borderId="3" xfId="0" quotePrefix="1" applyFont="1" applyFill="1" applyBorder="1" applyAlignment="1">
      <alignment vertical="top"/>
    </xf>
    <xf numFmtId="0" fontId="1" fillId="7" borderId="5" xfId="0" quotePrefix="1" applyFont="1" applyFill="1" applyBorder="1" applyAlignment="1">
      <alignment vertical="top"/>
    </xf>
    <xf numFmtId="0" fontId="0" fillId="6" borderId="6" xfId="0" applyFill="1" applyBorder="1"/>
    <xf numFmtId="0" fontId="1" fillId="6" borderId="5" xfId="0" quotePrefix="1" applyFont="1" applyFill="1" applyBorder="1"/>
    <xf numFmtId="0" fontId="1" fillId="6" borderId="0" xfId="0" applyFont="1" applyFill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0" fontId="0" fillId="7" borderId="3" xfId="0" applyFill="1" applyBorder="1"/>
    <xf numFmtId="0" fontId="0" fillId="7" borderId="4" xfId="0" applyFill="1" applyBorder="1"/>
    <xf numFmtId="0" fontId="1" fillId="6" borderId="11" xfId="0" quotePrefix="1" applyFont="1" applyFill="1" applyBorder="1"/>
    <xf numFmtId="0" fontId="0" fillId="6" borderId="0" xfId="0" applyFill="1" applyBorder="1"/>
    <xf numFmtId="0" fontId="0" fillId="7" borderId="6" xfId="0" applyFill="1" applyBorder="1"/>
    <xf numFmtId="0" fontId="1" fillId="7" borderId="5" xfId="0" quotePrefix="1" applyFont="1" applyFill="1" applyBorder="1"/>
    <xf numFmtId="0" fontId="1" fillId="7" borderId="3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/>
    </xf>
    <xf numFmtId="0" fontId="1" fillId="7" borderId="12" xfId="0" applyFont="1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7" borderId="7" xfId="0" applyFont="1" applyFill="1" applyBorder="1" applyAlignment="1">
      <alignment horizontal="center" vertical="top"/>
    </xf>
    <xf numFmtId="0" fontId="0" fillId="7" borderId="0" xfId="0" applyFill="1" applyBorder="1"/>
    <xf numFmtId="0" fontId="0" fillId="7" borderId="12" xfId="0" applyFill="1" applyBorder="1"/>
    <xf numFmtId="0" fontId="0" fillId="6" borderId="3" xfId="0" applyFill="1" applyBorder="1"/>
    <xf numFmtId="0" fontId="0" fillId="6" borderId="4" xfId="0" applyFill="1" applyBorder="1"/>
    <xf numFmtId="0" fontId="1" fillId="6" borderId="3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" fillId="6" borderId="12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0" fontId="1" fillId="7" borderId="11" xfId="0" quotePrefix="1" applyFont="1" applyFill="1" applyBorder="1"/>
    <xf numFmtId="0" fontId="0" fillId="6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F9D2-8862-4032-90B8-321FDFFC8522}">
  <dimension ref="B2:U1157"/>
  <sheetViews>
    <sheetView tabSelected="1" zoomScaleNormal="100" workbookViewId="0"/>
  </sheetViews>
  <sheetFormatPr defaultRowHeight="15" x14ac:dyDescent="0.25"/>
  <cols>
    <col min="1" max="1" width="10.7109375" bestFit="1" customWidth="1"/>
    <col min="2" max="2" width="12.7109375" bestFit="1" customWidth="1"/>
    <col min="10" max="10" width="10" bestFit="1" customWidth="1"/>
    <col min="12" max="12" width="14.140625" bestFit="1" customWidth="1"/>
    <col min="13" max="13" width="12" customWidth="1"/>
    <col min="14" max="14" width="10.28515625" hidden="1" customWidth="1"/>
    <col min="15" max="15" width="0" hidden="1" customWidth="1"/>
    <col min="16" max="16" width="10.42578125" bestFit="1" customWidth="1"/>
    <col min="17" max="20" width="14.28515625" customWidth="1"/>
    <col min="21" max="21" width="10" bestFit="1" customWidth="1"/>
  </cols>
  <sheetData>
    <row r="2" spans="2:21" x14ac:dyDescent="0.25">
      <c r="B2" s="7" t="s">
        <v>3</v>
      </c>
      <c r="C2" s="8"/>
      <c r="D2" s="8"/>
      <c r="E2" s="9"/>
      <c r="G2" s="10" t="s">
        <v>2</v>
      </c>
      <c r="H2" s="11"/>
      <c r="I2" s="11"/>
      <c r="J2" s="12"/>
    </row>
    <row r="4" spans="2:21" x14ac:dyDescent="0.25">
      <c r="C4" s="15" t="s">
        <v>1</v>
      </c>
      <c r="D4" s="15"/>
      <c r="E4" s="15"/>
      <c r="F4" s="15"/>
      <c r="G4" s="15"/>
      <c r="H4" s="15"/>
      <c r="I4" s="15"/>
      <c r="J4" s="15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2:21" x14ac:dyDescent="0.25">
      <c r="B5" s="6" t="s">
        <v>0</v>
      </c>
      <c r="C5" s="5">
        <f>2^0</f>
        <v>1</v>
      </c>
      <c r="D5" s="5">
        <f>2^1</f>
        <v>2</v>
      </c>
      <c r="E5" s="5">
        <f>2^2</f>
        <v>4</v>
      </c>
      <c r="F5" s="5">
        <f>2^3</f>
        <v>8</v>
      </c>
      <c r="G5" s="5">
        <f>2^4</f>
        <v>16</v>
      </c>
      <c r="H5" s="5">
        <f>2^5</f>
        <v>32</v>
      </c>
      <c r="I5" s="5">
        <f>2^6</f>
        <v>64</v>
      </c>
      <c r="J5" s="5">
        <f>2^7</f>
        <v>128</v>
      </c>
      <c r="K5" s="14"/>
      <c r="L5" s="18" t="s">
        <v>4</v>
      </c>
      <c r="M5" s="18"/>
      <c r="N5" s="17" t="s">
        <v>1169</v>
      </c>
      <c r="O5" s="17" t="s">
        <v>1170</v>
      </c>
      <c r="P5" s="17" t="s">
        <v>151</v>
      </c>
      <c r="Q5" s="19" t="s">
        <v>276</v>
      </c>
      <c r="R5" s="28"/>
      <c r="S5" s="28"/>
      <c r="T5" s="20"/>
      <c r="U5" s="16"/>
    </row>
    <row r="6" spans="2:21" x14ac:dyDescent="0.25">
      <c r="B6" s="6">
        <f>0</f>
        <v>0</v>
      </c>
      <c r="C6" s="2">
        <f>$B6/C$5</f>
        <v>0</v>
      </c>
      <c r="D6" s="3">
        <f>$B6/D$5</f>
        <v>0</v>
      </c>
      <c r="E6" s="3">
        <f>$B6/E$5</f>
        <v>0</v>
      </c>
      <c r="F6" s="3">
        <f>$B6/F$5</f>
        <v>0</v>
      </c>
      <c r="G6" s="3">
        <f>$B6/G$5</f>
        <v>0</v>
      </c>
      <c r="H6" s="3">
        <f>$B6/H$5</f>
        <v>0</v>
      </c>
      <c r="I6" s="3">
        <f>$B6/I$5</f>
        <v>0</v>
      </c>
      <c r="J6" s="3">
        <f>$B6/J$5</f>
        <v>0</v>
      </c>
      <c r="K6" s="14"/>
      <c r="L6" s="2">
        <v>0</v>
      </c>
      <c r="M6" s="21" t="s">
        <v>5</v>
      </c>
      <c r="N6" s="21">
        <f>0/1</f>
        <v>0</v>
      </c>
      <c r="O6" s="21">
        <f>ABS(L6-N6)</f>
        <v>0</v>
      </c>
      <c r="P6" s="4" t="s">
        <v>152</v>
      </c>
      <c r="Q6" s="29" t="s">
        <v>277</v>
      </c>
      <c r="R6" s="30"/>
      <c r="S6" s="30"/>
      <c r="T6" s="33"/>
    </row>
    <row r="7" spans="2:21" x14ac:dyDescent="0.25">
      <c r="B7" s="6">
        <f>B6+1</f>
        <v>1</v>
      </c>
      <c r="C7" s="2">
        <f>$B7/C$5</f>
        <v>1</v>
      </c>
      <c r="D7" s="2">
        <f>$B7/D$5</f>
        <v>0.5</v>
      </c>
      <c r="E7" s="2">
        <f>$B7/E$5</f>
        <v>0.25</v>
      </c>
      <c r="F7" s="2">
        <f>$B7/F$5</f>
        <v>0.125</v>
      </c>
      <c r="G7" s="2">
        <f>$B7/G$5</f>
        <v>6.25E-2</v>
      </c>
      <c r="H7" s="2">
        <f>$B7/H$5</f>
        <v>3.125E-2</v>
      </c>
      <c r="I7" s="2">
        <f>$B7/I$5</f>
        <v>1.5625E-2</v>
      </c>
      <c r="J7" s="13">
        <f>$B7/J$5</f>
        <v>7.8125E-3</v>
      </c>
      <c r="K7" s="14"/>
      <c r="L7" s="13">
        <v>7.8125E-3</v>
      </c>
      <c r="M7" s="21" t="s">
        <v>6</v>
      </c>
      <c r="N7" s="21">
        <f>1/128</f>
        <v>7.8125E-3</v>
      </c>
      <c r="O7" s="21">
        <f t="shared" ref="O7:O70" si="0">ABS(L7-N7)</f>
        <v>0</v>
      </c>
      <c r="P7" s="24" t="s">
        <v>6</v>
      </c>
      <c r="Q7" s="31"/>
      <c r="R7" s="32"/>
      <c r="S7" s="32"/>
      <c r="T7" s="34"/>
    </row>
    <row r="8" spans="2:21" x14ac:dyDescent="0.25">
      <c r="B8" s="6">
        <f t="shared" ref="B8:B71" si="1">B7+1</f>
        <v>2</v>
      </c>
      <c r="C8" s="2">
        <f>$B8/C$5</f>
        <v>2</v>
      </c>
      <c r="D8" s="3">
        <f>$B8/D$5</f>
        <v>1</v>
      </c>
      <c r="E8" s="3">
        <f>$B8/E$5</f>
        <v>0.5</v>
      </c>
      <c r="F8" s="3">
        <f>$B8/F$5</f>
        <v>0.25</v>
      </c>
      <c r="G8" s="3">
        <f>$B8/G$5</f>
        <v>0.125</v>
      </c>
      <c r="H8" s="3">
        <f>$B8/H$5</f>
        <v>6.25E-2</v>
      </c>
      <c r="I8" s="3">
        <f>$B8/I$5</f>
        <v>3.125E-2</v>
      </c>
      <c r="J8" s="3">
        <f>$B8/J$5</f>
        <v>1.5625E-2</v>
      </c>
      <c r="L8" s="2">
        <v>1.5625E-2</v>
      </c>
      <c r="M8" s="21" t="s">
        <v>7</v>
      </c>
      <c r="N8" s="21">
        <f>1/64</f>
        <v>1.5625E-2</v>
      </c>
      <c r="O8" s="21">
        <f t="shared" si="0"/>
        <v>0</v>
      </c>
      <c r="P8" s="24" t="s">
        <v>6</v>
      </c>
      <c r="Q8" s="31"/>
      <c r="R8" s="32"/>
      <c r="S8" s="32"/>
      <c r="T8" s="34"/>
    </row>
    <row r="9" spans="2:21" x14ac:dyDescent="0.25">
      <c r="B9" s="6">
        <f t="shared" si="1"/>
        <v>3</v>
      </c>
      <c r="C9" s="2">
        <f>$B9/C$5</f>
        <v>3</v>
      </c>
      <c r="D9" s="2">
        <f>$B9/D$5</f>
        <v>1.5</v>
      </c>
      <c r="E9" s="2">
        <f>$B9/E$5</f>
        <v>0.75</v>
      </c>
      <c r="F9" s="2">
        <f>$B9/F$5</f>
        <v>0.375</v>
      </c>
      <c r="G9" s="2">
        <f>$B9/G$5</f>
        <v>0.1875</v>
      </c>
      <c r="H9" s="2">
        <f>$B9/H$5</f>
        <v>9.375E-2</v>
      </c>
      <c r="I9" s="2">
        <f>$B9/I$5</f>
        <v>4.6875E-2</v>
      </c>
      <c r="J9" s="13">
        <f>$B9/J$5</f>
        <v>2.34375E-2</v>
      </c>
      <c r="L9" s="13">
        <v>2.34375E-2</v>
      </c>
      <c r="M9" s="22" t="s">
        <v>8</v>
      </c>
      <c r="N9" s="22">
        <f>3/128</f>
        <v>2.34375E-2</v>
      </c>
      <c r="O9" s="21">
        <f t="shared" si="0"/>
        <v>0</v>
      </c>
      <c r="P9" s="24" t="s">
        <v>6</v>
      </c>
      <c r="Q9" s="31"/>
      <c r="R9" s="32"/>
      <c r="S9" s="32"/>
      <c r="T9" s="34"/>
    </row>
    <row r="10" spans="2:21" x14ac:dyDescent="0.25">
      <c r="B10" s="6">
        <f t="shared" si="1"/>
        <v>4</v>
      </c>
      <c r="C10" s="2">
        <f>$B10/C$5</f>
        <v>4</v>
      </c>
      <c r="D10" s="3">
        <f>$B10/D$5</f>
        <v>2</v>
      </c>
      <c r="E10" s="3">
        <f>$B10/E$5</f>
        <v>1</v>
      </c>
      <c r="F10" s="3">
        <f>$B10/F$5</f>
        <v>0.5</v>
      </c>
      <c r="G10" s="3">
        <f>$B10/G$5</f>
        <v>0.25</v>
      </c>
      <c r="H10" s="3">
        <f>$B10/H$5</f>
        <v>0.125</v>
      </c>
      <c r="I10" s="3">
        <f>$B10/I$5</f>
        <v>6.25E-2</v>
      </c>
      <c r="J10" s="3">
        <f>$B10/J$5</f>
        <v>3.125E-2</v>
      </c>
      <c r="L10" s="2">
        <v>3.125E-2</v>
      </c>
      <c r="M10" s="22" t="s">
        <v>9</v>
      </c>
      <c r="N10" s="22">
        <f>1/32</f>
        <v>3.125E-2</v>
      </c>
      <c r="O10" s="21">
        <f t="shared" si="0"/>
        <v>0</v>
      </c>
      <c r="P10" s="24" t="s">
        <v>6</v>
      </c>
      <c r="Q10" s="31"/>
      <c r="R10" s="32"/>
      <c r="S10" s="32"/>
      <c r="T10" s="34"/>
    </row>
    <row r="11" spans="2:21" x14ac:dyDescent="0.25">
      <c r="B11" s="6">
        <f t="shared" si="1"/>
        <v>5</v>
      </c>
      <c r="C11" s="2">
        <f>$B11/C$5</f>
        <v>5</v>
      </c>
      <c r="D11" s="2">
        <f>$B11/D$5</f>
        <v>2.5</v>
      </c>
      <c r="E11" s="2">
        <f>$B11/E$5</f>
        <v>1.25</v>
      </c>
      <c r="F11" s="2">
        <f>$B11/F$5</f>
        <v>0.625</v>
      </c>
      <c r="G11" s="2">
        <f>$B11/G$5</f>
        <v>0.3125</v>
      </c>
      <c r="H11" s="2">
        <f>$B11/H$5</f>
        <v>0.15625</v>
      </c>
      <c r="I11" s="2">
        <f>$B11/I$5</f>
        <v>7.8125E-2</v>
      </c>
      <c r="J11" s="13">
        <f>$B11/J$5</f>
        <v>3.90625E-2</v>
      </c>
      <c r="L11" s="13">
        <v>3.90625E-2</v>
      </c>
      <c r="M11" s="22" t="s">
        <v>10</v>
      </c>
      <c r="N11" s="22">
        <f>5/128</f>
        <v>3.90625E-2</v>
      </c>
      <c r="O11" s="21">
        <f t="shared" si="0"/>
        <v>0</v>
      </c>
      <c r="P11" s="24" t="s">
        <v>6</v>
      </c>
      <c r="Q11" s="31"/>
      <c r="R11" s="32"/>
      <c r="S11" s="32"/>
      <c r="T11" s="34"/>
    </row>
    <row r="12" spans="2:21" x14ac:dyDescent="0.25">
      <c r="B12" s="6">
        <f t="shared" si="1"/>
        <v>6</v>
      </c>
      <c r="C12" s="2">
        <f>$B12/C$5</f>
        <v>6</v>
      </c>
      <c r="D12" s="3">
        <f>$B12/D$5</f>
        <v>3</v>
      </c>
      <c r="E12" s="3">
        <f>$B12/E$5</f>
        <v>1.5</v>
      </c>
      <c r="F12" s="3">
        <f>$B12/F$5</f>
        <v>0.75</v>
      </c>
      <c r="G12" s="3">
        <f>$B12/G$5</f>
        <v>0.375</v>
      </c>
      <c r="H12" s="3">
        <f>$B12/H$5</f>
        <v>0.1875</v>
      </c>
      <c r="I12" s="3">
        <f>$B12/I$5</f>
        <v>9.375E-2</v>
      </c>
      <c r="J12" s="3">
        <f>$B12/J$5</f>
        <v>4.6875E-2</v>
      </c>
      <c r="L12" s="2">
        <v>4.6875E-2</v>
      </c>
      <c r="M12" s="22" t="s">
        <v>11</v>
      </c>
      <c r="N12" s="22">
        <f>3/64</f>
        <v>4.6875E-2</v>
      </c>
      <c r="O12" s="21">
        <f t="shared" si="0"/>
        <v>0</v>
      </c>
      <c r="P12" s="24" t="s">
        <v>6</v>
      </c>
      <c r="Q12" s="31"/>
      <c r="R12" s="32"/>
      <c r="S12" s="32"/>
      <c r="T12" s="34"/>
    </row>
    <row r="13" spans="2:21" x14ac:dyDescent="0.25">
      <c r="B13" s="6">
        <f t="shared" si="1"/>
        <v>7</v>
      </c>
      <c r="C13" s="2">
        <f>$B13/C$5</f>
        <v>7</v>
      </c>
      <c r="D13" s="2">
        <f>$B13/D$5</f>
        <v>3.5</v>
      </c>
      <c r="E13" s="2">
        <f>$B13/E$5</f>
        <v>1.75</v>
      </c>
      <c r="F13" s="2">
        <f>$B13/F$5</f>
        <v>0.875</v>
      </c>
      <c r="G13" s="2">
        <f>$B13/G$5</f>
        <v>0.4375</v>
      </c>
      <c r="H13" s="2">
        <f>$B13/H$5</f>
        <v>0.21875</v>
      </c>
      <c r="I13" s="2">
        <f>$B13/I$5</f>
        <v>0.109375</v>
      </c>
      <c r="J13" s="2">
        <f>$B13/J$5</f>
        <v>5.46875E-2</v>
      </c>
      <c r="L13" s="2">
        <v>5.46875E-2</v>
      </c>
      <c r="M13" s="22" t="s">
        <v>12</v>
      </c>
      <c r="N13" s="22">
        <f>7/128</f>
        <v>5.46875E-2</v>
      </c>
      <c r="O13" s="21">
        <f t="shared" si="0"/>
        <v>0</v>
      </c>
      <c r="P13" s="24" t="s">
        <v>6</v>
      </c>
      <c r="Q13" s="31"/>
      <c r="R13" s="32"/>
      <c r="S13" s="32"/>
      <c r="T13" s="34"/>
    </row>
    <row r="14" spans="2:21" x14ac:dyDescent="0.25">
      <c r="B14" s="6">
        <f t="shared" si="1"/>
        <v>8</v>
      </c>
      <c r="C14" s="2">
        <f>$B14/C$5</f>
        <v>8</v>
      </c>
      <c r="D14" s="3">
        <f>$B14/D$5</f>
        <v>4</v>
      </c>
      <c r="E14" s="3">
        <f>$B14/E$5</f>
        <v>2</v>
      </c>
      <c r="F14" s="3">
        <f>$B14/F$5</f>
        <v>1</v>
      </c>
      <c r="G14" s="3">
        <f>$B14/G$5</f>
        <v>0.5</v>
      </c>
      <c r="H14" s="3">
        <f>$B14/H$5</f>
        <v>0.25</v>
      </c>
      <c r="I14" s="3">
        <f>$B14/I$5</f>
        <v>0.125</v>
      </c>
      <c r="J14" s="3">
        <f>$B14/J$5</f>
        <v>6.25E-2</v>
      </c>
      <c r="L14" s="2">
        <v>6.25E-2</v>
      </c>
      <c r="M14" s="22" t="s">
        <v>13</v>
      </c>
      <c r="N14" s="22">
        <f>1/16</f>
        <v>6.25E-2</v>
      </c>
      <c r="O14" s="21">
        <f t="shared" si="0"/>
        <v>0</v>
      </c>
      <c r="P14" s="24" t="s">
        <v>6</v>
      </c>
      <c r="Q14" s="31"/>
      <c r="R14" s="32"/>
      <c r="S14" s="32"/>
      <c r="T14" s="34"/>
    </row>
    <row r="15" spans="2:21" x14ac:dyDescent="0.25">
      <c r="B15" s="6">
        <f t="shared" si="1"/>
        <v>9</v>
      </c>
      <c r="C15" s="2">
        <f>$B15/C$5</f>
        <v>9</v>
      </c>
      <c r="D15" s="2">
        <f>$B15/D$5</f>
        <v>4.5</v>
      </c>
      <c r="E15" s="2">
        <f>$B15/E$5</f>
        <v>2.25</v>
      </c>
      <c r="F15" s="2">
        <f>$B15/F$5</f>
        <v>1.125</v>
      </c>
      <c r="G15" s="2">
        <f>$B15/G$5</f>
        <v>0.5625</v>
      </c>
      <c r="H15" s="2">
        <f>$B15/H$5</f>
        <v>0.28125</v>
      </c>
      <c r="I15" s="2">
        <f>$B15/I$5</f>
        <v>0.140625</v>
      </c>
      <c r="J15" s="2">
        <f>$B15/J$5</f>
        <v>7.03125E-2</v>
      </c>
      <c r="L15" s="2">
        <v>7.03125E-2</v>
      </c>
      <c r="M15" s="22" t="s">
        <v>14</v>
      </c>
      <c r="N15" s="22">
        <f>9/128</f>
        <v>7.03125E-2</v>
      </c>
      <c r="O15" s="21">
        <f t="shared" si="0"/>
        <v>0</v>
      </c>
      <c r="P15" s="24" t="s">
        <v>6</v>
      </c>
      <c r="Q15" s="31"/>
      <c r="R15" s="32"/>
      <c r="S15" s="32"/>
      <c r="T15" s="34"/>
    </row>
    <row r="16" spans="2:21" x14ac:dyDescent="0.25">
      <c r="B16" s="6">
        <f t="shared" si="1"/>
        <v>10</v>
      </c>
      <c r="C16" s="2">
        <f>$B16/C$5</f>
        <v>10</v>
      </c>
      <c r="D16" s="3">
        <f>$B16/D$5</f>
        <v>5</v>
      </c>
      <c r="E16" s="3">
        <f>$B16/E$5</f>
        <v>2.5</v>
      </c>
      <c r="F16" s="3">
        <f>$B16/F$5</f>
        <v>1.25</v>
      </c>
      <c r="G16" s="3">
        <f>$B16/G$5</f>
        <v>0.625</v>
      </c>
      <c r="H16" s="3">
        <f>$B16/H$5</f>
        <v>0.3125</v>
      </c>
      <c r="I16" s="3">
        <f>$B16/I$5</f>
        <v>0.15625</v>
      </c>
      <c r="J16" s="3">
        <f>$B16/J$5</f>
        <v>7.8125E-2</v>
      </c>
      <c r="L16" s="2">
        <v>7.8125E-2</v>
      </c>
      <c r="M16" s="22" t="s">
        <v>15</v>
      </c>
      <c r="N16" s="22">
        <f>5/64</f>
        <v>7.8125E-2</v>
      </c>
      <c r="O16" s="21">
        <f t="shared" si="0"/>
        <v>0</v>
      </c>
      <c r="P16" s="24" t="s">
        <v>6</v>
      </c>
      <c r="Q16" s="31"/>
      <c r="R16" s="32"/>
      <c r="S16" s="32"/>
      <c r="T16" s="34"/>
    </row>
    <row r="17" spans="2:20" x14ac:dyDescent="0.25">
      <c r="B17" s="6">
        <f t="shared" si="1"/>
        <v>11</v>
      </c>
      <c r="C17" s="2">
        <f>$B17/C$5</f>
        <v>11</v>
      </c>
      <c r="D17" s="2">
        <f>$B17/D$5</f>
        <v>5.5</v>
      </c>
      <c r="E17" s="2">
        <f>$B17/E$5</f>
        <v>2.75</v>
      </c>
      <c r="F17" s="2">
        <f>$B17/F$5</f>
        <v>1.375</v>
      </c>
      <c r="G17" s="2">
        <f>$B17/G$5</f>
        <v>0.6875</v>
      </c>
      <c r="H17" s="2">
        <f>$B17/H$5</f>
        <v>0.34375</v>
      </c>
      <c r="I17" s="2">
        <f>$B17/I$5</f>
        <v>0.171875</v>
      </c>
      <c r="J17" s="2">
        <f>$B17/J$5</f>
        <v>8.59375E-2</v>
      </c>
      <c r="L17" s="2">
        <v>8.59375E-2</v>
      </c>
      <c r="M17" s="22" t="s">
        <v>145</v>
      </c>
      <c r="N17" s="22">
        <f>11/128</f>
        <v>8.59375E-2</v>
      </c>
      <c r="O17" s="21">
        <f t="shared" si="0"/>
        <v>0</v>
      </c>
      <c r="P17" s="24" t="s">
        <v>6</v>
      </c>
      <c r="Q17" s="31"/>
      <c r="R17" s="32"/>
      <c r="S17" s="32"/>
      <c r="T17" s="34"/>
    </row>
    <row r="18" spans="2:20" x14ac:dyDescent="0.25">
      <c r="B18" s="6">
        <f t="shared" si="1"/>
        <v>12</v>
      </c>
      <c r="C18" s="2">
        <f>$B18/C$5</f>
        <v>12</v>
      </c>
      <c r="D18" s="3">
        <f>$B18/D$5</f>
        <v>6</v>
      </c>
      <c r="E18" s="3">
        <f>$B18/E$5</f>
        <v>3</v>
      </c>
      <c r="F18" s="3">
        <f>$B18/F$5</f>
        <v>1.5</v>
      </c>
      <c r="G18" s="3">
        <f>$B18/G$5</f>
        <v>0.75</v>
      </c>
      <c r="H18" s="3">
        <f>$B18/H$5</f>
        <v>0.375</v>
      </c>
      <c r="I18" s="3">
        <f>$B18/I$5</f>
        <v>0.1875</v>
      </c>
      <c r="J18" s="3">
        <f>$B18/J$5</f>
        <v>9.375E-2</v>
      </c>
      <c r="L18" s="2">
        <v>9.375E-2</v>
      </c>
      <c r="M18" s="22" t="s">
        <v>146</v>
      </c>
      <c r="N18" s="22">
        <f>3/32</f>
        <v>9.375E-2</v>
      </c>
      <c r="O18" s="21">
        <f t="shared" si="0"/>
        <v>0</v>
      </c>
      <c r="P18" s="24" t="s">
        <v>6</v>
      </c>
      <c r="Q18" s="31"/>
      <c r="R18" s="32"/>
      <c r="S18" s="32"/>
      <c r="T18" s="34"/>
    </row>
    <row r="19" spans="2:20" x14ac:dyDescent="0.25">
      <c r="B19" s="6">
        <f t="shared" si="1"/>
        <v>13</v>
      </c>
      <c r="C19" s="2">
        <f>$B19/C$5</f>
        <v>13</v>
      </c>
      <c r="D19" s="2">
        <f>$B19/D$5</f>
        <v>6.5</v>
      </c>
      <c r="E19" s="2">
        <f>$B19/E$5</f>
        <v>3.25</v>
      </c>
      <c r="F19" s="2">
        <f>$B19/F$5</f>
        <v>1.625</v>
      </c>
      <c r="G19" s="2">
        <f>$B19/G$5</f>
        <v>0.8125</v>
      </c>
      <c r="H19" s="2">
        <f>$B19/H$5</f>
        <v>0.40625</v>
      </c>
      <c r="I19" s="2">
        <f>$B19/I$5</f>
        <v>0.203125</v>
      </c>
      <c r="J19" s="2">
        <f>$B19/J$5</f>
        <v>0.1015625</v>
      </c>
      <c r="L19" s="2">
        <v>0.1015625</v>
      </c>
      <c r="M19" s="22" t="s">
        <v>147</v>
      </c>
      <c r="N19" s="22">
        <f>13/128</f>
        <v>0.1015625</v>
      </c>
      <c r="O19" s="21">
        <f t="shared" si="0"/>
        <v>0</v>
      </c>
      <c r="P19" s="24" t="s">
        <v>6</v>
      </c>
      <c r="Q19" s="31"/>
      <c r="R19" s="32"/>
      <c r="S19" s="32"/>
      <c r="T19" s="34"/>
    </row>
    <row r="20" spans="2:20" x14ac:dyDescent="0.25">
      <c r="B20" s="6">
        <f t="shared" si="1"/>
        <v>14</v>
      </c>
      <c r="C20" s="2">
        <f>$B20/C$5</f>
        <v>14</v>
      </c>
      <c r="D20" s="3">
        <f>$B20/D$5</f>
        <v>7</v>
      </c>
      <c r="E20" s="3">
        <f>$B20/E$5</f>
        <v>3.5</v>
      </c>
      <c r="F20" s="3">
        <f>$B20/F$5</f>
        <v>1.75</v>
      </c>
      <c r="G20" s="3">
        <f>$B20/G$5</f>
        <v>0.875</v>
      </c>
      <c r="H20" s="3">
        <f>$B20/H$5</f>
        <v>0.4375</v>
      </c>
      <c r="I20" s="3">
        <f>$B20/I$5</f>
        <v>0.21875</v>
      </c>
      <c r="J20" s="3">
        <f>$B20/J$5</f>
        <v>0.109375</v>
      </c>
      <c r="L20" s="2">
        <v>0.109375</v>
      </c>
      <c r="M20" s="22" t="s">
        <v>148</v>
      </c>
      <c r="N20" s="22">
        <f>7/64</f>
        <v>0.109375</v>
      </c>
      <c r="O20" s="21">
        <f t="shared" si="0"/>
        <v>0</v>
      </c>
      <c r="P20" s="24" t="s">
        <v>6</v>
      </c>
      <c r="Q20" s="31"/>
      <c r="R20" s="32"/>
      <c r="S20" s="32"/>
      <c r="T20" s="34"/>
    </row>
    <row r="21" spans="2:20" x14ac:dyDescent="0.25">
      <c r="B21" s="6">
        <f t="shared" si="1"/>
        <v>15</v>
      </c>
      <c r="C21" s="2">
        <f>$B21/C$5</f>
        <v>15</v>
      </c>
      <c r="D21" s="2">
        <f>$B21/D$5</f>
        <v>7.5</v>
      </c>
      <c r="E21" s="2">
        <f>$B21/E$5</f>
        <v>3.75</v>
      </c>
      <c r="F21" s="2">
        <f>$B21/F$5</f>
        <v>1.875</v>
      </c>
      <c r="G21" s="2">
        <f>$B21/G$5</f>
        <v>0.9375</v>
      </c>
      <c r="H21" s="2">
        <f>$B21/H$5</f>
        <v>0.46875</v>
      </c>
      <c r="I21" s="2">
        <f>$B21/I$5</f>
        <v>0.234375</v>
      </c>
      <c r="J21" s="2">
        <f>$B21/J$5</f>
        <v>0.1171875</v>
      </c>
      <c r="L21" s="2">
        <v>0.1171875</v>
      </c>
      <c r="M21" s="22" t="s">
        <v>149</v>
      </c>
      <c r="N21" s="22">
        <f>15/128</f>
        <v>0.1171875</v>
      </c>
      <c r="O21" s="21">
        <f t="shared" si="0"/>
        <v>0</v>
      </c>
      <c r="P21" s="24" t="s">
        <v>6</v>
      </c>
      <c r="Q21" s="31"/>
      <c r="R21" s="32"/>
      <c r="S21" s="32"/>
      <c r="T21" s="34"/>
    </row>
    <row r="22" spans="2:20" x14ac:dyDescent="0.25">
      <c r="B22" s="6">
        <f t="shared" si="1"/>
        <v>16</v>
      </c>
      <c r="C22" s="2">
        <f>$B22/C$5</f>
        <v>16</v>
      </c>
      <c r="D22" s="3">
        <f>$B22/D$5</f>
        <v>8</v>
      </c>
      <c r="E22" s="3">
        <f>$B22/E$5</f>
        <v>4</v>
      </c>
      <c r="F22" s="3">
        <f>$B22/F$5</f>
        <v>2</v>
      </c>
      <c r="G22" s="3">
        <f>$B22/G$5</f>
        <v>1</v>
      </c>
      <c r="H22" s="3">
        <f>$B22/H$5</f>
        <v>0.5</v>
      </c>
      <c r="I22" s="3">
        <f>$B22/I$5</f>
        <v>0.25</v>
      </c>
      <c r="J22" s="3">
        <f>$B22/J$5</f>
        <v>0.125</v>
      </c>
      <c r="L22" s="2">
        <v>0.125</v>
      </c>
      <c r="M22" s="22" t="s">
        <v>150</v>
      </c>
      <c r="N22" s="22">
        <f>1/8</f>
        <v>0.125</v>
      </c>
      <c r="O22" s="21">
        <f t="shared" si="0"/>
        <v>0</v>
      </c>
      <c r="P22" s="24" t="s">
        <v>6</v>
      </c>
      <c r="Q22" s="31"/>
      <c r="R22" s="32"/>
      <c r="S22" s="32"/>
      <c r="T22" s="34"/>
    </row>
    <row r="23" spans="2:20" x14ac:dyDescent="0.25">
      <c r="B23" s="6">
        <f t="shared" si="1"/>
        <v>17</v>
      </c>
      <c r="C23" s="2">
        <f>$B23/C$5</f>
        <v>17</v>
      </c>
      <c r="D23" s="2">
        <f>$B23/D$5</f>
        <v>8.5</v>
      </c>
      <c r="E23" s="2">
        <f>$B23/E$5</f>
        <v>4.25</v>
      </c>
      <c r="F23" s="2">
        <f>$B23/F$5</f>
        <v>2.125</v>
      </c>
      <c r="G23" s="2">
        <f>$B23/G$5</f>
        <v>1.0625</v>
      </c>
      <c r="H23" s="2">
        <f>$B23/H$5</f>
        <v>0.53125</v>
      </c>
      <c r="I23" s="2">
        <f>$B23/I$5</f>
        <v>0.265625</v>
      </c>
      <c r="J23" s="2">
        <f>$B23/J$5</f>
        <v>0.1328125</v>
      </c>
      <c r="L23" s="2">
        <v>0.1328125</v>
      </c>
      <c r="M23" s="23" t="s">
        <v>153</v>
      </c>
      <c r="N23" s="4">
        <f>17/128</f>
        <v>0.1328125</v>
      </c>
      <c r="O23" s="21">
        <f t="shared" si="0"/>
        <v>0</v>
      </c>
      <c r="P23" s="24" t="s">
        <v>6</v>
      </c>
      <c r="Q23" s="31"/>
      <c r="R23" s="32"/>
      <c r="S23" s="32"/>
      <c r="T23" s="34"/>
    </row>
    <row r="24" spans="2:20" x14ac:dyDescent="0.25">
      <c r="B24" s="6">
        <f t="shared" si="1"/>
        <v>18</v>
      </c>
      <c r="C24" s="2">
        <f>$B24/C$5</f>
        <v>18</v>
      </c>
      <c r="D24" s="3">
        <f>$B24/D$5</f>
        <v>9</v>
      </c>
      <c r="E24" s="3">
        <f>$B24/E$5</f>
        <v>4.5</v>
      </c>
      <c r="F24" s="3">
        <f>$B24/F$5</f>
        <v>2.25</v>
      </c>
      <c r="G24" s="3">
        <f>$B24/G$5</f>
        <v>1.125</v>
      </c>
      <c r="H24" s="3">
        <f>$B24/H$5</f>
        <v>0.5625</v>
      </c>
      <c r="I24" s="3">
        <f>$B24/I$5</f>
        <v>0.28125</v>
      </c>
      <c r="J24" s="3">
        <f>$B24/J$5</f>
        <v>0.140625</v>
      </c>
      <c r="L24" s="2">
        <v>0.140625</v>
      </c>
      <c r="M24" s="23" t="s">
        <v>1044</v>
      </c>
      <c r="N24" s="23">
        <f>9/64</f>
        <v>0.140625</v>
      </c>
      <c r="O24" s="21">
        <f t="shared" si="0"/>
        <v>0</v>
      </c>
      <c r="P24" s="24" t="s">
        <v>6</v>
      </c>
      <c r="Q24" s="31"/>
      <c r="R24" s="32"/>
      <c r="S24" s="32"/>
      <c r="T24" s="34"/>
    </row>
    <row r="25" spans="2:20" x14ac:dyDescent="0.25">
      <c r="B25" s="6">
        <f t="shared" si="1"/>
        <v>19</v>
      </c>
      <c r="C25" s="2">
        <f>$B25/C$5</f>
        <v>19</v>
      </c>
      <c r="D25" s="2">
        <f>$B25/D$5</f>
        <v>9.5</v>
      </c>
      <c r="E25" s="2">
        <f>$B25/E$5</f>
        <v>4.75</v>
      </c>
      <c r="F25" s="2">
        <f>$B25/F$5</f>
        <v>2.375</v>
      </c>
      <c r="G25" s="2">
        <f>$B25/G$5</f>
        <v>1.1875</v>
      </c>
      <c r="H25" s="2">
        <f>$B25/H$5</f>
        <v>0.59375</v>
      </c>
      <c r="I25" s="2">
        <f>$B25/I$5</f>
        <v>0.296875</v>
      </c>
      <c r="J25" s="2">
        <f>$B25/J$5</f>
        <v>0.1484375</v>
      </c>
      <c r="L25" s="2">
        <v>0.1484375</v>
      </c>
      <c r="M25" s="23" t="s">
        <v>154</v>
      </c>
      <c r="N25" s="4">
        <f>19/128</f>
        <v>0.1484375</v>
      </c>
      <c r="O25" s="21">
        <f t="shared" si="0"/>
        <v>0</v>
      </c>
      <c r="P25" s="24" t="s">
        <v>6</v>
      </c>
      <c r="Q25" s="31"/>
      <c r="R25" s="32"/>
      <c r="S25" s="32"/>
      <c r="T25" s="34"/>
    </row>
    <row r="26" spans="2:20" x14ac:dyDescent="0.25">
      <c r="B26" s="6">
        <f t="shared" si="1"/>
        <v>20</v>
      </c>
      <c r="C26" s="2">
        <f>$B26/C$5</f>
        <v>20</v>
      </c>
      <c r="D26" s="3">
        <f>$B26/D$5</f>
        <v>10</v>
      </c>
      <c r="E26" s="3">
        <f>$B26/E$5</f>
        <v>5</v>
      </c>
      <c r="F26" s="3">
        <f>$B26/F$5</f>
        <v>2.5</v>
      </c>
      <c r="G26" s="3">
        <f>$B26/G$5</f>
        <v>1.25</v>
      </c>
      <c r="H26" s="3">
        <f>$B26/H$5</f>
        <v>0.625</v>
      </c>
      <c r="I26" s="3">
        <f>$B26/I$5</f>
        <v>0.3125</v>
      </c>
      <c r="J26" s="3">
        <f>$B26/J$5</f>
        <v>0.15625</v>
      </c>
      <c r="L26" s="2">
        <v>0.15625</v>
      </c>
      <c r="M26" s="23" t="s">
        <v>918</v>
      </c>
      <c r="N26" s="23">
        <f>5/32</f>
        <v>0.15625</v>
      </c>
      <c r="O26" s="21">
        <f t="shared" si="0"/>
        <v>0</v>
      </c>
      <c r="P26" s="24" t="s">
        <v>6</v>
      </c>
      <c r="Q26" s="31"/>
      <c r="R26" s="32"/>
      <c r="S26" s="32"/>
      <c r="T26" s="34"/>
    </row>
    <row r="27" spans="2:20" x14ac:dyDescent="0.25">
      <c r="B27" s="6">
        <f t="shared" si="1"/>
        <v>21</v>
      </c>
      <c r="C27" s="2">
        <f>$B27/C$5</f>
        <v>21</v>
      </c>
      <c r="D27" s="2">
        <f>$B27/D$5</f>
        <v>10.5</v>
      </c>
      <c r="E27" s="2">
        <f>$B27/E$5</f>
        <v>5.25</v>
      </c>
      <c r="F27" s="2">
        <f>$B27/F$5</f>
        <v>2.625</v>
      </c>
      <c r="G27" s="2">
        <f>$B27/G$5</f>
        <v>1.3125</v>
      </c>
      <c r="H27" s="2">
        <f>$B27/H$5</f>
        <v>0.65625</v>
      </c>
      <c r="I27" s="2">
        <f>$B27/I$5</f>
        <v>0.328125</v>
      </c>
      <c r="J27" s="2">
        <f>$B27/J$5</f>
        <v>0.1640625</v>
      </c>
      <c r="L27" s="2">
        <v>0.1640625</v>
      </c>
      <c r="M27" s="23" t="s">
        <v>155</v>
      </c>
      <c r="N27" s="4">
        <f>21/128</f>
        <v>0.1640625</v>
      </c>
      <c r="O27" s="21">
        <f t="shared" si="0"/>
        <v>0</v>
      </c>
      <c r="P27" s="24" t="s">
        <v>6</v>
      </c>
      <c r="Q27" s="31"/>
      <c r="R27" s="32"/>
      <c r="S27" s="32"/>
      <c r="T27" s="34"/>
    </row>
    <row r="28" spans="2:20" x14ac:dyDescent="0.25">
      <c r="B28" s="6">
        <f t="shared" si="1"/>
        <v>22</v>
      </c>
      <c r="C28" s="2">
        <f>$B28/C$5</f>
        <v>22</v>
      </c>
      <c r="D28" s="3">
        <f>$B28/D$5</f>
        <v>11</v>
      </c>
      <c r="E28" s="3">
        <f>$B28/E$5</f>
        <v>5.5</v>
      </c>
      <c r="F28" s="3">
        <f>$B28/F$5</f>
        <v>2.75</v>
      </c>
      <c r="G28" s="3">
        <f>$B28/G$5</f>
        <v>1.375</v>
      </c>
      <c r="H28" s="3">
        <f>$B28/H$5</f>
        <v>0.6875</v>
      </c>
      <c r="I28" s="3">
        <f>$B28/I$5</f>
        <v>0.34375</v>
      </c>
      <c r="J28" s="3">
        <f>$B28/J$5</f>
        <v>0.171875</v>
      </c>
      <c r="L28" s="2">
        <v>0.171875</v>
      </c>
      <c r="M28" s="23" t="s">
        <v>1045</v>
      </c>
      <c r="N28" s="23">
        <f>11/64</f>
        <v>0.171875</v>
      </c>
      <c r="O28" s="21">
        <f t="shared" si="0"/>
        <v>0</v>
      </c>
      <c r="P28" s="24" t="s">
        <v>6</v>
      </c>
      <c r="Q28" s="31"/>
      <c r="R28" s="32"/>
      <c r="S28" s="32"/>
      <c r="T28" s="34"/>
    </row>
    <row r="29" spans="2:20" x14ac:dyDescent="0.25">
      <c r="B29" s="6">
        <f t="shared" si="1"/>
        <v>23</v>
      </c>
      <c r="C29" s="2">
        <f>$B29/C$5</f>
        <v>23</v>
      </c>
      <c r="D29" s="2">
        <f>$B29/D$5</f>
        <v>11.5</v>
      </c>
      <c r="E29" s="2">
        <f>$B29/E$5</f>
        <v>5.75</v>
      </c>
      <c r="F29" s="2">
        <f>$B29/F$5</f>
        <v>2.875</v>
      </c>
      <c r="G29" s="2">
        <f>$B29/G$5</f>
        <v>1.4375</v>
      </c>
      <c r="H29" s="2">
        <f>$B29/H$5</f>
        <v>0.71875</v>
      </c>
      <c r="I29" s="2">
        <f>$B29/I$5</f>
        <v>0.359375</v>
      </c>
      <c r="J29" s="2">
        <f>$B29/J$5</f>
        <v>0.1796875</v>
      </c>
      <c r="L29" s="2">
        <v>0.1796875</v>
      </c>
      <c r="M29" s="23" t="s">
        <v>156</v>
      </c>
      <c r="N29" s="4">
        <f>23/128</f>
        <v>0.1796875</v>
      </c>
      <c r="O29" s="21">
        <f t="shared" si="0"/>
        <v>0</v>
      </c>
      <c r="P29" s="24" t="s">
        <v>6</v>
      </c>
      <c r="Q29" s="31"/>
      <c r="R29" s="32"/>
      <c r="S29" s="32"/>
      <c r="T29" s="34"/>
    </row>
    <row r="30" spans="2:20" x14ac:dyDescent="0.25">
      <c r="B30" s="6">
        <f t="shared" si="1"/>
        <v>24</v>
      </c>
      <c r="C30" s="2">
        <f>$B30/C$5</f>
        <v>24</v>
      </c>
      <c r="D30" s="3">
        <f>$B30/D$5</f>
        <v>12</v>
      </c>
      <c r="E30" s="3">
        <f>$B30/E$5</f>
        <v>6</v>
      </c>
      <c r="F30" s="3">
        <f>$B30/F$5</f>
        <v>3</v>
      </c>
      <c r="G30" s="3">
        <f>$B30/G$5</f>
        <v>1.5</v>
      </c>
      <c r="H30" s="3">
        <f>$B30/H$5</f>
        <v>0.75</v>
      </c>
      <c r="I30" s="3">
        <f>$B30/I$5</f>
        <v>0.375</v>
      </c>
      <c r="J30" s="3">
        <f>$B30/J$5</f>
        <v>0.1875</v>
      </c>
      <c r="L30" s="2">
        <v>0.1875</v>
      </c>
      <c r="M30" s="23" t="s">
        <v>791</v>
      </c>
      <c r="N30" s="23">
        <f>3/16</f>
        <v>0.1875</v>
      </c>
      <c r="O30" s="21">
        <f t="shared" si="0"/>
        <v>0</v>
      </c>
      <c r="P30" s="24" t="s">
        <v>6</v>
      </c>
      <c r="Q30" s="31"/>
      <c r="R30" s="32"/>
      <c r="S30" s="32"/>
      <c r="T30" s="34"/>
    </row>
    <row r="31" spans="2:20" x14ac:dyDescent="0.25">
      <c r="B31" s="6">
        <f t="shared" si="1"/>
        <v>25</v>
      </c>
      <c r="C31" s="2">
        <f>$B31/C$5</f>
        <v>25</v>
      </c>
      <c r="D31" s="2">
        <f>$B31/D$5</f>
        <v>12.5</v>
      </c>
      <c r="E31" s="2">
        <f>$B31/E$5</f>
        <v>6.25</v>
      </c>
      <c r="F31" s="2">
        <f>$B31/F$5</f>
        <v>3.125</v>
      </c>
      <c r="G31" s="2">
        <f>$B31/G$5</f>
        <v>1.5625</v>
      </c>
      <c r="H31" s="2">
        <f>$B31/H$5</f>
        <v>0.78125</v>
      </c>
      <c r="I31" s="2">
        <f>$B31/I$5</f>
        <v>0.390625</v>
      </c>
      <c r="J31" s="2">
        <f>$B31/J$5</f>
        <v>0.1953125</v>
      </c>
      <c r="L31" s="2">
        <v>0.1953125</v>
      </c>
      <c r="M31" s="23" t="s">
        <v>157</v>
      </c>
      <c r="N31" s="4">
        <f>25/128</f>
        <v>0.1953125</v>
      </c>
      <c r="O31" s="21">
        <f t="shared" si="0"/>
        <v>0</v>
      </c>
      <c r="P31" s="24" t="s">
        <v>6</v>
      </c>
      <c r="Q31" s="31"/>
      <c r="R31" s="32"/>
      <c r="S31" s="32"/>
      <c r="T31" s="34"/>
    </row>
    <row r="32" spans="2:20" x14ac:dyDescent="0.25">
      <c r="B32" s="6">
        <f t="shared" si="1"/>
        <v>26</v>
      </c>
      <c r="C32" s="2">
        <f>$B32/C$5</f>
        <v>26</v>
      </c>
      <c r="D32" s="3">
        <f>$B32/D$5</f>
        <v>13</v>
      </c>
      <c r="E32" s="3">
        <f>$B32/E$5</f>
        <v>6.5</v>
      </c>
      <c r="F32" s="3">
        <f>$B32/F$5</f>
        <v>3.25</v>
      </c>
      <c r="G32" s="3">
        <f>$B32/G$5</f>
        <v>1.625</v>
      </c>
      <c r="H32" s="3">
        <f>$B32/H$5</f>
        <v>0.8125</v>
      </c>
      <c r="I32" s="3">
        <f>$B32/I$5</f>
        <v>0.40625</v>
      </c>
      <c r="J32" s="3">
        <f>$B32/J$5</f>
        <v>0.203125</v>
      </c>
      <c r="L32" s="2">
        <v>0.203125</v>
      </c>
      <c r="M32" s="23" t="s">
        <v>1046</v>
      </c>
      <c r="N32" s="23">
        <f>13/64</f>
        <v>0.203125</v>
      </c>
      <c r="O32" s="21">
        <f t="shared" si="0"/>
        <v>0</v>
      </c>
      <c r="P32" s="24" t="s">
        <v>6</v>
      </c>
      <c r="Q32" s="31"/>
      <c r="R32" s="32"/>
      <c r="S32" s="32"/>
      <c r="T32" s="34"/>
    </row>
    <row r="33" spans="2:20" x14ac:dyDescent="0.25">
      <c r="B33" s="6">
        <f t="shared" si="1"/>
        <v>27</v>
      </c>
      <c r="C33" s="2">
        <f>$B33/C$5</f>
        <v>27</v>
      </c>
      <c r="D33" s="2">
        <f>$B33/D$5</f>
        <v>13.5</v>
      </c>
      <c r="E33" s="2">
        <f>$B33/E$5</f>
        <v>6.75</v>
      </c>
      <c r="F33" s="2">
        <f>$B33/F$5</f>
        <v>3.375</v>
      </c>
      <c r="G33" s="2">
        <f>$B33/G$5</f>
        <v>1.6875</v>
      </c>
      <c r="H33" s="2">
        <f>$B33/H$5</f>
        <v>0.84375</v>
      </c>
      <c r="I33" s="2">
        <f>$B33/I$5</f>
        <v>0.421875</v>
      </c>
      <c r="J33" s="2">
        <f>$B33/J$5</f>
        <v>0.2109375</v>
      </c>
      <c r="L33" s="2">
        <v>0.2109375</v>
      </c>
      <c r="M33" s="23" t="s">
        <v>158</v>
      </c>
      <c r="N33" s="4">
        <f>27/128</f>
        <v>0.2109375</v>
      </c>
      <c r="O33" s="21">
        <f t="shared" si="0"/>
        <v>0</v>
      </c>
      <c r="P33" s="24" t="s">
        <v>6</v>
      </c>
      <c r="Q33" s="31"/>
      <c r="R33" s="32"/>
      <c r="S33" s="32"/>
      <c r="T33" s="34"/>
    </row>
    <row r="34" spans="2:20" x14ac:dyDescent="0.25">
      <c r="B34" s="6">
        <f t="shared" si="1"/>
        <v>28</v>
      </c>
      <c r="C34" s="2">
        <f>$B34/C$5</f>
        <v>28</v>
      </c>
      <c r="D34" s="3">
        <f>$B34/D$5</f>
        <v>14</v>
      </c>
      <c r="E34" s="3">
        <f>$B34/E$5</f>
        <v>7</v>
      </c>
      <c r="F34" s="3">
        <f>$B34/F$5</f>
        <v>3.5</v>
      </c>
      <c r="G34" s="3">
        <f>$B34/G$5</f>
        <v>1.75</v>
      </c>
      <c r="H34" s="3">
        <f>$B34/H$5</f>
        <v>0.875</v>
      </c>
      <c r="I34" s="3">
        <f>$B34/I$5</f>
        <v>0.4375</v>
      </c>
      <c r="J34" s="3">
        <f>$B34/J$5</f>
        <v>0.21875</v>
      </c>
      <c r="L34" s="2">
        <v>0.21875</v>
      </c>
      <c r="M34" s="23" t="s">
        <v>919</v>
      </c>
      <c r="N34" s="23">
        <f>7/32</f>
        <v>0.21875</v>
      </c>
      <c r="O34" s="21">
        <f t="shared" si="0"/>
        <v>0</v>
      </c>
      <c r="P34" s="24" t="s">
        <v>6</v>
      </c>
      <c r="Q34" s="31"/>
      <c r="R34" s="32"/>
      <c r="S34" s="32"/>
      <c r="T34" s="34"/>
    </row>
    <row r="35" spans="2:20" x14ac:dyDescent="0.25">
      <c r="B35" s="6">
        <f t="shared" si="1"/>
        <v>29</v>
      </c>
      <c r="C35" s="2">
        <f>$B35/C$5</f>
        <v>29</v>
      </c>
      <c r="D35" s="2">
        <f>$B35/D$5</f>
        <v>14.5</v>
      </c>
      <c r="E35" s="2">
        <f>$B35/E$5</f>
        <v>7.25</v>
      </c>
      <c r="F35" s="2">
        <f>$B35/F$5</f>
        <v>3.625</v>
      </c>
      <c r="G35" s="2">
        <f>$B35/G$5</f>
        <v>1.8125</v>
      </c>
      <c r="H35" s="2">
        <f>$B35/H$5</f>
        <v>0.90625</v>
      </c>
      <c r="I35" s="2">
        <f>$B35/I$5</f>
        <v>0.453125</v>
      </c>
      <c r="J35" s="2">
        <f>$B35/J$5</f>
        <v>0.2265625</v>
      </c>
      <c r="L35" s="2">
        <v>0.2265625</v>
      </c>
      <c r="M35" s="23" t="s">
        <v>159</v>
      </c>
      <c r="N35" s="4">
        <f>29/128</f>
        <v>0.2265625</v>
      </c>
      <c r="O35" s="21">
        <f t="shared" si="0"/>
        <v>0</v>
      </c>
      <c r="P35" s="24" t="s">
        <v>6</v>
      </c>
      <c r="Q35" s="31"/>
      <c r="R35" s="32"/>
      <c r="S35" s="32"/>
      <c r="T35" s="34"/>
    </row>
    <row r="36" spans="2:20" x14ac:dyDescent="0.25">
      <c r="B36" s="6">
        <f t="shared" si="1"/>
        <v>30</v>
      </c>
      <c r="C36" s="2">
        <f>$B36/C$5</f>
        <v>30</v>
      </c>
      <c r="D36" s="3">
        <f>$B36/D$5</f>
        <v>15</v>
      </c>
      <c r="E36" s="3">
        <f>$B36/E$5</f>
        <v>7.5</v>
      </c>
      <c r="F36" s="3">
        <f>$B36/F$5</f>
        <v>3.75</v>
      </c>
      <c r="G36" s="3">
        <f>$B36/G$5</f>
        <v>1.875</v>
      </c>
      <c r="H36" s="3">
        <f>$B36/H$5</f>
        <v>0.9375</v>
      </c>
      <c r="I36" s="3">
        <f>$B36/I$5</f>
        <v>0.46875</v>
      </c>
      <c r="J36" s="3">
        <f>$B36/J$5</f>
        <v>0.234375</v>
      </c>
      <c r="L36" s="2">
        <v>0.234375</v>
      </c>
      <c r="M36" s="23" t="s">
        <v>1047</v>
      </c>
      <c r="N36" s="23">
        <f>15/64</f>
        <v>0.234375</v>
      </c>
      <c r="O36" s="21">
        <f t="shared" si="0"/>
        <v>0</v>
      </c>
      <c r="P36" s="24" t="s">
        <v>6</v>
      </c>
      <c r="Q36" s="31"/>
      <c r="R36" s="32"/>
      <c r="S36" s="32"/>
      <c r="T36" s="34"/>
    </row>
    <row r="37" spans="2:20" x14ac:dyDescent="0.25">
      <c r="B37" s="6">
        <f t="shared" si="1"/>
        <v>31</v>
      </c>
      <c r="C37" s="2">
        <f>$B37/C$5</f>
        <v>31</v>
      </c>
      <c r="D37" s="2">
        <f>$B37/D$5</f>
        <v>15.5</v>
      </c>
      <c r="E37" s="2">
        <f>$B37/E$5</f>
        <v>7.75</v>
      </c>
      <c r="F37" s="2">
        <f>$B37/F$5</f>
        <v>3.875</v>
      </c>
      <c r="G37" s="2">
        <f>$B37/G$5</f>
        <v>1.9375</v>
      </c>
      <c r="H37" s="2">
        <f>$B37/H$5</f>
        <v>0.96875</v>
      </c>
      <c r="I37" s="2">
        <f>$B37/I$5</f>
        <v>0.484375</v>
      </c>
      <c r="J37" s="2">
        <f>$B37/J$5</f>
        <v>0.2421875</v>
      </c>
      <c r="L37" s="2">
        <v>0.2421875</v>
      </c>
      <c r="M37" s="23" t="s">
        <v>160</v>
      </c>
      <c r="N37" s="4">
        <f>31/128</f>
        <v>0.2421875</v>
      </c>
      <c r="O37" s="21">
        <f t="shared" si="0"/>
        <v>0</v>
      </c>
      <c r="P37" s="24" t="s">
        <v>6</v>
      </c>
      <c r="Q37" s="31"/>
      <c r="R37" s="32"/>
      <c r="S37" s="32"/>
      <c r="T37" s="34"/>
    </row>
    <row r="38" spans="2:20" x14ac:dyDescent="0.25">
      <c r="B38" s="6">
        <f t="shared" si="1"/>
        <v>32</v>
      </c>
      <c r="C38" s="2">
        <f>$B38/C$5</f>
        <v>32</v>
      </c>
      <c r="D38" s="3">
        <f>$B38/D$5</f>
        <v>16</v>
      </c>
      <c r="E38" s="3">
        <f>$B38/E$5</f>
        <v>8</v>
      </c>
      <c r="F38" s="3">
        <f>$B38/F$5</f>
        <v>4</v>
      </c>
      <c r="G38" s="3">
        <f>$B38/G$5</f>
        <v>2</v>
      </c>
      <c r="H38" s="3">
        <f>$B38/H$5</f>
        <v>1</v>
      </c>
      <c r="I38" s="3">
        <f>$B38/I$5</f>
        <v>0.5</v>
      </c>
      <c r="J38" s="3">
        <f>$B38/J$5</f>
        <v>0.25</v>
      </c>
      <c r="L38" s="2">
        <v>0.25</v>
      </c>
      <c r="M38" s="23" t="s">
        <v>274</v>
      </c>
      <c r="N38" s="23">
        <f>1/4</f>
        <v>0.25</v>
      </c>
      <c r="O38" s="21">
        <f t="shared" si="0"/>
        <v>0</v>
      </c>
      <c r="P38" s="24" t="s">
        <v>6</v>
      </c>
      <c r="Q38" s="31"/>
      <c r="R38" s="32"/>
      <c r="S38" s="32"/>
      <c r="T38" s="34"/>
    </row>
    <row r="39" spans="2:20" x14ac:dyDescent="0.25">
      <c r="B39" s="6">
        <f t="shared" si="1"/>
        <v>33</v>
      </c>
      <c r="C39" s="2">
        <f>$B39/C$5</f>
        <v>33</v>
      </c>
      <c r="D39" s="2">
        <f>$B39/D$5</f>
        <v>16.5</v>
      </c>
      <c r="E39" s="2">
        <f>$B39/E$5</f>
        <v>8.25</v>
      </c>
      <c r="F39" s="2">
        <f>$B39/F$5</f>
        <v>4.125</v>
      </c>
      <c r="G39" s="2">
        <f>$B39/G$5</f>
        <v>2.0625</v>
      </c>
      <c r="H39" s="2">
        <f>$B39/H$5</f>
        <v>1.03125</v>
      </c>
      <c r="I39" s="2">
        <f>$B39/I$5</f>
        <v>0.515625</v>
      </c>
      <c r="J39" s="2">
        <f>$B39/J$5</f>
        <v>0.2578125</v>
      </c>
      <c r="L39" s="2">
        <v>0.2578125</v>
      </c>
      <c r="M39" s="23" t="s">
        <v>161</v>
      </c>
      <c r="N39" s="4">
        <f>33/128</f>
        <v>0.2578125</v>
      </c>
      <c r="O39" s="21">
        <f t="shared" si="0"/>
        <v>0</v>
      </c>
      <c r="P39" s="24" t="s">
        <v>6</v>
      </c>
      <c r="Q39" s="31"/>
      <c r="R39" s="32"/>
      <c r="S39" s="32"/>
      <c r="T39" s="34"/>
    </row>
    <row r="40" spans="2:20" x14ac:dyDescent="0.25">
      <c r="B40" s="6">
        <f t="shared" si="1"/>
        <v>34</v>
      </c>
      <c r="C40" s="2">
        <f>$B40/C$5</f>
        <v>34</v>
      </c>
      <c r="D40" s="3">
        <f>$B40/D$5</f>
        <v>17</v>
      </c>
      <c r="E40" s="3">
        <f>$B40/E$5</f>
        <v>8.5</v>
      </c>
      <c r="F40" s="3">
        <f>$B40/F$5</f>
        <v>4.25</v>
      </c>
      <c r="G40" s="3">
        <f>$B40/G$5</f>
        <v>2.125</v>
      </c>
      <c r="H40" s="3">
        <f>$B40/H$5</f>
        <v>1.0625</v>
      </c>
      <c r="I40" s="3">
        <f>$B40/I$5</f>
        <v>0.53125</v>
      </c>
      <c r="J40" s="3">
        <f>$B40/J$5</f>
        <v>0.265625</v>
      </c>
      <c r="L40" s="2">
        <v>0.265625</v>
      </c>
      <c r="M40" s="23" t="s">
        <v>1048</v>
      </c>
      <c r="N40" s="23">
        <f>17/64</f>
        <v>0.265625</v>
      </c>
      <c r="O40" s="21">
        <f t="shared" si="0"/>
        <v>0</v>
      </c>
      <c r="P40" s="24" t="s">
        <v>6</v>
      </c>
      <c r="Q40" s="31"/>
      <c r="R40" s="32"/>
      <c r="S40" s="32"/>
      <c r="T40" s="34"/>
    </row>
    <row r="41" spans="2:20" x14ac:dyDescent="0.25">
      <c r="B41" s="6">
        <f t="shared" si="1"/>
        <v>35</v>
      </c>
      <c r="C41" s="2">
        <f>$B41/C$5</f>
        <v>35</v>
      </c>
      <c r="D41" s="2">
        <f>$B41/D$5</f>
        <v>17.5</v>
      </c>
      <c r="E41" s="2">
        <f>$B41/E$5</f>
        <v>8.75</v>
      </c>
      <c r="F41" s="2">
        <f>$B41/F$5</f>
        <v>4.375</v>
      </c>
      <c r="G41" s="2">
        <f>$B41/G$5</f>
        <v>2.1875</v>
      </c>
      <c r="H41" s="2">
        <f>$B41/H$5</f>
        <v>1.09375</v>
      </c>
      <c r="I41" s="2">
        <f>$B41/I$5</f>
        <v>0.546875</v>
      </c>
      <c r="J41" s="2">
        <f>$B41/J$5</f>
        <v>0.2734375</v>
      </c>
      <c r="L41" s="2">
        <v>0.2734375</v>
      </c>
      <c r="M41" s="23" t="s">
        <v>162</v>
      </c>
      <c r="N41" s="4">
        <f>35/128</f>
        <v>0.2734375</v>
      </c>
      <c r="O41" s="21">
        <f t="shared" si="0"/>
        <v>0</v>
      </c>
      <c r="P41" s="24" t="s">
        <v>6</v>
      </c>
      <c r="Q41" s="31"/>
      <c r="R41" s="32"/>
      <c r="S41" s="32"/>
      <c r="T41" s="34"/>
    </row>
    <row r="42" spans="2:20" x14ac:dyDescent="0.25">
      <c r="B42" s="6">
        <f t="shared" si="1"/>
        <v>36</v>
      </c>
      <c r="C42" s="2">
        <f>$B42/C$5</f>
        <v>36</v>
      </c>
      <c r="D42" s="3">
        <f>$B42/D$5</f>
        <v>18</v>
      </c>
      <c r="E42" s="3">
        <f>$B42/E$5</f>
        <v>9</v>
      </c>
      <c r="F42" s="3">
        <f>$B42/F$5</f>
        <v>4.5</v>
      </c>
      <c r="G42" s="3">
        <f>$B42/G$5</f>
        <v>2.25</v>
      </c>
      <c r="H42" s="3">
        <f>$B42/H$5</f>
        <v>1.125</v>
      </c>
      <c r="I42" s="3">
        <f>$B42/I$5</f>
        <v>0.5625</v>
      </c>
      <c r="J42" s="3">
        <f>$B42/J$5</f>
        <v>0.28125</v>
      </c>
      <c r="L42" s="2">
        <v>0.28125</v>
      </c>
      <c r="M42" s="23" t="s">
        <v>920</v>
      </c>
      <c r="N42" s="23">
        <f>9/32</f>
        <v>0.28125</v>
      </c>
      <c r="O42" s="21">
        <f t="shared" si="0"/>
        <v>0</v>
      </c>
      <c r="P42" s="24" t="s">
        <v>6</v>
      </c>
      <c r="Q42" s="31"/>
      <c r="R42" s="32"/>
      <c r="S42" s="32"/>
      <c r="T42" s="34"/>
    </row>
    <row r="43" spans="2:20" x14ac:dyDescent="0.25">
      <c r="B43" s="6">
        <f t="shared" si="1"/>
        <v>37</v>
      </c>
      <c r="C43" s="2">
        <f>$B43/C$5</f>
        <v>37</v>
      </c>
      <c r="D43" s="2">
        <f>$B43/D$5</f>
        <v>18.5</v>
      </c>
      <c r="E43" s="2">
        <f>$B43/E$5</f>
        <v>9.25</v>
      </c>
      <c r="F43" s="2">
        <f>$B43/F$5</f>
        <v>4.625</v>
      </c>
      <c r="G43" s="2">
        <f>$B43/G$5</f>
        <v>2.3125</v>
      </c>
      <c r="H43" s="2">
        <f>$B43/H$5</f>
        <v>1.15625</v>
      </c>
      <c r="I43" s="2">
        <f>$B43/I$5</f>
        <v>0.578125</v>
      </c>
      <c r="J43" s="2">
        <f>$B43/J$5</f>
        <v>0.2890625</v>
      </c>
      <c r="L43" s="2">
        <v>0.2890625</v>
      </c>
      <c r="M43" s="23" t="s">
        <v>163</v>
      </c>
      <c r="N43" s="4">
        <f>37/128</f>
        <v>0.2890625</v>
      </c>
      <c r="O43" s="21">
        <f t="shared" si="0"/>
        <v>0</v>
      </c>
      <c r="P43" s="24" t="s">
        <v>6</v>
      </c>
      <c r="Q43" s="31"/>
      <c r="R43" s="32"/>
      <c r="S43" s="32"/>
      <c r="T43" s="34"/>
    </row>
    <row r="44" spans="2:20" x14ac:dyDescent="0.25">
      <c r="B44" s="6">
        <f t="shared" si="1"/>
        <v>38</v>
      </c>
      <c r="C44" s="2">
        <f>$B44/C$5</f>
        <v>38</v>
      </c>
      <c r="D44" s="3">
        <f>$B44/D$5</f>
        <v>19</v>
      </c>
      <c r="E44" s="3">
        <f>$B44/E$5</f>
        <v>9.5</v>
      </c>
      <c r="F44" s="3">
        <f>$B44/F$5</f>
        <v>4.75</v>
      </c>
      <c r="G44" s="3">
        <f>$B44/G$5</f>
        <v>2.375</v>
      </c>
      <c r="H44" s="3">
        <f>$B44/H$5</f>
        <v>1.1875</v>
      </c>
      <c r="I44" s="3">
        <f>$B44/I$5</f>
        <v>0.59375</v>
      </c>
      <c r="J44" s="3">
        <f>$B44/J$5</f>
        <v>0.296875</v>
      </c>
      <c r="L44" s="2">
        <v>0.296875</v>
      </c>
      <c r="M44" s="23" t="s">
        <v>1049</v>
      </c>
      <c r="N44" s="23">
        <f>19/64</f>
        <v>0.296875</v>
      </c>
      <c r="O44" s="21">
        <f t="shared" si="0"/>
        <v>0</v>
      </c>
      <c r="P44" s="24" t="s">
        <v>6</v>
      </c>
      <c r="Q44" s="31"/>
      <c r="R44" s="32"/>
      <c r="S44" s="32"/>
      <c r="T44" s="34"/>
    </row>
    <row r="45" spans="2:20" x14ac:dyDescent="0.25">
      <c r="B45" s="6">
        <f t="shared" si="1"/>
        <v>39</v>
      </c>
      <c r="C45" s="2">
        <f>$B45/C$5</f>
        <v>39</v>
      </c>
      <c r="D45" s="2">
        <f>$B45/D$5</f>
        <v>19.5</v>
      </c>
      <c r="E45" s="2">
        <f>$B45/E$5</f>
        <v>9.75</v>
      </c>
      <c r="F45" s="2">
        <f>$B45/F$5</f>
        <v>4.875</v>
      </c>
      <c r="G45" s="2">
        <f>$B45/G$5</f>
        <v>2.4375</v>
      </c>
      <c r="H45" s="2">
        <f>$B45/H$5</f>
        <v>1.21875</v>
      </c>
      <c r="I45" s="2">
        <f>$B45/I$5</f>
        <v>0.609375</v>
      </c>
      <c r="J45" s="2">
        <f>$B45/J$5</f>
        <v>0.3046875</v>
      </c>
      <c r="L45" s="2">
        <v>0.3046875</v>
      </c>
      <c r="M45" s="23" t="s">
        <v>164</v>
      </c>
      <c r="N45" s="4">
        <f>39/128</f>
        <v>0.3046875</v>
      </c>
      <c r="O45" s="21">
        <f t="shared" si="0"/>
        <v>0</v>
      </c>
      <c r="P45" s="24" t="s">
        <v>6</v>
      </c>
      <c r="Q45" s="31"/>
      <c r="R45" s="32"/>
      <c r="S45" s="32"/>
      <c r="T45" s="34"/>
    </row>
    <row r="46" spans="2:20" x14ac:dyDescent="0.25">
      <c r="B46" s="6">
        <f t="shared" si="1"/>
        <v>40</v>
      </c>
      <c r="C46" s="2">
        <f>$B46/C$5</f>
        <v>40</v>
      </c>
      <c r="D46" s="3">
        <f>$B46/D$5</f>
        <v>20</v>
      </c>
      <c r="E46" s="3">
        <f>$B46/E$5</f>
        <v>10</v>
      </c>
      <c r="F46" s="3">
        <f>$B46/F$5</f>
        <v>5</v>
      </c>
      <c r="G46" s="3">
        <f>$B46/G$5</f>
        <v>2.5</v>
      </c>
      <c r="H46" s="3">
        <f>$B46/H$5</f>
        <v>1.25</v>
      </c>
      <c r="I46" s="3">
        <f>$B46/I$5</f>
        <v>0.625</v>
      </c>
      <c r="J46" s="3">
        <f>$B46/J$5</f>
        <v>0.3125</v>
      </c>
      <c r="L46" s="2">
        <v>0.3125</v>
      </c>
      <c r="M46" s="23" t="s">
        <v>792</v>
      </c>
      <c r="N46" s="23">
        <f>5/16</f>
        <v>0.3125</v>
      </c>
      <c r="O46" s="21">
        <f t="shared" si="0"/>
        <v>0</v>
      </c>
      <c r="P46" s="24" t="s">
        <v>6</v>
      </c>
      <c r="Q46" s="31"/>
      <c r="R46" s="32"/>
      <c r="S46" s="32"/>
      <c r="T46" s="34"/>
    </row>
    <row r="47" spans="2:20" x14ac:dyDescent="0.25">
      <c r="B47" s="6">
        <f t="shared" si="1"/>
        <v>41</v>
      </c>
      <c r="C47" s="2">
        <f>$B47/C$5</f>
        <v>41</v>
      </c>
      <c r="D47" s="2">
        <f>$B47/D$5</f>
        <v>20.5</v>
      </c>
      <c r="E47" s="2">
        <f>$B47/E$5</f>
        <v>10.25</v>
      </c>
      <c r="F47" s="2">
        <f>$B47/F$5</f>
        <v>5.125</v>
      </c>
      <c r="G47" s="2">
        <f>$B47/G$5</f>
        <v>2.5625</v>
      </c>
      <c r="H47" s="2">
        <f>$B47/H$5</f>
        <v>1.28125</v>
      </c>
      <c r="I47" s="2">
        <f>$B47/I$5</f>
        <v>0.640625</v>
      </c>
      <c r="J47" s="2">
        <f>$B47/J$5</f>
        <v>0.3203125</v>
      </c>
      <c r="L47" s="2">
        <v>0.3203125</v>
      </c>
      <c r="M47" s="23" t="s">
        <v>165</v>
      </c>
      <c r="N47" s="4">
        <f>41/128</f>
        <v>0.3203125</v>
      </c>
      <c r="O47" s="21">
        <f t="shared" si="0"/>
        <v>0</v>
      </c>
      <c r="P47" s="24" t="s">
        <v>6</v>
      </c>
      <c r="Q47" s="31"/>
      <c r="R47" s="32"/>
      <c r="S47" s="32"/>
      <c r="T47" s="34"/>
    </row>
    <row r="48" spans="2:20" x14ac:dyDescent="0.25">
      <c r="B48" s="6">
        <f t="shared" si="1"/>
        <v>42</v>
      </c>
      <c r="C48" s="2">
        <f>$B48/C$5</f>
        <v>42</v>
      </c>
      <c r="D48" s="3">
        <f>$B48/D$5</f>
        <v>21</v>
      </c>
      <c r="E48" s="3">
        <f>$B48/E$5</f>
        <v>10.5</v>
      </c>
      <c r="F48" s="3">
        <f>$B48/F$5</f>
        <v>5.25</v>
      </c>
      <c r="G48" s="3">
        <f>$B48/G$5</f>
        <v>2.625</v>
      </c>
      <c r="H48" s="3">
        <f>$B48/H$5</f>
        <v>1.3125</v>
      </c>
      <c r="I48" s="3">
        <f>$B48/I$5</f>
        <v>0.65625</v>
      </c>
      <c r="J48" s="3">
        <f>$B48/J$5</f>
        <v>0.328125</v>
      </c>
      <c r="L48" s="2">
        <v>0.328125</v>
      </c>
      <c r="M48" s="23" t="s">
        <v>1050</v>
      </c>
      <c r="N48" s="23">
        <f>21/64</f>
        <v>0.328125</v>
      </c>
      <c r="O48" s="21">
        <f t="shared" si="0"/>
        <v>0</v>
      </c>
      <c r="P48" s="24" t="s">
        <v>6</v>
      </c>
      <c r="Q48" s="31"/>
      <c r="R48" s="32"/>
      <c r="S48" s="32"/>
      <c r="T48" s="34"/>
    </row>
    <row r="49" spans="2:20" x14ac:dyDescent="0.25">
      <c r="B49" s="6">
        <f t="shared" si="1"/>
        <v>43</v>
      </c>
      <c r="C49" s="2">
        <f>$B49/C$5</f>
        <v>43</v>
      </c>
      <c r="D49" s="2">
        <f>$B49/D$5</f>
        <v>21.5</v>
      </c>
      <c r="E49" s="2">
        <f>$B49/E$5</f>
        <v>10.75</v>
      </c>
      <c r="F49" s="2">
        <f>$B49/F$5</f>
        <v>5.375</v>
      </c>
      <c r="G49" s="2">
        <f>$B49/G$5</f>
        <v>2.6875</v>
      </c>
      <c r="H49" s="2">
        <f>$B49/H$5</f>
        <v>1.34375</v>
      </c>
      <c r="I49" s="2">
        <f>$B49/I$5</f>
        <v>0.671875</v>
      </c>
      <c r="J49" s="2">
        <f>$B49/J$5</f>
        <v>0.3359375</v>
      </c>
      <c r="L49" s="2">
        <v>0.3359375</v>
      </c>
      <c r="M49" s="23" t="s">
        <v>166</v>
      </c>
      <c r="N49" s="4">
        <f>43/128</f>
        <v>0.3359375</v>
      </c>
      <c r="O49" s="21">
        <f t="shared" si="0"/>
        <v>0</v>
      </c>
      <c r="P49" s="24" t="s">
        <v>6</v>
      </c>
      <c r="Q49" s="31"/>
      <c r="R49" s="32"/>
      <c r="S49" s="32"/>
      <c r="T49" s="34"/>
    </row>
    <row r="50" spans="2:20" x14ac:dyDescent="0.25">
      <c r="B50" s="6">
        <f t="shared" si="1"/>
        <v>44</v>
      </c>
      <c r="C50" s="2">
        <f>$B50/C$5</f>
        <v>44</v>
      </c>
      <c r="D50" s="3">
        <f>$B50/D$5</f>
        <v>22</v>
      </c>
      <c r="E50" s="3">
        <f>$B50/E$5</f>
        <v>11</v>
      </c>
      <c r="F50" s="3">
        <f>$B50/F$5</f>
        <v>5.5</v>
      </c>
      <c r="G50" s="3">
        <f>$B50/G$5</f>
        <v>2.75</v>
      </c>
      <c r="H50" s="3">
        <f>$B50/H$5</f>
        <v>1.375</v>
      </c>
      <c r="I50" s="3">
        <f>$B50/I$5</f>
        <v>0.6875</v>
      </c>
      <c r="J50" s="3">
        <f>$B50/J$5</f>
        <v>0.34375</v>
      </c>
      <c r="L50" s="2">
        <v>0.34375</v>
      </c>
      <c r="M50" s="23" t="s">
        <v>921</v>
      </c>
      <c r="N50" s="23">
        <f>11/32</f>
        <v>0.34375</v>
      </c>
      <c r="O50" s="21">
        <f t="shared" si="0"/>
        <v>0</v>
      </c>
      <c r="P50" s="24" t="s">
        <v>6</v>
      </c>
      <c r="Q50" s="31"/>
      <c r="R50" s="32"/>
      <c r="S50" s="32"/>
      <c r="T50" s="34"/>
    </row>
    <row r="51" spans="2:20" x14ac:dyDescent="0.25">
      <c r="B51" s="6">
        <f t="shared" si="1"/>
        <v>45</v>
      </c>
      <c r="C51" s="2">
        <f>$B51/C$5</f>
        <v>45</v>
      </c>
      <c r="D51" s="2">
        <f>$B51/D$5</f>
        <v>22.5</v>
      </c>
      <c r="E51" s="2">
        <f>$B51/E$5</f>
        <v>11.25</v>
      </c>
      <c r="F51" s="2">
        <f>$B51/F$5</f>
        <v>5.625</v>
      </c>
      <c r="G51" s="2">
        <f>$B51/G$5</f>
        <v>2.8125</v>
      </c>
      <c r="H51" s="2">
        <f>$B51/H$5</f>
        <v>1.40625</v>
      </c>
      <c r="I51" s="2">
        <f>$B51/I$5</f>
        <v>0.703125</v>
      </c>
      <c r="J51" s="2">
        <f>$B51/J$5</f>
        <v>0.3515625</v>
      </c>
      <c r="L51" s="2">
        <v>0.3515625</v>
      </c>
      <c r="M51" s="23" t="s">
        <v>167</v>
      </c>
      <c r="N51" s="4">
        <f>45/128</f>
        <v>0.3515625</v>
      </c>
      <c r="O51" s="21">
        <f t="shared" si="0"/>
        <v>0</v>
      </c>
      <c r="P51" s="24" t="s">
        <v>6</v>
      </c>
      <c r="Q51" s="31"/>
      <c r="R51" s="32"/>
      <c r="S51" s="32"/>
      <c r="T51" s="34"/>
    </row>
    <row r="52" spans="2:20" x14ac:dyDescent="0.25">
      <c r="B52" s="6">
        <f t="shared" si="1"/>
        <v>46</v>
      </c>
      <c r="C52" s="2">
        <f>$B52/C$5</f>
        <v>46</v>
      </c>
      <c r="D52" s="3">
        <f>$B52/D$5</f>
        <v>23</v>
      </c>
      <c r="E52" s="3">
        <f>$B52/E$5</f>
        <v>11.5</v>
      </c>
      <c r="F52" s="3">
        <f>$B52/F$5</f>
        <v>5.75</v>
      </c>
      <c r="G52" s="3">
        <f>$B52/G$5</f>
        <v>2.875</v>
      </c>
      <c r="H52" s="3">
        <f>$B52/H$5</f>
        <v>1.4375</v>
      </c>
      <c r="I52" s="3">
        <f>$B52/I$5</f>
        <v>0.71875</v>
      </c>
      <c r="J52" s="3">
        <f>$B52/J$5</f>
        <v>0.359375</v>
      </c>
      <c r="L52" s="2">
        <v>0.359375</v>
      </c>
      <c r="M52" s="23" t="s">
        <v>1051</v>
      </c>
      <c r="N52" s="23">
        <f>23/64</f>
        <v>0.359375</v>
      </c>
      <c r="O52" s="21">
        <f t="shared" si="0"/>
        <v>0</v>
      </c>
      <c r="P52" s="24" t="s">
        <v>6</v>
      </c>
      <c r="Q52" s="31"/>
      <c r="R52" s="32"/>
      <c r="S52" s="32"/>
      <c r="T52" s="34"/>
    </row>
    <row r="53" spans="2:20" x14ac:dyDescent="0.25">
      <c r="B53" s="6">
        <f t="shared" si="1"/>
        <v>47</v>
      </c>
      <c r="C53" s="2">
        <f>$B53/C$5</f>
        <v>47</v>
      </c>
      <c r="D53" s="2">
        <f>$B53/D$5</f>
        <v>23.5</v>
      </c>
      <c r="E53" s="2">
        <f>$B53/E$5</f>
        <v>11.75</v>
      </c>
      <c r="F53" s="2">
        <f>$B53/F$5</f>
        <v>5.875</v>
      </c>
      <c r="G53" s="2">
        <f>$B53/G$5</f>
        <v>2.9375</v>
      </c>
      <c r="H53" s="2">
        <f>$B53/H$5</f>
        <v>1.46875</v>
      </c>
      <c r="I53" s="2">
        <f>$B53/I$5</f>
        <v>0.734375</v>
      </c>
      <c r="J53" s="2">
        <f>$B53/J$5</f>
        <v>0.3671875</v>
      </c>
      <c r="L53" s="2">
        <v>0.3671875</v>
      </c>
      <c r="M53" s="23" t="s">
        <v>168</v>
      </c>
      <c r="N53" s="4">
        <f>47/128</f>
        <v>0.3671875</v>
      </c>
      <c r="O53" s="21">
        <f t="shared" si="0"/>
        <v>0</v>
      </c>
      <c r="P53" s="24" t="s">
        <v>6</v>
      </c>
      <c r="Q53" s="31"/>
      <c r="R53" s="32"/>
      <c r="S53" s="32"/>
      <c r="T53" s="34"/>
    </row>
    <row r="54" spans="2:20" x14ac:dyDescent="0.25">
      <c r="B54" s="6">
        <f t="shared" si="1"/>
        <v>48</v>
      </c>
      <c r="C54" s="2">
        <f>$B54/C$5</f>
        <v>48</v>
      </c>
      <c r="D54" s="3">
        <f>$B54/D$5</f>
        <v>24</v>
      </c>
      <c r="E54" s="3">
        <f>$B54/E$5</f>
        <v>12</v>
      </c>
      <c r="F54" s="3">
        <f>$B54/F$5</f>
        <v>6</v>
      </c>
      <c r="G54" s="3">
        <f>$B54/G$5</f>
        <v>3</v>
      </c>
      <c r="H54" s="3">
        <f>$B54/H$5</f>
        <v>1.5</v>
      </c>
      <c r="I54" s="3">
        <f>$B54/I$5</f>
        <v>0.75</v>
      </c>
      <c r="J54" s="3">
        <f>$B54/J$5</f>
        <v>0.375</v>
      </c>
      <c r="L54" s="2">
        <v>0.375</v>
      </c>
      <c r="M54" s="23" t="s">
        <v>664</v>
      </c>
      <c r="N54" s="23">
        <f>3/8</f>
        <v>0.375</v>
      </c>
      <c r="O54" s="21">
        <f t="shared" si="0"/>
        <v>0</v>
      </c>
      <c r="P54" s="24" t="s">
        <v>6</v>
      </c>
      <c r="Q54" s="31"/>
      <c r="R54" s="32"/>
      <c r="S54" s="32"/>
      <c r="T54" s="34"/>
    </row>
    <row r="55" spans="2:20" x14ac:dyDescent="0.25">
      <c r="B55" s="6">
        <f t="shared" si="1"/>
        <v>49</v>
      </c>
      <c r="C55" s="2">
        <f>$B55/C$5</f>
        <v>49</v>
      </c>
      <c r="D55" s="2">
        <f>$B55/D$5</f>
        <v>24.5</v>
      </c>
      <c r="E55" s="2">
        <f>$B55/E$5</f>
        <v>12.25</v>
      </c>
      <c r="F55" s="2">
        <f>$B55/F$5</f>
        <v>6.125</v>
      </c>
      <c r="G55" s="2">
        <f>$B55/G$5</f>
        <v>3.0625</v>
      </c>
      <c r="H55" s="2">
        <f>$B55/H$5</f>
        <v>1.53125</v>
      </c>
      <c r="I55" s="2">
        <f>$B55/I$5</f>
        <v>0.765625</v>
      </c>
      <c r="J55" s="2">
        <f>$B55/J$5</f>
        <v>0.3828125</v>
      </c>
      <c r="L55" s="2">
        <v>0.3828125</v>
      </c>
      <c r="M55" s="23" t="s">
        <v>169</v>
      </c>
      <c r="N55" s="4">
        <f>49/128</f>
        <v>0.3828125</v>
      </c>
      <c r="O55" s="21">
        <f t="shared" si="0"/>
        <v>0</v>
      </c>
      <c r="P55" s="24" t="s">
        <v>6</v>
      </c>
      <c r="Q55" s="31"/>
      <c r="R55" s="32"/>
      <c r="S55" s="32"/>
      <c r="T55" s="34"/>
    </row>
    <row r="56" spans="2:20" x14ac:dyDescent="0.25">
      <c r="B56" s="6">
        <f t="shared" si="1"/>
        <v>50</v>
      </c>
      <c r="C56" s="2">
        <f>$B56/C$5</f>
        <v>50</v>
      </c>
      <c r="D56" s="3">
        <f>$B56/D$5</f>
        <v>25</v>
      </c>
      <c r="E56" s="3">
        <f>$B56/E$5</f>
        <v>12.5</v>
      </c>
      <c r="F56" s="3">
        <f>$B56/F$5</f>
        <v>6.25</v>
      </c>
      <c r="G56" s="3">
        <f>$B56/G$5</f>
        <v>3.125</v>
      </c>
      <c r="H56" s="3">
        <f>$B56/H$5</f>
        <v>1.5625</v>
      </c>
      <c r="I56" s="3">
        <f>$B56/I$5</f>
        <v>0.78125</v>
      </c>
      <c r="J56" s="3">
        <f>$B56/J$5</f>
        <v>0.390625</v>
      </c>
      <c r="L56" s="2">
        <v>0.390625</v>
      </c>
      <c r="M56" s="23" t="s">
        <v>1052</v>
      </c>
      <c r="N56" s="23">
        <f>25/64</f>
        <v>0.390625</v>
      </c>
      <c r="O56" s="21">
        <f t="shared" si="0"/>
        <v>0</v>
      </c>
      <c r="P56" s="24" t="s">
        <v>6</v>
      </c>
      <c r="Q56" s="31"/>
      <c r="R56" s="32"/>
      <c r="S56" s="32"/>
      <c r="T56" s="34"/>
    </row>
    <row r="57" spans="2:20" x14ac:dyDescent="0.25">
      <c r="B57" s="6">
        <f t="shared" si="1"/>
        <v>51</v>
      </c>
      <c r="C57" s="2">
        <f>$B57/C$5</f>
        <v>51</v>
      </c>
      <c r="D57" s="2">
        <f>$B57/D$5</f>
        <v>25.5</v>
      </c>
      <c r="E57" s="2">
        <f>$B57/E$5</f>
        <v>12.75</v>
      </c>
      <c r="F57" s="2">
        <f>$B57/F$5</f>
        <v>6.375</v>
      </c>
      <c r="G57" s="2">
        <f>$B57/G$5</f>
        <v>3.1875</v>
      </c>
      <c r="H57" s="2">
        <f>$B57/H$5</f>
        <v>1.59375</v>
      </c>
      <c r="I57" s="2">
        <f>$B57/I$5</f>
        <v>0.796875</v>
      </c>
      <c r="J57" s="2">
        <f>$B57/J$5</f>
        <v>0.3984375</v>
      </c>
      <c r="L57" s="2">
        <v>0.3984375</v>
      </c>
      <c r="M57" s="23" t="s">
        <v>170</v>
      </c>
      <c r="N57" s="4">
        <f>51/128</f>
        <v>0.3984375</v>
      </c>
      <c r="O57" s="21">
        <f t="shared" si="0"/>
        <v>0</v>
      </c>
      <c r="P57" s="24" t="s">
        <v>6</v>
      </c>
      <c r="Q57" s="31"/>
      <c r="R57" s="32"/>
      <c r="S57" s="32"/>
      <c r="T57" s="34"/>
    </row>
    <row r="58" spans="2:20" x14ac:dyDescent="0.25">
      <c r="B58" s="6">
        <f t="shared" si="1"/>
        <v>52</v>
      </c>
      <c r="C58" s="2">
        <f>$B58/C$5</f>
        <v>52</v>
      </c>
      <c r="D58" s="3">
        <f>$B58/D$5</f>
        <v>26</v>
      </c>
      <c r="E58" s="3">
        <f>$B58/E$5</f>
        <v>13</v>
      </c>
      <c r="F58" s="3">
        <f>$B58/F$5</f>
        <v>6.5</v>
      </c>
      <c r="G58" s="3">
        <f>$B58/G$5</f>
        <v>3.25</v>
      </c>
      <c r="H58" s="3">
        <f>$B58/H$5</f>
        <v>1.625</v>
      </c>
      <c r="I58" s="3">
        <f>$B58/I$5</f>
        <v>0.8125</v>
      </c>
      <c r="J58" s="3">
        <f>$B58/J$5</f>
        <v>0.40625</v>
      </c>
      <c r="L58" s="2">
        <v>0.40625</v>
      </c>
      <c r="M58" s="23" t="s">
        <v>922</v>
      </c>
      <c r="N58" s="23">
        <f>13/32</f>
        <v>0.40625</v>
      </c>
      <c r="O58" s="21">
        <f t="shared" si="0"/>
        <v>0</v>
      </c>
      <c r="P58" s="24" t="s">
        <v>6</v>
      </c>
      <c r="Q58" s="31"/>
      <c r="R58" s="32"/>
      <c r="S58" s="32"/>
      <c r="T58" s="34"/>
    </row>
    <row r="59" spans="2:20" x14ac:dyDescent="0.25">
      <c r="B59" s="6">
        <f t="shared" si="1"/>
        <v>53</v>
      </c>
      <c r="C59" s="2">
        <f>$B59/C$5</f>
        <v>53</v>
      </c>
      <c r="D59" s="2">
        <f>$B59/D$5</f>
        <v>26.5</v>
      </c>
      <c r="E59" s="2">
        <f>$B59/E$5</f>
        <v>13.25</v>
      </c>
      <c r="F59" s="2">
        <f>$B59/F$5</f>
        <v>6.625</v>
      </c>
      <c r="G59" s="2">
        <f>$B59/G$5</f>
        <v>3.3125</v>
      </c>
      <c r="H59" s="2">
        <f>$B59/H$5</f>
        <v>1.65625</v>
      </c>
      <c r="I59" s="2">
        <f>$B59/I$5</f>
        <v>0.828125</v>
      </c>
      <c r="J59" s="2">
        <f>$B59/J$5</f>
        <v>0.4140625</v>
      </c>
      <c r="L59" s="2">
        <v>0.4140625</v>
      </c>
      <c r="M59" s="23" t="s">
        <v>171</v>
      </c>
      <c r="N59" s="4">
        <f>53/128</f>
        <v>0.4140625</v>
      </c>
      <c r="O59" s="21">
        <f t="shared" si="0"/>
        <v>0</v>
      </c>
      <c r="P59" s="24" t="s">
        <v>6</v>
      </c>
      <c r="Q59" s="31"/>
      <c r="R59" s="32"/>
      <c r="S59" s="32"/>
      <c r="T59" s="34"/>
    </row>
    <row r="60" spans="2:20" x14ac:dyDescent="0.25">
      <c r="B60" s="6">
        <f t="shared" si="1"/>
        <v>54</v>
      </c>
      <c r="C60" s="2">
        <f>$B60/C$5</f>
        <v>54</v>
      </c>
      <c r="D60" s="3">
        <f>$B60/D$5</f>
        <v>27</v>
      </c>
      <c r="E60" s="3">
        <f>$B60/E$5</f>
        <v>13.5</v>
      </c>
      <c r="F60" s="3">
        <f>$B60/F$5</f>
        <v>6.75</v>
      </c>
      <c r="G60" s="3">
        <f>$B60/G$5</f>
        <v>3.375</v>
      </c>
      <c r="H60" s="3">
        <f>$B60/H$5</f>
        <v>1.6875</v>
      </c>
      <c r="I60" s="3">
        <f>$B60/I$5</f>
        <v>0.84375</v>
      </c>
      <c r="J60" s="3">
        <f>$B60/J$5</f>
        <v>0.421875</v>
      </c>
      <c r="L60" s="2">
        <v>0.421875</v>
      </c>
      <c r="M60" s="23" t="s">
        <v>1053</v>
      </c>
      <c r="N60" s="23">
        <f>27/64</f>
        <v>0.421875</v>
      </c>
      <c r="O60" s="21">
        <f t="shared" si="0"/>
        <v>0</v>
      </c>
      <c r="P60" s="24" t="s">
        <v>6</v>
      </c>
      <c r="Q60" s="31"/>
      <c r="R60" s="32"/>
      <c r="S60" s="32"/>
      <c r="T60" s="34"/>
    </row>
    <row r="61" spans="2:20" x14ac:dyDescent="0.25">
      <c r="B61" s="6">
        <f t="shared" si="1"/>
        <v>55</v>
      </c>
      <c r="C61" s="2">
        <f>$B61/C$5</f>
        <v>55</v>
      </c>
      <c r="D61" s="2">
        <f>$B61/D$5</f>
        <v>27.5</v>
      </c>
      <c r="E61" s="2">
        <f>$B61/E$5</f>
        <v>13.75</v>
      </c>
      <c r="F61" s="2">
        <f>$B61/F$5</f>
        <v>6.875</v>
      </c>
      <c r="G61" s="2">
        <f>$B61/G$5</f>
        <v>3.4375</v>
      </c>
      <c r="H61" s="2">
        <f>$B61/H$5</f>
        <v>1.71875</v>
      </c>
      <c r="I61" s="2">
        <f>$B61/I$5</f>
        <v>0.859375</v>
      </c>
      <c r="J61" s="2">
        <f>$B61/J$5</f>
        <v>0.4296875</v>
      </c>
      <c r="L61" s="2">
        <v>0.4296875</v>
      </c>
      <c r="M61" s="23" t="s">
        <v>172</v>
      </c>
      <c r="N61" s="4">
        <f>55/128</f>
        <v>0.4296875</v>
      </c>
      <c r="O61" s="21">
        <f t="shared" si="0"/>
        <v>0</v>
      </c>
      <c r="P61" s="24" t="s">
        <v>6</v>
      </c>
      <c r="Q61" s="31"/>
      <c r="R61" s="32"/>
      <c r="S61" s="32"/>
      <c r="T61" s="34"/>
    </row>
    <row r="62" spans="2:20" x14ac:dyDescent="0.25">
      <c r="B62" s="6">
        <f t="shared" si="1"/>
        <v>56</v>
      </c>
      <c r="C62" s="2">
        <f>$B62/C$5</f>
        <v>56</v>
      </c>
      <c r="D62" s="3">
        <f>$B62/D$5</f>
        <v>28</v>
      </c>
      <c r="E62" s="3">
        <f>$B62/E$5</f>
        <v>14</v>
      </c>
      <c r="F62" s="3">
        <f>$B62/F$5</f>
        <v>7</v>
      </c>
      <c r="G62" s="3">
        <f>$B62/G$5</f>
        <v>3.5</v>
      </c>
      <c r="H62" s="3">
        <f>$B62/H$5</f>
        <v>1.75</v>
      </c>
      <c r="I62" s="3">
        <f>$B62/I$5</f>
        <v>0.875</v>
      </c>
      <c r="J62" s="3">
        <f>$B62/J$5</f>
        <v>0.4375</v>
      </c>
      <c r="L62" s="2">
        <v>0.4375</v>
      </c>
      <c r="M62" s="23" t="s">
        <v>793</v>
      </c>
      <c r="N62" s="23">
        <f>7/16</f>
        <v>0.4375</v>
      </c>
      <c r="O62" s="21">
        <f t="shared" si="0"/>
        <v>0</v>
      </c>
      <c r="P62" s="24" t="s">
        <v>6</v>
      </c>
      <c r="Q62" s="31"/>
      <c r="R62" s="32"/>
      <c r="S62" s="32"/>
      <c r="T62" s="34"/>
    </row>
    <row r="63" spans="2:20" x14ac:dyDescent="0.25">
      <c r="B63" s="6">
        <f t="shared" si="1"/>
        <v>57</v>
      </c>
      <c r="C63" s="2">
        <f>$B63/C$5</f>
        <v>57</v>
      </c>
      <c r="D63" s="2">
        <f>$B63/D$5</f>
        <v>28.5</v>
      </c>
      <c r="E63" s="2">
        <f>$B63/E$5</f>
        <v>14.25</v>
      </c>
      <c r="F63" s="2">
        <f>$B63/F$5</f>
        <v>7.125</v>
      </c>
      <c r="G63" s="2">
        <f>$B63/G$5</f>
        <v>3.5625</v>
      </c>
      <c r="H63" s="2">
        <f>$B63/H$5</f>
        <v>1.78125</v>
      </c>
      <c r="I63" s="2">
        <f>$B63/I$5</f>
        <v>0.890625</v>
      </c>
      <c r="J63" s="2">
        <f>$B63/J$5</f>
        <v>0.4453125</v>
      </c>
      <c r="L63" s="2">
        <v>0.4453125</v>
      </c>
      <c r="M63" s="23" t="s">
        <v>173</v>
      </c>
      <c r="N63" s="4">
        <f>57/128</f>
        <v>0.4453125</v>
      </c>
      <c r="O63" s="21">
        <f t="shared" si="0"/>
        <v>0</v>
      </c>
      <c r="P63" s="24" t="s">
        <v>6</v>
      </c>
      <c r="Q63" s="31"/>
      <c r="R63" s="32"/>
      <c r="S63" s="32"/>
      <c r="T63" s="34"/>
    </row>
    <row r="64" spans="2:20" x14ac:dyDescent="0.25">
      <c r="B64" s="6">
        <f t="shared" si="1"/>
        <v>58</v>
      </c>
      <c r="C64" s="2">
        <f>$B64/C$5</f>
        <v>58</v>
      </c>
      <c r="D64" s="3">
        <f>$B64/D$5</f>
        <v>29</v>
      </c>
      <c r="E64" s="3">
        <f>$B64/E$5</f>
        <v>14.5</v>
      </c>
      <c r="F64" s="3">
        <f>$B64/F$5</f>
        <v>7.25</v>
      </c>
      <c r="G64" s="3">
        <f>$B64/G$5</f>
        <v>3.625</v>
      </c>
      <c r="H64" s="3">
        <f>$B64/H$5</f>
        <v>1.8125</v>
      </c>
      <c r="I64" s="3">
        <f>$B64/I$5</f>
        <v>0.90625</v>
      </c>
      <c r="J64" s="3">
        <f>$B64/J$5</f>
        <v>0.453125</v>
      </c>
      <c r="L64" s="2">
        <v>0.453125</v>
      </c>
      <c r="M64" s="23" t="s">
        <v>1054</v>
      </c>
      <c r="N64" s="23">
        <f>29/64</f>
        <v>0.453125</v>
      </c>
      <c r="O64" s="21">
        <f t="shared" si="0"/>
        <v>0</v>
      </c>
      <c r="P64" s="24" t="s">
        <v>6</v>
      </c>
      <c r="Q64" s="31"/>
      <c r="R64" s="32"/>
      <c r="S64" s="32"/>
      <c r="T64" s="34"/>
    </row>
    <row r="65" spans="2:20" x14ac:dyDescent="0.25">
      <c r="B65" s="6">
        <f t="shared" si="1"/>
        <v>59</v>
      </c>
      <c r="C65" s="2">
        <f>$B65/C$5</f>
        <v>59</v>
      </c>
      <c r="D65" s="2">
        <f>$B65/D$5</f>
        <v>29.5</v>
      </c>
      <c r="E65" s="2">
        <f>$B65/E$5</f>
        <v>14.75</v>
      </c>
      <c r="F65" s="2">
        <f>$B65/F$5</f>
        <v>7.375</v>
      </c>
      <c r="G65" s="2">
        <f>$B65/G$5</f>
        <v>3.6875</v>
      </c>
      <c r="H65" s="2">
        <f>$B65/H$5</f>
        <v>1.84375</v>
      </c>
      <c r="I65" s="2">
        <f>$B65/I$5</f>
        <v>0.921875</v>
      </c>
      <c r="J65" s="2">
        <f>$B65/J$5</f>
        <v>0.4609375</v>
      </c>
      <c r="L65" s="2">
        <v>0.4609375</v>
      </c>
      <c r="M65" s="23" t="s">
        <v>174</v>
      </c>
      <c r="N65" s="4">
        <f>59/128</f>
        <v>0.4609375</v>
      </c>
      <c r="O65" s="21">
        <f t="shared" si="0"/>
        <v>0</v>
      </c>
      <c r="P65" s="24" t="s">
        <v>6</v>
      </c>
      <c r="Q65" s="31"/>
      <c r="R65" s="32"/>
      <c r="S65" s="32"/>
      <c r="T65" s="34"/>
    </row>
    <row r="66" spans="2:20" x14ac:dyDescent="0.25">
      <c r="B66" s="6">
        <f t="shared" si="1"/>
        <v>60</v>
      </c>
      <c r="C66" s="2">
        <f>$B66/C$5</f>
        <v>60</v>
      </c>
      <c r="D66" s="3">
        <f>$B66/D$5</f>
        <v>30</v>
      </c>
      <c r="E66" s="3">
        <f>$B66/E$5</f>
        <v>15</v>
      </c>
      <c r="F66" s="3">
        <f>$B66/F$5</f>
        <v>7.5</v>
      </c>
      <c r="G66" s="3">
        <f>$B66/G$5</f>
        <v>3.75</v>
      </c>
      <c r="H66" s="3">
        <f>$B66/H$5</f>
        <v>1.875</v>
      </c>
      <c r="I66" s="3">
        <f>$B66/I$5</f>
        <v>0.9375</v>
      </c>
      <c r="J66" s="3">
        <f>$B66/J$5</f>
        <v>0.46875</v>
      </c>
      <c r="L66" s="2">
        <v>0.46875</v>
      </c>
      <c r="M66" s="23" t="s">
        <v>923</v>
      </c>
      <c r="N66" s="23">
        <f>15/32</f>
        <v>0.46875</v>
      </c>
      <c r="O66" s="21">
        <f t="shared" si="0"/>
        <v>0</v>
      </c>
      <c r="P66" s="24" t="s">
        <v>6</v>
      </c>
      <c r="Q66" s="31"/>
      <c r="R66" s="32"/>
      <c r="S66" s="32"/>
      <c r="T66" s="34"/>
    </row>
    <row r="67" spans="2:20" x14ac:dyDescent="0.25">
      <c r="B67" s="6">
        <f t="shared" si="1"/>
        <v>61</v>
      </c>
      <c r="C67" s="2">
        <f>$B67/C$5</f>
        <v>61</v>
      </c>
      <c r="D67" s="2">
        <f>$B67/D$5</f>
        <v>30.5</v>
      </c>
      <c r="E67" s="2">
        <f>$B67/E$5</f>
        <v>15.25</v>
      </c>
      <c r="F67" s="2">
        <f>$B67/F$5</f>
        <v>7.625</v>
      </c>
      <c r="G67" s="2">
        <f>$B67/G$5</f>
        <v>3.8125</v>
      </c>
      <c r="H67" s="2">
        <f>$B67/H$5</f>
        <v>1.90625</v>
      </c>
      <c r="I67" s="2">
        <f>$B67/I$5</f>
        <v>0.953125</v>
      </c>
      <c r="J67" s="2">
        <f>$B67/J$5</f>
        <v>0.4765625</v>
      </c>
      <c r="L67" s="2">
        <v>0.4765625</v>
      </c>
      <c r="M67" s="23" t="s">
        <v>175</v>
      </c>
      <c r="N67" s="4">
        <f>61/128</f>
        <v>0.4765625</v>
      </c>
      <c r="O67" s="21">
        <f t="shared" si="0"/>
        <v>0</v>
      </c>
      <c r="P67" s="24" t="s">
        <v>6</v>
      </c>
      <c r="Q67" s="31"/>
      <c r="R67" s="32"/>
      <c r="S67" s="32"/>
      <c r="T67" s="34"/>
    </row>
    <row r="68" spans="2:20" x14ac:dyDescent="0.25">
      <c r="B68" s="6">
        <f t="shared" si="1"/>
        <v>62</v>
      </c>
      <c r="C68" s="2">
        <f>$B68/C$5</f>
        <v>62</v>
      </c>
      <c r="D68" s="3">
        <f>$B68/D$5</f>
        <v>31</v>
      </c>
      <c r="E68" s="3">
        <f>$B68/E$5</f>
        <v>15.5</v>
      </c>
      <c r="F68" s="3">
        <f>$B68/F$5</f>
        <v>7.75</v>
      </c>
      <c r="G68" s="3">
        <f>$B68/G$5</f>
        <v>3.875</v>
      </c>
      <c r="H68" s="3">
        <f>$B68/H$5</f>
        <v>1.9375</v>
      </c>
      <c r="I68" s="3">
        <f>$B68/I$5</f>
        <v>0.96875</v>
      </c>
      <c r="J68" s="3">
        <f>$B68/J$5</f>
        <v>0.484375</v>
      </c>
      <c r="L68" s="2">
        <v>0.484375</v>
      </c>
      <c r="M68" s="23" t="s">
        <v>1055</v>
      </c>
      <c r="N68" s="23">
        <f>31/64</f>
        <v>0.484375</v>
      </c>
      <c r="O68" s="21">
        <f t="shared" si="0"/>
        <v>0</v>
      </c>
      <c r="P68" s="24" t="s">
        <v>6</v>
      </c>
      <c r="Q68" s="31"/>
      <c r="R68" s="32"/>
      <c r="S68" s="32"/>
      <c r="T68" s="34"/>
    </row>
    <row r="69" spans="2:20" x14ac:dyDescent="0.25">
      <c r="B69" s="6">
        <f t="shared" si="1"/>
        <v>63</v>
      </c>
      <c r="C69" s="2">
        <f>$B69/C$5</f>
        <v>63</v>
      </c>
      <c r="D69" s="2">
        <f>$B69/D$5</f>
        <v>31.5</v>
      </c>
      <c r="E69" s="2">
        <f>$B69/E$5</f>
        <v>15.75</v>
      </c>
      <c r="F69" s="2">
        <f>$B69/F$5</f>
        <v>7.875</v>
      </c>
      <c r="G69" s="2">
        <f>$B69/G$5</f>
        <v>3.9375</v>
      </c>
      <c r="H69" s="2">
        <f>$B69/H$5</f>
        <v>1.96875</v>
      </c>
      <c r="I69" s="2">
        <f>$B69/I$5</f>
        <v>0.984375</v>
      </c>
      <c r="J69" s="2">
        <f>$B69/J$5</f>
        <v>0.4921875</v>
      </c>
      <c r="L69" s="2">
        <v>0.4921875</v>
      </c>
      <c r="M69" s="23" t="s">
        <v>176</v>
      </c>
      <c r="N69" s="4">
        <f>63/128</f>
        <v>0.4921875</v>
      </c>
      <c r="O69" s="21">
        <f t="shared" si="0"/>
        <v>0</v>
      </c>
      <c r="P69" s="24" t="s">
        <v>6</v>
      </c>
      <c r="Q69" s="31"/>
      <c r="R69" s="32"/>
      <c r="S69" s="32"/>
      <c r="T69" s="34"/>
    </row>
    <row r="70" spans="2:20" x14ac:dyDescent="0.25">
      <c r="B70" s="6">
        <f t="shared" si="1"/>
        <v>64</v>
      </c>
      <c r="C70" s="2">
        <f>$B70/C$5</f>
        <v>64</v>
      </c>
      <c r="D70" s="3">
        <f>$B70/D$5</f>
        <v>32</v>
      </c>
      <c r="E70" s="3">
        <f>$B70/E$5</f>
        <v>16</v>
      </c>
      <c r="F70" s="3">
        <f>$B70/F$5</f>
        <v>8</v>
      </c>
      <c r="G70" s="3">
        <f>$B70/G$5</f>
        <v>4</v>
      </c>
      <c r="H70" s="3">
        <f>$B70/H$5</f>
        <v>2</v>
      </c>
      <c r="I70" s="3">
        <f>$B70/I$5</f>
        <v>1</v>
      </c>
      <c r="J70" s="3">
        <f>$B70/J$5</f>
        <v>0.5</v>
      </c>
      <c r="L70" s="2">
        <v>0.5</v>
      </c>
      <c r="M70" s="23" t="s">
        <v>275</v>
      </c>
      <c r="N70" s="23">
        <f>1/2</f>
        <v>0.5</v>
      </c>
      <c r="O70" s="21">
        <f t="shared" si="0"/>
        <v>0</v>
      </c>
      <c r="P70" s="24" t="s">
        <v>6</v>
      </c>
      <c r="Q70" s="31"/>
      <c r="R70" s="32"/>
      <c r="S70" s="32"/>
      <c r="T70" s="34"/>
    </row>
    <row r="71" spans="2:20" x14ac:dyDescent="0.25">
      <c r="B71" s="6">
        <f t="shared" si="1"/>
        <v>65</v>
      </c>
      <c r="C71" s="2">
        <f>$B71/C$5</f>
        <v>65</v>
      </c>
      <c r="D71" s="2">
        <f>$B71/D$5</f>
        <v>32.5</v>
      </c>
      <c r="E71" s="2">
        <f>$B71/E$5</f>
        <v>16.25</v>
      </c>
      <c r="F71" s="2">
        <f>$B71/F$5</f>
        <v>8.125</v>
      </c>
      <c r="G71" s="2">
        <f>$B71/G$5</f>
        <v>4.0625</v>
      </c>
      <c r="H71" s="2">
        <f>$B71/H$5</f>
        <v>2.03125</v>
      </c>
      <c r="I71" s="2">
        <f>$B71/I$5</f>
        <v>1.015625</v>
      </c>
      <c r="J71" s="2">
        <f>$B71/J$5</f>
        <v>0.5078125</v>
      </c>
      <c r="L71" s="2">
        <v>0.5078125</v>
      </c>
      <c r="M71" s="23" t="s">
        <v>177</v>
      </c>
      <c r="N71" s="4">
        <f>65/128</f>
        <v>0.5078125</v>
      </c>
      <c r="O71" s="21">
        <f t="shared" ref="O71:O134" si="2">ABS(L71-N71)</f>
        <v>0</v>
      </c>
      <c r="P71" s="24" t="s">
        <v>6</v>
      </c>
      <c r="Q71" s="31"/>
      <c r="R71" s="32"/>
      <c r="S71" s="32"/>
      <c r="T71" s="34"/>
    </row>
    <row r="72" spans="2:20" x14ac:dyDescent="0.25">
      <c r="B72" s="6">
        <f t="shared" ref="B72:B135" si="3">B71+1</f>
        <v>66</v>
      </c>
      <c r="C72" s="2">
        <f>$B72/C$5</f>
        <v>66</v>
      </c>
      <c r="D72" s="3">
        <f>$B72/D$5</f>
        <v>33</v>
      </c>
      <c r="E72" s="3">
        <f>$B72/E$5</f>
        <v>16.5</v>
      </c>
      <c r="F72" s="3">
        <f>$B72/F$5</f>
        <v>8.25</v>
      </c>
      <c r="G72" s="3">
        <f>$B72/G$5</f>
        <v>4.125</v>
      </c>
      <c r="H72" s="3">
        <f>$B72/H$5</f>
        <v>2.0625</v>
      </c>
      <c r="I72" s="3">
        <f>$B72/I$5</f>
        <v>1.03125</v>
      </c>
      <c r="J72" s="3">
        <f>$B72/J$5</f>
        <v>0.515625</v>
      </c>
      <c r="L72" s="2">
        <v>0.515625</v>
      </c>
      <c r="M72" s="23" t="s">
        <v>1056</v>
      </c>
      <c r="N72" s="23">
        <f>33/64</f>
        <v>0.515625</v>
      </c>
      <c r="O72" s="21">
        <f t="shared" si="2"/>
        <v>0</v>
      </c>
      <c r="P72" s="24" t="s">
        <v>6</v>
      </c>
      <c r="Q72" s="31"/>
      <c r="R72" s="32"/>
      <c r="S72" s="32"/>
      <c r="T72" s="34"/>
    </row>
    <row r="73" spans="2:20" x14ac:dyDescent="0.25">
      <c r="B73" s="6">
        <f t="shared" si="3"/>
        <v>67</v>
      </c>
      <c r="C73" s="2">
        <f>$B73/C$5</f>
        <v>67</v>
      </c>
      <c r="D73" s="2">
        <f>$B73/D$5</f>
        <v>33.5</v>
      </c>
      <c r="E73" s="2">
        <f>$B73/E$5</f>
        <v>16.75</v>
      </c>
      <c r="F73" s="2">
        <f>$B73/F$5</f>
        <v>8.375</v>
      </c>
      <c r="G73" s="2">
        <f>$B73/G$5</f>
        <v>4.1875</v>
      </c>
      <c r="H73" s="2">
        <f>$B73/H$5</f>
        <v>2.09375</v>
      </c>
      <c r="I73" s="2">
        <f>$B73/I$5</f>
        <v>1.046875</v>
      </c>
      <c r="J73" s="2">
        <f>$B73/J$5</f>
        <v>0.5234375</v>
      </c>
      <c r="L73" s="2">
        <v>0.5234375</v>
      </c>
      <c r="M73" s="23" t="s">
        <v>178</v>
      </c>
      <c r="N73" s="4">
        <f>67/128</f>
        <v>0.5234375</v>
      </c>
      <c r="O73" s="21">
        <f t="shared" si="2"/>
        <v>0</v>
      </c>
      <c r="P73" s="24" t="s">
        <v>6</v>
      </c>
      <c r="Q73" s="31"/>
      <c r="R73" s="32"/>
      <c r="S73" s="32"/>
      <c r="T73" s="34"/>
    </row>
    <row r="74" spans="2:20" x14ac:dyDescent="0.25">
      <c r="B74" s="6">
        <f t="shared" si="3"/>
        <v>68</v>
      </c>
      <c r="C74" s="2">
        <f>$B74/C$5</f>
        <v>68</v>
      </c>
      <c r="D74" s="3">
        <f>$B74/D$5</f>
        <v>34</v>
      </c>
      <c r="E74" s="3">
        <f>$B74/E$5</f>
        <v>17</v>
      </c>
      <c r="F74" s="3">
        <f>$B74/F$5</f>
        <v>8.5</v>
      </c>
      <c r="G74" s="3">
        <f>$B74/G$5</f>
        <v>4.25</v>
      </c>
      <c r="H74" s="3">
        <f>$B74/H$5</f>
        <v>2.125</v>
      </c>
      <c r="I74" s="3">
        <f>$B74/I$5</f>
        <v>1.0625</v>
      </c>
      <c r="J74" s="3">
        <f>$B74/J$5</f>
        <v>0.53125</v>
      </c>
      <c r="L74" s="2">
        <v>0.53125</v>
      </c>
      <c r="M74" s="23" t="s">
        <v>924</v>
      </c>
      <c r="N74" s="23">
        <f>17/32</f>
        <v>0.53125</v>
      </c>
      <c r="O74" s="21">
        <f t="shared" si="2"/>
        <v>0</v>
      </c>
      <c r="P74" s="24" t="s">
        <v>6</v>
      </c>
      <c r="Q74" s="31"/>
      <c r="R74" s="32"/>
      <c r="S74" s="32"/>
      <c r="T74" s="34"/>
    </row>
    <row r="75" spans="2:20" x14ac:dyDescent="0.25">
      <c r="B75" s="6">
        <f t="shared" si="3"/>
        <v>69</v>
      </c>
      <c r="C75" s="2">
        <f>$B75/C$5</f>
        <v>69</v>
      </c>
      <c r="D75" s="2">
        <f>$B75/D$5</f>
        <v>34.5</v>
      </c>
      <c r="E75" s="2">
        <f>$B75/E$5</f>
        <v>17.25</v>
      </c>
      <c r="F75" s="2">
        <f>$B75/F$5</f>
        <v>8.625</v>
      </c>
      <c r="G75" s="2">
        <f>$B75/G$5</f>
        <v>4.3125</v>
      </c>
      <c r="H75" s="2">
        <f>$B75/H$5</f>
        <v>2.15625</v>
      </c>
      <c r="I75" s="2">
        <f>$B75/I$5</f>
        <v>1.078125</v>
      </c>
      <c r="J75" s="2">
        <f>$B75/J$5</f>
        <v>0.5390625</v>
      </c>
      <c r="L75" s="2">
        <v>0.5390625</v>
      </c>
      <c r="M75" s="23" t="s">
        <v>179</v>
      </c>
      <c r="N75" s="4">
        <f>69/128</f>
        <v>0.5390625</v>
      </c>
      <c r="O75" s="21">
        <f t="shared" si="2"/>
        <v>0</v>
      </c>
      <c r="P75" s="24" t="s">
        <v>6</v>
      </c>
      <c r="Q75" s="31"/>
      <c r="R75" s="32"/>
      <c r="S75" s="32"/>
      <c r="T75" s="34"/>
    </row>
    <row r="76" spans="2:20" x14ac:dyDescent="0.25">
      <c r="B76" s="6">
        <f t="shared" si="3"/>
        <v>70</v>
      </c>
      <c r="C76" s="2">
        <f>$B76/C$5</f>
        <v>70</v>
      </c>
      <c r="D76" s="3">
        <f>$B76/D$5</f>
        <v>35</v>
      </c>
      <c r="E76" s="3">
        <f>$B76/E$5</f>
        <v>17.5</v>
      </c>
      <c r="F76" s="3">
        <f>$B76/F$5</f>
        <v>8.75</v>
      </c>
      <c r="G76" s="3">
        <f>$B76/G$5</f>
        <v>4.375</v>
      </c>
      <c r="H76" s="3">
        <f>$B76/H$5</f>
        <v>2.1875</v>
      </c>
      <c r="I76" s="3">
        <f>$B76/I$5</f>
        <v>1.09375</v>
      </c>
      <c r="J76" s="3">
        <f>$B76/J$5</f>
        <v>0.546875</v>
      </c>
      <c r="L76" s="2">
        <v>0.546875</v>
      </c>
      <c r="M76" s="23" t="s">
        <v>1057</v>
      </c>
      <c r="N76" s="23">
        <f>35/64</f>
        <v>0.546875</v>
      </c>
      <c r="O76" s="21">
        <f t="shared" si="2"/>
        <v>0</v>
      </c>
      <c r="P76" s="24" t="s">
        <v>6</v>
      </c>
      <c r="Q76" s="31"/>
      <c r="R76" s="32"/>
      <c r="S76" s="32"/>
      <c r="T76" s="34"/>
    </row>
    <row r="77" spans="2:20" x14ac:dyDescent="0.25">
      <c r="B77" s="6">
        <f t="shared" si="3"/>
        <v>71</v>
      </c>
      <c r="C77" s="2">
        <f>$B77/C$5</f>
        <v>71</v>
      </c>
      <c r="D77" s="2">
        <f>$B77/D$5</f>
        <v>35.5</v>
      </c>
      <c r="E77" s="2">
        <f>$B77/E$5</f>
        <v>17.75</v>
      </c>
      <c r="F77" s="2">
        <f>$B77/F$5</f>
        <v>8.875</v>
      </c>
      <c r="G77" s="2">
        <f>$B77/G$5</f>
        <v>4.4375</v>
      </c>
      <c r="H77" s="2">
        <f>$B77/H$5</f>
        <v>2.21875</v>
      </c>
      <c r="I77" s="2">
        <f>$B77/I$5</f>
        <v>1.109375</v>
      </c>
      <c r="J77" s="2">
        <f>$B77/J$5</f>
        <v>0.5546875</v>
      </c>
      <c r="L77" s="2">
        <v>0.5546875</v>
      </c>
      <c r="M77" s="23" t="s">
        <v>180</v>
      </c>
      <c r="N77" s="4">
        <f>71/128</f>
        <v>0.5546875</v>
      </c>
      <c r="O77" s="21">
        <f t="shared" si="2"/>
        <v>0</v>
      </c>
      <c r="P77" s="24" t="s">
        <v>6</v>
      </c>
      <c r="Q77" s="31"/>
      <c r="R77" s="32"/>
      <c r="S77" s="32"/>
      <c r="T77" s="34"/>
    </row>
    <row r="78" spans="2:20" x14ac:dyDescent="0.25">
      <c r="B78" s="6">
        <f t="shared" si="3"/>
        <v>72</v>
      </c>
      <c r="C78" s="2">
        <f>$B78/C$5</f>
        <v>72</v>
      </c>
      <c r="D78" s="3">
        <f>$B78/D$5</f>
        <v>36</v>
      </c>
      <c r="E78" s="3">
        <f>$B78/E$5</f>
        <v>18</v>
      </c>
      <c r="F78" s="3">
        <f>$B78/F$5</f>
        <v>9</v>
      </c>
      <c r="G78" s="3">
        <f>$B78/G$5</f>
        <v>4.5</v>
      </c>
      <c r="H78" s="3">
        <f>$B78/H$5</f>
        <v>2.25</v>
      </c>
      <c r="I78" s="3">
        <f>$B78/I$5</f>
        <v>1.125</v>
      </c>
      <c r="J78" s="3">
        <f>$B78/J$5</f>
        <v>0.5625</v>
      </c>
      <c r="L78" s="2">
        <v>0.5625</v>
      </c>
      <c r="M78" s="23" t="s">
        <v>794</v>
      </c>
      <c r="N78" s="23">
        <f>9/16</f>
        <v>0.5625</v>
      </c>
      <c r="O78" s="21">
        <f t="shared" si="2"/>
        <v>0</v>
      </c>
      <c r="P78" s="24" t="s">
        <v>6</v>
      </c>
      <c r="Q78" s="31"/>
      <c r="R78" s="32"/>
      <c r="S78" s="32"/>
      <c r="T78" s="34"/>
    </row>
    <row r="79" spans="2:20" x14ac:dyDescent="0.25">
      <c r="B79" s="6">
        <f t="shared" si="3"/>
        <v>73</v>
      </c>
      <c r="C79" s="2">
        <f>$B79/C$5</f>
        <v>73</v>
      </c>
      <c r="D79" s="2">
        <f>$B79/D$5</f>
        <v>36.5</v>
      </c>
      <c r="E79" s="2">
        <f>$B79/E$5</f>
        <v>18.25</v>
      </c>
      <c r="F79" s="2">
        <f>$B79/F$5</f>
        <v>9.125</v>
      </c>
      <c r="G79" s="2">
        <f>$B79/G$5</f>
        <v>4.5625</v>
      </c>
      <c r="H79" s="2">
        <f>$B79/H$5</f>
        <v>2.28125</v>
      </c>
      <c r="I79" s="2">
        <f>$B79/I$5</f>
        <v>1.140625</v>
      </c>
      <c r="J79" s="2">
        <f>$B79/J$5</f>
        <v>0.5703125</v>
      </c>
      <c r="L79" s="2">
        <v>0.5703125</v>
      </c>
      <c r="M79" s="23" t="s">
        <v>181</v>
      </c>
      <c r="N79" s="4">
        <f>73/128</f>
        <v>0.5703125</v>
      </c>
      <c r="O79" s="21">
        <f t="shared" si="2"/>
        <v>0</v>
      </c>
      <c r="P79" s="24" t="s">
        <v>6</v>
      </c>
      <c r="Q79" s="31"/>
      <c r="R79" s="32"/>
      <c r="S79" s="32"/>
      <c r="T79" s="34"/>
    </row>
    <row r="80" spans="2:20" x14ac:dyDescent="0.25">
      <c r="B80" s="6">
        <f t="shared" si="3"/>
        <v>74</v>
      </c>
      <c r="C80" s="2">
        <f>$B80/C$5</f>
        <v>74</v>
      </c>
      <c r="D80" s="3">
        <f>$B80/D$5</f>
        <v>37</v>
      </c>
      <c r="E80" s="3">
        <f>$B80/E$5</f>
        <v>18.5</v>
      </c>
      <c r="F80" s="3">
        <f>$B80/F$5</f>
        <v>9.25</v>
      </c>
      <c r="G80" s="3">
        <f>$B80/G$5</f>
        <v>4.625</v>
      </c>
      <c r="H80" s="3">
        <f>$B80/H$5</f>
        <v>2.3125</v>
      </c>
      <c r="I80" s="3">
        <f>$B80/I$5</f>
        <v>1.15625</v>
      </c>
      <c r="J80" s="3">
        <f>$B80/J$5</f>
        <v>0.578125</v>
      </c>
      <c r="L80" s="2">
        <v>0.578125</v>
      </c>
      <c r="M80" s="23" t="s">
        <v>1058</v>
      </c>
      <c r="N80" s="23">
        <f>37/64</f>
        <v>0.578125</v>
      </c>
      <c r="O80" s="21">
        <f t="shared" si="2"/>
        <v>0</v>
      </c>
      <c r="P80" s="24" t="s">
        <v>6</v>
      </c>
      <c r="Q80" s="31"/>
      <c r="R80" s="32"/>
      <c r="S80" s="32"/>
      <c r="T80" s="34"/>
    </row>
    <row r="81" spans="2:20" x14ac:dyDescent="0.25">
      <c r="B81" s="6">
        <f t="shared" si="3"/>
        <v>75</v>
      </c>
      <c r="C81" s="2">
        <f>$B81/C$5</f>
        <v>75</v>
      </c>
      <c r="D81" s="2">
        <f>$B81/D$5</f>
        <v>37.5</v>
      </c>
      <c r="E81" s="2">
        <f>$B81/E$5</f>
        <v>18.75</v>
      </c>
      <c r="F81" s="2">
        <f>$B81/F$5</f>
        <v>9.375</v>
      </c>
      <c r="G81" s="2">
        <f>$B81/G$5</f>
        <v>4.6875</v>
      </c>
      <c r="H81" s="2">
        <f>$B81/H$5</f>
        <v>2.34375</v>
      </c>
      <c r="I81" s="2">
        <f>$B81/I$5</f>
        <v>1.171875</v>
      </c>
      <c r="J81" s="2">
        <f>$B81/J$5</f>
        <v>0.5859375</v>
      </c>
      <c r="L81" s="2">
        <v>0.5859375</v>
      </c>
      <c r="M81" s="23" t="s">
        <v>182</v>
      </c>
      <c r="N81" s="4">
        <f>75/128</f>
        <v>0.5859375</v>
      </c>
      <c r="O81" s="21">
        <f t="shared" si="2"/>
        <v>0</v>
      </c>
      <c r="P81" s="24" t="s">
        <v>6</v>
      </c>
      <c r="Q81" s="31"/>
      <c r="R81" s="32"/>
      <c r="S81" s="32"/>
      <c r="T81" s="34"/>
    </row>
    <row r="82" spans="2:20" x14ac:dyDescent="0.25">
      <c r="B82" s="6">
        <f t="shared" si="3"/>
        <v>76</v>
      </c>
      <c r="C82" s="2">
        <f>$B82/C$5</f>
        <v>76</v>
      </c>
      <c r="D82" s="3">
        <f>$B82/D$5</f>
        <v>38</v>
      </c>
      <c r="E82" s="3">
        <f>$B82/E$5</f>
        <v>19</v>
      </c>
      <c r="F82" s="3">
        <f>$B82/F$5</f>
        <v>9.5</v>
      </c>
      <c r="G82" s="3">
        <f>$B82/G$5</f>
        <v>4.75</v>
      </c>
      <c r="H82" s="3">
        <f>$B82/H$5</f>
        <v>2.375</v>
      </c>
      <c r="I82" s="3">
        <f>$B82/I$5</f>
        <v>1.1875</v>
      </c>
      <c r="J82" s="3">
        <f>$B82/J$5</f>
        <v>0.59375</v>
      </c>
      <c r="L82" s="2">
        <v>0.59375</v>
      </c>
      <c r="M82" s="23" t="s">
        <v>925</v>
      </c>
      <c r="N82" s="23">
        <f>19/32</f>
        <v>0.59375</v>
      </c>
      <c r="O82" s="21">
        <f t="shared" si="2"/>
        <v>0</v>
      </c>
      <c r="P82" s="24" t="s">
        <v>6</v>
      </c>
      <c r="Q82" s="31"/>
      <c r="R82" s="32"/>
      <c r="S82" s="32"/>
      <c r="T82" s="34"/>
    </row>
    <row r="83" spans="2:20" x14ac:dyDescent="0.25">
      <c r="B83" s="6">
        <f t="shared" si="3"/>
        <v>77</v>
      </c>
      <c r="C83" s="2">
        <f>$B83/C$5</f>
        <v>77</v>
      </c>
      <c r="D83" s="2">
        <f>$B83/D$5</f>
        <v>38.5</v>
      </c>
      <c r="E83" s="2">
        <f>$B83/E$5</f>
        <v>19.25</v>
      </c>
      <c r="F83" s="2">
        <f>$B83/F$5</f>
        <v>9.625</v>
      </c>
      <c r="G83" s="2">
        <f>$B83/G$5</f>
        <v>4.8125</v>
      </c>
      <c r="H83" s="2">
        <f>$B83/H$5</f>
        <v>2.40625</v>
      </c>
      <c r="I83" s="2">
        <f>$B83/I$5</f>
        <v>1.203125</v>
      </c>
      <c r="J83" s="2">
        <f>$B83/J$5</f>
        <v>0.6015625</v>
      </c>
      <c r="L83" s="2">
        <v>0.6015625</v>
      </c>
      <c r="M83" s="23" t="s">
        <v>183</v>
      </c>
      <c r="N83" s="4">
        <f>77/128</f>
        <v>0.6015625</v>
      </c>
      <c r="O83" s="21">
        <f t="shared" si="2"/>
        <v>0</v>
      </c>
      <c r="P83" s="24" t="s">
        <v>6</v>
      </c>
      <c r="Q83" s="31"/>
      <c r="R83" s="32"/>
      <c r="S83" s="32"/>
      <c r="T83" s="34"/>
    </row>
    <row r="84" spans="2:20" x14ac:dyDescent="0.25">
      <c r="B84" s="6">
        <f t="shared" si="3"/>
        <v>78</v>
      </c>
      <c r="C84" s="2">
        <f>$B84/C$5</f>
        <v>78</v>
      </c>
      <c r="D84" s="3">
        <f>$B84/D$5</f>
        <v>39</v>
      </c>
      <c r="E84" s="3">
        <f>$B84/E$5</f>
        <v>19.5</v>
      </c>
      <c r="F84" s="3">
        <f>$B84/F$5</f>
        <v>9.75</v>
      </c>
      <c r="G84" s="3">
        <f>$B84/G$5</f>
        <v>4.875</v>
      </c>
      <c r="H84" s="3">
        <f>$B84/H$5</f>
        <v>2.4375</v>
      </c>
      <c r="I84" s="3">
        <f>$B84/I$5</f>
        <v>1.21875</v>
      </c>
      <c r="J84" s="3">
        <f>$B84/J$5</f>
        <v>0.609375</v>
      </c>
      <c r="L84" s="2">
        <v>0.609375</v>
      </c>
      <c r="M84" s="23" t="s">
        <v>1059</v>
      </c>
      <c r="N84" s="23">
        <f>39/64</f>
        <v>0.609375</v>
      </c>
      <c r="O84" s="21">
        <f t="shared" si="2"/>
        <v>0</v>
      </c>
      <c r="P84" s="24" t="s">
        <v>6</v>
      </c>
      <c r="Q84" s="31"/>
      <c r="R84" s="32"/>
      <c r="S84" s="32"/>
      <c r="T84" s="34"/>
    </row>
    <row r="85" spans="2:20" x14ac:dyDescent="0.25">
      <c r="B85" s="6">
        <f t="shared" si="3"/>
        <v>79</v>
      </c>
      <c r="C85" s="2">
        <f>$B85/C$5</f>
        <v>79</v>
      </c>
      <c r="D85" s="2">
        <f>$B85/D$5</f>
        <v>39.5</v>
      </c>
      <c r="E85" s="2">
        <f>$B85/E$5</f>
        <v>19.75</v>
      </c>
      <c r="F85" s="2">
        <f>$B85/F$5</f>
        <v>9.875</v>
      </c>
      <c r="G85" s="2">
        <f>$B85/G$5</f>
        <v>4.9375</v>
      </c>
      <c r="H85" s="2">
        <f>$B85/H$5</f>
        <v>2.46875</v>
      </c>
      <c r="I85" s="2">
        <f>$B85/I$5</f>
        <v>1.234375</v>
      </c>
      <c r="J85" s="2">
        <f>$B85/J$5</f>
        <v>0.6171875</v>
      </c>
      <c r="L85" s="2">
        <v>0.6171875</v>
      </c>
      <c r="M85" s="23" t="s">
        <v>184</v>
      </c>
      <c r="N85" s="4">
        <f>79/128</f>
        <v>0.6171875</v>
      </c>
      <c r="O85" s="21">
        <f t="shared" si="2"/>
        <v>0</v>
      </c>
      <c r="P85" s="24" t="s">
        <v>6</v>
      </c>
      <c r="Q85" s="31"/>
      <c r="R85" s="32"/>
      <c r="S85" s="32"/>
      <c r="T85" s="34"/>
    </row>
    <row r="86" spans="2:20" x14ac:dyDescent="0.25">
      <c r="B86" s="6">
        <f t="shared" si="3"/>
        <v>80</v>
      </c>
      <c r="C86" s="2">
        <f>$B86/C$5</f>
        <v>80</v>
      </c>
      <c r="D86" s="3">
        <f>$B86/D$5</f>
        <v>40</v>
      </c>
      <c r="E86" s="3">
        <f>$B86/E$5</f>
        <v>20</v>
      </c>
      <c r="F86" s="3">
        <f>$B86/F$5</f>
        <v>10</v>
      </c>
      <c r="G86" s="3">
        <f>$B86/G$5</f>
        <v>5</v>
      </c>
      <c r="H86" s="3">
        <f>$B86/H$5</f>
        <v>2.5</v>
      </c>
      <c r="I86" s="3">
        <f>$B86/I$5</f>
        <v>1.25</v>
      </c>
      <c r="J86" s="3">
        <f>$B86/J$5</f>
        <v>0.625</v>
      </c>
      <c r="L86" s="2">
        <v>0.625</v>
      </c>
      <c r="M86" s="23" t="s">
        <v>665</v>
      </c>
      <c r="N86" s="23">
        <f>5/8</f>
        <v>0.625</v>
      </c>
      <c r="O86" s="21">
        <f t="shared" si="2"/>
        <v>0</v>
      </c>
      <c r="P86" s="24" t="s">
        <v>6</v>
      </c>
      <c r="Q86" s="31"/>
      <c r="R86" s="32"/>
      <c r="S86" s="32"/>
      <c r="T86" s="34"/>
    </row>
    <row r="87" spans="2:20" x14ac:dyDescent="0.25">
      <c r="B87" s="6">
        <f t="shared" si="3"/>
        <v>81</v>
      </c>
      <c r="C87" s="2">
        <f>$B87/C$5</f>
        <v>81</v>
      </c>
      <c r="D87" s="2">
        <f>$B87/D$5</f>
        <v>40.5</v>
      </c>
      <c r="E87" s="2">
        <f>$B87/E$5</f>
        <v>20.25</v>
      </c>
      <c r="F87" s="2">
        <f>$B87/F$5</f>
        <v>10.125</v>
      </c>
      <c r="G87" s="2">
        <f>$B87/G$5</f>
        <v>5.0625</v>
      </c>
      <c r="H87" s="2">
        <f>$B87/H$5</f>
        <v>2.53125</v>
      </c>
      <c r="I87" s="2">
        <f>$B87/I$5</f>
        <v>1.265625</v>
      </c>
      <c r="J87" s="2">
        <f>$B87/J$5</f>
        <v>0.6328125</v>
      </c>
      <c r="L87" s="2">
        <v>0.6328125</v>
      </c>
      <c r="M87" s="23" t="s">
        <v>185</v>
      </c>
      <c r="N87" s="4">
        <f>81/128</f>
        <v>0.6328125</v>
      </c>
      <c r="O87" s="21">
        <f t="shared" si="2"/>
        <v>0</v>
      </c>
      <c r="P87" s="24" t="s">
        <v>6</v>
      </c>
      <c r="Q87" s="31"/>
      <c r="R87" s="32"/>
      <c r="S87" s="32"/>
      <c r="T87" s="34"/>
    </row>
    <row r="88" spans="2:20" x14ac:dyDescent="0.25">
      <c r="B88" s="6">
        <f t="shared" si="3"/>
        <v>82</v>
      </c>
      <c r="C88" s="2">
        <f>$B88/C$5</f>
        <v>82</v>
      </c>
      <c r="D88" s="3">
        <f>$B88/D$5</f>
        <v>41</v>
      </c>
      <c r="E88" s="3">
        <f>$B88/E$5</f>
        <v>20.5</v>
      </c>
      <c r="F88" s="3">
        <f>$B88/F$5</f>
        <v>10.25</v>
      </c>
      <c r="G88" s="3">
        <f>$B88/G$5</f>
        <v>5.125</v>
      </c>
      <c r="H88" s="3">
        <f>$B88/H$5</f>
        <v>2.5625</v>
      </c>
      <c r="I88" s="3">
        <f>$B88/I$5</f>
        <v>1.28125</v>
      </c>
      <c r="J88" s="3">
        <f>$B88/J$5</f>
        <v>0.640625</v>
      </c>
      <c r="L88" s="2">
        <v>0.640625</v>
      </c>
      <c r="M88" s="23" t="s">
        <v>1060</v>
      </c>
      <c r="N88" s="23">
        <f>41/64</f>
        <v>0.640625</v>
      </c>
      <c r="O88" s="21">
        <f t="shared" si="2"/>
        <v>0</v>
      </c>
      <c r="P88" s="24" t="s">
        <v>6</v>
      </c>
      <c r="Q88" s="31"/>
      <c r="R88" s="32"/>
      <c r="S88" s="32"/>
      <c r="T88" s="34"/>
    </row>
    <row r="89" spans="2:20" x14ac:dyDescent="0.25">
      <c r="B89" s="6">
        <f t="shared" si="3"/>
        <v>83</v>
      </c>
      <c r="C89" s="2">
        <f>$B89/C$5</f>
        <v>83</v>
      </c>
      <c r="D89" s="2">
        <f>$B89/D$5</f>
        <v>41.5</v>
      </c>
      <c r="E89" s="2">
        <f>$B89/E$5</f>
        <v>20.75</v>
      </c>
      <c r="F89" s="2">
        <f>$B89/F$5</f>
        <v>10.375</v>
      </c>
      <c r="G89" s="2">
        <f>$B89/G$5</f>
        <v>5.1875</v>
      </c>
      <c r="H89" s="2">
        <f>$B89/H$5</f>
        <v>2.59375</v>
      </c>
      <c r="I89" s="2">
        <f>$B89/I$5</f>
        <v>1.296875</v>
      </c>
      <c r="J89" s="2">
        <f>$B89/J$5</f>
        <v>0.6484375</v>
      </c>
      <c r="L89" s="2">
        <v>0.6484375</v>
      </c>
      <c r="M89" s="23" t="s">
        <v>186</v>
      </c>
      <c r="N89" s="4">
        <f>83/128</f>
        <v>0.6484375</v>
      </c>
      <c r="O89" s="21">
        <f t="shared" si="2"/>
        <v>0</v>
      </c>
      <c r="P89" s="24" t="s">
        <v>6</v>
      </c>
      <c r="Q89" s="31"/>
      <c r="R89" s="32"/>
      <c r="S89" s="32"/>
      <c r="T89" s="34"/>
    </row>
    <row r="90" spans="2:20" x14ac:dyDescent="0.25">
      <c r="B90" s="6">
        <f t="shared" si="3"/>
        <v>84</v>
      </c>
      <c r="C90" s="2">
        <f>$B90/C$5</f>
        <v>84</v>
      </c>
      <c r="D90" s="3">
        <f>$B90/D$5</f>
        <v>42</v>
      </c>
      <c r="E90" s="3">
        <f>$B90/E$5</f>
        <v>21</v>
      </c>
      <c r="F90" s="3">
        <f>$B90/F$5</f>
        <v>10.5</v>
      </c>
      <c r="G90" s="3">
        <f>$B90/G$5</f>
        <v>5.25</v>
      </c>
      <c r="H90" s="3">
        <f>$B90/H$5</f>
        <v>2.625</v>
      </c>
      <c r="I90" s="3">
        <f>$B90/I$5</f>
        <v>1.3125</v>
      </c>
      <c r="J90" s="3">
        <f>$B90/J$5</f>
        <v>0.65625</v>
      </c>
      <c r="L90" s="2">
        <v>0.65625</v>
      </c>
      <c r="M90" s="23" t="s">
        <v>926</v>
      </c>
      <c r="N90" s="23">
        <f>21/32</f>
        <v>0.65625</v>
      </c>
      <c r="O90" s="21">
        <f t="shared" si="2"/>
        <v>0</v>
      </c>
      <c r="P90" s="24" t="s">
        <v>6</v>
      </c>
      <c r="Q90" s="31"/>
      <c r="R90" s="32"/>
      <c r="S90" s="32"/>
      <c r="T90" s="34"/>
    </row>
    <row r="91" spans="2:20" x14ac:dyDescent="0.25">
      <c r="B91" s="6">
        <f t="shared" si="3"/>
        <v>85</v>
      </c>
      <c r="C91" s="2">
        <f>$B91/C$5</f>
        <v>85</v>
      </c>
      <c r="D91" s="2">
        <f>$B91/D$5</f>
        <v>42.5</v>
      </c>
      <c r="E91" s="2">
        <f>$B91/E$5</f>
        <v>21.25</v>
      </c>
      <c r="F91" s="2">
        <f>$B91/F$5</f>
        <v>10.625</v>
      </c>
      <c r="G91" s="2">
        <f>$B91/G$5</f>
        <v>5.3125</v>
      </c>
      <c r="H91" s="2">
        <f>$B91/H$5</f>
        <v>2.65625</v>
      </c>
      <c r="I91" s="2">
        <f>$B91/I$5</f>
        <v>1.328125</v>
      </c>
      <c r="J91" s="2">
        <f>$B91/J$5</f>
        <v>0.6640625</v>
      </c>
      <c r="L91" s="2">
        <v>0.6640625</v>
      </c>
      <c r="M91" s="23" t="s">
        <v>187</v>
      </c>
      <c r="N91" s="4">
        <f>85/128</f>
        <v>0.6640625</v>
      </c>
      <c r="O91" s="21">
        <f t="shared" si="2"/>
        <v>0</v>
      </c>
      <c r="P91" s="24" t="s">
        <v>6</v>
      </c>
      <c r="Q91" s="31"/>
      <c r="R91" s="32"/>
      <c r="S91" s="32"/>
      <c r="T91" s="34"/>
    </row>
    <row r="92" spans="2:20" x14ac:dyDescent="0.25">
      <c r="B92" s="6">
        <f t="shared" si="3"/>
        <v>86</v>
      </c>
      <c r="C92" s="2">
        <f>$B92/C$5</f>
        <v>86</v>
      </c>
      <c r="D92" s="3">
        <f>$B92/D$5</f>
        <v>43</v>
      </c>
      <c r="E92" s="3">
        <f>$B92/E$5</f>
        <v>21.5</v>
      </c>
      <c r="F92" s="3">
        <f>$B92/F$5</f>
        <v>10.75</v>
      </c>
      <c r="G92" s="3">
        <f>$B92/G$5</f>
        <v>5.375</v>
      </c>
      <c r="H92" s="3">
        <f>$B92/H$5</f>
        <v>2.6875</v>
      </c>
      <c r="I92" s="3">
        <f>$B92/I$5</f>
        <v>1.34375</v>
      </c>
      <c r="J92" s="3">
        <f>$B92/J$5</f>
        <v>0.671875</v>
      </c>
      <c r="L92" s="2">
        <v>0.671875</v>
      </c>
      <c r="M92" s="23" t="s">
        <v>1061</v>
      </c>
      <c r="N92" s="23">
        <f>43/64</f>
        <v>0.671875</v>
      </c>
      <c r="O92" s="21">
        <f t="shared" si="2"/>
        <v>0</v>
      </c>
      <c r="P92" s="24" t="s">
        <v>6</v>
      </c>
      <c r="Q92" s="31"/>
      <c r="R92" s="32"/>
      <c r="S92" s="32"/>
      <c r="T92" s="34"/>
    </row>
    <row r="93" spans="2:20" x14ac:dyDescent="0.25">
      <c r="B93" s="6">
        <f t="shared" si="3"/>
        <v>87</v>
      </c>
      <c r="C93" s="2">
        <f>$B93/C$5</f>
        <v>87</v>
      </c>
      <c r="D93" s="2">
        <f>$B93/D$5</f>
        <v>43.5</v>
      </c>
      <c r="E93" s="2">
        <f>$B93/E$5</f>
        <v>21.75</v>
      </c>
      <c r="F93" s="2">
        <f>$B93/F$5</f>
        <v>10.875</v>
      </c>
      <c r="G93" s="2">
        <f>$B93/G$5</f>
        <v>5.4375</v>
      </c>
      <c r="H93" s="2">
        <f>$B93/H$5</f>
        <v>2.71875</v>
      </c>
      <c r="I93" s="2">
        <f>$B93/I$5</f>
        <v>1.359375</v>
      </c>
      <c r="J93" s="2">
        <f>$B93/J$5</f>
        <v>0.6796875</v>
      </c>
      <c r="L93" s="2">
        <v>0.6796875</v>
      </c>
      <c r="M93" s="23" t="s">
        <v>188</v>
      </c>
      <c r="N93" s="4">
        <f>87/128</f>
        <v>0.6796875</v>
      </c>
      <c r="O93" s="21">
        <f t="shared" si="2"/>
        <v>0</v>
      </c>
      <c r="P93" s="24" t="s">
        <v>6</v>
      </c>
      <c r="Q93" s="31"/>
      <c r="R93" s="32"/>
      <c r="S93" s="32"/>
      <c r="T93" s="34"/>
    </row>
    <row r="94" spans="2:20" x14ac:dyDescent="0.25">
      <c r="B94" s="6">
        <f t="shared" si="3"/>
        <v>88</v>
      </c>
      <c r="C94" s="2">
        <f>$B94/C$5</f>
        <v>88</v>
      </c>
      <c r="D94" s="3">
        <f>$B94/D$5</f>
        <v>44</v>
      </c>
      <c r="E94" s="3">
        <f>$B94/E$5</f>
        <v>22</v>
      </c>
      <c r="F94" s="3">
        <f>$B94/F$5</f>
        <v>11</v>
      </c>
      <c r="G94" s="3">
        <f>$B94/G$5</f>
        <v>5.5</v>
      </c>
      <c r="H94" s="3">
        <f>$B94/H$5</f>
        <v>2.75</v>
      </c>
      <c r="I94" s="3">
        <f>$B94/I$5</f>
        <v>1.375</v>
      </c>
      <c r="J94" s="3">
        <f>$B94/J$5</f>
        <v>0.6875</v>
      </c>
      <c r="L94" s="2">
        <v>0.6875</v>
      </c>
      <c r="M94" s="23" t="s">
        <v>795</v>
      </c>
      <c r="N94" s="23">
        <f>11/16</f>
        <v>0.6875</v>
      </c>
      <c r="O94" s="21">
        <f t="shared" si="2"/>
        <v>0</v>
      </c>
      <c r="P94" s="24" t="s">
        <v>6</v>
      </c>
      <c r="Q94" s="31"/>
      <c r="R94" s="32"/>
      <c r="S94" s="32"/>
      <c r="T94" s="34"/>
    </row>
    <row r="95" spans="2:20" x14ac:dyDescent="0.25">
      <c r="B95" s="6">
        <f t="shared" si="3"/>
        <v>89</v>
      </c>
      <c r="C95" s="2">
        <f>$B95/C$5</f>
        <v>89</v>
      </c>
      <c r="D95" s="2">
        <f>$B95/D$5</f>
        <v>44.5</v>
      </c>
      <c r="E95" s="2">
        <f>$B95/E$5</f>
        <v>22.25</v>
      </c>
      <c r="F95" s="2">
        <f>$B95/F$5</f>
        <v>11.125</v>
      </c>
      <c r="G95" s="2">
        <f>$B95/G$5</f>
        <v>5.5625</v>
      </c>
      <c r="H95" s="2">
        <f>$B95/H$5</f>
        <v>2.78125</v>
      </c>
      <c r="I95" s="2">
        <f>$B95/I$5</f>
        <v>1.390625</v>
      </c>
      <c r="J95" s="2">
        <f>$B95/J$5</f>
        <v>0.6953125</v>
      </c>
      <c r="L95" s="2">
        <v>0.6953125</v>
      </c>
      <c r="M95" s="23" t="s">
        <v>189</v>
      </c>
      <c r="N95" s="4">
        <f>89/128</f>
        <v>0.6953125</v>
      </c>
      <c r="O95" s="21">
        <f t="shared" si="2"/>
        <v>0</v>
      </c>
      <c r="P95" s="24" t="s">
        <v>6</v>
      </c>
      <c r="Q95" s="31"/>
      <c r="R95" s="32"/>
      <c r="S95" s="32"/>
      <c r="T95" s="34"/>
    </row>
    <row r="96" spans="2:20" x14ac:dyDescent="0.25">
      <c r="B96" s="6">
        <f t="shared" si="3"/>
        <v>90</v>
      </c>
      <c r="C96" s="2">
        <f>$B96/C$5</f>
        <v>90</v>
      </c>
      <c r="D96" s="3">
        <f>$B96/D$5</f>
        <v>45</v>
      </c>
      <c r="E96" s="3">
        <f>$B96/E$5</f>
        <v>22.5</v>
      </c>
      <c r="F96" s="3">
        <f>$B96/F$5</f>
        <v>11.25</v>
      </c>
      <c r="G96" s="3">
        <f>$B96/G$5</f>
        <v>5.625</v>
      </c>
      <c r="H96" s="3">
        <f>$B96/H$5</f>
        <v>2.8125</v>
      </c>
      <c r="I96" s="3">
        <f>$B96/I$5</f>
        <v>1.40625</v>
      </c>
      <c r="J96" s="3">
        <f>$B96/J$5</f>
        <v>0.703125</v>
      </c>
      <c r="L96" s="2">
        <v>0.703125</v>
      </c>
      <c r="M96" s="23" t="s">
        <v>1062</v>
      </c>
      <c r="N96" s="23">
        <f>45/64</f>
        <v>0.703125</v>
      </c>
      <c r="O96" s="21">
        <f t="shared" si="2"/>
        <v>0</v>
      </c>
      <c r="P96" s="24" t="s">
        <v>6</v>
      </c>
      <c r="Q96" s="31"/>
      <c r="R96" s="32"/>
      <c r="S96" s="32"/>
      <c r="T96" s="34"/>
    </row>
    <row r="97" spans="2:20" x14ac:dyDescent="0.25">
      <c r="B97" s="6">
        <f t="shared" si="3"/>
        <v>91</v>
      </c>
      <c r="C97" s="2">
        <f>$B97/C$5</f>
        <v>91</v>
      </c>
      <c r="D97" s="2">
        <f>$B97/D$5</f>
        <v>45.5</v>
      </c>
      <c r="E97" s="2">
        <f>$B97/E$5</f>
        <v>22.75</v>
      </c>
      <c r="F97" s="2">
        <f>$B97/F$5</f>
        <v>11.375</v>
      </c>
      <c r="G97" s="2">
        <f>$B97/G$5</f>
        <v>5.6875</v>
      </c>
      <c r="H97" s="2">
        <f>$B97/H$5</f>
        <v>2.84375</v>
      </c>
      <c r="I97" s="2">
        <f>$B97/I$5</f>
        <v>1.421875</v>
      </c>
      <c r="J97" s="2">
        <f>$B97/J$5</f>
        <v>0.7109375</v>
      </c>
      <c r="L97" s="2">
        <v>0.7109375</v>
      </c>
      <c r="M97" s="23" t="s">
        <v>190</v>
      </c>
      <c r="N97" s="4">
        <f>91/128</f>
        <v>0.7109375</v>
      </c>
      <c r="O97" s="21">
        <f t="shared" si="2"/>
        <v>0</v>
      </c>
      <c r="P97" s="24" t="s">
        <v>6</v>
      </c>
      <c r="Q97" s="31"/>
      <c r="R97" s="32"/>
      <c r="S97" s="32"/>
      <c r="T97" s="34"/>
    </row>
    <row r="98" spans="2:20" x14ac:dyDescent="0.25">
      <c r="B98" s="6">
        <f t="shared" si="3"/>
        <v>92</v>
      </c>
      <c r="C98" s="2">
        <f>$B98/C$5</f>
        <v>92</v>
      </c>
      <c r="D98" s="3">
        <f>$B98/D$5</f>
        <v>46</v>
      </c>
      <c r="E98" s="3">
        <f>$B98/E$5</f>
        <v>23</v>
      </c>
      <c r="F98" s="3">
        <f>$B98/F$5</f>
        <v>11.5</v>
      </c>
      <c r="G98" s="3">
        <f>$B98/G$5</f>
        <v>5.75</v>
      </c>
      <c r="H98" s="3">
        <f>$B98/H$5</f>
        <v>2.875</v>
      </c>
      <c r="I98" s="3">
        <f>$B98/I$5</f>
        <v>1.4375</v>
      </c>
      <c r="J98" s="3">
        <f>$B98/J$5</f>
        <v>0.71875</v>
      </c>
      <c r="L98" s="2">
        <v>0.71875</v>
      </c>
      <c r="M98" s="23" t="s">
        <v>927</v>
      </c>
      <c r="N98" s="23">
        <f>23/32</f>
        <v>0.71875</v>
      </c>
      <c r="O98" s="21">
        <f t="shared" si="2"/>
        <v>0</v>
      </c>
      <c r="P98" s="24" t="s">
        <v>6</v>
      </c>
      <c r="Q98" s="31"/>
      <c r="R98" s="32"/>
      <c r="S98" s="32"/>
      <c r="T98" s="34"/>
    </row>
    <row r="99" spans="2:20" x14ac:dyDescent="0.25">
      <c r="B99" s="6">
        <f t="shared" si="3"/>
        <v>93</v>
      </c>
      <c r="C99" s="2">
        <f>$B99/C$5</f>
        <v>93</v>
      </c>
      <c r="D99" s="2">
        <f>$B99/D$5</f>
        <v>46.5</v>
      </c>
      <c r="E99" s="2">
        <f>$B99/E$5</f>
        <v>23.25</v>
      </c>
      <c r="F99" s="2">
        <f>$B99/F$5</f>
        <v>11.625</v>
      </c>
      <c r="G99" s="2">
        <f>$B99/G$5</f>
        <v>5.8125</v>
      </c>
      <c r="H99" s="2">
        <f>$B99/H$5</f>
        <v>2.90625</v>
      </c>
      <c r="I99" s="2">
        <f>$B99/I$5</f>
        <v>1.453125</v>
      </c>
      <c r="J99" s="2">
        <f>$B99/J$5</f>
        <v>0.7265625</v>
      </c>
      <c r="L99" s="2">
        <v>0.7265625</v>
      </c>
      <c r="M99" s="23" t="s">
        <v>191</v>
      </c>
      <c r="N99" s="4">
        <f>93/128</f>
        <v>0.7265625</v>
      </c>
      <c r="O99" s="21">
        <f t="shared" si="2"/>
        <v>0</v>
      </c>
      <c r="P99" s="24" t="s">
        <v>6</v>
      </c>
      <c r="Q99" s="31"/>
      <c r="R99" s="32"/>
      <c r="S99" s="32"/>
      <c r="T99" s="34"/>
    </row>
    <row r="100" spans="2:20" x14ac:dyDescent="0.25">
      <c r="B100" s="6">
        <f t="shared" si="3"/>
        <v>94</v>
      </c>
      <c r="C100" s="2">
        <f>$B100/C$5</f>
        <v>94</v>
      </c>
      <c r="D100" s="3">
        <f>$B100/D$5</f>
        <v>47</v>
      </c>
      <c r="E100" s="3">
        <f>$B100/E$5</f>
        <v>23.5</v>
      </c>
      <c r="F100" s="3">
        <f>$B100/F$5</f>
        <v>11.75</v>
      </c>
      <c r="G100" s="3">
        <f>$B100/G$5</f>
        <v>5.875</v>
      </c>
      <c r="H100" s="3">
        <f>$B100/H$5</f>
        <v>2.9375</v>
      </c>
      <c r="I100" s="3">
        <f>$B100/I$5</f>
        <v>1.46875</v>
      </c>
      <c r="J100" s="3">
        <f>$B100/J$5</f>
        <v>0.734375</v>
      </c>
      <c r="L100" s="2">
        <v>0.734375</v>
      </c>
      <c r="M100" s="23" t="s">
        <v>1063</v>
      </c>
      <c r="N100" s="23">
        <f>47/64</f>
        <v>0.734375</v>
      </c>
      <c r="O100" s="21">
        <f t="shared" si="2"/>
        <v>0</v>
      </c>
      <c r="P100" s="24" t="s">
        <v>6</v>
      </c>
      <c r="Q100" s="31"/>
      <c r="R100" s="32"/>
      <c r="S100" s="32"/>
      <c r="T100" s="34"/>
    </row>
    <row r="101" spans="2:20" x14ac:dyDescent="0.25">
      <c r="B101" s="6">
        <f t="shared" si="3"/>
        <v>95</v>
      </c>
      <c r="C101" s="2">
        <f>$B101/C$5</f>
        <v>95</v>
      </c>
      <c r="D101" s="2">
        <f>$B101/D$5</f>
        <v>47.5</v>
      </c>
      <c r="E101" s="2">
        <f>$B101/E$5</f>
        <v>23.75</v>
      </c>
      <c r="F101" s="2">
        <f>$B101/F$5</f>
        <v>11.875</v>
      </c>
      <c r="G101" s="2">
        <f>$B101/G$5</f>
        <v>5.9375</v>
      </c>
      <c r="H101" s="2">
        <f>$B101/H$5</f>
        <v>2.96875</v>
      </c>
      <c r="I101" s="2">
        <f>$B101/I$5</f>
        <v>1.484375</v>
      </c>
      <c r="J101" s="2">
        <f>$B101/J$5</f>
        <v>0.7421875</v>
      </c>
      <c r="L101" s="2">
        <v>0.7421875</v>
      </c>
      <c r="M101" s="23" t="s">
        <v>192</v>
      </c>
      <c r="N101" s="4">
        <f>95/128</f>
        <v>0.7421875</v>
      </c>
      <c r="O101" s="21">
        <f t="shared" si="2"/>
        <v>0</v>
      </c>
      <c r="P101" s="24" t="s">
        <v>6</v>
      </c>
      <c r="Q101" s="31"/>
      <c r="R101" s="32"/>
      <c r="S101" s="32"/>
      <c r="T101" s="34"/>
    </row>
    <row r="102" spans="2:20" x14ac:dyDescent="0.25">
      <c r="B102" s="6">
        <f t="shared" si="3"/>
        <v>96</v>
      </c>
      <c r="C102" s="2">
        <f>$B102/C$5</f>
        <v>96</v>
      </c>
      <c r="D102" s="3">
        <f>$B102/D$5</f>
        <v>48</v>
      </c>
      <c r="E102" s="3">
        <f>$B102/E$5</f>
        <v>24</v>
      </c>
      <c r="F102" s="3">
        <f>$B102/F$5</f>
        <v>12</v>
      </c>
      <c r="G102" s="3">
        <f>$B102/G$5</f>
        <v>6</v>
      </c>
      <c r="H102" s="3">
        <f>$B102/H$5</f>
        <v>3</v>
      </c>
      <c r="I102" s="3">
        <f>$B102/I$5</f>
        <v>1.5</v>
      </c>
      <c r="J102" s="3">
        <f>$B102/J$5</f>
        <v>0.75</v>
      </c>
      <c r="L102" s="2">
        <v>0.75</v>
      </c>
      <c r="M102" s="23" t="s">
        <v>537</v>
      </c>
      <c r="N102" s="23">
        <f>3/4</f>
        <v>0.75</v>
      </c>
      <c r="O102" s="21">
        <f t="shared" si="2"/>
        <v>0</v>
      </c>
      <c r="P102" s="24" t="s">
        <v>6</v>
      </c>
      <c r="Q102" s="31"/>
      <c r="R102" s="32"/>
      <c r="S102" s="32"/>
      <c r="T102" s="34"/>
    </row>
    <row r="103" spans="2:20" x14ac:dyDescent="0.25">
      <c r="B103" s="6">
        <f t="shared" si="3"/>
        <v>97</v>
      </c>
      <c r="C103" s="2">
        <f>$B103/C$5</f>
        <v>97</v>
      </c>
      <c r="D103" s="2">
        <f>$B103/D$5</f>
        <v>48.5</v>
      </c>
      <c r="E103" s="2">
        <f>$B103/E$5</f>
        <v>24.25</v>
      </c>
      <c r="F103" s="2">
        <f>$B103/F$5</f>
        <v>12.125</v>
      </c>
      <c r="G103" s="2">
        <f>$B103/G$5</f>
        <v>6.0625</v>
      </c>
      <c r="H103" s="2">
        <f>$B103/H$5</f>
        <v>3.03125</v>
      </c>
      <c r="I103" s="2">
        <f>$B103/I$5</f>
        <v>1.515625</v>
      </c>
      <c r="J103" s="2">
        <f>$B103/J$5</f>
        <v>0.7578125</v>
      </c>
      <c r="L103" s="2">
        <v>0.7578125</v>
      </c>
      <c r="M103" s="23" t="s">
        <v>193</v>
      </c>
      <c r="N103" s="4">
        <f>97/128</f>
        <v>0.7578125</v>
      </c>
      <c r="O103" s="21">
        <f t="shared" si="2"/>
        <v>0</v>
      </c>
      <c r="P103" s="24" t="s">
        <v>6</v>
      </c>
      <c r="Q103" s="31"/>
      <c r="R103" s="32"/>
      <c r="S103" s="32"/>
      <c r="T103" s="34"/>
    </row>
    <row r="104" spans="2:20" x14ac:dyDescent="0.25">
      <c r="B104" s="6">
        <f t="shared" si="3"/>
        <v>98</v>
      </c>
      <c r="C104" s="2">
        <f>$B104/C$5</f>
        <v>98</v>
      </c>
      <c r="D104" s="3">
        <f>$B104/D$5</f>
        <v>49</v>
      </c>
      <c r="E104" s="3">
        <f>$B104/E$5</f>
        <v>24.5</v>
      </c>
      <c r="F104" s="3">
        <f>$B104/F$5</f>
        <v>12.25</v>
      </c>
      <c r="G104" s="3">
        <f>$B104/G$5</f>
        <v>6.125</v>
      </c>
      <c r="H104" s="3">
        <f>$B104/H$5</f>
        <v>3.0625</v>
      </c>
      <c r="I104" s="3">
        <f>$B104/I$5</f>
        <v>1.53125</v>
      </c>
      <c r="J104" s="3">
        <f>$B104/J$5</f>
        <v>0.765625</v>
      </c>
      <c r="L104" s="2">
        <v>0.765625</v>
      </c>
      <c r="M104" s="23" t="s">
        <v>1064</v>
      </c>
      <c r="N104" s="23">
        <f>49/64</f>
        <v>0.765625</v>
      </c>
      <c r="O104" s="21">
        <f t="shared" si="2"/>
        <v>0</v>
      </c>
      <c r="P104" s="24" t="s">
        <v>6</v>
      </c>
      <c r="Q104" s="31"/>
      <c r="R104" s="32"/>
      <c r="S104" s="32"/>
      <c r="T104" s="34"/>
    </row>
    <row r="105" spans="2:20" x14ac:dyDescent="0.25">
      <c r="B105" s="6">
        <f t="shared" si="3"/>
        <v>99</v>
      </c>
      <c r="C105" s="2">
        <f>$B105/C$5</f>
        <v>99</v>
      </c>
      <c r="D105" s="2">
        <f>$B105/D$5</f>
        <v>49.5</v>
      </c>
      <c r="E105" s="2">
        <f>$B105/E$5</f>
        <v>24.75</v>
      </c>
      <c r="F105" s="2">
        <f>$B105/F$5</f>
        <v>12.375</v>
      </c>
      <c r="G105" s="2">
        <f>$B105/G$5</f>
        <v>6.1875</v>
      </c>
      <c r="H105" s="2">
        <f>$B105/H$5</f>
        <v>3.09375</v>
      </c>
      <c r="I105" s="2">
        <f>$B105/I$5</f>
        <v>1.546875</v>
      </c>
      <c r="J105" s="2">
        <f>$B105/J$5</f>
        <v>0.7734375</v>
      </c>
      <c r="L105" s="2">
        <v>0.7734375</v>
      </c>
      <c r="M105" s="23" t="s">
        <v>194</v>
      </c>
      <c r="N105" s="4">
        <f>99/128</f>
        <v>0.7734375</v>
      </c>
      <c r="O105" s="21">
        <f t="shared" si="2"/>
        <v>0</v>
      </c>
      <c r="P105" s="24" t="s">
        <v>6</v>
      </c>
      <c r="Q105" s="31"/>
      <c r="R105" s="32"/>
      <c r="S105" s="32"/>
      <c r="T105" s="34"/>
    </row>
    <row r="106" spans="2:20" x14ac:dyDescent="0.25">
      <c r="B106" s="6">
        <f t="shared" si="3"/>
        <v>100</v>
      </c>
      <c r="C106" s="2">
        <f>$B106/C$5</f>
        <v>100</v>
      </c>
      <c r="D106" s="3">
        <f>$B106/D$5</f>
        <v>50</v>
      </c>
      <c r="E106" s="3">
        <f>$B106/E$5</f>
        <v>25</v>
      </c>
      <c r="F106" s="3">
        <f>$B106/F$5</f>
        <v>12.5</v>
      </c>
      <c r="G106" s="3">
        <f>$B106/G$5</f>
        <v>6.25</v>
      </c>
      <c r="H106" s="3">
        <f>$B106/H$5</f>
        <v>3.125</v>
      </c>
      <c r="I106" s="3">
        <f>$B106/I$5</f>
        <v>1.5625</v>
      </c>
      <c r="J106" s="3">
        <f>$B106/J$5</f>
        <v>0.78125</v>
      </c>
      <c r="L106" s="2">
        <v>0.78125</v>
      </c>
      <c r="M106" s="23" t="s">
        <v>928</v>
      </c>
      <c r="N106" s="23">
        <f>25/32</f>
        <v>0.78125</v>
      </c>
      <c r="O106" s="21">
        <f t="shared" si="2"/>
        <v>0</v>
      </c>
      <c r="P106" s="24" t="s">
        <v>6</v>
      </c>
      <c r="Q106" s="31"/>
      <c r="R106" s="32"/>
      <c r="S106" s="32"/>
      <c r="T106" s="34"/>
    </row>
    <row r="107" spans="2:20" x14ac:dyDescent="0.25">
      <c r="B107" s="6">
        <f t="shared" si="3"/>
        <v>101</v>
      </c>
      <c r="C107" s="2">
        <f>$B107/C$5</f>
        <v>101</v>
      </c>
      <c r="D107" s="2">
        <f>$B107/D$5</f>
        <v>50.5</v>
      </c>
      <c r="E107" s="2">
        <f>$B107/E$5</f>
        <v>25.25</v>
      </c>
      <c r="F107" s="2">
        <f>$B107/F$5</f>
        <v>12.625</v>
      </c>
      <c r="G107" s="2">
        <f>$B107/G$5</f>
        <v>6.3125</v>
      </c>
      <c r="H107" s="2">
        <f>$B107/H$5</f>
        <v>3.15625</v>
      </c>
      <c r="I107" s="2">
        <f>$B107/I$5</f>
        <v>1.578125</v>
      </c>
      <c r="J107" s="2">
        <f>$B107/J$5</f>
        <v>0.7890625</v>
      </c>
      <c r="L107" s="2">
        <v>0.7890625</v>
      </c>
      <c r="M107" s="23" t="s">
        <v>195</v>
      </c>
      <c r="N107" s="4">
        <f>101/128</f>
        <v>0.7890625</v>
      </c>
      <c r="O107" s="21">
        <f t="shared" si="2"/>
        <v>0</v>
      </c>
      <c r="P107" s="24" t="s">
        <v>6</v>
      </c>
      <c r="Q107" s="31"/>
      <c r="R107" s="32"/>
      <c r="S107" s="32"/>
      <c r="T107" s="34"/>
    </row>
    <row r="108" spans="2:20" x14ac:dyDescent="0.25">
      <c r="B108" s="6">
        <f t="shared" si="3"/>
        <v>102</v>
      </c>
      <c r="C108" s="2">
        <f>$B108/C$5</f>
        <v>102</v>
      </c>
      <c r="D108" s="3">
        <f>$B108/D$5</f>
        <v>51</v>
      </c>
      <c r="E108" s="3">
        <f>$B108/E$5</f>
        <v>25.5</v>
      </c>
      <c r="F108" s="3">
        <f>$B108/F$5</f>
        <v>12.75</v>
      </c>
      <c r="G108" s="3">
        <f>$B108/G$5</f>
        <v>6.375</v>
      </c>
      <c r="H108" s="3">
        <f>$B108/H$5</f>
        <v>3.1875</v>
      </c>
      <c r="I108" s="3">
        <f>$B108/I$5</f>
        <v>1.59375</v>
      </c>
      <c r="J108" s="3">
        <f>$B108/J$5</f>
        <v>0.796875</v>
      </c>
      <c r="L108" s="2">
        <v>0.796875</v>
      </c>
      <c r="M108" s="23" t="s">
        <v>1065</v>
      </c>
      <c r="N108" s="23">
        <f>51/64</f>
        <v>0.796875</v>
      </c>
      <c r="O108" s="21">
        <f t="shared" si="2"/>
        <v>0</v>
      </c>
      <c r="P108" s="24" t="s">
        <v>6</v>
      </c>
      <c r="Q108" s="31"/>
      <c r="R108" s="32"/>
      <c r="S108" s="32"/>
      <c r="T108" s="34"/>
    </row>
    <row r="109" spans="2:20" x14ac:dyDescent="0.25">
      <c r="B109" s="6">
        <f t="shared" si="3"/>
        <v>103</v>
      </c>
      <c r="C109" s="2">
        <f>$B109/C$5</f>
        <v>103</v>
      </c>
      <c r="D109" s="2">
        <f>$B109/D$5</f>
        <v>51.5</v>
      </c>
      <c r="E109" s="2">
        <f>$B109/E$5</f>
        <v>25.75</v>
      </c>
      <c r="F109" s="2">
        <f>$B109/F$5</f>
        <v>12.875</v>
      </c>
      <c r="G109" s="2">
        <f>$B109/G$5</f>
        <v>6.4375</v>
      </c>
      <c r="H109" s="2">
        <f>$B109/H$5</f>
        <v>3.21875</v>
      </c>
      <c r="I109" s="2">
        <f>$B109/I$5</f>
        <v>1.609375</v>
      </c>
      <c r="J109" s="2">
        <f>$B109/J$5</f>
        <v>0.8046875</v>
      </c>
      <c r="L109" s="2">
        <v>0.8046875</v>
      </c>
      <c r="M109" s="23" t="s">
        <v>196</v>
      </c>
      <c r="N109" s="4">
        <f>103/128</f>
        <v>0.8046875</v>
      </c>
      <c r="O109" s="21">
        <f t="shared" si="2"/>
        <v>0</v>
      </c>
      <c r="P109" s="24" t="s">
        <v>6</v>
      </c>
      <c r="Q109" s="31"/>
      <c r="R109" s="32"/>
      <c r="S109" s="32"/>
      <c r="T109" s="34"/>
    </row>
    <row r="110" spans="2:20" x14ac:dyDescent="0.25">
      <c r="B110" s="6">
        <f t="shared" si="3"/>
        <v>104</v>
      </c>
      <c r="C110" s="2">
        <f>$B110/C$5</f>
        <v>104</v>
      </c>
      <c r="D110" s="3">
        <f>$B110/D$5</f>
        <v>52</v>
      </c>
      <c r="E110" s="3">
        <f>$B110/E$5</f>
        <v>26</v>
      </c>
      <c r="F110" s="3">
        <f>$B110/F$5</f>
        <v>13</v>
      </c>
      <c r="G110" s="3">
        <f>$B110/G$5</f>
        <v>6.5</v>
      </c>
      <c r="H110" s="3">
        <f>$B110/H$5</f>
        <v>3.25</v>
      </c>
      <c r="I110" s="3">
        <f>$B110/I$5</f>
        <v>1.625</v>
      </c>
      <c r="J110" s="3">
        <f>$B110/J$5</f>
        <v>0.8125</v>
      </c>
      <c r="L110" s="2">
        <v>0.8125</v>
      </c>
      <c r="M110" s="23" t="s">
        <v>796</v>
      </c>
      <c r="N110" s="23">
        <f>13/16</f>
        <v>0.8125</v>
      </c>
      <c r="O110" s="21">
        <f t="shared" si="2"/>
        <v>0</v>
      </c>
      <c r="P110" s="24" t="s">
        <v>6</v>
      </c>
      <c r="Q110" s="31"/>
      <c r="R110" s="32"/>
      <c r="S110" s="32"/>
      <c r="T110" s="34"/>
    </row>
    <row r="111" spans="2:20" x14ac:dyDescent="0.25">
      <c r="B111" s="6">
        <f t="shared" si="3"/>
        <v>105</v>
      </c>
      <c r="C111" s="2">
        <f>$B111/C$5</f>
        <v>105</v>
      </c>
      <c r="D111" s="2">
        <f>$B111/D$5</f>
        <v>52.5</v>
      </c>
      <c r="E111" s="2">
        <f>$B111/E$5</f>
        <v>26.25</v>
      </c>
      <c r="F111" s="2">
        <f>$B111/F$5</f>
        <v>13.125</v>
      </c>
      <c r="G111" s="2">
        <f>$B111/G$5</f>
        <v>6.5625</v>
      </c>
      <c r="H111" s="2">
        <f>$B111/H$5</f>
        <v>3.28125</v>
      </c>
      <c r="I111" s="2">
        <f>$B111/I$5</f>
        <v>1.640625</v>
      </c>
      <c r="J111" s="2">
        <f>$B111/J$5</f>
        <v>0.8203125</v>
      </c>
      <c r="L111" s="2">
        <v>0.8203125</v>
      </c>
      <c r="M111" s="23" t="s">
        <v>197</v>
      </c>
      <c r="N111" s="4">
        <f>105/128</f>
        <v>0.8203125</v>
      </c>
      <c r="O111" s="21">
        <f t="shared" si="2"/>
        <v>0</v>
      </c>
      <c r="P111" s="24" t="s">
        <v>6</v>
      </c>
      <c r="Q111" s="31"/>
      <c r="R111" s="32"/>
      <c r="S111" s="32"/>
      <c r="T111" s="34"/>
    </row>
    <row r="112" spans="2:20" x14ac:dyDescent="0.25">
      <c r="B112" s="6">
        <f t="shared" si="3"/>
        <v>106</v>
      </c>
      <c r="C112" s="2">
        <f>$B112/C$5</f>
        <v>106</v>
      </c>
      <c r="D112" s="3">
        <f>$B112/D$5</f>
        <v>53</v>
      </c>
      <c r="E112" s="3">
        <f>$B112/E$5</f>
        <v>26.5</v>
      </c>
      <c r="F112" s="3">
        <f>$B112/F$5</f>
        <v>13.25</v>
      </c>
      <c r="G112" s="3">
        <f>$B112/G$5</f>
        <v>6.625</v>
      </c>
      <c r="H112" s="3">
        <f>$B112/H$5</f>
        <v>3.3125</v>
      </c>
      <c r="I112" s="3">
        <f>$B112/I$5</f>
        <v>1.65625</v>
      </c>
      <c r="J112" s="3">
        <f>$B112/J$5</f>
        <v>0.828125</v>
      </c>
      <c r="L112" s="2">
        <v>0.828125</v>
      </c>
      <c r="M112" s="23" t="s">
        <v>1066</v>
      </c>
      <c r="N112" s="23">
        <f>53/64</f>
        <v>0.828125</v>
      </c>
      <c r="O112" s="21">
        <f t="shared" si="2"/>
        <v>0</v>
      </c>
      <c r="P112" s="24" t="s">
        <v>6</v>
      </c>
      <c r="Q112" s="31"/>
      <c r="R112" s="32"/>
      <c r="S112" s="32"/>
      <c r="T112" s="34"/>
    </row>
    <row r="113" spans="2:20" x14ac:dyDescent="0.25">
      <c r="B113" s="6">
        <f t="shared" si="3"/>
        <v>107</v>
      </c>
      <c r="C113" s="2">
        <f>$B113/C$5</f>
        <v>107</v>
      </c>
      <c r="D113" s="2">
        <f>$B113/D$5</f>
        <v>53.5</v>
      </c>
      <c r="E113" s="2">
        <f>$B113/E$5</f>
        <v>26.75</v>
      </c>
      <c r="F113" s="2">
        <f>$B113/F$5</f>
        <v>13.375</v>
      </c>
      <c r="G113" s="2">
        <f>$B113/G$5</f>
        <v>6.6875</v>
      </c>
      <c r="H113" s="2">
        <f>$B113/H$5</f>
        <v>3.34375</v>
      </c>
      <c r="I113" s="2">
        <f>$B113/I$5</f>
        <v>1.671875</v>
      </c>
      <c r="J113" s="2">
        <f>$B113/J$5</f>
        <v>0.8359375</v>
      </c>
      <c r="L113" s="2">
        <v>0.8359375</v>
      </c>
      <c r="M113" s="23" t="s">
        <v>198</v>
      </c>
      <c r="N113" s="4">
        <f>107/128</f>
        <v>0.8359375</v>
      </c>
      <c r="O113" s="21">
        <f t="shared" si="2"/>
        <v>0</v>
      </c>
      <c r="P113" s="24" t="s">
        <v>6</v>
      </c>
      <c r="Q113" s="31"/>
      <c r="R113" s="32"/>
      <c r="S113" s="32"/>
      <c r="T113" s="34"/>
    </row>
    <row r="114" spans="2:20" x14ac:dyDescent="0.25">
      <c r="B114" s="6">
        <f t="shared" si="3"/>
        <v>108</v>
      </c>
      <c r="C114" s="2">
        <f>$B114/C$5</f>
        <v>108</v>
      </c>
      <c r="D114" s="3">
        <f>$B114/D$5</f>
        <v>54</v>
      </c>
      <c r="E114" s="3">
        <f>$B114/E$5</f>
        <v>27</v>
      </c>
      <c r="F114" s="3">
        <f>$B114/F$5</f>
        <v>13.5</v>
      </c>
      <c r="G114" s="3">
        <f>$B114/G$5</f>
        <v>6.75</v>
      </c>
      <c r="H114" s="3">
        <f>$B114/H$5</f>
        <v>3.375</v>
      </c>
      <c r="I114" s="3">
        <f>$B114/I$5</f>
        <v>1.6875</v>
      </c>
      <c r="J114" s="3">
        <f>$B114/J$5</f>
        <v>0.84375</v>
      </c>
      <c r="L114" s="2">
        <v>0.84375</v>
      </c>
      <c r="M114" s="23" t="s">
        <v>929</v>
      </c>
      <c r="N114" s="23">
        <f>27/32</f>
        <v>0.84375</v>
      </c>
      <c r="O114" s="21">
        <f t="shared" si="2"/>
        <v>0</v>
      </c>
      <c r="P114" s="24" t="s">
        <v>6</v>
      </c>
      <c r="Q114" s="31"/>
      <c r="R114" s="32"/>
      <c r="S114" s="32"/>
      <c r="T114" s="34"/>
    </row>
    <row r="115" spans="2:20" x14ac:dyDescent="0.25">
      <c r="B115" s="6">
        <f t="shared" si="3"/>
        <v>109</v>
      </c>
      <c r="C115" s="2">
        <f>$B115/C$5</f>
        <v>109</v>
      </c>
      <c r="D115" s="2">
        <f>$B115/D$5</f>
        <v>54.5</v>
      </c>
      <c r="E115" s="2">
        <f>$B115/E$5</f>
        <v>27.25</v>
      </c>
      <c r="F115" s="2">
        <f>$B115/F$5</f>
        <v>13.625</v>
      </c>
      <c r="G115" s="2">
        <f>$B115/G$5</f>
        <v>6.8125</v>
      </c>
      <c r="H115" s="2">
        <f>$B115/H$5</f>
        <v>3.40625</v>
      </c>
      <c r="I115" s="2">
        <f>$B115/I$5</f>
        <v>1.703125</v>
      </c>
      <c r="J115" s="2">
        <f>$B115/J$5</f>
        <v>0.8515625</v>
      </c>
      <c r="L115" s="2">
        <v>0.8515625</v>
      </c>
      <c r="M115" s="23" t="s">
        <v>199</v>
      </c>
      <c r="N115" s="4">
        <f>109/128</f>
        <v>0.8515625</v>
      </c>
      <c r="O115" s="21">
        <f t="shared" si="2"/>
        <v>0</v>
      </c>
      <c r="P115" s="24" t="s">
        <v>6</v>
      </c>
      <c r="Q115" s="31"/>
      <c r="R115" s="32"/>
      <c r="S115" s="32"/>
      <c r="T115" s="34"/>
    </row>
    <row r="116" spans="2:20" x14ac:dyDescent="0.25">
      <c r="B116" s="6">
        <f t="shared" si="3"/>
        <v>110</v>
      </c>
      <c r="C116" s="2">
        <f>$B116/C$5</f>
        <v>110</v>
      </c>
      <c r="D116" s="3">
        <f>$B116/D$5</f>
        <v>55</v>
      </c>
      <c r="E116" s="3">
        <f>$B116/E$5</f>
        <v>27.5</v>
      </c>
      <c r="F116" s="3">
        <f>$B116/F$5</f>
        <v>13.75</v>
      </c>
      <c r="G116" s="3">
        <f>$B116/G$5</f>
        <v>6.875</v>
      </c>
      <c r="H116" s="3">
        <f>$B116/H$5</f>
        <v>3.4375</v>
      </c>
      <c r="I116" s="3">
        <f>$B116/I$5</f>
        <v>1.71875</v>
      </c>
      <c r="J116" s="3">
        <f>$B116/J$5</f>
        <v>0.859375</v>
      </c>
      <c r="L116" s="2">
        <v>0.859375</v>
      </c>
      <c r="M116" s="23" t="s">
        <v>1067</v>
      </c>
      <c r="N116" s="23">
        <f>55/64</f>
        <v>0.859375</v>
      </c>
      <c r="O116" s="21">
        <f t="shared" si="2"/>
        <v>0</v>
      </c>
      <c r="P116" s="24" t="s">
        <v>6</v>
      </c>
      <c r="Q116" s="31"/>
      <c r="R116" s="32"/>
      <c r="S116" s="32"/>
      <c r="T116" s="34"/>
    </row>
    <row r="117" spans="2:20" x14ac:dyDescent="0.25">
      <c r="B117" s="6">
        <f t="shared" si="3"/>
        <v>111</v>
      </c>
      <c r="C117" s="2">
        <f>$B117/C$5</f>
        <v>111</v>
      </c>
      <c r="D117" s="2">
        <f>$B117/D$5</f>
        <v>55.5</v>
      </c>
      <c r="E117" s="2">
        <f>$B117/E$5</f>
        <v>27.75</v>
      </c>
      <c r="F117" s="2">
        <f>$B117/F$5</f>
        <v>13.875</v>
      </c>
      <c r="G117" s="2">
        <f>$B117/G$5</f>
        <v>6.9375</v>
      </c>
      <c r="H117" s="2">
        <f>$B117/H$5</f>
        <v>3.46875</v>
      </c>
      <c r="I117" s="2">
        <f>$B117/I$5</f>
        <v>1.734375</v>
      </c>
      <c r="J117" s="2">
        <f>$B117/J$5</f>
        <v>0.8671875</v>
      </c>
      <c r="L117" s="2">
        <v>0.8671875</v>
      </c>
      <c r="M117" s="23" t="s">
        <v>200</v>
      </c>
      <c r="N117" s="4">
        <f>111/128</f>
        <v>0.8671875</v>
      </c>
      <c r="O117" s="21">
        <f t="shared" si="2"/>
        <v>0</v>
      </c>
      <c r="P117" s="24" t="s">
        <v>6</v>
      </c>
      <c r="Q117" s="31"/>
      <c r="R117" s="32"/>
      <c r="S117" s="32"/>
      <c r="T117" s="34"/>
    </row>
    <row r="118" spans="2:20" x14ac:dyDescent="0.25">
      <c r="B118" s="6">
        <f t="shared" si="3"/>
        <v>112</v>
      </c>
      <c r="C118" s="2">
        <f>$B118/C$5</f>
        <v>112</v>
      </c>
      <c r="D118" s="3">
        <f>$B118/D$5</f>
        <v>56</v>
      </c>
      <c r="E118" s="3">
        <f>$B118/E$5</f>
        <v>28</v>
      </c>
      <c r="F118" s="3">
        <f>$B118/F$5</f>
        <v>14</v>
      </c>
      <c r="G118" s="3">
        <f>$B118/G$5</f>
        <v>7</v>
      </c>
      <c r="H118" s="3">
        <f>$B118/H$5</f>
        <v>3.5</v>
      </c>
      <c r="I118" s="3">
        <f>$B118/I$5</f>
        <v>1.75</v>
      </c>
      <c r="J118" s="3">
        <f>$B118/J$5</f>
        <v>0.875</v>
      </c>
      <c r="L118" s="2">
        <v>0.875</v>
      </c>
      <c r="M118" s="23" t="s">
        <v>666</v>
      </c>
      <c r="N118" s="23">
        <f>7/8</f>
        <v>0.875</v>
      </c>
      <c r="O118" s="21">
        <f t="shared" si="2"/>
        <v>0</v>
      </c>
      <c r="P118" s="24" t="s">
        <v>6</v>
      </c>
      <c r="Q118" s="31"/>
      <c r="R118" s="32"/>
      <c r="S118" s="32"/>
      <c r="T118" s="34"/>
    </row>
    <row r="119" spans="2:20" x14ac:dyDescent="0.25">
      <c r="B119" s="6">
        <f t="shared" si="3"/>
        <v>113</v>
      </c>
      <c r="C119" s="2">
        <f>$B119/C$5</f>
        <v>113</v>
      </c>
      <c r="D119" s="2">
        <f>$B119/D$5</f>
        <v>56.5</v>
      </c>
      <c r="E119" s="2">
        <f>$B119/E$5</f>
        <v>28.25</v>
      </c>
      <c r="F119" s="2">
        <f>$B119/F$5</f>
        <v>14.125</v>
      </c>
      <c r="G119" s="2">
        <f>$B119/G$5</f>
        <v>7.0625</v>
      </c>
      <c r="H119" s="2">
        <f>$B119/H$5</f>
        <v>3.53125</v>
      </c>
      <c r="I119" s="2">
        <f>$B119/I$5</f>
        <v>1.765625</v>
      </c>
      <c r="J119" s="2">
        <f>$B119/J$5</f>
        <v>0.8828125</v>
      </c>
      <c r="L119" s="2">
        <v>0.8828125</v>
      </c>
      <c r="M119" s="23" t="s">
        <v>201</v>
      </c>
      <c r="N119" s="4">
        <f>113/128</f>
        <v>0.8828125</v>
      </c>
      <c r="O119" s="21">
        <f t="shared" si="2"/>
        <v>0</v>
      </c>
      <c r="P119" s="24" t="s">
        <v>6</v>
      </c>
      <c r="Q119" s="31"/>
      <c r="R119" s="32"/>
      <c r="S119" s="32"/>
      <c r="T119" s="34"/>
    </row>
    <row r="120" spans="2:20" x14ac:dyDescent="0.25">
      <c r="B120" s="6">
        <f t="shared" si="3"/>
        <v>114</v>
      </c>
      <c r="C120" s="2">
        <f>$B120/C$5</f>
        <v>114</v>
      </c>
      <c r="D120" s="3">
        <f>$B120/D$5</f>
        <v>57</v>
      </c>
      <c r="E120" s="3">
        <f>$B120/E$5</f>
        <v>28.5</v>
      </c>
      <c r="F120" s="3">
        <f>$B120/F$5</f>
        <v>14.25</v>
      </c>
      <c r="G120" s="3">
        <f>$B120/G$5</f>
        <v>7.125</v>
      </c>
      <c r="H120" s="3">
        <f>$B120/H$5</f>
        <v>3.5625</v>
      </c>
      <c r="I120" s="3">
        <f>$B120/I$5</f>
        <v>1.78125</v>
      </c>
      <c r="J120" s="3">
        <f>$B120/J$5</f>
        <v>0.890625</v>
      </c>
      <c r="L120" s="2">
        <v>0.890625</v>
      </c>
      <c r="M120" s="23" t="s">
        <v>1068</v>
      </c>
      <c r="N120" s="23">
        <f>57/64</f>
        <v>0.890625</v>
      </c>
      <c r="O120" s="21">
        <f t="shared" si="2"/>
        <v>0</v>
      </c>
      <c r="P120" s="24" t="s">
        <v>6</v>
      </c>
      <c r="Q120" s="31"/>
      <c r="R120" s="32"/>
      <c r="S120" s="32"/>
      <c r="T120" s="34"/>
    </row>
    <row r="121" spans="2:20" x14ac:dyDescent="0.25">
      <c r="B121" s="6">
        <f t="shared" si="3"/>
        <v>115</v>
      </c>
      <c r="C121" s="2">
        <f>$B121/C$5</f>
        <v>115</v>
      </c>
      <c r="D121" s="2">
        <f>$B121/D$5</f>
        <v>57.5</v>
      </c>
      <c r="E121" s="2">
        <f>$B121/E$5</f>
        <v>28.75</v>
      </c>
      <c r="F121" s="2">
        <f>$B121/F$5</f>
        <v>14.375</v>
      </c>
      <c r="G121" s="2">
        <f>$B121/G$5</f>
        <v>7.1875</v>
      </c>
      <c r="H121" s="2">
        <f>$B121/H$5</f>
        <v>3.59375</v>
      </c>
      <c r="I121" s="2">
        <f>$B121/I$5</f>
        <v>1.796875</v>
      </c>
      <c r="J121" s="2">
        <f>$B121/J$5</f>
        <v>0.8984375</v>
      </c>
      <c r="L121" s="2">
        <v>0.8984375</v>
      </c>
      <c r="M121" s="23" t="s">
        <v>202</v>
      </c>
      <c r="N121" s="4">
        <f>115/128</f>
        <v>0.8984375</v>
      </c>
      <c r="O121" s="21">
        <f t="shared" si="2"/>
        <v>0</v>
      </c>
      <c r="P121" s="24" t="s">
        <v>6</v>
      </c>
      <c r="Q121" s="31"/>
      <c r="R121" s="32"/>
      <c r="S121" s="32"/>
      <c r="T121" s="34"/>
    </row>
    <row r="122" spans="2:20" x14ac:dyDescent="0.25">
      <c r="B122" s="6">
        <f t="shared" si="3"/>
        <v>116</v>
      </c>
      <c r="C122" s="2">
        <f>$B122/C$5</f>
        <v>116</v>
      </c>
      <c r="D122" s="3">
        <f>$B122/D$5</f>
        <v>58</v>
      </c>
      <c r="E122" s="3">
        <f>$B122/E$5</f>
        <v>29</v>
      </c>
      <c r="F122" s="3">
        <f>$B122/F$5</f>
        <v>14.5</v>
      </c>
      <c r="G122" s="3">
        <f>$B122/G$5</f>
        <v>7.25</v>
      </c>
      <c r="H122" s="3">
        <f>$B122/H$5</f>
        <v>3.625</v>
      </c>
      <c r="I122" s="3">
        <f>$B122/I$5</f>
        <v>1.8125</v>
      </c>
      <c r="J122" s="3">
        <f>$B122/J$5</f>
        <v>0.90625</v>
      </c>
      <c r="L122" s="2">
        <v>0.90625</v>
      </c>
      <c r="M122" s="23" t="s">
        <v>930</v>
      </c>
      <c r="N122" s="23">
        <f>29/32</f>
        <v>0.90625</v>
      </c>
      <c r="O122" s="21">
        <f t="shared" si="2"/>
        <v>0</v>
      </c>
      <c r="P122" s="24" t="s">
        <v>6</v>
      </c>
      <c r="Q122" s="31"/>
      <c r="R122" s="32"/>
      <c r="S122" s="32"/>
      <c r="T122" s="34"/>
    </row>
    <row r="123" spans="2:20" x14ac:dyDescent="0.25">
      <c r="B123" s="6">
        <f t="shared" si="3"/>
        <v>117</v>
      </c>
      <c r="C123" s="2">
        <f>$B123/C$5</f>
        <v>117</v>
      </c>
      <c r="D123" s="2">
        <f>$B123/D$5</f>
        <v>58.5</v>
      </c>
      <c r="E123" s="2">
        <f>$B123/E$5</f>
        <v>29.25</v>
      </c>
      <c r="F123" s="2">
        <f>$B123/F$5</f>
        <v>14.625</v>
      </c>
      <c r="G123" s="2">
        <f>$B123/G$5</f>
        <v>7.3125</v>
      </c>
      <c r="H123" s="2">
        <f>$B123/H$5</f>
        <v>3.65625</v>
      </c>
      <c r="I123" s="2">
        <f>$B123/I$5</f>
        <v>1.828125</v>
      </c>
      <c r="J123" s="2">
        <f>$B123/J$5</f>
        <v>0.9140625</v>
      </c>
      <c r="L123" s="2">
        <v>0.9140625</v>
      </c>
      <c r="M123" s="23" t="s">
        <v>203</v>
      </c>
      <c r="N123" s="4">
        <f>117/128</f>
        <v>0.9140625</v>
      </c>
      <c r="O123" s="21">
        <f t="shared" si="2"/>
        <v>0</v>
      </c>
      <c r="P123" s="24" t="s">
        <v>6</v>
      </c>
      <c r="Q123" s="31"/>
      <c r="R123" s="32"/>
      <c r="S123" s="32"/>
      <c r="T123" s="34"/>
    </row>
    <row r="124" spans="2:20" x14ac:dyDescent="0.25">
      <c r="B124" s="6">
        <f t="shared" si="3"/>
        <v>118</v>
      </c>
      <c r="C124" s="2">
        <f>$B124/C$5</f>
        <v>118</v>
      </c>
      <c r="D124" s="3">
        <f>$B124/D$5</f>
        <v>59</v>
      </c>
      <c r="E124" s="3">
        <f>$B124/E$5</f>
        <v>29.5</v>
      </c>
      <c r="F124" s="3">
        <f>$B124/F$5</f>
        <v>14.75</v>
      </c>
      <c r="G124" s="3">
        <f>$B124/G$5</f>
        <v>7.375</v>
      </c>
      <c r="H124" s="3">
        <f>$B124/H$5</f>
        <v>3.6875</v>
      </c>
      <c r="I124" s="3">
        <f>$B124/I$5</f>
        <v>1.84375</v>
      </c>
      <c r="J124" s="3">
        <f>$B124/J$5</f>
        <v>0.921875</v>
      </c>
      <c r="L124" s="2">
        <v>0.921875</v>
      </c>
      <c r="M124" s="23" t="s">
        <v>1069</v>
      </c>
      <c r="N124" s="23">
        <f>59/64</f>
        <v>0.921875</v>
      </c>
      <c r="O124" s="21">
        <f t="shared" si="2"/>
        <v>0</v>
      </c>
      <c r="P124" s="24" t="s">
        <v>6</v>
      </c>
      <c r="Q124" s="31"/>
      <c r="R124" s="32"/>
      <c r="S124" s="32"/>
      <c r="T124" s="34"/>
    </row>
    <row r="125" spans="2:20" x14ac:dyDescent="0.25">
      <c r="B125" s="6">
        <f t="shared" si="3"/>
        <v>119</v>
      </c>
      <c r="C125" s="2">
        <f>$B125/C$5</f>
        <v>119</v>
      </c>
      <c r="D125" s="2">
        <f>$B125/D$5</f>
        <v>59.5</v>
      </c>
      <c r="E125" s="2">
        <f>$B125/E$5</f>
        <v>29.75</v>
      </c>
      <c r="F125" s="2">
        <f>$B125/F$5</f>
        <v>14.875</v>
      </c>
      <c r="G125" s="2">
        <f>$B125/G$5</f>
        <v>7.4375</v>
      </c>
      <c r="H125" s="2">
        <f>$B125/H$5</f>
        <v>3.71875</v>
      </c>
      <c r="I125" s="2">
        <f>$B125/I$5</f>
        <v>1.859375</v>
      </c>
      <c r="J125" s="2">
        <f>$B125/J$5</f>
        <v>0.9296875</v>
      </c>
      <c r="L125" s="2">
        <v>0.9296875</v>
      </c>
      <c r="M125" s="23" t="s">
        <v>204</v>
      </c>
      <c r="N125" s="4">
        <f>119/128</f>
        <v>0.9296875</v>
      </c>
      <c r="O125" s="21">
        <f t="shared" si="2"/>
        <v>0</v>
      </c>
      <c r="P125" s="24" t="s">
        <v>6</v>
      </c>
      <c r="Q125" s="31"/>
      <c r="R125" s="32"/>
      <c r="S125" s="32"/>
      <c r="T125" s="34"/>
    </row>
    <row r="126" spans="2:20" x14ac:dyDescent="0.25">
      <c r="B126" s="6">
        <f t="shared" si="3"/>
        <v>120</v>
      </c>
      <c r="C126" s="2">
        <f>$B126/C$5</f>
        <v>120</v>
      </c>
      <c r="D126" s="3">
        <f>$B126/D$5</f>
        <v>60</v>
      </c>
      <c r="E126" s="3">
        <f>$B126/E$5</f>
        <v>30</v>
      </c>
      <c r="F126" s="3">
        <f>$B126/F$5</f>
        <v>15</v>
      </c>
      <c r="G126" s="3">
        <f>$B126/G$5</f>
        <v>7.5</v>
      </c>
      <c r="H126" s="3">
        <f>$B126/H$5</f>
        <v>3.75</v>
      </c>
      <c r="I126" s="3">
        <f>$B126/I$5</f>
        <v>1.875</v>
      </c>
      <c r="J126" s="3">
        <f>$B126/J$5</f>
        <v>0.9375</v>
      </c>
      <c r="L126" s="2">
        <v>0.9375</v>
      </c>
      <c r="M126" s="23" t="s">
        <v>797</v>
      </c>
      <c r="N126" s="23">
        <f>15/16</f>
        <v>0.9375</v>
      </c>
      <c r="O126" s="21">
        <f t="shared" si="2"/>
        <v>0</v>
      </c>
      <c r="P126" s="24" t="s">
        <v>6</v>
      </c>
      <c r="Q126" s="31"/>
      <c r="R126" s="32"/>
      <c r="S126" s="32"/>
      <c r="T126" s="34"/>
    </row>
    <row r="127" spans="2:20" x14ac:dyDescent="0.25">
      <c r="B127" s="6">
        <f t="shared" si="3"/>
        <v>121</v>
      </c>
      <c r="C127" s="2">
        <f>$B127/C$5</f>
        <v>121</v>
      </c>
      <c r="D127" s="2">
        <f>$B127/D$5</f>
        <v>60.5</v>
      </c>
      <c r="E127" s="2">
        <f>$B127/E$5</f>
        <v>30.25</v>
      </c>
      <c r="F127" s="2">
        <f>$B127/F$5</f>
        <v>15.125</v>
      </c>
      <c r="G127" s="2">
        <f>$B127/G$5</f>
        <v>7.5625</v>
      </c>
      <c r="H127" s="2">
        <f>$B127/H$5</f>
        <v>3.78125</v>
      </c>
      <c r="I127" s="2">
        <f>$B127/I$5</f>
        <v>1.890625</v>
      </c>
      <c r="J127" s="2">
        <f>$B127/J$5</f>
        <v>0.9453125</v>
      </c>
      <c r="L127" s="2">
        <v>0.9453125</v>
      </c>
      <c r="M127" s="23" t="s">
        <v>205</v>
      </c>
      <c r="N127" s="4">
        <f>121/128</f>
        <v>0.9453125</v>
      </c>
      <c r="O127" s="21">
        <f t="shared" si="2"/>
        <v>0</v>
      </c>
      <c r="P127" s="24" t="s">
        <v>6</v>
      </c>
      <c r="Q127" s="31"/>
      <c r="R127" s="32"/>
      <c r="S127" s="32"/>
      <c r="T127" s="34"/>
    </row>
    <row r="128" spans="2:20" x14ac:dyDescent="0.25">
      <c r="B128" s="6">
        <f t="shared" si="3"/>
        <v>122</v>
      </c>
      <c r="C128" s="2">
        <f>$B128/C$5</f>
        <v>122</v>
      </c>
      <c r="D128" s="3">
        <f>$B128/D$5</f>
        <v>61</v>
      </c>
      <c r="E128" s="3">
        <f>$B128/E$5</f>
        <v>30.5</v>
      </c>
      <c r="F128" s="3">
        <f>$B128/F$5</f>
        <v>15.25</v>
      </c>
      <c r="G128" s="3">
        <f>$B128/G$5</f>
        <v>7.625</v>
      </c>
      <c r="H128" s="3">
        <f>$B128/H$5</f>
        <v>3.8125</v>
      </c>
      <c r="I128" s="3">
        <f>$B128/I$5</f>
        <v>1.90625</v>
      </c>
      <c r="J128" s="3">
        <f>$B128/J$5</f>
        <v>0.953125</v>
      </c>
      <c r="L128" s="2">
        <v>0.953125</v>
      </c>
      <c r="M128" s="23" t="s">
        <v>1070</v>
      </c>
      <c r="N128" s="23">
        <f>61/64</f>
        <v>0.953125</v>
      </c>
      <c r="O128" s="21">
        <f t="shared" si="2"/>
        <v>0</v>
      </c>
      <c r="P128" s="24" t="s">
        <v>6</v>
      </c>
      <c r="Q128" s="31"/>
      <c r="R128" s="32"/>
      <c r="S128" s="32"/>
      <c r="T128" s="34"/>
    </row>
    <row r="129" spans="2:20" x14ac:dyDescent="0.25">
      <c r="B129" s="6">
        <f t="shared" si="3"/>
        <v>123</v>
      </c>
      <c r="C129" s="2">
        <f>$B129/C$5</f>
        <v>123</v>
      </c>
      <c r="D129" s="2">
        <f>$B129/D$5</f>
        <v>61.5</v>
      </c>
      <c r="E129" s="2">
        <f>$B129/E$5</f>
        <v>30.75</v>
      </c>
      <c r="F129" s="2">
        <f>$B129/F$5</f>
        <v>15.375</v>
      </c>
      <c r="G129" s="2">
        <f>$B129/G$5</f>
        <v>7.6875</v>
      </c>
      <c r="H129" s="2">
        <f>$B129/H$5</f>
        <v>3.84375</v>
      </c>
      <c r="I129" s="2">
        <f>$B129/I$5</f>
        <v>1.921875</v>
      </c>
      <c r="J129" s="2">
        <f>$B129/J$5</f>
        <v>0.9609375</v>
      </c>
      <c r="L129" s="2">
        <v>0.9609375</v>
      </c>
      <c r="M129" s="23" t="s">
        <v>206</v>
      </c>
      <c r="N129" s="4">
        <f>123/128</f>
        <v>0.9609375</v>
      </c>
      <c r="O129" s="21">
        <f t="shared" si="2"/>
        <v>0</v>
      </c>
      <c r="P129" s="24" t="s">
        <v>6</v>
      </c>
      <c r="Q129" s="31"/>
      <c r="R129" s="32"/>
      <c r="S129" s="32"/>
      <c r="T129" s="34"/>
    </row>
    <row r="130" spans="2:20" x14ac:dyDescent="0.25">
      <c r="B130" s="6">
        <f t="shared" si="3"/>
        <v>124</v>
      </c>
      <c r="C130" s="2">
        <f>$B130/C$5</f>
        <v>124</v>
      </c>
      <c r="D130" s="3">
        <f>$B130/D$5</f>
        <v>62</v>
      </c>
      <c r="E130" s="3">
        <f>$B130/E$5</f>
        <v>31</v>
      </c>
      <c r="F130" s="3">
        <f>$B130/F$5</f>
        <v>15.5</v>
      </c>
      <c r="G130" s="3">
        <f>$B130/G$5</f>
        <v>7.75</v>
      </c>
      <c r="H130" s="3">
        <f>$B130/H$5</f>
        <v>3.875</v>
      </c>
      <c r="I130" s="3">
        <f>$B130/I$5</f>
        <v>1.9375</v>
      </c>
      <c r="J130" s="3">
        <f>$B130/J$5</f>
        <v>0.96875</v>
      </c>
      <c r="L130" s="2">
        <v>0.96875</v>
      </c>
      <c r="M130" s="23" t="s">
        <v>931</v>
      </c>
      <c r="N130" s="23">
        <f>31/32</f>
        <v>0.96875</v>
      </c>
      <c r="O130" s="21">
        <f t="shared" si="2"/>
        <v>0</v>
      </c>
      <c r="P130" s="24" t="s">
        <v>6</v>
      </c>
      <c r="Q130" s="31"/>
      <c r="R130" s="32"/>
      <c r="S130" s="32"/>
      <c r="T130" s="34"/>
    </row>
    <row r="131" spans="2:20" x14ac:dyDescent="0.25">
      <c r="B131" s="6">
        <f t="shared" si="3"/>
        <v>125</v>
      </c>
      <c r="C131" s="2">
        <f>$B131/C$5</f>
        <v>125</v>
      </c>
      <c r="D131" s="2">
        <f>$B131/D$5</f>
        <v>62.5</v>
      </c>
      <c r="E131" s="2">
        <f>$B131/E$5</f>
        <v>31.25</v>
      </c>
      <c r="F131" s="2">
        <f>$B131/F$5</f>
        <v>15.625</v>
      </c>
      <c r="G131" s="2">
        <f>$B131/G$5</f>
        <v>7.8125</v>
      </c>
      <c r="H131" s="2">
        <f>$B131/H$5</f>
        <v>3.90625</v>
      </c>
      <c r="I131" s="2">
        <f>$B131/I$5</f>
        <v>1.953125</v>
      </c>
      <c r="J131" s="2">
        <f>$B131/J$5</f>
        <v>0.9765625</v>
      </c>
      <c r="L131" s="2">
        <v>0.9765625</v>
      </c>
      <c r="M131" s="23" t="s">
        <v>207</v>
      </c>
      <c r="N131" s="4">
        <f>125/128</f>
        <v>0.9765625</v>
      </c>
      <c r="O131" s="21">
        <f t="shared" si="2"/>
        <v>0</v>
      </c>
      <c r="P131" s="24" t="s">
        <v>6</v>
      </c>
      <c r="Q131" s="31"/>
      <c r="R131" s="32"/>
      <c r="S131" s="32"/>
      <c r="T131" s="34"/>
    </row>
    <row r="132" spans="2:20" x14ac:dyDescent="0.25">
      <c r="B132" s="6">
        <f t="shared" si="3"/>
        <v>126</v>
      </c>
      <c r="C132" s="2">
        <f>$B132/C$5</f>
        <v>126</v>
      </c>
      <c r="D132" s="3">
        <f>$B132/D$5</f>
        <v>63</v>
      </c>
      <c r="E132" s="3">
        <f>$B132/E$5</f>
        <v>31.5</v>
      </c>
      <c r="F132" s="3">
        <f>$B132/F$5</f>
        <v>15.75</v>
      </c>
      <c r="G132" s="3">
        <f>$B132/G$5</f>
        <v>7.875</v>
      </c>
      <c r="H132" s="3">
        <f>$B132/H$5</f>
        <v>3.9375</v>
      </c>
      <c r="I132" s="3">
        <f>$B132/I$5</f>
        <v>1.96875</v>
      </c>
      <c r="J132" s="3">
        <f>$B132/J$5</f>
        <v>0.984375</v>
      </c>
      <c r="L132" s="2">
        <v>0.984375</v>
      </c>
      <c r="M132" s="23" t="s">
        <v>1071</v>
      </c>
      <c r="N132" s="23">
        <f>63/64</f>
        <v>0.984375</v>
      </c>
      <c r="O132" s="21">
        <f t="shared" si="2"/>
        <v>0</v>
      </c>
      <c r="P132" s="24" t="s">
        <v>6</v>
      </c>
      <c r="Q132" s="31"/>
      <c r="R132" s="32"/>
      <c r="S132" s="32"/>
      <c r="T132" s="34"/>
    </row>
    <row r="133" spans="2:20" x14ac:dyDescent="0.25">
      <c r="B133" s="6">
        <f t="shared" si="3"/>
        <v>127</v>
      </c>
      <c r="C133" s="2">
        <f>$B133/C$5</f>
        <v>127</v>
      </c>
      <c r="D133" s="2">
        <f>$B133/D$5</f>
        <v>63.5</v>
      </c>
      <c r="E133" s="2">
        <f>$B133/E$5</f>
        <v>31.75</v>
      </c>
      <c r="F133" s="2">
        <f>$B133/F$5</f>
        <v>15.875</v>
      </c>
      <c r="G133" s="2">
        <f>$B133/G$5</f>
        <v>7.9375</v>
      </c>
      <c r="H133" s="2">
        <f>$B133/H$5</f>
        <v>3.96875</v>
      </c>
      <c r="I133" s="2">
        <f>$B133/I$5</f>
        <v>1.984375</v>
      </c>
      <c r="J133" s="2">
        <f>$B133/J$5</f>
        <v>0.9921875</v>
      </c>
      <c r="L133" s="2">
        <v>0.9921875</v>
      </c>
      <c r="M133" s="23" t="s">
        <v>208</v>
      </c>
      <c r="N133" s="4">
        <f>127/128</f>
        <v>0.9921875</v>
      </c>
      <c r="O133" s="21">
        <f t="shared" si="2"/>
        <v>0</v>
      </c>
      <c r="P133" s="24" t="s">
        <v>6</v>
      </c>
      <c r="Q133" s="31"/>
      <c r="R133" s="32"/>
      <c r="S133" s="32"/>
      <c r="T133" s="34"/>
    </row>
    <row r="134" spans="2:20" x14ac:dyDescent="0.25">
      <c r="B134" s="6">
        <f t="shared" si="3"/>
        <v>128</v>
      </c>
      <c r="C134" s="2">
        <f>$B134/C$5</f>
        <v>128</v>
      </c>
      <c r="D134" s="3">
        <f>$B134/D$5</f>
        <v>64</v>
      </c>
      <c r="E134" s="3">
        <f>$B134/E$5</f>
        <v>32</v>
      </c>
      <c r="F134" s="3">
        <f>$B134/F$5</f>
        <v>16</v>
      </c>
      <c r="G134" s="3">
        <f>$B134/G$5</f>
        <v>8</v>
      </c>
      <c r="H134" s="3">
        <f>$B134/H$5</f>
        <v>4</v>
      </c>
      <c r="I134" s="3">
        <f>$B134/I$5</f>
        <v>2</v>
      </c>
      <c r="J134" s="3">
        <f>$B134/J$5</f>
        <v>1</v>
      </c>
      <c r="L134" s="2">
        <v>1</v>
      </c>
      <c r="M134" s="23" t="s">
        <v>16</v>
      </c>
      <c r="N134" s="23">
        <f>1/1</f>
        <v>1</v>
      </c>
      <c r="O134" s="21">
        <f t="shared" si="2"/>
        <v>0</v>
      </c>
      <c r="P134" s="24" t="s">
        <v>6</v>
      </c>
      <c r="Q134" s="31"/>
      <c r="R134" s="32"/>
      <c r="S134" s="32"/>
      <c r="T134" s="34"/>
    </row>
    <row r="135" spans="2:20" x14ac:dyDescent="0.25">
      <c r="B135" s="6">
        <f t="shared" si="3"/>
        <v>129</v>
      </c>
      <c r="C135" s="2">
        <f>$B135/C$5</f>
        <v>129</v>
      </c>
      <c r="D135" s="2">
        <f>$B135/D$5</f>
        <v>64.5</v>
      </c>
      <c r="E135" s="2">
        <f>$B135/E$5</f>
        <v>32.25</v>
      </c>
      <c r="F135" s="2">
        <f>$B135/F$5</f>
        <v>16.125</v>
      </c>
      <c r="G135" s="2">
        <f>$B135/G$5</f>
        <v>8.0625</v>
      </c>
      <c r="H135" s="2">
        <f>$B135/H$5</f>
        <v>4.03125</v>
      </c>
      <c r="I135" s="2">
        <f>$B135/I$5</f>
        <v>2.015625</v>
      </c>
      <c r="J135" s="2">
        <f>$B135/J$5</f>
        <v>1.0078125</v>
      </c>
      <c r="L135" s="2">
        <v>1.0078125</v>
      </c>
      <c r="M135" s="23" t="s">
        <v>209</v>
      </c>
      <c r="N135" s="4">
        <f>129/128</f>
        <v>1.0078125</v>
      </c>
      <c r="O135" s="21">
        <f t="shared" ref="O135:O198" si="4">ABS(L135-N135)</f>
        <v>0</v>
      </c>
      <c r="P135" s="24" t="s">
        <v>6</v>
      </c>
      <c r="Q135" s="31"/>
      <c r="R135" s="32"/>
      <c r="S135" s="32"/>
      <c r="T135" s="34"/>
    </row>
    <row r="136" spans="2:20" x14ac:dyDescent="0.25">
      <c r="B136" s="6">
        <f t="shared" ref="B136:B199" si="5">B135+1</f>
        <v>130</v>
      </c>
      <c r="C136" s="2">
        <f>$B136/C$5</f>
        <v>130</v>
      </c>
      <c r="D136" s="3">
        <f>$B136/D$5</f>
        <v>65</v>
      </c>
      <c r="E136" s="3">
        <f>$B136/E$5</f>
        <v>32.5</v>
      </c>
      <c r="F136" s="3">
        <f>$B136/F$5</f>
        <v>16.25</v>
      </c>
      <c r="G136" s="3">
        <f>$B136/G$5</f>
        <v>8.125</v>
      </c>
      <c r="H136" s="3">
        <f>$B136/H$5</f>
        <v>4.0625</v>
      </c>
      <c r="I136" s="3">
        <f>$B136/I$5</f>
        <v>2.03125</v>
      </c>
      <c r="J136" s="3">
        <f>$B136/J$5</f>
        <v>1.015625</v>
      </c>
      <c r="L136" s="2">
        <v>1.015625</v>
      </c>
      <c r="M136" s="23" t="s">
        <v>1072</v>
      </c>
      <c r="N136" s="23">
        <f>65/64</f>
        <v>1.015625</v>
      </c>
      <c r="O136" s="21">
        <f t="shared" si="4"/>
        <v>0</v>
      </c>
      <c r="P136" s="24" t="s">
        <v>6</v>
      </c>
      <c r="Q136" s="31"/>
      <c r="R136" s="32"/>
      <c r="S136" s="32"/>
      <c r="T136" s="34"/>
    </row>
    <row r="137" spans="2:20" x14ac:dyDescent="0.25">
      <c r="B137" s="6">
        <f t="shared" si="5"/>
        <v>131</v>
      </c>
      <c r="C137" s="2">
        <f>$B137/C$5</f>
        <v>131</v>
      </c>
      <c r="D137" s="2">
        <f>$B137/D$5</f>
        <v>65.5</v>
      </c>
      <c r="E137" s="2">
        <f>$B137/E$5</f>
        <v>32.75</v>
      </c>
      <c r="F137" s="2">
        <f>$B137/F$5</f>
        <v>16.375</v>
      </c>
      <c r="G137" s="2">
        <f>$B137/G$5</f>
        <v>8.1875</v>
      </c>
      <c r="H137" s="2">
        <f>$B137/H$5</f>
        <v>4.09375</v>
      </c>
      <c r="I137" s="2">
        <f>$B137/I$5</f>
        <v>2.046875</v>
      </c>
      <c r="J137" s="2">
        <f>$B137/J$5</f>
        <v>1.0234375</v>
      </c>
      <c r="L137" s="2">
        <v>1.0234375</v>
      </c>
      <c r="M137" s="23" t="s">
        <v>210</v>
      </c>
      <c r="N137" s="4">
        <f>131/128</f>
        <v>1.0234375</v>
      </c>
      <c r="O137" s="21">
        <f t="shared" si="4"/>
        <v>0</v>
      </c>
      <c r="P137" s="24" t="s">
        <v>6</v>
      </c>
      <c r="Q137" s="31"/>
      <c r="R137" s="32"/>
      <c r="S137" s="32"/>
      <c r="T137" s="34"/>
    </row>
    <row r="138" spans="2:20" x14ac:dyDescent="0.25">
      <c r="B138" s="6">
        <f t="shared" si="5"/>
        <v>132</v>
      </c>
      <c r="C138" s="2">
        <f>$B138/C$5</f>
        <v>132</v>
      </c>
      <c r="D138" s="3">
        <f>$B138/D$5</f>
        <v>66</v>
      </c>
      <c r="E138" s="3">
        <f>$B138/E$5</f>
        <v>33</v>
      </c>
      <c r="F138" s="3">
        <f>$B138/F$5</f>
        <v>16.5</v>
      </c>
      <c r="G138" s="3">
        <f>$B138/G$5</f>
        <v>8.25</v>
      </c>
      <c r="H138" s="3">
        <f>$B138/H$5</f>
        <v>4.125</v>
      </c>
      <c r="I138" s="3">
        <f>$B138/I$5</f>
        <v>2.0625</v>
      </c>
      <c r="J138" s="3">
        <f>$B138/J$5</f>
        <v>1.03125</v>
      </c>
      <c r="L138" s="2">
        <v>1.03125</v>
      </c>
      <c r="M138" s="23" t="s">
        <v>932</v>
      </c>
      <c r="N138" s="23">
        <f>33/32</f>
        <v>1.03125</v>
      </c>
      <c r="O138" s="21">
        <f t="shared" si="4"/>
        <v>0</v>
      </c>
      <c r="P138" s="24" t="s">
        <v>6</v>
      </c>
      <c r="Q138" s="31"/>
      <c r="R138" s="32"/>
      <c r="S138" s="32"/>
      <c r="T138" s="34"/>
    </row>
    <row r="139" spans="2:20" x14ac:dyDescent="0.25">
      <c r="B139" s="6">
        <f t="shared" si="5"/>
        <v>133</v>
      </c>
      <c r="C139" s="2">
        <f>$B139/C$5</f>
        <v>133</v>
      </c>
      <c r="D139" s="2">
        <f>$B139/D$5</f>
        <v>66.5</v>
      </c>
      <c r="E139" s="2">
        <f>$B139/E$5</f>
        <v>33.25</v>
      </c>
      <c r="F139" s="2">
        <f>$B139/F$5</f>
        <v>16.625</v>
      </c>
      <c r="G139" s="2">
        <f>$B139/G$5</f>
        <v>8.3125</v>
      </c>
      <c r="H139" s="2">
        <f>$B139/H$5</f>
        <v>4.15625</v>
      </c>
      <c r="I139" s="2">
        <f>$B139/I$5</f>
        <v>2.078125</v>
      </c>
      <c r="J139" s="2">
        <f>$B139/J$5</f>
        <v>1.0390625</v>
      </c>
      <c r="L139" s="2">
        <v>1.0390625</v>
      </c>
      <c r="M139" s="23" t="s">
        <v>211</v>
      </c>
      <c r="N139" s="4">
        <f>133/128</f>
        <v>1.0390625</v>
      </c>
      <c r="O139" s="21">
        <f t="shared" si="4"/>
        <v>0</v>
      </c>
      <c r="P139" s="24" t="s">
        <v>6</v>
      </c>
      <c r="Q139" s="31"/>
      <c r="R139" s="32"/>
      <c r="S139" s="32"/>
      <c r="T139" s="34"/>
    </row>
    <row r="140" spans="2:20" x14ac:dyDescent="0.25">
      <c r="B140" s="6">
        <f t="shared" si="5"/>
        <v>134</v>
      </c>
      <c r="C140" s="2">
        <f>$B140/C$5</f>
        <v>134</v>
      </c>
      <c r="D140" s="3">
        <f>$B140/D$5</f>
        <v>67</v>
      </c>
      <c r="E140" s="3">
        <f>$B140/E$5</f>
        <v>33.5</v>
      </c>
      <c r="F140" s="3">
        <f>$B140/F$5</f>
        <v>16.75</v>
      </c>
      <c r="G140" s="3">
        <f>$B140/G$5</f>
        <v>8.375</v>
      </c>
      <c r="H140" s="3">
        <f>$B140/H$5</f>
        <v>4.1875</v>
      </c>
      <c r="I140" s="3">
        <f>$B140/I$5</f>
        <v>2.09375</v>
      </c>
      <c r="J140" s="3">
        <f>$B140/J$5</f>
        <v>1.046875</v>
      </c>
      <c r="L140" s="2">
        <v>1.046875</v>
      </c>
      <c r="M140" s="23" t="s">
        <v>1073</v>
      </c>
      <c r="N140" s="23">
        <f>67/64</f>
        <v>1.046875</v>
      </c>
      <c r="O140" s="21">
        <f t="shared" si="4"/>
        <v>0</v>
      </c>
      <c r="P140" s="24" t="s">
        <v>6</v>
      </c>
      <c r="Q140" s="31"/>
      <c r="R140" s="32"/>
      <c r="S140" s="32"/>
      <c r="T140" s="34"/>
    </row>
    <row r="141" spans="2:20" x14ac:dyDescent="0.25">
      <c r="B141" s="6">
        <f t="shared" si="5"/>
        <v>135</v>
      </c>
      <c r="C141" s="2">
        <f>$B141/C$5</f>
        <v>135</v>
      </c>
      <c r="D141" s="2">
        <f>$B141/D$5</f>
        <v>67.5</v>
      </c>
      <c r="E141" s="2">
        <f>$B141/E$5</f>
        <v>33.75</v>
      </c>
      <c r="F141" s="2">
        <f>$B141/F$5</f>
        <v>16.875</v>
      </c>
      <c r="G141" s="2">
        <f>$B141/G$5</f>
        <v>8.4375</v>
      </c>
      <c r="H141" s="2">
        <f>$B141/H$5</f>
        <v>4.21875</v>
      </c>
      <c r="I141" s="2">
        <f>$B141/I$5</f>
        <v>2.109375</v>
      </c>
      <c r="J141" s="2">
        <f>$B141/J$5</f>
        <v>1.0546875</v>
      </c>
      <c r="L141" s="2">
        <v>1.0546875</v>
      </c>
      <c r="M141" s="23" t="s">
        <v>212</v>
      </c>
      <c r="N141" s="4">
        <f>135/128</f>
        <v>1.0546875</v>
      </c>
      <c r="O141" s="21">
        <f t="shared" si="4"/>
        <v>0</v>
      </c>
      <c r="P141" s="24" t="s">
        <v>6</v>
      </c>
      <c r="Q141" s="31"/>
      <c r="R141" s="32"/>
      <c r="S141" s="32"/>
      <c r="T141" s="34"/>
    </row>
    <row r="142" spans="2:20" x14ac:dyDescent="0.25">
      <c r="B142" s="6">
        <f t="shared" si="5"/>
        <v>136</v>
      </c>
      <c r="C142" s="2">
        <f>$B142/C$5</f>
        <v>136</v>
      </c>
      <c r="D142" s="3">
        <f>$B142/D$5</f>
        <v>68</v>
      </c>
      <c r="E142" s="3">
        <f>$B142/E$5</f>
        <v>34</v>
      </c>
      <c r="F142" s="3">
        <f>$B142/F$5</f>
        <v>17</v>
      </c>
      <c r="G142" s="3">
        <f>$B142/G$5</f>
        <v>8.5</v>
      </c>
      <c r="H142" s="3">
        <f>$B142/H$5</f>
        <v>4.25</v>
      </c>
      <c r="I142" s="3">
        <f>$B142/I$5</f>
        <v>2.125</v>
      </c>
      <c r="J142" s="3">
        <f>$B142/J$5</f>
        <v>1.0625</v>
      </c>
      <c r="L142" s="2">
        <v>1.0625</v>
      </c>
      <c r="M142" s="23" t="s">
        <v>798</v>
      </c>
      <c r="N142" s="23">
        <f>17/16</f>
        <v>1.0625</v>
      </c>
      <c r="O142" s="21">
        <f t="shared" si="4"/>
        <v>0</v>
      </c>
      <c r="P142" s="24" t="s">
        <v>6</v>
      </c>
      <c r="Q142" s="31"/>
      <c r="R142" s="32"/>
      <c r="S142" s="32"/>
      <c r="T142" s="34"/>
    </row>
    <row r="143" spans="2:20" x14ac:dyDescent="0.25">
      <c r="B143" s="6">
        <f t="shared" si="5"/>
        <v>137</v>
      </c>
      <c r="C143" s="2">
        <f>$B143/C$5</f>
        <v>137</v>
      </c>
      <c r="D143" s="2">
        <f>$B143/D$5</f>
        <v>68.5</v>
      </c>
      <c r="E143" s="2">
        <f>$B143/E$5</f>
        <v>34.25</v>
      </c>
      <c r="F143" s="2">
        <f>$B143/F$5</f>
        <v>17.125</v>
      </c>
      <c r="G143" s="2">
        <f>$B143/G$5</f>
        <v>8.5625</v>
      </c>
      <c r="H143" s="2">
        <f>$B143/H$5</f>
        <v>4.28125</v>
      </c>
      <c r="I143" s="2">
        <f>$B143/I$5</f>
        <v>2.140625</v>
      </c>
      <c r="J143" s="2">
        <f>$B143/J$5</f>
        <v>1.0703125</v>
      </c>
      <c r="L143" s="2">
        <v>1.0703125</v>
      </c>
      <c r="M143" s="23" t="s">
        <v>213</v>
      </c>
      <c r="N143" s="4">
        <f>137/128</f>
        <v>1.0703125</v>
      </c>
      <c r="O143" s="21">
        <f t="shared" si="4"/>
        <v>0</v>
      </c>
      <c r="P143" s="24" t="s">
        <v>6</v>
      </c>
      <c r="Q143" s="31"/>
      <c r="R143" s="32"/>
      <c r="S143" s="32"/>
      <c r="T143" s="34"/>
    </row>
    <row r="144" spans="2:20" x14ac:dyDescent="0.25">
      <c r="B144" s="6">
        <f t="shared" si="5"/>
        <v>138</v>
      </c>
      <c r="C144" s="2">
        <f>$B144/C$5</f>
        <v>138</v>
      </c>
      <c r="D144" s="3">
        <f>$B144/D$5</f>
        <v>69</v>
      </c>
      <c r="E144" s="3">
        <f>$B144/E$5</f>
        <v>34.5</v>
      </c>
      <c r="F144" s="3">
        <f>$B144/F$5</f>
        <v>17.25</v>
      </c>
      <c r="G144" s="3">
        <f>$B144/G$5</f>
        <v>8.625</v>
      </c>
      <c r="H144" s="3">
        <f>$B144/H$5</f>
        <v>4.3125</v>
      </c>
      <c r="I144" s="3">
        <f>$B144/I$5</f>
        <v>2.15625</v>
      </c>
      <c r="J144" s="3">
        <f>$B144/J$5</f>
        <v>1.078125</v>
      </c>
      <c r="L144" s="2">
        <v>1.078125</v>
      </c>
      <c r="M144" s="23" t="s">
        <v>1074</v>
      </c>
      <c r="N144" s="23">
        <f>69/64</f>
        <v>1.078125</v>
      </c>
      <c r="O144" s="21">
        <f t="shared" si="4"/>
        <v>0</v>
      </c>
      <c r="P144" s="24" t="s">
        <v>6</v>
      </c>
      <c r="Q144" s="31"/>
      <c r="R144" s="32"/>
      <c r="S144" s="32"/>
      <c r="T144" s="34"/>
    </row>
    <row r="145" spans="2:20" x14ac:dyDescent="0.25">
      <c r="B145" s="6">
        <f t="shared" si="5"/>
        <v>139</v>
      </c>
      <c r="C145" s="2">
        <f>$B145/C$5</f>
        <v>139</v>
      </c>
      <c r="D145" s="2">
        <f>$B145/D$5</f>
        <v>69.5</v>
      </c>
      <c r="E145" s="2">
        <f>$B145/E$5</f>
        <v>34.75</v>
      </c>
      <c r="F145" s="2">
        <f>$B145/F$5</f>
        <v>17.375</v>
      </c>
      <c r="G145" s="2">
        <f>$B145/G$5</f>
        <v>8.6875</v>
      </c>
      <c r="H145" s="2">
        <f>$B145/H$5</f>
        <v>4.34375</v>
      </c>
      <c r="I145" s="2">
        <f>$B145/I$5</f>
        <v>2.171875</v>
      </c>
      <c r="J145" s="2">
        <f>$B145/J$5</f>
        <v>1.0859375</v>
      </c>
      <c r="L145" s="2">
        <v>1.0859375</v>
      </c>
      <c r="M145" s="23" t="s">
        <v>214</v>
      </c>
      <c r="N145" s="4">
        <f>139/128</f>
        <v>1.0859375</v>
      </c>
      <c r="O145" s="21">
        <f t="shared" si="4"/>
        <v>0</v>
      </c>
      <c r="P145" s="24" t="s">
        <v>6</v>
      </c>
      <c r="Q145" s="31"/>
      <c r="R145" s="32"/>
      <c r="S145" s="32"/>
      <c r="T145" s="34"/>
    </row>
    <row r="146" spans="2:20" x14ac:dyDescent="0.25">
      <c r="B146" s="6">
        <f t="shared" si="5"/>
        <v>140</v>
      </c>
      <c r="C146" s="2">
        <f>$B146/C$5</f>
        <v>140</v>
      </c>
      <c r="D146" s="3">
        <f>$B146/D$5</f>
        <v>70</v>
      </c>
      <c r="E146" s="3">
        <f>$B146/E$5</f>
        <v>35</v>
      </c>
      <c r="F146" s="3">
        <f>$B146/F$5</f>
        <v>17.5</v>
      </c>
      <c r="G146" s="3">
        <f>$B146/G$5</f>
        <v>8.75</v>
      </c>
      <c r="H146" s="3">
        <f>$B146/H$5</f>
        <v>4.375</v>
      </c>
      <c r="I146" s="3">
        <f>$B146/I$5</f>
        <v>2.1875</v>
      </c>
      <c r="J146" s="3">
        <f>$B146/J$5</f>
        <v>1.09375</v>
      </c>
      <c r="L146" s="2">
        <v>1.09375</v>
      </c>
      <c r="M146" s="23" t="s">
        <v>933</v>
      </c>
      <c r="N146" s="23">
        <f>35/32</f>
        <v>1.09375</v>
      </c>
      <c r="O146" s="21">
        <f t="shared" si="4"/>
        <v>0</v>
      </c>
      <c r="P146" s="24" t="s">
        <v>6</v>
      </c>
      <c r="Q146" s="31"/>
      <c r="R146" s="32"/>
      <c r="S146" s="32"/>
      <c r="T146" s="34"/>
    </row>
    <row r="147" spans="2:20" x14ac:dyDescent="0.25">
      <c r="B147" s="6">
        <f t="shared" si="5"/>
        <v>141</v>
      </c>
      <c r="C147" s="2">
        <f>$B147/C$5</f>
        <v>141</v>
      </c>
      <c r="D147" s="2">
        <f>$B147/D$5</f>
        <v>70.5</v>
      </c>
      <c r="E147" s="2">
        <f>$B147/E$5</f>
        <v>35.25</v>
      </c>
      <c r="F147" s="2">
        <f>$B147/F$5</f>
        <v>17.625</v>
      </c>
      <c r="G147" s="2">
        <f>$B147/G$5</f>
        <v>8.8125</v>
      </c>
      <c r="H147" s="2">
        <f>$B147/H$5</f>
        <v>4.40625</v>
      </c>
      <c r="I147" s="2">
        <f>$B147/I$5</f>
        <v>2.203125</v>
      </c>
      <c r="J147" s="2">
        <f>$B147/J$5</f>
        <v>1.1015625</v>
      </c>
      <c r="L147" s="2">
        <v>1.1015625</v>
      </c>
      <c r="M147" s="23" t="s">
        <v>215</v>
      </c>
      <c r="N147" s="4">
        <f>141/128</f>
        <v>1.1015625</v>
      </c>
      <c r="O147" s="21">
        <f t="shared" si="4"/>
        <v>0</v>
      </c>
      <c r="P147" s="24" t="s">
        <v>6</v>
      </c>
      <c r="Q147" s="31"/>
      <c r="R147" s="32"/>
      <c r="S147" s="32"/>
      <c r="T147" s="34"/>
    </row>
    <row r="148" spans="2:20" x14ac:dyDescent="0.25">
      <c r="B148" s="6">
        <f t="shared" si="5"/>
        <v>142</v>
      </c>
      <c r="C148" s="2">
        <f>$B148/C$5</f>
        <v>142</v>
      </c>
      <c r="D148" s="3">
        <f>$B148/D$5</f>
        <v>71</v>
      </c>
      <c r="E148" s="3">
        <f>$B148/E$5</f>
        <v>35.5</v>
      </c>
      <c r="F148" s="3">
        <f>$B148/F$5</f>
        <v>17.75</v>
      </c>
      <c r="G148" s="3">
        <f>$B148/G$5</f>
        <v>8.875</v>
      </c>
      <c r="H148" s="3">
        <f>$B148/H$5</f>
        <v>4.4375</v>
      </c>
      <c r="I148" s="3">
        <f>$B148/I$5</f>
        <v>2.21875</v>
      </c>
      <c r="J148" s="3">
        <f>$B148/J$5</f>
        <v>1.109375</v>
      </c>
      <c r="L148" s="2">
        <v>1.109375</v>
      </c>
      <c r="M148" s="23" t="s">
        <v>1075</v>
      </c>
      <c r="N148" s="23">
        <f>71/64</f>
        <v>1.109375</v>
      </c>
      <c r="O148" s="21">
        <f t="shared" si="4"/>
        <v>0</v>
      </c>
      <c r="P148" s="24" t="s">
        <v>6</v>
      </c>
      <c r="Q148" s="31"/>
      <c r="R148" s="32"/>
      <c r="S148" s="32"/>
      <c r="T148" s="34"/>
    </row>
    <row r="149" spans="2:20" x14ac:dyDescent="0.25">
      <c r="B149" s="6">
        <f t="shared" si="5"/>
        <v>143</v>
      </c>
      <c r="C149" s="2">
        <f>$B149/C$5</f>
        <v>143</v>
      </c>
      <c r="D149" s="2">
        <f>$B149/D$5</f>
        <v>71.5</v>
      </c>
      <c r="E149" s="2">
        <f>$B149/E$5</f>
        <v>35.75</v>
      </c>
      <c r="F149" s="2">
        <f>$B149/F$5</f>
        <v>17.875</v>
      </c>
      <c r="G149" s="2">
        <f>$B149/G$5</f>
        <v>8.9375</v>
      </c>
      <c r="H149" s="2">
        <f>$B149/H$5</f>
        <v>4.46875</v>
      </c>
      <c r="I149" s="2">
        <f>$B149/I$5</f>
        <v>2.234375</v>
      </c>
      <c r="J149" s="2">
        <f>$B149/J$5</f>
        <v>1.1171875</v>
      </c>
      <c r="L149" s="2">
        <v>1.1171875</v>
      </c>
      <c r="M149" s="23" t="s">
        <v>216</v>
      </c>
      <c r="N149" s="4">
        <f>143/128</f>
        <v>1.1171875</v>
      </c>
      <c r="O149" s="21">
        <f t="shared" si="4"/>
        <v>0</v>
      </c>
      <c r="P149" s="24" t="s">
        <v>6</v>
      </c>
      <c r="Q149" s="31"/>
      <c r="R149" s="32"/>
      <c r="S149" s="32"/>
      <c r="T149" s="34"/>
    </row>
    <row r="150" spans="2:20" x14ac:dyDescent="0.25">
      <c r="B150" s="6">
        <f t="shared" si="5"/>
        <v>144</v>
      </c>
      <c r="C150" s="2">
        <f>$B150/C$5</f>
        <v>144</v>
      </c>
      <c r="D150" s="3">
        <f>$B150/D$5</f>
        <v>72</v>
      </c>
      <c r="E150" s="3">
        <f>$B150/E$5</f>
        <v>36</v>
      </c>
      <c r="F150" s="3">
        <f>$B150/F$5</f>
        <v>18</v>
      </c>
      <c r="G150" s="3">
        <f>$B150/G$5</f>
        <v>9</v>
      </c>
      <c r="H150" s="3">
        <f>$B150/H$5</f>
        <v>4.5</v>
      </c>
      <c r="I150" s="3">
        <f>$B150/I$5</f>
        <v>2.25</v>
      </c>
      <c r="J150" s="3">
        <f>$B150/J$5</f>
        <v>1.125</v>
      </c>
      <c r="L150" s="2">
        <v>1.125</v>
      </c>
      <c r="M150" s="23" t="s">
        <v>667</v>
      </c>
      <c r="N150" s="23">
        <f>9/8</f>
        <v>1.125</v>
      </c>
      <c r="O150" s="21">
        <f t="shared" si="4"/>
        <v>0</v>
      </c>
      <c r="P150" s="24" t="s">
        <v>6</v>
      </c>
      <c r="Q150" s="31"/>
      <c r="R150" s="32"/>
      <c r="S150" s="32"/>
      <c r="T150" s="34"/>
    </row>
    <row r="151" spans="2:20" x14ac:dyDescent="0.25">
      <c r="B151" s="6">
        <f t="shared" si="5"/>
        <v>145</v>
      </c>
      <c r="C151" s="2">
        <f>$B151/C$5</f>
        <v>145</v>
      </c>
      <c r="D151" s="2">
        <f>$B151/D$5</f>
        <v>72.5</v>
      </c>
      <c r="E151" s="2">
        <f>$B151/E$5</f>
        <v>36.25</v>
      </c>
      <c r="F151" s="2">
        <f>$B151/F$5</f>
        <v>18.125</v>
      </c>
      <c r="G151" s="2">
        <f>$B151/G$5</f>
        <v>9.0625</v>
      </c>
      <c r="H151" s="2">
        <f>$B151/H$5</f>
        <v>4.53125</v>
      </c>
      <c r="I151" s="2">
        <f>$B151/I$5</f>
        <v>2.265625</v>
      </c>
      <c r="J151" s="2">
        <f>$B151/J$5</f>
        <v>1.1328125</v>
      </c>
      <c r="L151" s="2">
        <v>1.1328125</v>
      </c>
      <c r="M151" s="23" t="s">
        <v>217</v>
      </c>
      <c r="N151" s="4">
        <f>145/128</f>
        <v>1.1328125</v>
      </c>
      <c r="O151" s="21">
        <f t="shared" si="4"/>
        <v>0</v>
      </c>
      <c r="P151" s="24" t="s">
        <v>6</v>
      </c>
      <c r="Q151" s="31"/>
      <c r="R151" s="32"/>
      <c r="S151" s="32"/>
      <c r="T151" s="34"/>
    </row>
    <row r="152" spans="2:20" x14ac:dyDescent="0.25">
      <c r="B152" s="6">
        <f t="shared" si="5"/>
        <v>146</v>
      </c>
      <c r="C152" s="2">
        <f>$B152/C$5</f>
        <v>146</v>
      </c>
      <c r="D152" s="3">
        <f>$B152/D$5</f>
        <v>73</v>
      </c>
      <c r="E152" s="3">
        <f>$B152/E$5</f>
        <v>36.5</v>
      </c>
      <c r="F152" s="3">
        <f>$B152/F$5</f>
        <v>18.25</v>
      </c>
      <c r="G152" s="3">
        <f>$B152/G$5</f>
        <v>9.125</v>
      </c>
      <c r="H152" s="3">
        <f>$B152/H$5</f>
        <v>4.5625</v>
      </c>
      <c r="I152" s="3">
        <f>$B152/I$5</f>
        <v>2.28125</v>
      </c>
      <c r="J152" s="3">
        <f>$B152/J$5</f>
        <v>1.140625</v>
      </c>
      <c r="L152" s="2">
        <v>1.140625</v>
      </c>
      <c r="M152" s="23" t="s">
        <v>1076</v>
      </c>
      <c r="N152" s="23">
        <f>73/64</f>
        <v>1.140625</v>
      </c>
      <c r="O152" s="21">
        <f t="shared" si="4"/>
        <v>0</v>
      </c>
      <c r="P152" s="24" t="s">
        <v>6</v>
      </c>
      <c r="Q152" s="31"/>
      <c r="R152" s="32"/>
      <c r="S152" s="32"/>
      <c r="T152" s="34"/>
    </row>
    <row r="153" spans="2:20" x14ac:dyDescent="0.25">
      <c r="B153" s="6">
        <f t="shared" si="5"/>
        <v>147</v>
      </c>
      <c r="C153" s="2">
        <f>$B153/C$5</f>
        <v>147</v>
      </c>
      <c r="D153" s="2">
        <f>$B153/D$5</f>
        <v>73.5</v>
      </c>
      <c r="E153" s="2">
        <f>$B153/E$5</f>
        <v>36.75</v>
      </c>
      <c r="F153" s="2">
        <f>$B153/F$5</f>
        <v>18.375</v>
      </c>
      <c r="G153" s="2">
        <f>$B153/G$5</f>
        <v>9.1875</v>
      </c>
      <c r="H153" s="2">
        <f>$B153/H$5</f>
        <v>4.59375</v>
      </c>
      <c r="I153" s="2">
        <f>$B153/I$5</f>
        <v>2.296875</v>
      </c>
      <c r="J153" s="2">
        <f>$B153/J$5</f>
        <v>1.1484375</v>
      </c>
      <c r="L153" s="2">
        <v>1.1484375</v>
      </c>
      <c r="M153" s="23" t="s">
        <v>218</v>
      </c>
      <c r="N153" s="4">
        <f>147/128</f>
        <v>1.1484375</v>
      </c>
      <c r="O153" s="21">
        <f t="shared" si="4"/>
        <v>0</v>
      </c>
      <c r="P153" s="24" t="s">
        <v>6</v>
      </c>
      <c r="Q153" s="31"/>
      <c r="R153" s="32"/>
      <c r="S153" s="32"/>
      <c r="T153" s="34"/>
    </row>
    <row r="154" spans="2:20" x14ac:dyDescent="0.25">
      <c r="B154" s="6">
        <f t="shared" si="5"/>
        <v>148</v>
      </c>
      <c r="C154" s="2">
        <f>$B154/C$5</f>
        <v>148</v>
      </c>
      <c r="D154" s="3">
        <f>$B154/D$5</f>
        <v>74</v>
      </c>
      <c r="E154" s="3">
        <f>$B154/E$5</f>
        <v>37</v>
      </c>
      <c r="F154" s="3">
        <f>$B154/F$5</f>
        <v>18.5</v>
      </c>
      <c r="G154" s="3">
        <f>$B154/G$5</f>
        <v>9.25</v>
      </c>
      <c r="H154" s="3">
        <f>$B154/H$5</f>
        <v>4.625</v>
      </c>
      <c r="I154" s="3">
        <f>$B154/I$5</f>
        <v>2.3125</v>
      </c>
      <c r="J154" s="3">
        <f>$B154/J$5</f>
        <v>1.15625</v>
      </c>
      <c r="L154" s="2">
        <v>1.15625</v>
      </c>
      <c r="M154" s="23" t="s">
        <v>934</v>
      </c>
      <c r="N154" s="23">
        <f>37/32</f>
        <v>1.15625</v>
      </c>
      <c r="O154" s="21">
        <f t="shared" si="4"/>
        <v>0</v>
      </c>
      <c r="P154" s="24" t="s">
        <v>6</v>
      </c>
      <c r="Q154" s="31"/>
      <c r="R154" s="32"/>
      <c r="S154" s="32"/>
      <c r="T154" s="34"/>
    </row>
    <row r="155" spans="2:20" x14ac:dyDescent="0.25">
      <c r="B155" s="6">
        <f t="shared" si="5"/>
        <v>149</v>
      </c>
      <c r="C155" s="2">
        <f>$B155/C$5</f>
        <v>149</v>
      </c>
      <c r="D155" s="2">
        <f>$B155/D$5</f>
        <v>74.5</v>
      </c>
      <c r="E155" s="2">
        <f>$B155/E$5</f>
        <v>37.25</v>
      </c>
      <c r="F155" s="2">
        <f>$B155/F$5</f>
        <v>18.625</v>
      </c>
      <c r="G155" s="2">
        <f>$B155/G$5</f>
        <v>9.3125</v>
      </c>
      <c r="H155" s="2">
        <f>$B155/H$5</f>
        <v>4.65625</v>
      </c>
      <c r="I155" s="2">
        <f>$B155/I$5</f>
        <v>2.328125</v>
      </c>
      <c r="J155" s="2">
        <f>$B155/J$5</f>
        <v>1.1640625</v>
      </c>
      <c r="L155" s="2">
        <v>1.1640625</v>
      </c>
      <c r="M155" s="23" t="s">
        <v>219</v>
      </c>
      <c r="N155" s="4">
        <f>149/128</f>
        <v>1.1640625</v>
      </c>
      <c r="O155" s="21">
        <f t="shared" si="4"/>
        <v>0</v>
      </c>
      <c r="P155" s="24" t="s">
        <v>6</v>
      </c>
      <c r="Q155" s="31"/>
      <c r="R155" s="32"/>
      <c r="S155" s="32"/>
      <c r="T155" s="34"/>
    </row>
    <row r="156" spans="2:20" x14ac:dyDescent="0.25">
      <c r="B156" s="6">
        <f t="shared" si="5"/>
        <v>150</v>
      </c>
      <c r="C156" s="2">
        <f>$B156/C$5</f>
        <v>150</v>
      </c>
      <c r="D156" s="3">
        <f>$B156/D$5</f>
        <v>75</v>
      </c>
      <c r="E156" s="3">
        <f>$B156/E$5</f>
        <v>37.5</v>
      </c>
      <c r="F156" s="3">
        <f>$B156/F$5</f>
        <v>18.75</v>
      </c>
      <c r="G156" s="3">
        <f>$B156/G$5</f>
        <v>9.375</v>
      </c>
      <c r="H156" s="3">
        <f>$B156/H$5</f>
        <v>4.6875</v>
      </c>
      <c r="I156" s="3">
        <f>$B156/I$5</f>
        <v>2.34375</v>
      </c>
      <c r="J156" s="3">
        <f>$B156/J$5</f>
        <v>1.171875</v>
      </c>
      <c r="L156" s="2">
        <v>1.171875</v>
      </c>
      <c r="M156" s="23" t="s">
        <v>1077</v>
      </c>
      <c r="N156" s="23">
        <f>75/64</f>
        <v>1.171875</v>
      </c>
      <c r="O156" s="21">
        <f t="shared" si="4"/>
        <v>0</v>
      </c>
      <c r="P156" s="24" t="s">
        <v>6</v>
      </c>
      <c r="Q156" s="31"/>
      <c r="R156" s="32"/>
      <c r="S156" s="32"/>
      <c r="T156" s="34"/>
    </row>
    <row r="157" spans="2:20" x14ac:dyDescent="0.25">
      <c r="B157" s="6">
        <f t="shared" si="5"/>
        <v>151</v>
      </c>
      <c r="C157" s="2">
        <f>$B157/C$5</f>
        <v>151</v>
      </c>
      <c r="D157" s="2">
        <f>$B157/D$5</f>
        <v>75.5</v>
      </c>
      <c r="E157" s="2">
        <f>$B157/E$5</f>
        <v>37.75</v>
      </c>
      <c r="F157" s="2">
        <f>$B157/F$5</f>
        <v>18.875</v>
      </c>
      <c r="G157" s="2">
        <f>$B157/G$5</f>
        <v>9.4375</v>
      </c>
      <c r="H157" s="2">
        <f>$B157/H$5</f>
        <v>4.71875</v>
      </c>
      <c r="I157" s="2">
        <f>$B157/I$5</f>
        <v>2.359375</v>
      </c>
      <c r="J157" s="2">
        <f>$B157/J$5</f>
        <v>1.1796875</v>
      </c>
      <c r="L157" s="2">
        <v>1.1796875</v>
      </c>
      <c r="M157" s="23" t="s">
        <v>220</v>
      </c>
      <c r="N157" s="4">
        <f>151/128</f>
        <v>1.1796875</v>
      </c>
      <c r="O157" s="21">
        <f t="shared" si="4"/>
        <v>0</v>
      </c>
      <c r="P157" s="24" t="s">
        <v>6</v>
      </c>
      <c r="Q157" s="31"/>
      <c r="R157" s="32"/>
      <c r="S157" s="32"/>
      <c r="T157" s="34"/>
    </row>
    <row r="158" spans="2:20" x14ac:dyDescent="0.25">
      <c r="B158" s="6">
        <f t="shared" si="5"/>
        <v>152</v>
      </c>
      <c r="C158" s="2">
        <f>$B158/C$5</f>
        <v>152</v>
      </c>
      <c r="D158" s="3">
        <f>$B158/D$5</f>
        <v>76</v>
      </c>
      <c r="E158" s="3">
        <f>$B158/E$5</f>
        <v>38</v>
      </c>
      <c r="F158" s="3">
        <f>$B158/F$5</f>
        <v>19</v>
      </c>
      <c r="G158" s="3">
        <f>$B158/G$5</f>
        <v>9.5</v>
      </c>
      <c r="H158" s="3">
        <f>$B158/H$5</f>
        <v>4.75</v>
      </c>
      <c r="I158" s="3">
        <f>$B158/I$5</f>
        <v>2.375</v>
      </c>
      <c r="J158" s="3">
        <f>$B158/J$5</f>
        <v>1.1875</v>
      </c>
      <c r="L158" s="2">
        <v>1.1875</v>
      </c>
      <c r="M158" s="23" t="s">
        <v>799</v>
      </c>
      <c r="N158" s="23">
        <f>19/16</f>
        <v>1.1875</v>
      </c>
      <c r="O158" s="21">
        <f t="shared" si="4"/>
        <v>0</v>
      </c>
      <c r="P158" s="24" t="s">
        <v>6</v>
      </c>
      <c r="Q158" s="31"/>
      <c r="R158" s="32"/>
      <c r="S158" s="32"/>
      <c r="T158" s="34"/>
    </row>
    <row r="159" spans="2:20" x14ac:dyDescent="0.25">
      <c r="B159" s="6">
        <f t="shared" si="5"/>
        <v>153</v>
      </c>
      <c r="C159" s="2">
        <f>$B159/C$5</f>
        <v>153</v>
      </c>
      <c r="D159" s="2">
        <f>$B159/D$5</f>
        <v>76.5</v>
      </c>
      <c r="E159" s="2">
        <f>$B159/E$5</f>
        <v>38.25</v>
      </c>
      <c r="F159" s="2">
        <f>$B159/F$5</f>
        <v>19.125</v>
      </c>
      <c r="G159" s="2">
        <f>$B159/G$5</f>
        <v>9.5625</v>
      </c>
      <c r="H159" s="2">
        <f>$B159/H$5</f>
        <v>4.78125</v>
      </c>
      <c r="I159" s="2">
        <f>$B159/I$5</f>
        <v>2.390625</v>
      </c>
      <c r="J159" s="2">
        <f>$B159/J$5</f>
        <v>1.1953125</v>
      </c>
      <c r="L159" s="2">
        <v>1.1953125</v>
      </c>
      <c r="M159" s="23" t="s">
        <v>221</v>
      </c>
      <c r="N159" s="4">
        <f>153/128</f>
        <v>1.1953125</v>
      </c>
      <c r="O159" s="21">
        <f t="shared" si="4"/>
        <v>0</v>
      </c>
      <c r="P159" s="24" t="s">
        <v>6</v>
      </c>
      <c r="Q159" s="31"/>
      <c r="R159" s="32"/>
      <c r="S159" s="32"/>
      <c r="T159" s="34"/>
    </row>
    <row r="160" spans="2:20" x14ac:dyDescent="0.25">
      <c r="B160" s="6">
        <f t="shared" si="5"/>
        <v>154</v>
      </c>
      <c r="C160" s="2">
        <f>$B160/C$5</f>
        <v>154</v>
      </c>
      <c r="D160" s="3">
        <f>$B160/D$5</f>
        <v>77</v>
      </c>
      <c r="E160" s="3">
        <f>$B160/E$5</f>
        <v>38.5</v>
      </c>
      <c r="F160" s="3">
        <f>$B160/F$5</f>
        <v>19.25</v>
      </c>
      <c r="G160" s="3">
        <f>$B160/G$5</f>
        <v>9.625</v>
      </c>
      <c r="H160" s="3">
        <f>$B160/H$5</f>
        <v>4.8125</v>
      </c>
      <c r="I160" s="3">
        <f>$B160/I$5</f>
        <v>2.40625</v>
      </c>
      <c r="J160" s="3">
        <f>$B160/J$5</f>
        <v>1.203125</v>
      </c>
      <c r="L160" s="2">
        <v>1.203125</v>
      </c>
      <c r="M160" s="23" t="s">
        <v>1078</v>
      </c>
      <c r="N160" s="23">
        <f>77/64</f>
        <v>1.203125</v>
      </c>
      <c r="O160" s="21">
        <f t="shared" si="4"/>
        <v>0</v>
      </c>
      <c r="P160" s="24" t="s">
        <v>6</v>
      </c>
      <c r="Q160" s="31"/>
      <c r="R160" s="32"/>
      <c r="S160" s="32"/>
      <c r="T160" s="34"/>
    </row>
    <row r="161" spans="2:20" x14ac:dyDescent="0.25">
      <c r="B161" s="6">
        <f t="shared" si="5"/>
        <v>155</v>
      </c>
      <c r="C161" s="2">
        <f>$B161/C$5</f>
        <v>155</v>
      </c>
      <c r="D161" s="2">
        <f>$B161/D$5</f>
        <v>77.5</v>
      </c>
      <c r="E161" s="2">
        <f>$B161/E$5</f>
        <v>38.75</v>
      </c>
      <c r="F161" s="2">
        <f>$B161/F$5</f>
        <v>19.375</v>
      </c>
      <c r="G161" s="2">
        <f>$B161/G$5</f>
        <v>9.6875</v>
      </c>
      <c r="H161" s="2">
        <f>$B161/H$5</f>
        <v>4.84375</v>
      </c>
      <c r="I161" s="2">
        <f>$B161/I$5</f>
        <v>2.421875</v>
      </c>
      <c r="J161" s="2">
        <f>$B161/J$5</f>
        <v>1.2109375</v>
      </c>
      <c r="L161" s="2">
        <v>1.2109375</v>
      </c>
      <c r="M161" s="23" t="s">
        <v>222</v>
      </c>
      <c r="N161" s="4">
        <f>155/128</f>
        <v>1.2109375</v>
      </c>
      <c r="O161" s="21">
        <f t="shared" si="4"/>
        <v>0</v>
      </c>
      <c r="P161" s="24" t="s">
        <v>6</v>
      </c>
      <c r="Q161" s="31"/>
      <c r="R161" s="32"/>
      <c r="S161" s="32"/>
      <c r="T161" s="34"/>
    </row>
    <row r="162" spans="2:20" x14ac:dyDescent="0.25">
      <c r="B162" s="6">
        <f t="shared" si="5"/>
        <v>156</v>
      </c>
      <c r="C162" s="2">
        <f>$B162/C$5</f>
        <v>156</v>
      </c>
      <c r="D162" s="3">
        <f>$B162/D$5</f>
        <v>78</v>
      </c>
      <c r="E162" s="3">
        <f>$B162/E$5</f>
        <v>39</v>
      </c>
      <c r="F162" s="3">
        <f>$B162/F$5</f>
        <v>19.5</v>
      </c>
      <c r="G162" s="3">
        <f>$B162/G$5</f>
        <v>9.75</v>
      </c>
      <c r="H162" s="3">
        <f>$B162/H$5</f>
        <v>4.875</v>
      </c>
      <c r="I162" s="3">
        <f>$B162/I$5</f>
        <v>2.4375</v>
      </c>
      <c r="J162" s="3">
        <f>$B162/J$5</f>
        <v>1.21875</v>
      </c>
      <c r="L162" s="2">
        <v>1.21875</v>
      </c>
      <c r="M162" s="23" t="s">
        <v>935</v>
      </c>
      <c r="N162" s="23">
        <f>39/32</f>
        <v>1.21875</v>
      </c>
      <c r="O162" s="21">
        <f t="shared" si="4"/>
        <v>0</v>
      </c>
      <c r="P162" s="24" t="s">
        <v>6</v>
      </c>
      <c r="Q162" s="31"/>
      <c r="R162" s="32"/>
      <c r="S162" s="32"/>
      <c r="T162" s="34"/>
    </row>
    <row r="163" spans="2:20" x14ac:dyDescent="0.25">
      <c r="B163" s="6">
        <f t="shared" si="5"/>
        <v>157</v>
      </c>
      <c r="C163" s="2">
        <f>$B163/C$5</f>
        <v>157</v>
      </c>
      <c r="D163" s="2">
        <f>$B163/D$5</f>
        <v>78.5</v>
      </c>
      <c r="E163" s="2">
        <f>$B163/E$5</f>
        <v>39.25</v>
      </c>
      <c r="F163" s="2">
        <f>$B163/F$5</f>
        <v>19.625</v>
      </c>
      <c r="G163" s="2">
        <f>$B163/G$5</f>
        <v>9.8125</v>
      </c>
      <c r="H163" s="2">
        <f>$B163/H$5</f>
        <v>4.90625</v>
      </c>
      <c r="I163" s="2">
        <f>$B163/I$5</f>
        <v>2.453125</v>
      </c>
      <c r="J163" s="2">
        <f>$B163/J$5</f>
        <v>1.2265625</v>
      </c>
      <c r="L163" s="2">
        <v>1.2265625</v>
      </c>
      <c r="M163" s="23" t="s">
        <v>223</v>
      </c>
      <c r="N163" s="4">
        <f>157/128</f>
        <v>1.2265625</v>
      </c>
      <c r="O163" s="21">
        <f t="shared" si="4"/>
        <v>0</v>
      </c>
      <c r="P163" s="24" t="s">
        <v>6</v>
      </c>
      <c r="Q163" s="31"/>
      <c r="R163" s="32"/>
      <c r="S163" s="32"/>
      <c r="T163" s="34"/>
    </row>
    <row r="164" spans="2:20" x14ac:dyDescent="0.25">
      <c r="B164" s="6">
        <f t="shared" si="5"/>
        <v>158</v>
      </c>
      <c r="C164" s="2">
        <f>$B164/C$5</f>
        <v>158</v>
      </c>
      <c r="D164" s="3">
        <f>$B164/D$5</f>
        <v>79</v>
      </c>
      <c r="E164" s="3">
        <f>$B164/E$5</f>
        <v>39.5</v>
      </c>
      <c r="F164" s="3">
        <f>$B164/F$5</f>
        <v>19.75</v>
      </c>
      <c r="G164" s="3">
        <f>$B164/G$5</f>
        <v>9.875</v>
      </c>
      <c r="H164" s="3">
        <f>$B164/H$5</f>
        <v>4.9375</v>
      </c>
      <c r="I164" s="3">
        <f>$B164/I$5</f>
        <v>2.46875</v>
      </c>
      <c r="J164" s="3">
        <f>$B164/J$5</f>
        <v>1.234375</v>
      </c>
      <c r="L164" s="2">
        <v>1.234375</v>
      </c>
      <c r="M164" s="23" t="s">
        <v>1079</v>
      </c>
      <c r="N164" s="23">
        <f>79/64</f>
        <v>1.234375</v>
      </c>
      <c r="O164" s="21">
        <f t="shared" si="4"/>
        <v>0</v>
      </c>
      <c r="P164" s="24" t="s">
        <v>6</v>
      </c>
      <c r="Q164" s="31"/>
      <c r="R164" s="32"/>
      <c r="S164" s="32"/>
      <c r="T164" s="34"/>
    </row>
    <row r="165" spans="2:20" x14ac:dyDescent="0.25">
      <c r="B165" s="6">
        <f t="shared" si="5"/>
        <v>159</v>
      </c>
      <c r="C165" s="2">
        <f>$B165/C$5</f>
        <v>159</v>
      </c>
      <c r="D165" s="2">
        <f>$B165/D$5</f>
        <v>79.5</v>
      </c>
      <c r="E165" s="2">
        <f>$B165/E$5</f>
        <v>39.75</v>
      </c>
      <c r="F165" s="2">
        <f>$B165/F$5</f>
        <v>19.875</v>
      </c>
      <c r="G165" s="2">
        <f>$B165/G$5</f>
        <v>9.9375</v>
      </c>
      <c r="H165" s="2">
        <f>$B165/H$5</f>
        <v>4.96875</v>
      </c>
      <c r="I165" s="2">
        <f>$B165/I$5</f>
        <v>2.484375</v>
      </c>
      <c r="J165" s="2">
        <f>$B165/J$5</f>
        <v>1.2421875</v>
      </c>
      <c r="L165" s="2">
        <v>1.2421875</v>
      </c>
      <c r="M165" s="23" t="s">
        <v>224</v>
      </c>
      <c r="N165" s="4">
        <f>159/128</f>
        <v>1.2421875</v>
      </c>
      <c r="O165" s="21">
        <f t="shared" si="4"/>
        <v>0</v>
      </c>
      <c r="P165" s="24" t="s">
        <v>6</v>
      </c>
      <c r="Q165" s="31"/>
      <c r="R165" s="32"/>
      <c r="S165" s="32"/>
      <c r="T165" s="34"/>
    </row>
    <row r="166" spans="2:20" x14ac:dyDescent="0.25">
      <c r="B166" s="6">
        <f t="shared" si="5"/>
        <v>160</v>
      </c>
      <c r="C166" s="2">
        <f>$B166/C$5</f>
        <v>160</v>
      </c>
      <c r="D166" s="3">
        <f>$B166/D$5</f>
        <v>80</v>
      </c>
      <c r="E166" s="3">
        <f>$B166/E$5</f>
        <v>40</v>
      </c>
      <c r="F166" s="3">
        <f>$B166/F$5</f>
        <v>20</v>
      </c>
      <c r="G166" s="3">
        <f>$B166/G$5</f>
        <v>10</v>
      </c>
      <c r="H166" s="3">
        <f>$B166/H$5</f>
        <v>5</v>
      </c>
      <c r="I166" s="3">
        <f>$B166/I$5</f>
        <v>2.5</v>
      </c>
      <c r="J166" s="3">
        <f>$B166/J$5</f>
        <v>1.25</v>
      </c>
      <c r="L166" s="2">
        <v>1.25</v>
      </c>
      <c r="M166" s="23" t="s">
        <v>538</v>
      </c>
      <c r="N166" s="23">
        <f>5/4</f>
        <v>1.25</v>
      </c>
      <c r="O166" s="21">
        <f t="shared" si="4"/>
        <v>0</v>
      </c>
      <c r="P166" s="24" t="s">
        <v>6</v>
      </c>
      <c r="Q166" s="31"/>
      <c r="R166" s="32"/>
      <c r="S166" s="32"/>
      <c r="T166" s="34"/>
    </row>
    <row r="167" spans="2:20" x14ac:dyDescent="0.25">
      <c r="B167" s="6">
        <f t="shared" si="5"/>
        <v>161</v>
      </c>
      <c r="C167" s="2">
        <f>$B167/C$5</f>
        <v>161</v>
      </c>
      <c r="D167" s="2">
        <f>$B167/D$5</f>
        <v>80.5</v>
      </c>
      <c r="E167" s="2">
        <f>$B167/E$5</f>
        <v>40.25</v>
      </c>
      <c r="F167" s="2">
        <f>$B167/F$5</f>
        <v>20.125</v>
      </c>
      <c r="G167" s="2">
        <f>$B167/G$5</f>
        <v>10.0625</v>
      </c>
      <c r="H167" s="2">
        <f>$B167/H$5</f>
        <v>5.03125</v>
      </c>
      <c r="I167" s="2">
        <f>$B167/I$5</f>
        <v>2.515625</v>
      </c>
      <c r="J167" s="2">
        <f>$B167/J$5</f>
        <v>1.2578125</v>
      </c>
      <c r="L167" s="2">
        <v>1.2578125</v>
      </c>
      <c r="M167" s="23" t="s">
        <v>225</v>
      </c>
      <c r="N167" s="4">
        <f>161/128</f>
        <v>1.2578125</v>
      </c>
      <c r="O167" s="21">
        <f t="shared" si="4"/>
        <v>0</v>
      </c>
      <c r="P167" s="24" t="s">
        <v>6</v>
      </c>
      <c r="Q167" s="31"/>
      <c r="R167" s="32"/>
      <c r="S167" s="32"/>
      <c r="T167" s="34"/>
    </row>
    <row r="168" spans="2:20" x14ac:dyDescent="0.25">
      <c r="B168" s="6">
        <f t="shared" si="5"/>
        <v>162</v>
      </c>
      <c r="C168" s="2">
        <f>$B168/C$5</f>
        <v>162</v>
      </c>
      <c r="D168" s="3">
        <f>$B168/D$5</f>
        <v>81</v>
      </c>
      <c r="E168" s="3">
        <f>$B168/E$5</f>
        <v>40.5</v>
      </c>
      <c r="F168" s="3">
        <f>$B168/F$5</f>
        <v>20.25</v>
      </c>
      <c r="G168" s="3">
        <f>$B168/G$5</f>
        <v>10.125</v>
      </c>
      <c r="H168" s="3">
        <f>$B168/H$5</f>
        <v>5.0625</v>
      </c>
      <c r="I168" s="3">
        <f>$B168/I$5</f>
        <v>2.53125</v>
      </c>
      <c r="J168" s="3">
        <f>$B168/J$5</f>
        <v>1.265625</v>
      </c>
      <c r="L168" s="2">
        <v>1.265625</v>
      </c>
      <c r="M168" s="23" t="s">
        <v>1080</v>
      </c>
      <c r="N168" s="23">
        <f>81/64</f>
        <v>1.265625</v>
      </c>
      <c r="O168" s="21">
        <f t="shared" si="4"/>
        <v>0</v>
      </c>
      <c r="P168" s="24" t="s">
        <v>6</v>
      </c>
      <c r="Q168" s="31"/>
      <c r="R168" s="32"/>
      <c r="S168" s="32"/>
      <c r="T168" s="34"/>
    </row>
    <row r="169" spans="2:20" x14ac:dyDescent="0.25">
      <c r="B169" s="6">
        <f t="shared" si="5"/>
        <v>163</v>
      </c>
      <c r="C169" s="2">
        <f>$B169/C$5</f>
        <v>163</v>
      </c>
      <c r="D169" s="2">
        <f>$B169/D$5</f>
        <v>81.5</v>
      </c>
      <c r="E169" s="2">
        <f>$B169/E$5</f>
        <v>40.75</v>
      </c>
      <c r="F169" s="2">
        <f>$B169/F$5</f>
        <v>20.375</v>
      </c>
      <c r="G169" s="2">
        <f>$B169/G$5</f>
        <v>10.1875</v>
      </c>
      <c r="H169" s="2">
        <f>$B169/H$5</f>
        <v>5.09375</v>
      </c>
      <c r="I169" s="2">
        <f>$B169/I$5</f>
        <v>2.546875</v>
      </c>
      <c r="J169" s="2">
        <f>$B169/J$5</f>
        <v>1.2734375</v>
      </c>
      <c r="L169" s="2">
        <v>1.2734375</v>
      </c>
      <c r="M169" s="23" t="s">
        <v>226</v>
      </c>
      <c r="N169" s="4">
        <f>163/128</f>
        <v>1.2734375</v>
      </c>
      <c r="O169" s="21">
        <f t="shared" si="4"/>
        <v>0</v>
      </c>
      <c r="P169" s="24" t="s">
        <v>6</v>
      </c>
      <c r="Q169" s="31"/>
      <c r="R169" s="32"/>
      <c r="S169" s="32"/>
      <c r="T169" s="34"/>
    </row>
    <row r="170" spans="2:20" x14ac:dyDescent="0.25">
      <c r="B170" s="6">
        <f t="shared" si="5"/>
        <v>164</v>
      </c>
      <c r="C170" s="2">
        <f>$B170/C$5</f>
        <v>164</v>
      </c>
      <c r="D170" s="3">
        <f>$B170/D$5</f>
        <v>82</v>
      </c>
      <c r="E170" s="3">
        <f>$B170/E$5</f>
        <v>41</v>
      </c>
      <c r="F170" s="3">
        <f>$B170/F$5</f>
        <v>20.5</v>
      </c>
      <c r="G170" s="3">
        <f>$B170/G$5</f>
        <v>10.25</v>
      </c>
      <c r="H170" s="3">
        <f>$B170/H$5</f>
        <v>5.125</v>
      </c>
      <c r="I170" s="3">
        <f>$B170/I$5</f>
        <v>2.5625</v>
      </c>
      <c r="J170" s="3">
        <f>$B170/J$5</f>
        <v>1.28125</v>
      </c>
      <c r="L170" s="2">
        <v>1.28125</v>
      </c>
      <c r="M170" s="23" t="s">
        <v>936</v>
      </c>
      <c r="N170" s="23">
        <f>41/32</f>
        <v>1.28125</v>
      </c>
      <c r="O170" s="21">
        <f t="shared" si="4"/>
        <v>0</v>
      </c>
      <c r="P170" s="24" t="s">
        <v>6</v>
      </c>
      <c r="Q170" s="31"/>
      <c r="R170" s="32"/>
      <c r="S170" s="32"/>
      <c r="T170" s="34"/>
    </row>
    <row r="171" spans="2:20" x14ac:dyDescent="0.25">
      <c r="B171" s="6">
        <f t="shared" si="5"/>
        <v>165</v>
      </c>
      <c r="C171" s="2">
        <f>$B171/C$5</f>
        <v>165</v>
      </c>
      <c r="D171" s="2">
        <f>$B171/D$5</f>
        <v>82.5</v>
      </c>
      <c r="E171" s="2">
        <f>$B171/E$5</f>
        <v>41.25</v>
      </c>
      <c r="F171" s="2">
        <f>$B171/F$5</f>
        <v>20.625</v>
      </c>
      <c r="G171" s="2">
        <f>$B171/G$5</f>
        <v>10.3125</v>
      </c>
      <c r="H171" s="2">
        <f>$B171/H$5</f>
        <v>5.15625</v>
      </c>
      <c r="I171" s="2">
        <f>$B171/I$5</f>
        <v>2.578125</v>
      </c>
      <c r="J171" s="2">
        <f>$B171/J$5</f>
        <v>1.2890625</v>
      </c>
      <c r="L171" s="2">
        <v>1.2890625</v>
      </c>
      <c r="M171" s="23" t="s">
        <v>227</v>
      </c>
      <c r="N171" s="4">
        <f>165/128</f>
        <v>1.2890625</v>
      </c>
      <c r="O171" s="21">
        <f t="shared" si="4"/>
        <v>0</v>
      </c>
      <c r="P171" s="24" t="s">
        <v>6</v>
      </c>
      <c r="Q171" s="31"/>
      <c r="R171" s="32"/>
      <c r="S171" s="32"/>
      <c r="T171" s="34"/>
    </row>
    <row r="172" spans="2:20" x14ac:dyDescent="0.25">
      <c r="B172" s="6">
        <f t="shared" si="5"/>
        <v>166</v>
      </c>
      <c r="C172" s="2">
        <f>$B172/C$5</f>
        <v>166</v>
      </c>
      <c r="D172" s="3">
        <f>$B172/D$5</f>
        <v>83</v>
      </c>
      <c r="E172" s="3">
        <f>$B172/E$5</f>
        <v>41.5</v>
      </c>
      <c r="F172" s="3">
        <f>$B172/F$5</f>
        <v>20.75</v>
      </c>
      <c r="G172" s="3">
        <f>$B172/G$5</f>
        <v>10.375</v>
      </c>
      <c r="H172" s="3">
        <f>$B172/H$5</f>
        <v>5.1875</v>
      </c>
      <c r="I172" s="3">
        <f>$B172/I$5</f>
        <v>2.59375</v>
      </c>
      <c r="J172" s="3">
        <f>$B172/J$5</f>
        <v>1.296875</v>
      </c>
      <c r="L172" s="2">
        <v>1.296875</v>
      </c>
      <c r="M172" s="23" t="s">
        <v>1081</v>
      </c>
      <c r="N172" s="23">
        <f>83/64</f>
        <v>1.296875</v>
      </c>
      <c r="O172" s="21">
        <f t="shared" si="4"/>
        <v>0</v>
      </c>
      <c r="P172" s="24" t="s">
        <v>6</v>
      </c>
      <c r="Q172" s="31"/>
      <c r="R172" s="32"/>
      <c r="S172" s="32"/>
      <c r="T172" s="34"/>
    </row>
    <row r="173" spans="2:20" x14ac:dyDescent="0.25">
      <c r="B173" s="6">
        <f t="shared" si="5"/>
        <v>167</v>
      </c>
      <c r="C173" s="2">
        <f>$B173/C$5</f>
        <v>167</v>
      </c>
      <c r="D173" s="2">
        <f>$B173/D$5</f>
        <v>83.5</v>
      </c>
      <c r="E173" s="2">
        <f>$B173/E$5</f>
        <v>41.75</v>
      </c>
      <c r="F173" s="2">
        <f>$B173/F$5</f>
        <v>20.875</v>
      </c>
      <c r="G173" s="2">
        <f>$B173/G$5</f>
        <v>10.4375</v>
      </c>
      <c r="H173" s="2">
        <f>$B173/H$5</f>
        <v>5.21875</v>
      </c>
      <c r="I173" s="2">
        <f>$B173/I$5</f>
        <v>2.609375</v>
      </c>
      <c r="J173" s="2">
        <f>$B173/J$5</f>
        <v>1.3046875</v>
      </c>
      <c r="L173" s="2">
        <v>1.3046875</v>
      </c>
      <c r="M173" s="23" t="s">
        <v>228</v>
      </c>
      <c r="N173" s="4">
        <f>167/128</f>
        <v>1.3046875</v>
      </c>
      <c r="O173" s="21">
        <f t="shared" si="4"/>
        <v>0</v>
      </c>
      <c r="P173" s="24" t="s">
        <v>6</v>
      </c>
      <c r="Q173" s="31"/>
      <c r="R173" s="32"/>
      <c r="S173" s="32"/>
      <c r="T173" s="34"/>
    </row>
    <row r="174" spans="2:20" x14ac:dyDescent="0.25">
      <c r="B174" s="6">
        <f t="shared" si="5"/>
        <v>168</v>
      </c>
      <c r="C174" s="2">
        <f>$B174/C$5</f>
        <v>168</v>
      </c>
      <c r="D174" s="3">
        <f>$B174/D$5</f>
        <v>84</v>
      </c>
      <c r="E174" s="3">
        <f>$B174/E$5</f>
        <v>42</v>
      </c>
      <c r="F174" s="3">
        <f>$B174/F$5</f>
        <v>21</v>
      </c>
      <c r="G174" s="3">
        <f>$B174/G$5</f>
        <v>10.5</v>
      </c>
      <c r="H174" s="3">
        <f>$B174/H$5</f>
        <v>5.25</v>
      </c>
      <c r="I174" s="3">
        <f>$B174/I$5</f>
        <v>2.625</v>
      </c>
      <c r="J174" s="3">
        <f>$B174/J$5</f>
        <v>1.3125</v>
      </c>
      <c r="L174" s="2">
        <v>1.3125</v>
      </c>
      <c r="M174" s="23" t="s">
        <v>800</v>
      </c>
      <c r="N174" s="23">
        <f>21/16</f>
        <v>1.3125</v>
      </c>
      <c r="O174" s="21">
        <f t="shared" si="4"/>
        <v>0</v>
      </c>
      <c r="P174" s="24" t="s">
        <v>6</v>
      </c>
      <c r="Q174" s="31"/>
      <c r="R174" s="32"/>
      <c r="S174" s="32"/>
      <c r="T174" s="34"/>
    </row>
    <row r="175" spans="2:20" x14ac:dyDescent="0.25">
      <c r="B175" s="6">
        <f t="shared" si="5"/>
        <v>169</v>
      </c>
      <c r="C175" s="2">
        <f>$B175/C$5</f>
        <v>169</v>
      </c>
      <c r="D175" s="2">
        <f>$B175/D$5</f>
        <v>84.5</v>
      </c>
      <c r="E175" s="2">
        <f>$B175/E$5</f>
        <v>42.25</v>
      </c>
      <c r="F175" s="2">
        <f>$B175/F$5</f>
        <v>21.125</v>
      </c>
      <c r="G175" s="2">
        <f>$B175/G$5</f>
        <v>10.5625</v>
      </c>
      <c r="H175" s="2">
        <f>$B175/H$5</f>
        <v>5.28125</v>
      </c>
      <c r="I175" s="2">
        <f>$B175/I$5</f>
        <v>2.640625</v>
      </c>
      <c r="J175" s="2">
        <f>$B175/J$5</f>
        <v>1.3203125</v>
      </c>
      <c r="L175" s="2">
        <v>1.3203125</v>
      </c>
      <c r="M175" s="23" t="s">
        <v>229</v>
      </c>
      <c r="N175" s="4">
        <f>169/128</f>
        <v>1.3203125</v>
      </c>
      <c r="O175" s="21">
        <f t="shared" si="4"/>
        <v>0</v>
      </c>
      <c r="P175" s="24" t="s">
        <v>6</v>
      </c>
      <c r="Q175" s="31"/>
      <c r="R175" s="32"/>
      <c r="S175" s="32"/>
      <c r="T175" s="34"/>
    </row>
    <row r="176" spans="2:20" x14ac:dyDescent="0.25">
      <c r="B176" s="6">
        <f t="shared" si="5"/>
        <v>170</v>
      </c>
      <c r="C176" s="2">
        <f>$B176/C$5</f>
        <v>170</v>
      </c>
      <c r="D176" s="3">
        <f>$B176/D$5</f>
        <v>85</v>
      </c>
      <c r="E176" s="3">
        <f>$B176/E$5</f>
        <v>42.5</v>
      </c>
      <c r="F176" s="3">
        <f>$B176/F$5</f>
        <v>21.25</v>
      </c>
      <c r="G176" s="3">
        <f>$B176/G$5</f>
        <v>10.625</v>
      </c>
      <c r="H176" s="3">
        <f>$B176/H$5</f>
        <v>5.3125</v>
      </c>
      <c r="I176" s="3">
        <f>$B176/I$5</f>
        <v>2.65625</v>
      </c>
      <c r="J176" s="3">
        <f>$B176/J$5</f>
        <v>1.328125</v>
      </c>
      <c r="L176" s="2">
        <v>1.328125</v>
      </c>
      <c r="M176" s="23" t="s">
        <v>1082</v>
      </c>
      <c r="N176" s="23">
        <f>85/64</f>
        <v>1.328125</v>
      </c>
      <c r="O176" s="21">
        <f t="shared" si="4"/>
        <v>0</v>
      </c>
      <c r="P176" s="24" t="s">
        <v>6</v>
      </c>
      <c r="Q176" s="31"/>
      <c r="R176" s="32"/>
      <c r="S176" s="32"/>
      <c r="T176" s="34"/>
    </row>
    <row r="177" spans="2:20" x14ac:dyDescent="0.25">
      <c r="B177" s="6">
        <f t="shared" si="5"/>
        <v>171</v>
      </c>
      <c r="C177" s="2">
        <f>$B177/C$5</f>
        <v>171</v>
      </c>
      <c r="D177" s="2">
        <f>$B177/D$5</f>
        <v>85.5</v>
      </c>
      <c r="E177" s="2">
        <f>$B177/E$5</f>
        <v>42.75</v>
      </c>
      <c r="F177" s="2">
        <f>$B177/F$5</f>
        <v>21.375</v>
      </c>
      <c r="G177" s="2">
        <f>$B177/G$5</f>
        <v>10.6875</v>
      </c>
      <c r="H177" s="2">
        <f>$B177/H$5</f>
        <v>5.34375</v>
      </c>
      <c r="I177" s="2">
        <f>$B177/I$5</f>
        <v>2.671875</v>
      </c>
      <c r="J177" s="2">
        <f>$B177/J$5</f>
        <v>1.3359375</v>
      </c>
      <c r="L177" s="2">
        <v>1.3359375</v>
      </c>
      <c r="M177" s="23" t="s">
        <v>230</v>
      </c>
      <c r="N177" s="4">
        <f>171/128</f>
        <v>1.3359375</v>
      </c>
      <c r="O177" s="21">
        <f t="shared" si="4"/>
        <v>0</v>
      </c>
      <c r="P177" s="24" t="s">
        <v>6</v>
      </c>
      <c r="Q177" s="31"/>
      <c r="R177" s="32"/>
      <c r="S177" s="32"/>
      <c r="T177" s="34"/>
    </row>
    <row r="178" spans="2:20" x14ac:dyDescent="0.25">
      <c r="B178" s="6">
        <f t="shared" si="5"/>
        <v>172</v>
      </c>
      <c r="C178" s="2">
        <f>$B178/C$5</f>
        <v>172</v>
      </c>
      <c r="D178" s="3">
        <f>$B178/D$5</f>
        <v>86</v>
      </c>
      <c r="E178" s="3">
        <f>$B178/E$5</f>
        <v>43</v>
      </c>
      <c r="F178" s="3">
        <f>$B178/F$5</f>
        <v>21.5</v>
      </c>
      <c r="G178" s="3">
        <f>$B178/G$5</f>
        <v>10.75</v>
      </c>
      <c r="H178" s="3">
        <f>$B178/H$5</f>
        <v>5.375</v>
      </c>
      <c r="I178" s="3">
        <f>$B178/I$5</f>
        <v>2.6875</v>
      </c>
      <c r="J178" s="3">
        <f>$B178/J$5</f>
        <v>1.34375</v>
      </c>
      <c r="L178" s="2">
        <v>1.34375</v>
      </c>
      <c r="M178" s="23" t="s">
        <v>937</v>
      </c>
      <c r="N178" s="23">
        <f>43/32</f>
        <v>1.34375</v>
      </c>
      <c r="O178" s="21">
        <f t="shared" si="4"/>
        <v>0</v>
      </c>
      <c r="P178" s="24" t="s">
        <v>6</v>
      </c>
      <c r="Q178" s="31"/>
      <c r="R178" s="32"/>
      <c r="S178" s="32"/>
      <c r="T178" s="34"/>
    </row>
    <row r="179" spans="2:20" x14ac:dyDescent="0.25">
      <c r="B179" s="6">
        <f t="shared" si="5"/>
        <v>173</v>
      </c>
      <c r="C179" s="2">
        <f>$B179/C$5</f>
        <v>173</v>
      </c>
      <c r="D179" s="2">
        <f>$B179/D$5</f>
        <v>86.5</v>
      </c>
      <c r="E179" s="2">
        <f>$B179/E$5</f>
        <v>43.25</v>
      </c>
      <c r="F179" s="2">
        <f>$B179/F$5</f>
        <v>21.625</v>
      </c>
      <c r="G179" s="2">
        <f>$B179/G$5</f>
        <v>10.8125</v>
      </c>
      <c r="H179" s="2">
        <f>$B179/H$5</f>
        <v>5.40625</v>
      </c>
      <c r="I179" s="2">
        <f>$B179/I$5</f>
        <v>2.703125</v>
      </c>
      <c r="J179" s="2">
        <f>$B179/J$5</f>
        <v>1.3515625</v>
      </c>
      <c r="L179" s="2">
        <v>1.3515625</v>
      </c>
      <c r="M179" s="23" t="s">
        <v>231</v>
      </c>
      <c r="N179" s="4">
        <f>173/128</f>
        <v>1.3515625</v>
      </c>
      <c r="O179" s="21">
        <f t="shared" si="4"/>
        <v>0</v>
      </c>
      <c r="P179" s="24" t="s">
        <v>6</v>
      </c>
      <c r="Q179" s="31"/>
      <c r="R179" s="32"/>
      <c r="S179" s="32"/>
      <c r="T179" s="34"/>
    </row>
    <row r="180" spans="2:20" x14ac:dyDescent="0.25">
      <c r="B180" s="6">
        <f t="shared" si="5"/>
        <v>174</v>
      </c>
      <c r="C180" s="2">
        <f>$B180/C$5</f>
        <v>174</v>
      </c>
      <c r="D180" s="3">
        <f>$B180/D$5</f>
        <v>87</v>
      </c>
      <c r="E180" s="3">
        <f>$B180/E$5</f>
        <v>43.5</v>
      </c>
      <c r="F180" s="3">
        <f>$B180/F$5</f>
        <v>21.75</v>
      </c>
      <c r="G180" s="3">
        <f>$B180/G$5</f>
        <v>10.875</v>
      </c>
      <c r="H180" s="3">
        <f>$B180/H$5</f>
        <v>5.4375</v>
      </c>
      <c r="I180" s="3">
        <f>$B180/I$5</f>
        <v>2.71875</v>
      </c>
      <c r="J180" s="3">
        <f>$B180/J$5</f>
        <v>1.359375</v>
      </c>
      <c r="L180" s="2">
        <v>1.359375</v>
      </c>
      <c r="M180" s="23" t="s">
        <v>1083</v>
      </c>
      <c r="N180" s="23">
        <f>87/64</f>
        <v>1.359375</v>
      </c>
      <c r="O180" s="21">
        <f t="shared" si="4"/>
        <v>0</v>
      </c>
      <c r="P180" s="24" t="s">
        <v>6</v>
      </c>
      <c r="Q180" s="31"/>
      <c r="R180" s="32"/>
      <c r="S180" s="32"/>
      <c r="T180" s="34"/>
    </row>
    <row r="181" spans="2:20" x14ac:dyDescent="0.25">
      <c r="B181" s="6">
        <f t="shared" si="5"/>
        <v>175</v>
      </c>
      <c r="C181" s="2">
        <f>$B181/C$5</f>
        <v>175</v>
      </c>
      <c r="D181" s="2">
        <f>$B181/D$5</f>
        <v>87.5</v>
      </c>
      <c r="E181" s="2">
        <f>$B181/E$5</f>
        <v>43.75</v>
      </c>
      <c r="F181" s="2">
        <f>$B181/F$5</f>
        <v>21.875</v>
      </c>
      <c r="G181" s="2">
        <f>$B181/G$5</f>
        <v>10.9375</v>
      </c>
      <c r="H181" s="2">
        <f>$B181/H$5</f>
        <v>5.46875</v>
      </c>
      <c r="I181" s="2">
        <f>$B181/I$5</f>
        <v>2.734375</v>
      </c>
      <c r="J181" s="2">
        <f>$B181/J$5</f>
        <v>1.3671875</v>
      </c>
      <c r="L181" s="2">
        <v>1.3671875</v>
      </c>
      <c r="M181" s="23" t="s">
        <v>232</v>
      </c>
      <c r="N181" s="4">
        <f>175/128</f>
        <v>1.3671875</v>
      </c>
      <c r="O181" s="21">
        <f t="shared" si="4"/>
        <v>0</v>
      </c>
      <c r="P181" s="24" t="s">
        <v>6</v>
      </c>
      <c r="Q181" s="31"/>
      <c r="R181" s="32"/>
      <c r="S181" s="32"/>
      <c r="T181" s="34"/>
    </row>
    <row r="182" spans="2:20" x14ac:dyDescent="0.25">
      <c r="B182" s="6">
        <f t="shared" si="5"/>
        <v>176</v>
      </c>
      <c r="C182" s="2">
        <f>$B182/C$5</f>
        <v>176</v>
      </c>
      <c r="D182" s="3">
        <f>$B182/D$5</f>
        <v>88</v>
      </c>
      <c r="E182" s="3">
        <f>$B182/E$5</f>
        <v>44</v>
      </c>
      <c r="F182" s="3">
        <f>$B182/F$5</f>
        <v>22</v>
      </c>
      <c r="G182" s="3">
        <f>$B182/G$5</f>
        <v>11</v>
      </c>
      <c r="H182" s="3">
        <f>$B182/H$5</f>
        <v>5.5</v>
      </c>
      <c r="I182" s="3">
        <f>$B182/I$5</f>
        <v>2.75</v>
      </c>
      <c r="J182" s="3">
        <f>$B182/J$5</f>
        <v>1.375</v>
      </c>
      <c r="L182" s="2">
        <v>1.375</v>
      </c>
      <c r="M182" s="23" t="s">
        <v>668</v>
      </c>
      <c r="N182" s="23">
        <f>11/8</f>
        <v>1.375</v>
      </c>
      <c r="O182" s="21">
        <f t="shared" si="4"/>
        <v>0</v>
      </c>
      <c r="P182" s="24" t="s">
        <v>6</v>
      </c>
      <c r="Q182" s="31"/>
      <c r="R182" s="32"/>
      <c r="S182" s="32"/>
      <c r="T182" s="34"/>
    </row>
    <row r="183" spans="2:20" x14ac:dyDescent="0.25">
      <c r="B183" s="6">
        <f t="shared" si="5"/>
        <v>177</v>
      </c>
      <c r="C183" s="2">
        <f>$B183/C$5</f>
        <v>177</v>
      </c>
      <c r="D183" s="2">
        <f>$B183/D$5</f>
        <v>88.5</v>
      </c>
      <c r="E183" s="2">
        <f>$B183/E$5</f>
        <v>44.25</v>
      </c>
      <c r="F183" s="2">
        <f>$B183/F$5</f>
        <v>22.125</v>
      </c>
      <c r="G183" s="2">
        <f>$B183/G$5</f>
        <v>11.0625</v>
      </c>
      <c r="H183" s="2">
        <f>$B183/H$5</f>
        <v>5.53125</v>
      </c>
      <c r="I183" s="2">
        <f>$B183/I$5</f>
        <v>2.765625</v>
      </c>
      <c r="J183" s="2">
        <f>$B183/J$5</f>
        <v>1.3828125</v>
      </c>
      <c r="L183" s="2">
        <v>1.3828125</v>
      </c>
      <c r="M183" s="23" t="s">
        <v>233</v>
      </c>
      <c r="N183" s="4">
        <f>177/128</f>
        <v>1.3828125</v>
      </c>
      <c r="O183" s="21">
        <f t="shared" si="4"/>
        <v>0</v>
      </c>
      <c r="P183" s="24" t="s">
        <v>6</v>
      </c>
      <c r="Q183" s="31"/>
      <c r="R183" s="32"/>
      <c r="S183" s="32"/>
      <c r="T183" s="34"/>
    </row>
    <row r="184" spans="2:20" x14ac:dyDescent="0.25">
      <c r="B184" s="6">
        <f t="shared" si="5"/>
        <v>178</v>
      </c>
      <c r="C184" s="2">
        <f>$B184/C$5</f>
        <v>178</v>
      </c>
      <c r="D184" s="3">
        <f>$B184/D$5</f>
        <v>89</v>
      </c>
      <c r="E184" s="3">
        <f>$B184/E$5</f>
        <v>44.5</v>
      </c>
      <c r="F184" s="3">
        <f>$B184/F$5</f>
        <v>22.25</v>
      </c>
      <c r="G184" s="3">
        <f>$B184/G$5</f>
        <v>11.125</v>
      </c>
      <c r="H184" s="3">
        <f>$B184/H$5</f>
        <v>5.5625</v>
      </c>
      <c r="I184" s="3">
        <f>$B184/I$5</f>
        <v>2.78125</v>
      </c>
      <c r="J184" s="3">
        <f>$B184/J$5</f>
        <v>1.390625</v>
      </c>
      <c r="L184" s="2">
        <v>1.390625</v>
      </c>
      <c r="M184" s="23" t="s">
        <v>1084</v>
      </c>
      <c r="N184" s="23">
        <f>89/64</f>
        <v>1.390625</v>
      </c>
      <c r="O184" s="21">
        <f t="shared" si="4"/>
        <v>0</v>
      </c>
      <c r="P184" s="24" t="s">
        <v>6</v>
      </c>
      <c r="Q184" s="31"/>
      <c r="R184" s="32"/>
      <c r="S184" s="32"/>
      <c r="T184" s="34"/>
    </row>
    <row r="185" spans="2:20" x14ac:dyDescent="0.25">
      <c r="B185" s="6">
        <f t="shared" si="5"/>
        <v>179</v>
      </c>
      <c r="C185" s="2">
        <f>$B185/C$5</f>
        <v>179</v>
      </c>
      <c r="D185" s="2">
        <f>$B185/D$5</f>
        <v>89.5</v>
      </c>
      <c r="E185" s="2">
        <f>$B185/E$5</f>
        <v>44.75</v>
      </c>
      <c r="F185" s="2">
        <f>$B185/F$5</f>
        <v>22.375</v>
      </c>
      <c r="G185" s="2">
        <f>$B185/G$5</f>
        <v>11.1875</v>
      </c>
      <c r="H185" s="2">
        <f>$B185/H$5</f>
        <v>5.59375</v>
      </c>
      <c r="I185" s="2">
        <f>$B185/I$5</f>
        <v>2.796875</v>
      </c>
      <c r="J185" s="2">
        <f>$B185/J$5</f>
        <v>1.3984375</v>
      </c>
      <c r="L185" s="2">
        <v>1.3984375</v>
      </c>
      <c r="M185" s="23" t="s">
        <v>234</v>
      </c>
      <c r="N185" s="4">
        <f>179/128</f>
        <v>1.3984375</v>
      </c>
      <c r="O185" s="21">
        <f t="shared" si="4"/>
        <v>0</v>
      </c>
      <c r="P185" s="24" t="s">
        <v>6</v>
      </c>
      <c r="Q185" s="31"/>
      <c r="R185" s="32"/>
      <c r="S185" s="32"/>
      <c r="T185" s="34"/>
    </row>
    <row r="186" spans="2:20" x14ac:dyDescent="0.25">
      <c r="B186" s="6">
        <f t="shared" si="5"/>
        <v>180</v>
      </c>
      <c r="C186" s="2">
        <f>$B186/C$5</f>
        <v>180</v>
      </c>
      <c r="D186" s="3">
        <f>$B186/D$5</f>
        <v>90</v>
      </c>
      <c r="E186" s="3">
        <f>$B186/E$5</f>
        <v>45</v>
      </c>
      <c r="F186" s="3">
        <f>$B186/F$5</f>
        <v>22.5</v>
      </c>
      <c r="G186" s="3">
        <f>$B186/G$5</f>
        <v>11.25</v>
      </c>
      <c r="H186" s="3">
        <f>$B186/H$5</f>
        <v>5.625</v>
      </c>
      <c r="I186" s="3">
        <f>$B186/I$5</f>
        <v>2.8125</v>
      </c>
      <c r="J186" s="3">
        <f>$B186/J$5</f>
        <v>1.40625</v>
      </c>
      <c r="L186" s="2">
        <v>1.40625</v>
      </c>
      <c r="M186" s="23" t="s">
        <v>938</v>
      </c>
      <c r="N186" s="23">
        <f>45/32</f>
        <v>1.40625</v>
      </c>
      <c r="O186" s="21">
        <f t="shared" si="4"/>
        <v>0</v>
      </c>
      <c r="P186" s="24" t="s">
        <v>6</v>
      </c>
      <c r="Q186" s="31"/>
      <c r="R186" s="32"/>
      <c r="S186" s="32"/>
      <c r="T186" s="34"/>
    </row>
    <row r="187" spans="2:20" x14ac:dyDescent="0.25">
      <c r="B187" s="6">
        <f t="shared" si="5"/>
        <v>181</v>
      </c>
      <c r="C187" s="2">
        <f>$B187/C$5</f>
        <v>181</v>
      </c>
      <c r="D187" s="2">
        <f>$B187/D$5</f>
        <v>90.5</v>
      </c>
      <c r="E187" s="2">
        <f>$B187/E$5</f>
        <v>45.25</v>
      </c>
      <c r="F187" s="2">
        <f>$B187/F$5</f>
        <v>22.625</v>
      </c>
      <c r="G187" s="2">
        <f>$B187/G$5</f>
        <v>11.3125</v>
      </c>
      <c r="H187" s="2">
        <f>$B187/H$5</f>
        <v>5.65625</v>
      </c>
      <c r="I187" s="2">
        <f>$B187/I$5</f>
        <v>2.828125</v>
      </c>
      <c r="J187" s="2">
        <f>$B187/J$5</f>
        <v>1.4140625</v>
      </c>
      <c r="L187" s="2">
        <v>1.4140625</v>
      </c>
      <c r="M187" s="23" t="s">
        <v>235</v>
      </c>
      <c r="N187" s="4">
        <f>181/128</f>
        <v>1.4140625</v>
      </c>
      <c r="O187" s="21">
        <f t="shared" si="4"/>
        <v>0</v>
      </c>
      <c r="P187" s="24" t="s">
        <v>6</v>
      </c>
      <c r="Q187" s="31"/>
      <c r="R187" s="32"/>
      <c r="S187" s="32"/>
      <c r="T187" s="34"/>
    </row>
    <row r="188" spans="2:20" x14ac:dyDescent="0.25">
      <c r="B188" s="6">
        <f t="shared" si="5"/>
        <v>182</v>
      </c>
      <c r="C188" s="2">
        <f>$B188/C$5</f>
        <v>182</v>
      </c>
      <c r="D188" s="3">
        <f>$B188/D$5</f>
        <v>91</v>
      </c>
      <c r="E188" s="3">
        <f>$B188/E$5</f>
        <v>45.5</v>
      </c>
      <c r="F188" s="3">
        <f>$B188/F$5</f>
        <v>22.75</v>
      </c>
      <c r="G188" s="3">
        <f>$B188/G$5</f>
        <v>11.375</v>
      </c>
      <c r="H188" s="3">
        <f>$B188/H$5</f>
        <v>5.6875</v>
      </c>
      <c r="I188" s="3">
        <f>$B188/I$5</f>
        <v>2.84375</v>
      </c>
      <c r="J188" s="3">
        <f>$B188/J$5</f>
        <v>1.421875</v>
      </c>
      <c r="L188" s="2">
        <v>1.421875</v>
      </c>
      <c r="M188" s="23" t="s">
        <v>1085</v>
      </c>
      <c r="N188" s="23">
        <f>91/64</f>
        <v>1.421875</v>
      </c>
      <c r="O188" s="21">
        <f t="shared" si="4"/>
        <v>0</v>
      </c>
      <c r="P188" s="24" t="s">
        <v>6</v>
      </c>
      <c r="Q188" s="31"/>
      <c r="R188" s="32"/>
      <c r="S188" s="32"/>
      <c r="T188" s="34"/>
    </row>
    <row r="189" spans="2:20" x14ac:dyDescent="0.25">
      <c r="B189" s="6">
        <f t="shared" si="5"/>
        <v>183</v>
      </c>
      <c r="C189" s="2">
        <f>$B189/C$5</f>
        <v>183</v>
      </c>
      <c r="D189" s="2">
        <f>$B189/D$5</f>
        <v>91.5</v>
      </c>
      <c r="E189" s="2">
        <f>$B189/E$5</f>
        <v>45.75</v>
      </c>
      <c r="F189" s="2">
        <f>$B189/F$5</f>
        <v>22.875</v>
      </c>
      <c r="G189" s="2">
        <f>$B189/G$5</f>
        <v>11.4375</v>
      </c>
      <c r="H189" s="2">
        <f>$B189/H$5</f>
        <v>5.71875</v>
      </c>
      <c r="I189" s="2">
        <f>$B189/I$5</f>
        <v>2.859375</v>
      </c>
      <c r="J189" s="2">
        <f>$B189/J$5</f>
        <v>1.4296875</v>
      </c>
      <c r="L189" s="2">
        <v>1.4296875</v>
      </c>
      <c r="M189" s="23" t="s">
        <v>236</v>
      </c>
      <c r="N189" s="4">
        <f>183/128</f>
        <v>1.4296875</v>
      </c>
      <c r="O189" s="21">
        <f t="shared" si="4"/>
        <v>0</v>
      </c>
      <c r="P189" s="24" t="s">
        <v>6</v>
      </c>
      <c r="Q189" s="31"/>
      <c r="R189" s="32"/>
      <c r="S189" s="32"/>
      <c r="T189" s="34"/>
    </row>
    <row r="190" spans="2:20" x14ac:dyDescent="0.25">
      <c r="B190" s="6">
        <f t="shared" si="5"/>
        <v>184</v>
      </c>
      <c r="C190" s="2">
        <f>$B190/C$5</f>
        <v>184</v>
      </c>
      <c r="D190" s="3">
        <f>$B190/D$5</f>
        <v>92</v>
      </c>
      <c r="E190" s="3">
        <f>$B190/E$5</f>
        <v>46</v>
      </c>
      <c r="F190" s="3">
        <f>$B190/F$5</f>
        <v>23</v>
      </c>
      <c r="G190" s="3">
        <f>$B190/G$5</f>
        <v>11.5</v>
      </c>
      <c r="H190" s="3">
        <f>$B190/H$5</f>
        <v>5.75</v>
      </c>
      <c r="I190" s="3">
        <f>$B190/I$5</f>
        <v>2.875</v>
      </c>
      <c r="J190" s="3">
        <f>$B190/J$5</f>
        <v>1.4375</v>
      </c>
      <c r="L190" s="2">
        <v>1.4375</v>
      </c>
      <c r="M190" s="23" t="s">
        <v>801</v>
      </c>
      <c r="N190" s="23">
        <f>23/16</f>
        <v>1.4375</v>
      </c>
      <c r="O190" s="21">
        <f t="shared" si="4"/>
        <v>0</v>
      </c>
      <c r="P190" s="24" t="s">
        <v>6</v>
      </c>
      <c r="Q190" s="31"/>
      <c r="R190" s="32"/>
      <c r="S190" s="32"/>
      <c r="T190" s="34"/>
    </row>
    <row r="191" spans="2:20" x14ac:dyDescent="0.25">
      <c r="B191" s="6">
        <f t="shared" si="5"/>
        <v>185</v>
      </c>
      <c r="C191" s="2">
        <f>$B191/C$5</f>
        <v>185</v>
      </c>
      <c r="D191" s="2">
        <f>$B191/D$5</f>
        <v>92.5</v>
      </c>
      <c r="E191" s="2">
        <f>$B191/E$5</f>
        <v>46.25</v>
      </c>
      <c r="F191" s="2">
        <f>$B191/F$5</f>
        <v>23.125</v>
      </c>
      <c r="G191" s="2">
        <f>$B191/G$5</f>
        <v>11.5625</v>
      </c>
      <c r="H191" s="2">
        <f>$B191/H$5</f>
        <v>5.78125</v>
      </c>
      <c r="I191" s="2">
        <f>$B191/I$5</f>
        <v>2.890625</v>
      </c>
      <c r="J191" s="2">
        <f>$B191/J$5</f>
        <v>1.4453125</v>
      </c>
      <c r="L191" s="2">
        <v>1.4453125</v>
      </c>
      <c r="M191" s="23" t="s">
        <v>237</v>
      </c>
      <c r="N191" s="4">
        <f>185/128</f>
        <v>1.4453125</v>
      </c>
      <c r="O191" s="21">
        <f t="shared" si="4"/>
        <v>0</v>
      </c>
      <c r="P191" s="24" t="s">
        <v>6</v>
      </c>
      <c r="Q191" s="31"/>
      <c r="R191" s="32"/>
      <c r="S191" s="32"/>
      <c r="T191" s="34"/>
    </row>
    <row r="192" spans="2:20" x14ac:dyDescent="0.25">
      <c r="B192" s="6">
        <f t="shared" si="5"/>
        <v>186</v>
      </c>
      <c r="C192" s="2">
        <f>$B192/C$5</f>
        <v>186</v>
      </c>
      <c r="D192" s="3">
        <f>$B192/D$5</f>
        <v>93</v>
      </c>
      <c r="E192" s="3">
        <f>$B192/E$5</f>
        <v>46.5</v>
      </c>
      <c r="F192" s="3">
        <f>$B192/F$5</f>
        <v>23.25</v>
      </c>
      <c r="G192" s="3">
        <f>$B192/G$5</f>
        <v>11.625</v>
      </c>
      <c r="H192" s="3">
        <f>$B192/H$5</f>
        <v>5.8125</v>
      </c>
      <c r="I192" s="3">
        <f>$B192/I$5</f>
        <v>2.90625</v>
      </c>
      <c r="J192" s="3">
        <f>$B192/J$5</f>
        <v>1.453125</v>
      </c>
      <c r="L192" s="2">
        <v>1.453125</v>
      </c>
      <c r="M192" s="23" t="s">
        <v>1086</v>
      </c>
      <c r="N192" s="23">
        <f>93/64</f>
        <v>1.453125</v>
      </c>
      <c r="O192" s="21">
        <f t="shared" si="4"/>
        <v>0</v>
      </c>
      <c r="P192" s="24" t="s">
        <v>6</v>
      </c>
      <c r="Q192" s="31"/>
      <c r="R192" s="32"/>
      <c r="S192" s="32"/>
      <c r="T192" s="34"/>
    </row>
    <row r="193" spans="2:20" x14ac:dyDescent="0.25">
      <c r="B193" s="6">
        <f t="shared" si="5"/>
        <v>187</v>
      </c>
      <c r="C193" s="2">
        <f>$B193/C$5</f>
        <v>187</v>
      </c>
      <c r="D193" s="2">
        <f>$B193/D$5</f>
        <v>93.5</v>
      </c>
      <c r="E193" s="2">
        <f>$B193/E$5</f>
        <v>46.75</v>
      </c>
      <c r="F193" s="2">
        <f>$B193/F$5</f>
        <v>23.375</v>
      </c>
      <c r="G193" s="2">
        <f>$B193/G$5</f>
        <v>11.6875</v>
      </c>
      <c r="H193" s="2">
        <f>$B193/H$5</f>
        <v>5.84375</v>
      </c>
      <c r="I193" s="2">
        <f>$B193/I$5</f>
        <v>2.921875</v>
      </c>
      <c r="J193" s="2">
        <f>$B193/J$5</f>
        <v>1.4609375</v>
      </c>
      <c r="L193" s="2">
        <v>1.4609375</v>
      </c>
      <c r="M193" s="23" t="s">
        <v>238</v>
      </c>
      <c r="N193" s="4">
        <f>187/128</f>
        <v>1.4609375</v>
      </c>
      <c r="O193" s="21">
        <f t="shared" si="4"/>
        <v>0</v>
      </c>
      <c r="P193" s="24" t="s">
        <v>6</v>
      </c>
      <c r="Q193" s="31"/>
      <c r="R193" s="32"/>
      <c r="S193" s="32"/>
      <c r="T193" s="34"/>
    </row>
    <row r="194" spans="2:20" x14ac:dyDescent="0.25">
      <c r="B194" s="6">
        <f t="shared" si="5"/>
        <v>188</v>
      </c>
      <c r="C194" s="2">
        <f>$B194/C$5</f>
        <v>188</v>
      </c>
      <c r="D194" s="3">
        <f>$B194/D$5</f>
        <v>94</v>
      </c>
      <c r="E194" s="3">
        <f>$B194/E$5</f>
        <v>47</v>
      </c>
      <c r="F194" s="3">
        <f>$B194/F$5</f>
        <v>23.5</v>
      </c>
      <c r="G194" s="3">
        <f>$B194/G$5</f>
        <v>11.75</v>
      </c>
      <c r="H194" s="3">
        <f>$B194/H$5</f>
        <v>5.875</v>
      </c>
      <c r="I194" s="3">
        <f>$B194/I$5</f>
        <v>2.9375</v>
      </c>
      <c r="J194" s="3">
        <f>$B194/J$5</f>
        <v>1.46875</v>
      </c>
      <c r="L194" s="2">
        <v>1.46875</v>
      </c>
      <c r="M194" s="23" t="s">
        <v>939</v>
      </c>
      <c r="N194" s="23">
        <f>47/32</f>
        <v>1.46875</v>
      </c>
      <c r="O194" s="21">
        <f t="shared" si="4"/>
        <v>0</v>
      </c>
      <c r="P194" s="24" t="s">
        <v>6</v>
      </c>
      <c r="Q194" s="31"/>
      <c r="R194" s="32"/>
      <c r="S194" s="32"/>
      <c r="T194" s="34"/>
    </row>
    <row r="195" spans="2:20" x14ac:dyDescent="0.25">
      <c r="B195" s="6">
        <f t="shared" si="5"/>
        <v>189</v>
      </c>
      <c r="C195" s="2">
        <f>$B195/C$5</f>
        <v>189</v>
      </c>
      <c r="D195" s="2">
        <f>$B195/D$5</f>
        <v>94.5</v>
      </c>
      <c r="E195" s="2">
        <f>$B195/E$5</f>
        <v>47.25</v>
      </c>
      <c r="F195" s="2">
        <f>$B195/F$5</f>
        <v>23.625</v>
      </c>
      <c r="G195" s="2">
        <f>$B195/G$5</f>
        <v>11.8125</v>
      </c>
      <c r="H195" s="2">
        <f>$B195/H$5</f>
        <v>5.90625</v>
      </c>
      <c r="I195" s="2">
        <f>$B195/I$5</f>
        <v>2.953125</v>
      </c>
      <c r="J195" s="2">
        <f>$B195/J$5</f>
        <v>1.4765625</v>
      </c>
      <c r="L195" s="2">
        <v>1.4765625</v>
      </c>
      <c r="M195" s="23" t="s">
        <v>239</v>
      </c>
      <c r="N195" s="4">
        <f>189/128</f>
        <v>1.4765625</v>
      </c>
      <c r="O195" s="21">
        <f t="shared" si="4"/>
        <v>0</v>
      </c>
      <c r="P195" s="24" t="s">
        <v>6</v>
      </c>
      <c r="Q195" s="31"/>
      <c r="R195" s="32"/>
      <c r="S195" s="32"/>
      <c r="T195" s="34"/>
    </row>
    <row r="196" spans="2:20" x14ac:dyDescent="0.25">
      <c r="B196" s="6">
        <f t="shared" si="5"/>
        <v>190</v>
      </c>
      <c r="C196" s="2">
        <f>$B196/C$5</f>
        <v>190</v>
      </c>
      <c r="D196" s="3">
        <f>$B196/D$5</f>
        <v>95</v>
      </c>
      <c r="E196" s="3">
        <f>$B196/E$5</f>
        <v>47.5</v>
      </c>
      <c r="F196" s="3">
        <f>$B196/F$5</f>
        <v>23.75</v>
      </c>
      <c r="G196" s="3">
        <f>$B196/G$5</f>
        <v>11.875</v>
      </c>
      <c r="H196" s="3">
        <f>$B196/H$5</f>
        <v>5.9375</v>
      </c>
      <c r="I196" s="3">
        <f>$B196/I$5</f>
        <v>2.96875</v>
      </c>
      <c r="J196" s="3">
        <f>$B196/J$5</f>
        <v>1.484375</v>
      </c>
      <c r="L196" s="2">
        <v>1.484375</v>
      </c>
      <c r="M196" s="23" t="s">
        <v>1087</v>
      </c>
      <c r="N196" s="23">
        <f>95/64</f>
        <v>1.484375</v>
      </c>
      <c r="O196" s="21">
        <f t="shared" si="4"/>
        <v>0</v>
      </c>
      <c r="P196" s="24" t="s">
        <v>6</v>
      </c>
      <c r="Q196" s="31"/>
      <c r="R196" s="32"/>
      <c r="S196" s="32"/>
      <c r="T196" s="34"/>
    </row>
    <row r="197" spans="2:20" x14ac:dyDescent="0.25">
      <c r="B197" s="6">
        <f t="shared" si="5"/>
        <v>191</v>
      </c>
      <c r="C197" s="2">
        <f>$B197/C$5</f>
        <v>191</v>
      </c>
      <c r="D197" s="2">
        <f>$B197/D$5</f>
        <v>95.5</v>
      </c>
      <c r="E197" s="2">
        <f>$B197/E$5</f>
        <v>47.75</v>
      </c>
      <c r="F197" s="2">
        <f>$B197/F$5</f>
        <v>23.875</v>
      </c>
      <c r="G197" s="2">
        <f>$B197/G$5</f>
        <v>11.9375</v>
      </c>
      <c r="H197" s="2">
        <f>$B197/H$5</f>
        <v>5.96875</v>
      </c>
      <c r="I197" s="2">
        <f>$B197/I$5</f>
        <v>2.984375</v>
      </c>
      <c r="J197" s="2">
        <f>$B197/J$5</f>
        <v>1.4921875</v>
      </c>
      <c r="L197" s="2">
        <v>1.4921875</v>
      </c>
      <c r="M197" s="23" t="s">
        <v>240</v>
      </c>
      <c r="N197" s="4">
        <f>191/128</f>
        <v>1.4921875</v>
      </c>
      <c r="O197" s="21">
        <f t="shared" si="4"/>
        <v>0</v>
      </c>
      <c r="P197" s="24" t="s">
        <v>6</v>
      </c>
      <c r="Q197" s="31"/>
      <c r="R197" s="32"/>
      <c r="S197" s="32"/>
      <c r="T197" s="34"/>
    </row>
    <row r="198" spans="2:20" x14ac:dyDescent="0.25">
      <c r="B198" s="6">
        <f t="shared" si="5"/>
        <v>192</v>
      </c>
      <c r="C198" s="2">
        <f>$B198/C$5</f>
        <v>192</v>
      </c>
      <c r="D198" s="3">
        <f>$B198/D$5</f>
        <v>96</v>
      </c>
      <c r="E198" s="3">
        <f>$B198/E$5</f>
        <v>48</v>
      </c>
      <c r="F198" s="3">
        <f>$B198/F$5</f>
        <v>24</v>
      </c>
      <c r="G198" s="3">
        <f>$B198/G$5</f>
        <v>12</v>
      </c>
      <c r="H198" s="3">
        <f>$B198/H$5</f>
        <v>6</v>
      </c>
      <c r="I198" s="3">
        <f>$B198/I$5</f>
        <v>3</v>
      </c>
      <c r="J198" s="3">
        <f>$B198/J$5</f>
        <v>1.5</v>
      </c>
      <c r="L198" s="2">
        <v>1.5</v>
      </c>
      <c r="M198" s="23" t="s">
        <v>506</v>
      </c>
      <c r="N198" s="23">
        <f>3/2</f>
        <v>1.5</v>
      </c>
      <c r="O198" s="21">
        <f t="shared" si="4"/>
        <v>0</v>
      </c>
      <c r="P198" s="24" t="s">
        <v>6</v>
      </c>
      <c r="Q198" s="31"/>
      <c r="R198" s="32"/>
      <c r="S198" s="32"/>
      <c r="T198" s="34"/>
    </row>
    <row r="199" spans="2:20" x14ac:dyDescent="0.25">
      <c r="B199" s="6">
        <f t="shared" si="5"/>
        <v>193</v>
      </c>
      <c r="C199" s="2">
        <f>$B199/C$5</f>
        <v>193</v>
      </c>
      <c r="D199" s="2">
        <f>$B199/D$5</f>
        <v>96.5</v>
      </c>
      <c r="E199" s="2">
        <f>$B199/E$5</f>
        <v>48.25</v>
      </c>
      <c r="F199" s="2">
        <f>$B199/F$5</f>
        <v>24.125</v>
      </c>
      <c r="G199" s="2">
        <f>$B199/G$5</f>
        <v>12.0625</v>
      </c>
      <c r="H199" s="2">
        <f>$B199/H$5</f>
        <v>6.03125</v>
      </c>
      <c r="I199" s="2">
        <f>$B199/I$5</f>
        <v>3.015625</v>
      </c>
      <c r="J199" s="2">
        <f>$B199/J$5</f>
        <v>1.5078125</v>
      </c>
      <c r="L199" s="2">
        <v>1.5078125</v>
      </c>
      <c r="M199" s="23" t="s">
        <v>241</v>
      </c>
      <c r="N199" s="4">
        <f>193/128</f>
        <v>1.5078125</v>
      </c>
      <c r="O199" s="21">
        <f t="shared" ref="O199:O262" si="6">ABS(L199-N199)</f>
        <v>0</v>
      </c>
      <c r="P199" s="24" t="s">
        <v>6</v>
      </c>
      <c r="Q199" s="31"/>
      <c r="R199" s="32"/>
      <c r="S199" s="32"/>
      <c r="T199" s="34"/>
    </row>
    <row r="200" spans="2:20" x14ac:dyDescent="0.25">
      <c r="B200" s="6">
        <f t="shared" ref="B200:B261" si="7">B199+1</f>
        <v>194</v>
      </c>
      <c r="C200" s="2">
        <f>$B200/C$5</f>
        <v>194</v>
      </c>
      <c r="D200" s="3">
        <f>$B200/D$5</f>
        <v>97</v>
      </c>
      <c r="E200" s="3">
        <f>$B200/E$5</f>
        <v>48.5</v>
      </c>
      <c r="F200" s="3">
        <f>$B200/F$5</f>
        <v>24.25</v>
      </c>
      <c r="G200" s="3">
        <f>$B200/G$5</f>
        <v>12.125</v>
      </c>
      <c r="H200" s="3">
        <f>$B200/H$5</f>
        <v>6.0625</v>
      </c>
      <c r="I200" s="3">
        <f>$B200/I$5</f>
        <v>3.03125</v>
      </c>
      <c r="J200" s="3">
        <f>$B200/J$5</f>
        <v>1.515625</v>
      </c>
      <c r="L200" s="2">
        <v>1.515625</v>
      </c>
      <c r="M200" s="23" t="s">
        <v>1088</v>
      </c>
      <c r="N200" s="23">
        <f>97/64</f>
        <v>1.515625</v>
      </c>
      <c r="O200" s="21">
        <f t="shared" si="6"/>
        <v>0</v>
      </c>
      <c r="P200" s="24" t="s">
        <v>6</v>
      </c>
      <c r="Q200" s="31"/>
      <c r="R200" s="32"/>
      <c r="S200" s="32"/>
      <c r="T200" s="34"/>
    </row>
    <row r="201" spans="2:20" x14ac:dyDescent="0.25">
      <c r="B201" s="6">
        <f t="shared" si="7"/>
        <v>195</v>
      </c>
      <c r="C201" s="2">
        <f>$B201/C$5</f>
        <v>195</v>
      </c>
      <c r="D201" s="2">
        <f>$B201/D$5</f>
        <v>97.5</v>
      </c>
      <c r="E201" s="2">
        <f>$B201/E$5</f>
        <v>48.75</v>
      </c>
      <c r="F201" s="2">
        <f>$B201/F$5</f>
        <v>24.375</v>
      </c>
      <c r="G201" s="2">
        <f>$B201/G$5</f>
        <v>12.1875</v>
      </c>
      <c r="H201" s="2">
        <f>$B201/H$5</f>
        <v>6.09375</v>
      </c>
      <c r="I201" s="2">
        <f>$B201/I$5</f>
        <v>3.046875</v>
      </c>
      <c r="J201" s="2">
        <f>$B201/J$5</f>
        <v>1.5234375</v>
      </c>
      <c r="L201" s="2">
        <v>1.5234375</v>
      </c>
      <c r="M201" s="23" t="s">
        <v>242</v>
      </c>
      <c r="N201" s="4">
        <f>195/128</f>
        <v>1.5234375</v>
      </c>
      <c r="O201" s="21">
        <f t="shared" si="6"/>
        <v>0</v>
      </c>
      <c r="P201" s="24" t="s">
        <v>6</v>
      </c>
      <c r="Q201" s="31"/>
      <c r="R201" s="32"/>
      <c r="S201" s="32"/>
      <c r="T201" s="34"/>
    </row>
    <row r="202" spans="2:20" x14ac:dyDescent="0.25">
      <c r="B202" s="6">
        <f t="shared" si="7"/>
        <v>196</v>
      </c>
      <c r="C202" s="2">
        <f>$B202/C$5</f>
        <v>196</v>
      </c>
      <c r="D202" s="3">
        <f>$B202/D$5</f>
        <v>98</v>
      </c>
      <c r="E202" s="3">
        <f>$B202/E$5</f>
        <v>49</v>
      </c>
      <c r="F202" s="3">
        <f>$B202/F$5</f>
        <v>24.5</v>
      </c>
      <c r="G202" s="3">
        <f>$B202/G$5</f>
        <v>12.25</v>
      </c>
      <c r="H202" s="3">
        <f>$B202/H$5</f>
        <v>6.125</v>
      </c>
      <c r="I202" s="3">
        <f>$B202/I$5</f>
        <v>3.0625</v>
      </c>
      <c r="J202" s="3">
        <f>$B202/J$5</f>
        <v>1.53125</v>
      </c>
      <c r="L202" s="2">
        <v>1.53125</v>
      </c>
      <c r="M202" s="23" t="s">
        <v>940</v>
      </c>
      <c r="N202" s="23">
        <f>49/32</f>
        <v>1.53125</v>
      </c>
      <c r="O202" s="21">
        <f t="shared" si="6"/>
        <v>0</v>
      </c>
      <c r="P202" s="24" t="s">
        <v>6</v>
      </c>
      <c r="Q202" s="31"/>
      <c r="R202" s="32"/>
      <c r="S202" s="32"/>
      <c r="T202" s="34"/>
    </row>
    <row r="203" spans="2:20" x14ac:dyDescent="0.25">
      <c r="B203" s="6">
        <f t="shared" si="7"/>
        <v>197</v>
      </c>
      <c r="C203" s="2">
        <f>$B203/C$5</f>
        <v>197</v>
      </c>
      <c r="D203" s="2">
        <f>$B203/D$5</f>
        <v>98.5</v>
      </c>
      <c r="E203" s="2">
        <f>$B203/E$5</f>
        <v>49.25</v>
      </c>
      <c r="F203" s="2">
        <f>$B203/F$5</f>
        <v>24.625</v>
      </c>
      <c r="G203" s="2">
        <f>$B203/G$5</f>
        <v>12.3125</v>
      </c>
      <c r="H203" s="2">
        <f>$B203/H$5</f>
        <v>6.15625</v>
      </c>
      <c r="I203" s="2">
        <f>$B203/I$5</f>
        <v>3.078125</v>
      </c>
      <c r="J203" s="2">
        <f>$B203/J$5</f>
        <v>1.5390625</v>
      </c>
      <c r="L203" s="2">
        <v>1.5390625</v>
      </c>
      <c r="M203" s="23" t="s">
        <v>243</v>
      </c>
      <c r="N203" s="4">
        <f>197/128</f>
        <v>1.5390625</v>
      </c>
      <c r="O203" s="21">
        <f t="shared" si="6"/>
        <v>0</v>
      </c>
      <c r="P203" s="24" t="s">
        <v>6</v>
      </c>
      <c r="Q203" s="31"/>
      <c r="R203" s="32"/>
      <c r="S203" s="32"/>
      <c r="T203" s="34"/>
    </row>
    <row r="204" spans="2:20" x14ac:dyDescent="0.25">
      <c r="B204" s="6">
        <f t="shared" si="7"/>
        <v>198</v>
      </c>
      <c r="C204" s="2">
        <f>$B204/C$5</f>
        <v>198</v>
      </c>
      <c r="D204" s="3">
        <f>$B204/D$5</f>
        <v>99</v>
      </c>
      <c r="E204" s="3">
        <f>$B204/E$5</f>
        <v>49.5</v>
      </c>
      <c r="F204" s="3">
        <f>$B204/F$5</f>
        <v>24.75</v>
      </c>
      <c r="G204" s="3">
        <f>$B204/G$5</f>
        <v>12.375</v>
      </c>
      <c r="H204" s="3">
        <f>$B204/H$5</f>
        <v>6.1875</v>
      </c>
      <c r="I204" s="3">
        <f>$B204/I$5</f>
        <v>3.09375</v>
      </c>
      <c r="J204" s="3">
        <f>$B204/J$5</f>
        <v>1.546875</v>
      </c>
      <c r="L204" s="2">
        <v>1.546875</v>
      </c>
      <c r="M204" s="23" t="s">
        <v>1089</v>
      </c>
      <c r="N204" s="23">
        <f>99/64</f>
        <v>1.546875</v>
      </c>
      <c r="O204" s="21">
        <f t="shared" si="6"/>
        <v>0</v>
      </c>
      <c r="P204" s="24" t="s">
        <v>6</v>
      </c>
      <c r="Q204" s="31"/>
      <c r="R204" s="32"/>
      <c r="S204" s="32"/>
      <c r="T204" s="34"/>
    </row>
    <row r="205" spans="2:20" x14ac:dyDescent="0.25">
      <c r="B205" s="6">
        <f t="shared" si="7"/>
        <v>199</v>
      </c>
      <c r="C205" s="2">
        <f>$B205/C$5</f>
        <v>199</v>
      </c>
      <c r="D205" s="2">
        <f>$B205/D$5</f>
        <v>99.5</v>
      </c>
      <c r="E205" s="2">
        <f>$B205/E$5</f>
        <v>49.75</v>
      </c>
      <c r="F205" s="2">
        <f>$B205/F$5</f>
        <v>24.875</v>
      </c>
      <c r="G205" s="2">
        <f>$B205/G$5</f>
        <v>12.4375</v>
      </c>
      <c r="H205" s="2">
        <f>$B205/H$5</f>
        <v>6.21875</v>
      </c>
      <c r="I205" s="2">
        <f>$B205/I$5</f>
        <v>3.109375</v>
      </c>
      <c r="J205" s="2">
        <f>$B205/J$5</f>
        <v>1.5546875</v>
      </c>
      <c r="L205" s="2">
        <v>1.5546875</v>
      </c>
      <c r="M205" s="23" t="s">
        <v>244</v>
      </c>
      <c r="N205" s="4">
        <f>199/128</f>
        <v>1.5546875</v>
      </c>
      <c r="O205" s="21">
        <f t="shared" si="6"/>
        <v>0</v>
      </c>
      <c r="P205" s="24" t="s">
        <v>6</v>
      </c>
      <c r="Q205" s="31"/>
      <c r="R205" s="32"/>
      <c r="S205" s="32"/>
      <c r="T205" s="34"/>
    </row>
    <row r="206" spans="2:20" x14ac:dyDescent="0.25">
      <c r="B206" s="6">
        <f t="shared" si="7"/>
        <v>200</v>
      </c>
      <c r="C206" s="2">
        <f>$B206/C$5</f>
        <v>200</v>
      </c>
      <c r="D206" s="3">
        <f>$B206/D$5</f>
        <v>100</v>
      </c>
      <c r="E206" s="3">
        <f>$B206/E$5</f>
        <v>50</v>
      </c>
      <c r="F206" s="3">
        <f>$B206/F$5</f>
        <v>25</v>
      </c>
      <c r="G206" s="3">
        <f>$B206/G$5</f>
        <v>12.5</v>
      </c>
      <c r="H206" s="3">
        <f>$B206/H$5</f>
        <v>6.25</v>
      </c>
      <c r="I206" s="3">
        <f>$B206/I$5</f>
        <v>3.125</v>
      </c>
      <c r="J206" s="3">
        <f>$B206/J$5</f>
        <v>1.5625</v>
      </c>
      <c r="L206" s="2">
        <v>1.5625</v>
      </c>
      <c r="M206" s="23" t="s">
        <v>802</v>
      </c>
      <c r="N206" s="23">
        <f>25/16</f>
        <v>1.5625</v>
      </c>
      <c r="O206" s="21">
        <f t="shared" si="6"/>
        <v>0</v>
      </c>
      <c r="P206" s="24" t="s">
        <v>6</v>
      </c>
      <c r="Q206" s="31"/>
      <c r="R206" s="32"/>
      <c r="S206" s="32"/>
      <c r="T206" s="34"/>
    </row>
    <row r="207" spans="2:20" x14ac:dyDescent="0.25">
      <c r="B207" s="6">
        <f t="shared" si="7"/>
        <v>201</v>
      </c>
      <c r="C207" s="2">
        <f>$B207/C$5</f>
        <v>201</v>
      </c>
      <c r="D207" s="2">
        <f>$B207/D$5</f>
        <v>100.5</v>
      </c>
      <c r="E207" s="2">
        <f>$B207/E$5</f>
        <v>50.25</v>
      </c>
      <c r="F207" s="2">
        <f>$B207/F$5</f>
        <v>25.125</v>
      </c>
      <c r="G207" s="2">
        <f>$B207/G$5</f>
        <v>12.5625</v>
      </c>
      <c r="H207" s="2">
        <f>$B207/H$5</f>
        <v>6.28125</v>
      </c>
      <c r="I207" s="2">
        <f>$B207/I$5</f>
        <v>3.140625</v>
      </c>
      <c r="J207" s="2">
        <f>$B207/J$5</f>
        <v>1.5703125</v>
      </c>
      <c r="L207" s="2">
        <v>1.5703125</v>
      </c>
      <c r="M207" s="23" t="s">
        <v>245</v>
      </c>
      <c r="N207" s="4">
        <f>201/128</f>
        <v>1.5703125</v>
      </c>
      <c r="O207" s="21">
        <f t="shared" si="6"/>
        <v>0</v>
      </c>
      <c r="P207" s="24" t="s">
        <v>6</v>
      </c>
      <c r="Q207" s="31"/>
      <c r="R207" s="32"/>
      <c r="S207" s="32"/>
      <c r="T207" s="34"/>
    </row>
    <row r="208" spans="2:20" x14ac:dyDescent="0.25">
      <c r="B208" s="6">
        <f t="shared" si="7"/>
        <v>202</v>
      </c>
      <c r="C208" s="2">
        <f>$B208/C$5</f>
        <v>202</v>
      </c>
      <c r="D208" s="3">
        <f>$B208/D$5</f>
        <v>101</v>
      </c>
      <c r="E208" s="3">
        <f>$B208/E$5</f>
        <v>50.5</v>
      </c>
      <c r="F208" s="3">
        <f>$B208/F$5</f>
        <v>25.25</v>
      </c>
      <c r="G208" s="3">
        <f>$B208/G$5</f>
        <v>12.625</v>
      </c>
      <c r="H208" s="3">
        <f>$B208/H$5</f>
        <v>6.3125</v>
      </c>
      <c r="I208" s="3">
        <f>$B208/I$5</f>
        <v>3.15625</v>
      </c>
      <c r="J208" s="3">
        <f>$B208/J$5</f>
        <v>1.578125</v>
      </c>
      <c r="L208" s="2">
        <v>1.578125</v>
      </c>
      <c r="M208" s="23" t="s">
        <v>1090</v>
      </c>
      <c r="N208" s="23">
        <f>101/64</f>
        <v>1.578125</v>
      </c>
      <c r="O208" s="21">
        <f t="shared" si="6"/>
        <v>0</v>
      </c>
      <c r="P208" s="24" t="s">
        <v>6</v>
      </c>
      <c r="Q208" s="31"/>
      <c r="R208" s="32"/>
      <c r="S208" s="32"/>
      <c r="T208" s="34"/>
    </row>
    <row r="209" spans="2:20" x14ac:dyDescent="0.25">
      <c r="B209" s="6">
        <f t="shared" si="7"/>
        <v>203</v>
      </c>
      <c r="C209" s="2">
        <f>$B209/C$5</f>
        <v>203</v>
      </c>
      <c r="D209" s="2">
        <f>$B209/D$5</f>
        <v>101.5</v>
      </c>
      <c r="E209" s="2">
        <f>$B209/E$5</f>
        <v>50.75</v>
      </c>
      <c r="F209" s="2">
        <f>$B209/F$5</f>
        <v>25.375</v>
      </c>
      <c r="G209" s="2">
        <f>$B209/G$5</f>
        <v>12.6875</v>
      </c>
      <c r="H209" s="2">
        <f>$B209/H$5</f>
        <v>6.34375</v>
      </c>
      <c r="I209" s="2">
        <f>$B209/I$5</f>
        <v>3.171875</v>
      </c>
      <c r="J209" s="2">
        <f>$B209/J$5</f>
        <v>1.5859375</v>
      </c>
      <c r="L209" s="2">
        <v>1.5859375</v>
      </c>
      <c r="M209" s="23" t="s">
        <v>246</v>
      </c>
      <c r="N209" s="4">
        <f>203/128</f>
        <v>1.5859375</v>
      </c>
      <c r="O209" s="21">
        <f t="shared" si="6"/>
        <v>0</v>
      </c>
      <c r="P209" s="24" t="s">
        <v>6</v>
      </c>
      <c r="Q209" s="31"/>
      <c r="R209" s="32"/>
      <c r="S209" s="32"/>
      <c r="T209" s="34"/>
    </row>
    <row r="210" spans="2:20" x14ac:dyDescent="0.25">
      <c r="B210" s="6">
        <f t="shared" si="7"/>
        <v>204</v>
      </c>
      <c r="C210" s="2">
        <f>$B210/C$5</f>
        <v>204</v>
      </c>
      <c r="D210" s="3">
        <f>$B210/D$5</f>
        <v>102</v>
      </c>
      <c r="E210" s="3">
        <f>$B210/E$5</f>
        <v>51</v>
      </c>
      <c r="F210" s="3">
        <f>$B210/F$5</f>
        <v>25.5</v>
      </c>
      <c r="G210" s="3">
        <f>$B210/G$5</f>
        <v>12.75</v>
      </c>
      <c r="H210" s="3">
        <f>$B210/H$5</f>
        <v>6.375</v>
      </c>
      <c r="I210" s="3">
        <f>$B210/I$5</f>
        <v>3.1875</v>
      </c>
      <c r="J210" s="3">
        <f>$B210/J$5</f>
        <v>1.59375</v>
      </c>
      <c r="L210" s="2">
        <v>1.59375</v>
      </c>
      <c r="M210" s="23" t="s">
        <v>941</v>
      </c>
      <c r="N210" s="23">
        <f>51/32</f>
        <v>1.59375</v>
      </c>
      <c r="O210" s="21">
        <f t="shared" si="6"/>
        <v>0</v>
      </c>
      <c r="P210" s="24" t="s">
        <v>6</v>
      </c>
      <c r="Q210" s="31"/>
      <c r="R210" s="32"/>
      <c r="S210" s="32"/>
      <c r="T210" s="34"/>
    </row>
    <row r="211" spans="2:20" x14ac:dyDescent="0.25">
      <c r="B211" s="6">
        <f t="shared" si="7"/>
        <v>205</v>
      </c>
      <c r="C211" s="2">
        <f>$B211/C$5</f>
        <v>205</v>
      </c>
      <c r="D211" s="2">
        <f>$B211/D$5</f>
        <v>102.5</v>
      </c>
      <c r="E211" s="2">
        <f>$B211/E$5</f>
        <v>51.25</v>
      </c>
      <c r="F211" s="2">
        <f>$B211/F$5</f>
        <v>25.625</v>
      </c>
      <c r="G211" s="2">
        <f>$B211/G$5</f>
        <v>12.8125</v>
      </c>
      <c r="H211" s="2">
        <f>$B211/H$5</f>
        <v>6.40625</v>
      </c>
      <c r="I211" s="2">
        <f>$B211/I$5</f>
        <v>3.203125</v>
      </c>
      <c r="J211" s="2">
        <f>$B211/J$5</f>
        <v>1.6015625</v>
      </c>
      <c r="L211" s="2">
        <v>1.6015625</v>
      </c>
      <c r="M211" s="23" t="s">
        <v>247</v>
      </c>
      <c r="N211" s="4">
        <f>205/128</f>
        <v>1.6015625</v>
      </c>
      <c r="O211" s="21">
        <f t="shared" si="6"/>
        <v>0</v>
      </c>
      <c r="P211" s="24" t="s">
        <v>6</v>
      </c>
      <c r="Q211" s="31"/>
      <c r="R211" s="32"/>
      <c r="S211" s="32"/>
      <c r="T211" s="34"/>
    </row>
    <row r="212" spans="2:20" x14ac:dyDescent="0.25">
      <c r="B212" s="6">
        <f t="shared" si="7"/>
        <v>206</v>
      </c>
      <c r="C212" s="2">
        <f>$B212/C$5</f>
        <v>206</v>
      </c>
      <c r="D212" s="3">
        <f>$B212/D$5</f>
        <v>103</v>
      </c>
      <c r="E212" s="3">
        <f>$B212/E$5</f>
        <v>51.5</v>
      </c>
      <c r="F212" s="3">
        <f>$B212/F$5</f>
        <v>25.75</v>
      </c>
      <c r="G212" s="3">
        <f>$B212/G$5</f>
        <v>12.875</v>
      </c>
      <c r="H212" s="3">
        <f>$B212/H$5</f>
        <v>6.4375</v>
      </c>
      <c r="I212" s="3">
        <f>$B212/I$5</f>
        <v>3.21875</v>
      </c>
      <c r="J212" s="3">
        <f>$B212/J$5</f>
        <v>1.609375</v>
      </c>
      <c r="L212" s="2">
        <v>1.609375</v>
      </c>
      <c r="M212" s="23" t="s">
        <v>1091</v>
      </c>
      <c r="N212" s="23">
        <f>103/64</f>
        <v>1.609375</v>
      </c>
      <c r="O212" s="21">
        <f t="shared" si="6"/>
        <v>0</v>
      </c>
      <c r="P212" s="24" t="s">
        <v>6</v>
      </c>
      <c r="Q212" s="31"/>
      <c r="R212" s="32"/>
      <c r="S212" s="32"/>
      <c r="T212" s="34"/>
    </row>
    <row r="213" spans="2:20" x14ac:dyDescent="0.25">
      <c r="B213" s="6">
        <f t="shared" si="7"/>
        <v>207</v>
      </c>
      <c r="C213" s="2">
        <f>$B213/C$5</f>
        <v>207</v>
      </c>
      <c r="D213" s="2">
        <f>$B213/D$5</f>
        <v>103.5</v>
      </c>
      <c r="E213" s="2">
        <f>$B213/E$5</f>
        <v>51.75</v>
      </c>
      <c r="F213" s="2">
        <f>$B213/F$5</f>
        <v>25.875</v>
      </c>
      <c r="G213" s="2">
        <f>$B213/G$5</f>
        <v>12.9375</v>
      </c>
      <c r="H213" s="2">
        <f>$B213/H$5</f>
        <v>6.46875</v>
      </c>
      <c r="I213" s="2">
        <f>$B213/I$5</f>
        <v>3.234375</v>
      </c>
      <c r="J213" s="2">
        <f>$B213/J$5</f>
        <v>1.6171875</v>
      </c>
      <c r="L213" s="2">
        <v>1.6171875</v>
      </c>
      <c r="M213" s="23" t="s">
        <v>248</v>
      </c>
      <c r="N213" s="4">
        <f>207/128</f>
        <v>1.6171875</v>
      </c>
      <c r="O213" s="21">
        <f t="shared" si="6"/>
        <v>0</v>
      </c>
      <c r="P213" s="24" t="s">
        <v>6</v>
      </c>
      <c r="Q213" s="31"/>
      <c r="R213" s="32"/>
      <c r="S213" s="32"/>
      <c r="T213" s="34"/>
    </row>
    <row r="214" spans="2:20" x14ac:dyDescent="0.25">
      <c r="B214" s="6">
        <f t="shared" si="7"/>
        <v>208</v>
      </c>
      <c r="C214" s="2">
        <f>$B214/C$5</f>
        <v>208</v>
      </c>
      <c r="D214" s="3">
        <f>$B214/D$5</f>
        <v>104</v>
      </c>
      <c r="E214" s="3">
        <f>$B214/E$5</f>
        <v>52</v>
      </c>
      <c r="F214" s="3">
        <f>$B214/F$5</f>
        <v>26</v>
      </c>
      <c r="G214" s="3">
        <f>$B214/G$5</f>
        <v>13</v>
      </c>
      <c r="H214" s="3">
        <f>$B214/H$5</f>
        <v>6.5</v>
      </c>
      <c r="I214" s="3">
        <f>$B214/I$5</f>
        <v>3.25</v>
      </c>
      <c r="J214" s="3">
        <f>$B214/J$5</f>
        <v>1.625</v>
      </c>
      <c r="L214" s="2">
        <v>1.625</v>
      </c>
      <c r="M214" s="23" t="s">
        <v>669</v>
      </c>
      <c r="N214" s="23">
        <f>13/8</f>
        <v>1.625</v>
      </c>
      <c r="O214" s="21">
        <f t="shared" si="6"/>
        <v>0</v>
      </c>
      <c r="P214" s="24" t="s">
        <v>6</v>
      </c>
      <c r="Q214" s="31"/>
      <c r="R214" s="32"/>
      <c r="S214" s="32"/>
      <c r="T214" s="34"/>
    </row>
    <row r="215" spans="2:20" x14ac:dyDescent="0.25">
      <c r="B215" s="6">
        <f t="shared" si="7"/>
        <v>209</v>
      </c>
      <c r="C215" s="2">
        <f>$B215/C$5</f>
        <v>209</v>
      </c>
      <c r="D215" s="2">
        <f>$B215/D$5</f>
        <v>104.5</v>
      </c>
      <c r="E215" s="2">
        <f>$B215/E$5</f>
        <v>52.25</v>
      </c>
      <c r="F215" s="2">
        <f>$B215/F$5</f>
        <v>26.125</v>
      </c>
      <c r="G215" s="2">
        <f>$B215/G$5</f>
        <v>13.0625</v>
      </c>
      <c r="H215" s="2">
        <f>$B215/H$5</f>
        <v>6.53125</v>
      </c>
      <c r="I215" s="2">
        <f>$B215/I$5</f>
        <v>3.265625</v>
      </c>
      <c r="J215" s="2">
        <f>$B215/J$5</f>
        <v>1.6328125</v>
      </c>
      <c r="L215" s="2">
        <v>1.6328125</v>
      </c>
      <c r="M215" s="23" t="s">
        <v>249</v>
      </c>
      <c r="N215" s="4">
        <f>209/128</f>
        <v>1.6328125</v>
      </c>
      <c r="O215" s="21">
        <f t="shared" si="6"/>
        <v>0</v>
      </c>
      <c r="P215" s="24" t="s">
        <v>6</v>
      </c>
      <c r="Q215" s="31"/>
      <c r="R215" s="32"/>
      <c r="S215" s="32"/>
      <c r="T215" s="34"/>
    </row>
    <row r="216" spans="2:20" x14ac:dyDescent="0.25">
      <c r="B216" s="6">
        <f t="shared" si="7"/>
        <v>210</v>
      </c>
      <c r="C216" s="2">
        <f>$B216/C$5</f>
        <v>210</v>
      </c>
      <c r="D216" s="3">
        <f>$B216/D$5</f>
        <v>105</v>
      </c>
      <c r="E216" s="3">
        <f>$B216/E$5</f>
        <v>52.5</v>
      </c>
      <c r="F216" s="3">
        <f>$B216/F$5</f>
        <v>26.25</v>
      </c>
      <c r="G216" s="3">
        <f>$B216/G$5</f>
        <v>13.125</v>
      </c>
      <c r="H216" s="3">
        <f>$B216/H$5</f>
        <v>6.5625</v>
      </c>
      <c r="I216" s="3">
        <f>$B216/I$5</f>
        <v>3.28125</v>
      </c>
      <c r="J216" s="3">
        <f>$B216/J$5</f>
        <v>1.640625</v>
      </c>
      <c r="L216" s="2">
        <v>1.640625</v>
      </c>
      <c r="M216" s="23" t="s">
        <v>1092</v>
      </c>
      <c r="N216" s="23">
        <f>105/64</f>
        <v>1.640625</v>
      </c>
      <c r="O216" s="21">
        <f t="shared" si="6"/>
        <v>0</v>
      </c>
      <c r="P216" s="24" t="s">
        <v>6</v>
      </c>
      <c r="Q216" s="31"/>
      <c r="R216" s="32"/>
      <c r="S216" s="32"/>
      <c r="T216" s="34"/>
    </row>
    <row r="217" spans="2:20" x14ac:dyDescent="0.25">
      <c r="B217" s="6">
        <f t="shared" si="7"/>
        <v>211</v>
      </c>
      <c r="C217" s="2">
        <f>$B217/C$5</f>
        <v>211</v>
      </c>
      <c r="D217" s="2">
        <f>$B217/D$5</f>
        <v>105.5</v>
      </c>
      <c r="E217" s="2">
        <f>$B217/E$5</f>
        <v>52.75</v>
      </c>
      <c r="F217" s="2">
        <f>$B217/F$5</f>
        <v>26.375</v>
      </c>
      <c r="G217" s="2">
        <f>$B217/G$5</f>
        <v>13.1875</v>
      </c>
      <c r="H217" s="2">
        <f>$B217/H$5</f>
        <v>6.59375</v>
      </c>
      <c r="I217" s="2">
        <f>$B217/I$5</f>
        <v>3.296875</v>
      </c>
      <c r="J217" s="2">
        <f>$B217/J$5</f>
        <v>1.6484375</v>
      </c>
      <c r="L217" s="2">
        <v>1.6484375</v>
      </c>
      <c r="M217" s="23" t="s">
        <v>250</v>
      </c>
      <c r="N217" s="4">
        <f>211/128</f>
        <v>1.6484375</v>
      </c>
      <c r="O217" s="21">
        <f t="shared" si="6"/>
        <v>0</v>
      </c>
      <c r="P217" s="24" t="s">
        <v>6</v>
      </c>
      <c r="Q217" s="31"/>
      <c r="R217" s="32"/>
      <c r="S217" s="32"/>
      <c r="T217" s="34"/>
    </row>
    <row r="218" spans="2:20" x14ac:dyDescent="0.25">
      <c r="B218" s="6">
        <f t="shared" si="7"/>
        <v>212</v>
      </c>
      <c r="C218" s="2">
        <f>$B218/C$5</f>
        <v>212</v>
      </c>
      <c r="D218" s="3">
        <f>$B218/D$5</f>
        <v>106</v>
      </c>
      <c r="E218" s="3">
        <f>$B218/E$5</f>
        <v>53</v>
      </c>
      <c r="F218" s="3">
        <f>$B218/F$5</f>
        <v>26.5</v>
      </c>
      <c r="G218" s="3">
        <f>$B218/G$5</f>
        <v>13.25</v>
      </c>
      <c r="H218" s="3">
        <f>$B218/H$5</f>
        <v>6.625</v>
      </c>
      <c r="I218" s="3">
        <f>$B218/I$5</f>
        <v>3.3125</v>
      </c>
      <c r="J218" s="3">
        <f>$B218/J$5</f>
        <v>1.65625</v>
      </c>
      <c r="L218" s="2">
        <v>1.65625</v>
      </c>
      <c r="M218" s="23" t="s">
        <v>942</v>
      </c>
      <c r="N218" s="23">
        <f>53/32</f>
        <v>1.65625</v>
      </c>
      <c r="O218" s="21">
        <f t="shared" si="6"/>
        <v>0</v>
      </c>
      <c r="P218" s="24" t="s">
        <v>6</v>
      </c>
      <c r="Q218" s="31"/>
      <c r="R218" s="32"/>
      <c r="S218" s="32"/>
      <c r="T218" s="34"/>
    </row>
    <row r="219" spans="2:20" x14ac:dyDescent="0.25">
      <c r="B219" s="6">
        <f t="shared" si="7"/>
        <v>213</v>
      </c>
      <c r="C219" s="2">
        <f>$B219/C$5</f>
        <v>213</v>
      </c>
      <c r="D219" s="2">
        <f>$B219/D$5</f>
        <v>106.5</v>
      </c>
      <c r="E219" s="2">
        <f>$B219/E$5</f>
        <v>53.25</v>
      </c>
      <c r="F219" s="2">
        <f>$B219/F$5</f>
        <v>26.625</v>
      </c>
      <c r="G219" s="2">
        <f>$B219/G$5</f>
        <v>13.3125</v>
      </c>
      <c r="H219" s="2">
        <f>$B219/H$5</f>
        <v>6.65625</v>
      </c>
      <c r="I219" s="2">
        <f>$B219/I$5</f>
        <v>3.328125</v>
      </c>
      <c r="J219" s="2">
        <f>$B219/J$5</f>
        <v>1.6640625</v>
      </c>
      <c r="L219" s="2">
        <v>1.6640625</v>
      </c>
      <c r="M219" s="23" t="s">
        <v>251</v>
      </c>
      <c r="N219" s="4">
        <f>213/128</f>
        <v>1.6640625</v>
      </c>
      <c r="O219" s="21">
        <f t="shared" si="6"/>
        <v>0</v>
      </c>
      <c r="P219" s="24" t="s">
        <v>6</v>
      </c>
      <c r="Q219" s="31"/>
      <c r="R219" s="32"/>
      <c r="S219" s="32"/>
      <c r="T219" s="34"/>
    </row>
    <row r="220" spans="2:20" x14ac:dyDescent="0.25">
      <c r="B220" s="6">
        <f t="shared" si="7"/>
        <v>214</v>
      </c>
      <c r="C220" s="2">
        <f>$B220/C$5</f>
        <v>214</v>
      </c>
      <c r="D220" s="3">
        <f>$B220/D$5</f>
        <v>107</v>
      </c>
      <c r="E220" s="3">
        <f>$B220/E$5</f>
        <v>53.5</v>
      </c>
      <c r="F220" s="3">
        <f>$B220/F$5</f>
        <v>26.75</v>
      </c>
      <c r="G220" s="3">
        <f>$B220/G$5</f>
        <v>13.375</v>
      </c>
      <c r="H220" s="3">
        <f>$B220/H$5</f>
        <v>6.6875</v>
      </c>
      <c r="I220" s="3">
        <f>$B220/I$5</f>
        <v>3.34375</v>
      </c>
      <c r="J220" s="3">
        <f>$B220/J$5</f>
        <v>1.671875</v>
      </c>
      <c r="L220" s="2">
        <v>1.671875</v>
      </c>
      <c r="M220" s="23" t="s">
        <v>1093</v>
      </c>
      <c r="N220" s="23">
        <f>107/64</f>
        <v>1.671875</v>
      </c>
      <c r="O220" s="21">
        <f t="shared" si="6"/>
        <v>0</v>
      </c>
      <c r="P220" s="24" t="s">
        <v>6</v>
      </c>
      <c r="Q220" s="31"/>
      <c r="R220" s="32"/>
      <c r="S220" s="32"/>
      <c r="T220" s="34"/>
    </row>
    <row r="221" spans="2:20" x14ac:dyDescent="0.25">
      <c r="B221" s="6">
        <f t="shared" si="7"/>
        <v>215</v>
      </c>
      <c r="C221" s="2">
        <f>$B221/C$5</f>
        <v>215</v>
      </c>
      <c r="D221" s="2">
        <f>$B221/D$5</f>
        <v>107.5</v>
      </c>
      <c r="E221" s="2">
        <f>$B221/E$5</f>
        <v>53.75</v>
      </c>
      <c r="F221" s="2">
        <f>$B221/F$5</f>
        <v>26.875</v>
      </c>
      <c r="G221" s="2">
        <f>$B221/G$5</f>
        <v>13.4375</v>
      </c>
      <c r="H221" s="2">
        <f>$B221/H$5</f>
        <v>6.71875</v>
      </c>
      <c r="I221" s="2">
        <f>$B221/I$5</f>
        <v>3.359375</v>
      </c>
      <c r="J221" s="2">
        <f>$B221/J$5</f>
        <v>1.6796875</v>
      </c>
      <c r="L221" s="2">
        <v>1.6796875</v>
      </c>
      <c r="M221" s="23" t="s">
        <v>252</v>
      </c>
      <c r="N221" s="4">
        <f>215/128</f>
        <v>1.6796875</v>
      </c>
      <c r="O221" s="21">
        <f t="shared" si="6"/>
        <v>0</v>
      </c>
      <c r="P221" s="24" t="s">
        <v>6</v>
      </c>
      <c r="Q221" s="31"/>
      <c r="R221" s="32"/>
      <c r="S221" s="32"/>
      <c r="T221" s="34"/>
    </row>
    <row r="222" spans="2:20" x14ac:dyDescent="0.25">
      <c r="B222" s="6">
        <f t="shared" si="7"/>
        <v>216</v>
      </c>
      <c r="C222" s="2">
        <f>$B222/C$5</f>
        <v>216</v>
      </c>
      <c r="D222" s="3">
        <f>$B222/D$5</f>
        <v>108</v>
      </c>
      <c r="E222" s="3">
        <f>$B222/E$5</f>
        <v>54</v>
      </c>
      <c r="F222" s="3">
        <f>$B222/F$5</f>
        <v>27</v>
      </c>
      <c r="G222" s="3">
        <f>$B222/G$5</f>
        <v>13.5</v>
      </c>
      <c r="H222" s="3">
        <f>$B222/H$5</f>
        <v>6.75</v>
      </c>
      <c r="I222" s="3">
        <f>$B222/I$5</f>
        <v>3.375</v>
      </c>
      <c r="J222" s="3">
        <f>$B222/J$5</f>
        <v>1.6875</v>
      </c>
      <c r="L222" s="2">
        <v>1.6875</v>
      </c>
      <c r="M222" s="23" t="s">
        <v>803</v>
      </c>
      <c r="N222" s="23">
        <f>27/16</f>
        <v>1.6875</v>
      </c>
      <c r="O222" s="21">
        <f t="shared" si="6"/>
        <v>0</v>
      </c>
      <c r="P222" s="24" t="s">
        <v>6</v>
      </c>
      <c r="Q222" s="31"/>
      <c r="R222" s="32"/>
      <c r="S222" s="32"/>
      <c r="T222" s="34"/>
    </row>
    <row r="223" spans="2:20" x14ac:dyDescent="0.25">
      <c r="B223" s="6">
        <f t="shared" si="7"/>
        <v>217</v>
      </c>
      <c r="C223" s="2">
        <f>$B223/C$5</f>
        <v>217</v>
      </c>
      <c r="D223" s="2">
        <f>$B223/D$5</f>
        <v>108.5</v>
      </c>
      <c r="E223" s="2">
        <f>$B223/E$5</f>
        <v>54.25</v>
      </c>
      <c r="F223" s="2">
        <f>$B223/F$5</f>
        <v>27.125</v>
      </c>
      <c r="G223" s="2">
        <f>$B223/G$5</f>
        <v>13.5625</v>
      </c>
      <c r="H223" s="2">
        <f>$B223/H$5</f>
        <v>6.78125</v>
      </c>
      <c r="I223" s="2">
        <f>$B223/I$5</f>
        <v>3.390625</v>
      </c>
      <c r="J223" s="2">
        <f>$B223/J$5</f>
        <v>1.6953125</v>
      </c>
      <c r="L223" s="2">
        <v>1.6953125</v>
      </c>
      <c r="M223" s="23" t="s">
        <v>253</v>
      </c>
      <c r="N223" s="4">
        <f>217/128</f>
        <v>1.6953125</v>
      </c>
      <c r="O223" s="21">
        <f t="shared" si="6"/>
        <v>0</v>
      </c>
      <c r="P223" s="24" t="s">
        <v>6</v>
      </c>
      <c r="Q223" s="31"/>
      <c r="R223" s="32"/>
      <c r="S223" s="32"/>
      <c r="T223" s="34"/>
    </row>
    <row r="224" spans="2:20" x14ac:dyDescent="0.25">
      <c r="B224" s="6">
        <f t="shared" si="7"/>
        <v>218</v>
      </c>
      <c r="C224" s="2">
        <f>$B224/C$5</f>
        <v>218</v>
      </c>
      <c r="D224" s="3">
        <f>$B224/D$5</f>
        <v>109</v>
      </c>
      <c r="E224" s="3">
        <f>$B224/E$5</f>
        <v>54.5</v>
      </c>
      <c r="F224" s="3">
        <f>$B224/F$5</f>
        <v>27.25</v>
      </c>
      <c r="G224" s="3">
        <f>$B224/G$5</f>
        <v>13.625</v>
      </c>
      <c r="H224" s="3">
        <f>$B224/H$5</f>
        <v>6.8125</v>
      </c>
      <c r="I224" s="3">
        <f>$B224/I$5</f>
        <v>3.40625</v>
      </c>
      <c r="J224" s="3">
        <f>$B224/J$5</f>
        <v>1.703125</v>
      </c>
      <c r="L224" s="2">
        <v>1.703125</v>
      </c>
      <c r="M224" s="23" t="s">
        <v>1094</v>
      </c>
      <c r="N224" s="23">
        <f>109/64</f>
        <v>1.703125</v>
      </c>
      <c r="O224" s="21">
        <f t="shared" si="6"/>
        <v>0</v>
      </c>
      <c r="P224" s="24" t="s">
        <v>6</v>
      </c>
      <c r="Q224" s="31"/>
      <c r="R224" s="32"/>
      <c r="S224" s="32"/>
      <c r="T224" s="34"/>
    </row>
    <row r="225" spans="2:20" x14ac:dyDescent="0.25">
      <c r="B225" s="6">
        <f t="shared" si="7"/>
        <v>219</v>
      </c>
      <c r="C225" s="2">
        <f>$B225/C$5</f>
        <v>219</v>
      </c>
      <c r="D225" s="2">
        <f>$B225/D$5</f>
        <v>109.5</v>
      </c>
      <c r="E225" s="2">
        <f>$B225/E$5</f>
        <v>54.75</v>
      </c>
      <c r="F225" s="2">
        <f>$B225/F$5</f>
        <v>27.375</v>
      </c>
      <c r="G225" s="2">
        <f>$B225/G$5</f>
        <v>13.6875</v>
      </c>
      <c r="H225" s="2">
        <f>$B225/H$5</f>
        <v>6.84375</v>
      </c>
      <c r="I225" s="2">
        <f>$B225/I$5</f>
        <v>3.421875</v>
      </c>
      <c r="J225" s="2">
        <f>$B225/J$5</f>
        <v>1.7109375</v>
      </c>
      <c r="L225" s="2">
        <v>1.7109375</v>
      </c>
      <c r="M225" s="23" t="s">
        <v>254</v>
      </c>
      <c r="N225" s="4">
        <f>219/128</f>
        <v>1.7109375</v>
      </c>
      <c r="O225" s="21">
        <f t="shared" si="6"/>
        <v>0</v>
      </c>
      <c r="P225" s="24" t="s">
        <v>6</v>
      </c>
      <c r="Q225" s="31"/>
      <c r="R225" s="32"/>
      <c r="S225" s="32"/>
      <c r="T225" s="34"/>
    </row>
    <row r="226" spans="2:20" x14ac:dyDescent="0.25">
      <c r="B226" s="6">
        <f t="shared" si="7"/>
        <v>220</v>
      </c>
      <c r="C226" s="2">
        <f>$B226/C$5</f>
        <v>220</v>
      </c>
      <c r="D226" s="3">
        <f>$B226/D$5</f>
        <v>110</v>
      </c>
      <c r="E226" s="3">
        <f>$B226/E$5</f>
        <v>55</v>
      </c>
      <c r="F226" s="3">
        <f>$B226/F$5</f>
        <v>27.5</v>
      </c>
      <c r="G226" s="3">
        <f>$B226/G$5</f>
        <v>13.75</v>
      </c>
      <c r="H226" s="3">
        <f>$B226/H$5</f>
        <v>6.875</v>
      </c>
      <c r="I226" s="3">
        <f>$B226/I$5</f>
        <v>3.4375</v>
      </c>
      <c r="J226" s="3">
        <f>$B226/J$5</f>
        <v>1.71875</v>
      </c>
      <c r="L226" s="2">
        <v>1.71875</v>
      </c>
      <c r="M226" s="23" t="s">
        <v>943</v>
      </c>
      <c r="N226" s="23">
        <f>55/32</f>
        <v>1.71875</v>
      </c>
      <c r="O226" s="21">
        <f t="shared" si="6"/>
        <v>0</v>
      </c>
      <c r="P226" s="24" t="s">
        <v>6</v>
      </c>
      <c r="Q226" s="31"/>
      <c r="R226" s="32"/>
      <c r="S226" s="32"/>
      <c r="T226" s="34"/>
    </row>
    <row r="227" spans="2:20" x14ac:dyDescent="0.25">
      <c r="B227" s="6">
        <f t="shared" si="7"/>
        <v>221</v>
      </c>
      <c r="C227" s="2">
        <f>$B227/C$5</f>
        <v>221</v>
      </c>
      <c r="D227" s="2">
        <f>$B227/D$5</f>
        <v>110.5</v>
      </c>
      <c r="E227" s="2">
        <f>$B227/E$5</f>
        <v>55.25</v>
      </c>
      <c r="F227" s="2">
        <f>$B227/F$5</f>
        <v>27.625</v>
      </c>
      <c r="G227" s="2">
        <f>$B227/G$5</f>
        <v>13.8125</v>
      </c>
      <c r="H227" s="2">
        <f>$B227/H$5</f>
        <v>6.90625</v>
      </c>
      <c r="I227" s="2">
        <f>$B227/I$5</f>
        <v>3.453125</v>
      </c>
      <c r="J227" s="2">
        <f>$B227/J$5</f>
        <v>1.7265625</v>
      </c>
      <c r="L227" s="2">
        <v>1.7265625</v>
      </c>
      <c r="M227" s="23" t="s">
        <v>255</v>
      </c>
      <c r="N227" s="4">
        <f>221/128</f>
        <v>1.7265625</v>
      </c>
      <c r="O227" s="21">
        <f t="shared" si="6"/>
        <v>0</v>
      </c>
      <c r="P227" s="24" t="s">
        <v>6</v>
      </c>
      <c r="Q227" s="31"/>
      <c r="R227" s="32"/>
      <c r="S227" s="32"/>
      <c r="T227" s="34"/>
    </row>
    <row r="228" spans="2:20" x14ac:dyDescent="0.25">
      <c r="B228" s="6">
        <f t="shared" si="7"/>
        <v>222</v>
      </c>
      <c r="C228" s="2">
        <f>$B228/C$5</f>
        <v>222</v>
      </c>
      <c r="D228" s="3">
        <f>$B228/D$5</f>
        <v>111</v>
      </c>
      <c r="E228" s="3">
        <f>$B228/E$5</f>
        <v>55.5</v>
      </c>
      <c r="F228" s="3">
        <f>$B228/F$5</f>
        <v>27.75</v>
      </c>
      <c r="G228" s="3">
        <f>$B228/G$5</f>
        <v>13.875</v>
      </c>
      <c r="H228" s="3">
        <f>$B228/H$5</f>
        <v>6.9375</v>
      </c>
      <c r="I228" s="3">
        <f>$B228/I$5</f>
        <v>3.46875</v>
      </c>
      <c r="J228" s="3">
        <f>$B228/J$5</f>
        <v>1.734375</v>
      </c>
      <c r="L228" s="2">
        <v>1.734375</v>
      </c>
      <c r="M228" s="23" t="s">
        <v>1095</v>
      </c>
      <c r="N228" s="23">
        <f>111/64</f>
        <v>1.734375</v>
      </c>
      <c r="O228" s="21">
        <f t="shared" si="6"/>
        <v>0</v>
      </c>
      <c r="P228" s="24" t="s">
        <v>6</v>
      </c>
      <c r="Q228" s="31"/>
      <c r="R228" s="32"/>
      <c r="S228" s="32"/>
      <c r="T228" s="34"/>
    </row>
    <row r="229" spans="2:20" x14ac:dyDescent="0.25">
      <c r="B229" s="6">
        <f t="shared" si="7"/>
        <v>223</v>
      </c>
      <c r="C229" s="2">
        <f>$B229/C$5</f>
        <v>223</v>
      </c>
      <c r="D229" s="2">
        <f>$B229/D$5</f>
        <v>111.5</v>
      </c>
      <c r="E229" s="2">
        <f>$B229/E$5</f>
        <v>55.75</v>
      </c>
      <c r="F229" s="2">
        <f>$B229/F$5</f>
        <v>27.875</v>
      </c>
      <c r="G229" s="2">
        <f>$B229/G$5</f>
        <v>13.9375</v>
      </c>
      <c r="H229" s="2">
        <f>$B229/H$5</f>
        <v>6.96875</v>
      </c>
      <c r="I229" s="2">
        <f>$B229/I$5</f>
        <v>3.484375</v>
      </c>
      <c r="J229" s="2">
        <f>$B229/J$5</f>
        <v>1.7421875</v>
      </c>
      <c r="K229" s="1"/>
      <c r="L229" s="2">
        <v>1.7421875</v>
      </c>
      <c r="M229" s="23" t="s">
        <v>256</v>
      </c>
      <c r="N229" s="4">
        <f>223/128</f>
        <v>1.7421875</v>
      </c>
      <c r="O229" s="21">
        <f t="shared" si="6"/>
        <v>0</v>
      </c>
      <c r="P229" s="24" t="s">
        <v>6</v>
      </c>
      <c r="Q229" s="31"/>
      <c r="R229" s="32"/>
      <c r="S229" s="32"/>
      <c r="T229" s="34"/>
    </row>
    <row r="230" spans="2:20" x14ac:dyDescent="0.25">
      <c r="B230" s="6">
        <f t="shared" si="7"/>
        <v>224</v>
      </c>
      <c r="C230" s="2">
        <f>$B230/C$5</f>
        <v>224</v>
      </c>
      <c r="D230" s="3">
        <f>$B230/D$5</f>
        <v>112</v>
      </c>
      <c r="E230" s="3">
        <f>$B230/E$5</f>
        <v>56</v>
      </c>
      <c r="F230" s="3">
        <f>$B230/F$5</f>
        <v>28</v>
      </c>
      <c r="G230" s="3">
        <f>$B230/G$5</f>
        <v>14</v>
      </c>
      <c r="H230" s="3">
        <f>$B230/H$5</f>
        <v>7</v>
      </c>
      <c r="I230" s="3">
        <f>$B230/I$5</f>
        <v>3.5</v>
      </c>
      <c r="J230" s="3">
        <f>$B230/J$5</f>
        <v>1.75</v>
      </c>
      <c r="L230" s="2">
        <v>1.75</v>
      </c>
      <c r="M230" s="23" t="s">
        <v>539</v>
      </c>
      <c r="N230" s="23">
        <f>7/4</f>
        <v>1.75</v>
      </c>
      <c r="O230" s="21">
        <f t="shared" si="6"/>
        <v>0</v>
      </c>
      <c r="P230" s="24" t="s">
        <v>6</v>
      </c>
      <c r="Q230" s="31"/>
      <c r="R230" s="32"/>
      <c r="S230" s="32"/>
      <c r="T230" s="34"/>
    </row>
    <row r="231" spans="2:20" x14ac:dyDescent="0.25">
      <c r="B231" s="6">
        <f t="shared" si="7"/>
        <v>225</v>
      </c>
      <c r="C231" s="2">
        <f>$B231/C$5</f>
        <v>225</v>
      </c>
      <c r="D231" s="2">
        <f>$B231/D$5</f>
        <v>112.5</v>
      </c>
      <c r="E231" s="2">
        <f>$B231/E$5</f>
        <v>56.25</v>
      </c>
      <c r="F231" s="2">
        <f>$B231/F$5</f>
        <v>28.125</v>
      </c>
      <c r="G231" s="2">
        <f>$B231/G$5</f>
        <v>14.0625</v>
      </c>
      <c r="H231" s="2">
        <f>$B231/H$5</f>
        <v>7.03125</v>
      </c>
      <c r="I231" s="2">
        <f>$B231/I$5</f>
        <v>3.515625</v>
      </c>
      <c r="J231" s="2">
        <f>$B231/J$5</f>
        <v>1.7578125</v>
      </c>
      <c r="L231" s="2">
        <v>1.7578125</v>
      </c>
      <c r="M231" s="23" t="s">
        <v>257</v>
      </c>
      <c r="N231" s="4">
        <f>225/128</f>
        <v>1.7578125</v>
      </c>
      <c r="O231" s="21">
        <f t="shared" si="6"/>
        <v>0</v>
      </c>
      <c r="P231" s="24" t="s">
        <v>6</v>
      </c>
      <c r="Q231" s="31"/>
      <c r="R231" s="32"/>
      <c r="S231" s="32"/>
      <c r="T231" s="34"/>
    </row>
    <row r="232" spans="2:20" x14ac:dyDescent="0.25">
      <c r="B232" s="6">
        <f t="shared" si="7"/>
        <v>226</v>
      </c>
      <c r="C232" s="2">
        <f>$B232/C$5</f>
        <v>226</v>
      </c>
      <c r="D232" s="3">
        <f>$B232/D$5</f>
        <v>113</v>
      </c>
      <c r="E232" s="3">
        <f>$B232/E$5</f>
        <v>56.5</v>
      </c>
      <c r="F232" s="3">
        <f>$B232/F$5</f>
        <v>28.25</v>
      </c>
      <c r="G232" s="3">
        <f>$B232/G$5</f>
        <v>14.125</v>
      </c>
      <c r="H232" s="3">
        <f>$B232/H$5</f>
        <v>7.0625</v>
      </c>
      <c r="I232" s="3">
        <f>$B232/I$5</f>
        <v>3.53125</v>
      </c>
      <c r="J232" s="3">
        <f>$B232/J$5</f>
        <v>1.765625</v>
      </c>
      <c r="L232" s="2">
        <v>1.765625</v>
      </c>
      <c r="M232" s="23" t="s">
        <v>1096</v>
      </c>
      <c r="N232" s="23">
        <f>113/64</f>
        <v>1.765625</v>
      </c>
      <c r="O232" s="21">
        <f t="shared" si="6"/>
        <v>0</v>
      </c>
      <c r="P232" s="24" t="s">
        <v>6</v>
      </c>
      <c r="Q232" s="31"/>
      <c r="R232" s="32"/>
      <c r="S232" s="32"/>
      <c r="T232" s="34"/>
    </row>
    <row r="233" spans="2:20" x14ac:dyDescent="0.25">
      <c r="B233" s="6">
        <f t="shared" si="7"/>
        <v>227</v>
      </c>
      <c r="C233" s="2">
        <f>$B233/C$5</f>
        <v>227</v>
      </c>
      <c r="D233" s="2">
        <f>$B233/D$5</f>
        <v>113.5</v>
      </c>
      <c r="E233" s="2">
        <f>$B233/E$5</f>
        <v>56.75</v>
      </c>
      <c r="F233" s="2">
        <f>$B233/F$5</f>
        <v>28.375</v>
      </c>
      <c r="G233" s="2">
        <f>$B233/G$5</f>
        <v>14.1875</v>
      </c>
      <c r="H233" s="2">
        <f>$B233/H$5</f>
        <v>7.09375</v>
      </c>
      <c r="I233" s="2">
        <f>$B233/I$5</f>
        <v>3.546875</v>
      </c>
      <c r="J233" s="2">
        <f>$B233/J$5</f>
        <v>1.7734375</v>
      </c>
      <c r="L233" s="2">
        <v>1.7734375</v>
      </c>
      <c r="M233" s="23" t="s">
        <v>258</v>
      </c>
      <c r="N233" s="4">
        <f>227/128</f>
        <v>1.7734375</v>
      </c>
      <c r="O233" s="21">
        <f t="shared" si="6"/>
        <v>0</v>
      </c>
      <c r="P233" s="24" t="s">
        <v>6</v>
      </c>
      <c r="Q233" s="31"/>
      <c r="R233" s="32"/>
      <c r="S233" s="32"/>
      <c r="T233" s="34"/>
    </row>
    <row r="234" spans="2:20" x14ac:dyDescent="0.25">
      <c r="B234" s="6">
        <f t="shared" si="7"/>
        <v>228</v>
      </c>
      <c r="C234" s="2">
        <f>$B234/C$5</f>
        <v>228</v>
      </c>
      <c r="D234" s="3">
        <f>$B234/D$5</f>
        <v>114</v>
      </c>
      <c r="E234" s="3">
        <f>$B234/E$5</f>
        <v>57</v>
      </c>
      <c r="F234" s="3">
        <f>$B234/F$5</f>
        <v>28.5</v>
      </c>
      <c r="G234" s="3">
        <f>$B234/G$5</f>
        <v>14.25</v>
      </c>
      <c r="H234" s="3">
        <f>$B234/H$5</f>
        <v>7.125</v>
      </c>
      <c r="I234" s="3">
        <f>$B234/I$5</f>
        <v>3.5625</v>
      </c>
      <c r="J234" s="3">
        <f>$B234/J$5</f>
        <v>1.78125</v>
      </c>
      <c r="L234" s="2">
        <v>1.78125</v>
      </c>
      <c r="M234" s="23" t="s">
        <v>944</v>
      </c>
      <c r="N234" s="23">
        <f>57/32</f>
        <v>1.78125</v>
      </c>
      <c r="O234" s="21">
        <f t="shared" si="6"/>
        <v>0</v>
      </c>
      <c r="P234" s="24" t="s">
        <v>6</v>
      </c>
      <c r="Q234" s="31"/>
      <c r="R234" s="32"/>
      <c r="S234" s="32"/>
      <c r="T234" s="34"/>
    </row>
    <row r="235" spans="2:20" x14ac:dyDescent="0.25">
      <c r="B235" s="6">
        <f t="shared" si="7"/>
        <v>229</v>
      </c>
      <c r="C235" s="2">
        <f>$B235/C$5</f>
        <v>229</v>
      </c>
      <c r="D235" s="2">
        <f>$B235/D$5</f>
        <v>114.5</v>
      </c>
      <c r="E235" s="2">
        <f>$B235/E$5</f>
        <v>57.25</v>
      </c>
      <c r="F235" s="2">
        <f>$B235/F$5</f>
        <v>28.625</v>
      </c>
      <c r="G235" s="2">
        <f>$B235/G$5</f>
        <v>14.3125</v>
      </c>
      <c r="H235" s="2">
        <f>$B235/H$5</f>
        <v>7.15625</v>
      </c>
      <c r="I235" s="2">
        <f>$B235/I$5</f>
        <v>3.578125</v>
      </c>
      <c r="J235" s="2">
        <f>$B235/J$5</f>
        <v>1.7890625</v>
      </c>
      <c r="L235" s="2">
        <v>1.7890625</v>
      </c>
      <c r="M235" s="23" t="s">
        <v>259</v>
      </c>
      <c r="N235" s="4">
        <f>229/128</f>
        <v>1.7890625</v>
      </c>
      <c r="O235" s="21">
        <f t="shared" si="6"/>
        <v>0</v>
      </c>
      <c r="P235" s="24" t="s">
        <v>6</v>
      </c>
      <c r="Q235" s="31"/>
      <c r="R235" s="32"/>
      <c r="S235" s="32"/>
      <c r="T235" s="34"/>
    </row>
    <row r="236" spans="2:20" x14ac:dyDescent="0.25">
      <c r="B236" s="6">
        <f t="shared" si="7"/>
        <v>230</v>
      </c>
      <c r="C236" s="2">
        <f>$B236/C$5</f>
        <v>230</v>
      </c>
      <c r="D236" s="3">
        <f>$B236/D$5</f>
        <v>115</v>
      </c>
      <c r="E236" s="3">
        <f>$B236/E$5</f>
        <v>57.5</v>
      </c>
      <c r="F236" s="3">
        <f>$B236/F$5</f>
        <v>28.75</v>
      </c>
      <c r="G236" s="3">
        <f>$B236/G$5</f>
        <v>14.375</v>
      </c>
      <c r="H236" s="3">
        <f>$B236/H$5</f>
        <v>7.1875</v>
      </c>
      <c r="I236" s="3">
        <f>$B236/I$5</f>
        <v>3.59375</v>
      </c>
      <c r="J236" s="3">
        <f>$B236/J$5</f>
        <v>1.796875</v>
      </c>
      <c r="L236" s="2">
        <v>1.796875</v>
      </c>
      <c r="M236" s="23" t="s">
        <v>1097</v>
      </c>
      <c r="N236" s="23">
        <f>115/64</f>
        <v>1.796875</v>
      </c>
      <c r="O236" s="21">
        <f t="shared" si="6"/>
        <v>0</v>
      </c>
      <c r="P236" s="24" t="s">
        <v>6</v>
      </c>
      <c r="Q236" s="31"/>
      <c r="R236" s="32"/>
      <c r="S236" s="32"/>
      <c r="T236" s="34"/>
    </row>
    <row r="237" spans="2:20" x14ac:dyDescent="0.25">
      <c r="B237" s="6">
        <f t="shared" si="7"/>
        <v>231</v>
      </c>
      <c r="C237" s="2">
        <f>$B237/C$5</f>
        <v>231</v>
      </c>
      <c r="D237" s="2">
        <f>$B237/D$5</f>
        <v>115.5</v>
      </c>
      <c r="E237" s="2">
        <f>$B237/E$5</f>
        <v>57.75</v>
      </c>
      <c r="F237" s="2">
        <f>$B237/F$5</f>
        <v>28.875</v>
      </c>
      <c r="G237" s="2">
        <f>$B237/G$5</f>
        <v>14.4375</v>
      </c>
      <c r="H237" s="2">
        <f>$B237/H$5</f>
        <v>7.21875</v>
      </c>
      <c r="I237" s="2">
        <f>$B237/I$5</f>
        <v>3.609375</v>
      </c>
      <c r="J237" s="2">
        <f>$B237/J$5</f>
        <v>1.8046875</v>
      </c>
      <c r="L237" s="2">
        <v>1.8046875</v>
      </c>
      <c r="M237" s="23" t="s">
        <v>260</v>
      </c>
      <c r="N237" s="4">
        <f>231/128</f>
        <v>1.8046875</v>
      </c>
      <c r="O237" s="21">
        <f t="shared" si="6"/>
        <v>0</v>
      </c>
      <c r="P237" s="24" t="s">
        <v>6</v>
      </c>
      <c r="Q237" s="31"/>
      <c r="R237" s="32"/>
      <c r="S237" s="32"/>
      <c r="T237" s="34"/>
    </row>
    <row r="238" spans="2:20" x14ac:dyDescent="0.25">
      <c r="B238" s="6">
        <f t="shared" si="7"/>
        <v>232</v>
      </c>
      <c r="C238" s="2">
        <f>$B238/C$5</f>
        <v>232</v>
      </c>
      <c r="D238" s="3">
        <f>$B238/D$5</f>
        <v>116</v>
      </c>
      <c r="E238" s="3">
        <f>$B238/E$5</f>
        <v>58</v>
      </c>
      <c r="F238" s="3">
        <f>$B238/F$5</f>
        <v>29</v>
      </c>
      <c r="G238" s="3">
        <f>$B238/G$5</f>
        <v>14.5</v>
      </c>
      <c r="H238" s="3">
        <f>$B238/H$5</f>
        <v>7.25</v>
      </c>
      <c r="I238" s="3">
        <f>$B238/I$5</f>
        <v>3.625</v>
      </c>
      <c r="J238" s="3">
        <f>$B238/J$5</f>
        <v>1.8125</v>
      </c>
      <c r="L238" s="2">
        <v>1.8125</v>
      </c>
      <c r="M238" s="23" t="s">
        <v>804</v>
      </c>
      <c r="N238" s="23">
        <f>29/16</f>
        <v>1.8125</v>
      </c>
      <c r="O238" s="21">
        <f t="shared" si="6"/>
        <v>0</v>
      </c>
      <c r="P238" s="24" t="s">
        <v>6</v>
      </c>
      <c r="Q238" s="31"/>
      <c r="R238" s="32"/>
      <c r="S238" s="32"/>
      <c r="T238" s="34"/>
    </row>
    <row r="239" spans="2:20" x14ac:dyDescent="0.25">
      <c r="B239" s="6">
        <f t="shared" si="7"/>
        <v>233</v>
      </c>
      <c r="C239" s="2">
        <f>$B239/C$5</f>
        <v>233</v>
      </c>
      <c r="D239" s="2">
        <f>$B239/D$5</f>
        <v>116.5</v>
      </c>
      <c r="E239" s="2">
        <f>$B239/E$5</f>
        <v>58.25</v>
      </c>
      <c r="F239" s="2">
        <f>$B239/F$5</f>
        <v>29.125</v>
      </c>
      <c r="G239" s="2">
        <f>$B239/G$5</f>
        <v>14.5625</v>
      </c>
      <c r="H239" s="2">
        <f>$B239/H$5</f>
        <v>7.28125</v>
      </c>
      <c r="I239" s="2">
        <f>$B239/I$5</f>
        <v>3.640625</v>
      </c>
      <c r="J239" s="2">
        <f>$B239/J$5</f>
        <v>1.8203125</v>
      </c>
      <c r="L239" s="2">
        <v>1.8203125</v>
      </c>
      <c r="M239" s="23" t="s">
        <v>261</v>
      </c>
      <c r="N239" s="4">
        <f>233/128</f>
        <v>1.8203125</v>
      </c>
      <c r="O239" s="21">
        <f t="shared" si="6"/>
        <v>0</v>
      </c>
      <c r="P239" s="24" t="s">
        <v>6</v>
      </c>
      <c r="Q239" s="31"/>
      <c r="R239" s="32"/>
      <c r="S239" s="32"/>
      <c r="T239" s="34"/>
    </row>
    <row r="240" spans="2:20" x14ac:dyDescent="0.25">
      <c r="B240" s="6">
        <f t="shared" si="7"/>
        <v>234</v>
      </c>
      <c r="C240" s="2">
        <f>$B240/C$5</f>
        <v>234</v>
      </c>
      <c r="D240" s="3">
        <f>$B240/D$5</f>
        <v>117</v>
      </c>
      <c r="E240" s="3">
        <f>$B240/E$5</f>
        <v>58.5</v>
      </c>
      <c r="F240" s="3">
        <f>$B240/F$5</f>
        <v>29.25</v>
      </c>
      <c r="G240" s="3">
        <f>$B240/G$5</f>
        <v>14.625</v>
      </c>
      <c r="H240" s="3">
        <f>$B240/H$5</f>
        <v>7.3125</v>
      </c>
      <c r="I240" s="3">
        <f>$B240/I$5</f>
        <v>3.65625</v>
      </c>
      <c r="J240" s="3">
        <f>$B240/J$5</f>
        <v>1.828125</v>
      </c>
      <c r="L240" s="2">
        <v>1.828125</v>
      </c>
      <c r="M240" s="23" t="s">
        <v>1098</v>
      </c>
      <c r="N240" s="23">
        <f>117/64</f>
        <v>1.828125</v>
      </c>
      <c r="O240" s="21">
        <f t="shared" si="6"/>
        <v>0</v>
      </c>
      <c r="P240" s="24" t="s">
        <v>6</v>
      </c>
      <c r="Q240" s="31"/>
      <c r="R240" s="32"/>
      <c r="S240" s="32"/>
      <c r="T240" s="34"/>
    </row>
    <row r="241" spans="2:20" x14ac:dyDescent="0.25">
      <c r="B241" s="6">
        <f t="shared" si="7"/>
        <v>235</v>
      </c>
      <c r="C241" s="2">
        <f>$B241/C$5</f>
        <v>235</v>
      </c>
      <c r="D241" s="2">
        <f>$B241/D$5</f>
        <v>117.5</v>
      </c>
      <c r="E241" s="2">
        <f>$B241/E$5</f>
        <v>58.75</v>
      </c>
      <c r="F241" s="2">
        <f>$B241/F$5</f>
        <v>29.375</v>
      </c>
      <c r="G241" s="2">
        <f>$B241/G$5</f>
        <v>14.6875</v>
      </c>
      <c r="H241" s="2">
        <f>$B241/H$5</f>
        <v>7.34375</v>
      </c>
      <c r="I241" s="2">
        <f>$B241/I$5</f>
        <v>3.671875</v>
      </c>
      <c r="J241" s="2">
        <f>$B241/J$5</f>
        <v>1.8359375</v>
      </c>
      <c r="L241" s="2">
        <v>1.8359375</v>
      </c>
      <c r="M241" s="23" t="s">
        <v>262</v>
      </c>
      <c r="N241" s="4">
        <f>235/128</f>
        <v>1.8359375</v>
      </c>
      <c r="O241" s="21">
        <f t="shared" si="6"/>
        <v>0</v>
      </c>
      <c r="P241" s="24" t="s">
        <v>6</v>
      </c>
      <c r="Q241" s="31"/>
      <c r="R241" s="32"/>
      <c r="S241" s="32"/>
      <c r="T241" s="34"/>
    </row>
    <row r="242" spans="2:20" x14ac:dyDescent="0.25">
      <c r="B242" s="6">
        <f t="shared" si="7"/>
        <v>236</v>
      </c>
      <c r="C242" s="2">
        <f>$B242/C$5</f>
        <v>236</v>
      </c>
      <c r="D242" s="3">
        <f>$B242/D$5</f>
        <v>118</v>
      </c>
      <c r="E242" s="3">
        <f>$B242/E$5</f>
        <v>59</v>
      </c>
      <c r="F242" s="3">
        <f>$B242/F$5</f>
        <v>29.5</v>
      </c>
      <c r="G242" s="3">
        <f>$B242/G$5</f>
        <v>14.75</v>
      </c>
      <c r="H242" s="3">
        <f>$B242/H$5</f>
        <v>7.375</v>
      </c>
      <c r="I242" s="3">
        <f>$B242/I$5</f>
        <v>3.6875</v>
      </c>
      <c r="J242" s="3">
        <f>$B242/J$5</f>
        <v>1.84375</v>
      </c>
      <c r="L242" s="2">
        <v>1.84375</v>
      </c>
      <c r="M242" s="23" t="s">
        <v>945</v>
      </c>
      <c r="N242" s="23">
        <f>59/32</f>
        <v>1.84375</v>
      </c>
      <c r="O242" s="21">
        <f t="shared" si="6"/>
        <v>0</v>
      </c>
      <c r="P242" s="24" t="s">
        <v>6</v>
      </c>
      <c r="Q242" s="31"/>
      <c r="R242" s="32"/>
      <c r="S242" s="32"/>
      <c r="T242" s="34"/>
    </row>
    <row r="243" spans="2:20" x14ac:dyDescent="0.25">
      <c r="B243" s="6">
        <f t="shared" si="7"/>
        <v>237</v>
      </c>
      <c r="C243" s="2">
        <f>$B243/C$5</f>
        <v>237</v>
      </c>
      <c r="D243" s="2">
        <f>$B243/D$5</f>
        <v>118.5</v>
      </c>
      <c r="E243" s="2">
        <f>$B243/E$5</f>
        <v>59.25</v>
      </c>
      <c r="F243" s="2">
        <f>$B243/F$5</f>
        <v>29.625</v>
      </c>
      <c r="G243" s="2">
        <f>$B243/G$5</f>
        <v>14.8125</v>
      </c>
      <c r="H243" s="2">
        <f>$B243/H$5</f>
        <v>7.40625</v>
      </c>
      <c r="I243" s="2">
        <f>$B243/I$5</f>
        <v>3.703125</v>
      </c>
      <c r="J243" s="2">
        <f>$B243/J$5</f>
        <v>1.8515625</v>
      </c>
      <c r="L243" s="2">
        <v>1.8515625</v>
      </c>
      <c r="M243" s="23" t="s">
        <v>263</v>
      </c>
      <c r="N243" s="4">
        <f>237/128</f>
        <v>1.8515625</v>
      </c>
      <c r="O243" s="21">
        <f t="shared" si="6"/>
        <v>0</v>
      </c>
      <c r="P243" s="24" t="s">
        <v>6</v>
      </c>
      <c r="Q243" s="31"/>
      <c r="R243" s="32"/>
      <c r="S243" s="32"/>
      <c r="T243" s="34"/>
    </row>
    <row r="244" spans="2:20" x14ac:dyDescent="0.25">
      <c r="B244" s="6">
        <f t="shared" si="7"/>
        <v>238</v>
      </c>
      <c r="C244" s="2">
        <f>$B244/C$5</f>
        <v>238</v>
      </c>
      <c r="D244" s="3">
        <f>$B244/D$5</f>
        <v>119</v>
      </c>
      <c r="E244" s="3">
        <f>$B244/E$5</f>
        <v>59.5</v>
      </c>
      <c r="F244" s="3">
        <f>$B244/F$5</f>
        <v>29.75</v>
      </c>
      <c r="G244" s="3">
        <f>$B244/G$5</f>
        <v>14.875</v>
      </c>
      <c r="H244" s="3">
        <f>$B244/H$5</f>
        <v>7.4375</v>
      </c>
      <c r="I244" s="3">
        <f>$B244/I$5</f>
        <v>3.71875</v>
      </c>
      <c r="J244" s="3">
        <f>$B244/J$5</f>
        <v>1.859375</v>
      </c>
      <c r="L244" s="2">
        <v>1.859375</v>
      </c>
      <c r="M244" s="23" t="s">
        <v>1099</v>
      </c>
      <c r="N244" s="23">
        <f>119/64</f>
        <v>1.859375</v>
      </c>
      <c r="O244" s="21">
        <f t="shared" si="6"/>
        <v>0</v>
      </c>
      <c r="P244" s="24" t="s">
        <v>6</v>
      </c>
      <c r="Q244" s="31"/>
      <c r="R244" s="32"/>
      <c r="S244" s="32"/>
      <c r="T244" s="34"/>
    </row>
    <row r="245" spans="2:20" x14ac:dyDescent="0.25">
      <c r="B245" s="6">
        <f t="shared" si="7"/>
        <v>239</v>
      </c>
      <c r="C245" s="2">
        <f>$B245/C$5</f>
        <v>239</v>
      </c>
      <c r="D245" s="2">
        <f>$B245/D$5</f>
        <v>119.5</v>
      </c>
      <c r="E245" s="2">
        <f>$B245/E$5</f>
        <v>59.75</v>
      </c>
      <c r="F245" s="2">
        <f>$B245/F$5</f>
        <v>29.875</v>
      </c>
      <c r="G245" s="2">
        <f>$B245/G$5</f>
        <v>14.9375</v>
      </c>
      <c r="H245" s="2">
        <f>$B245/H$5</f>
        <v>7.46875</v>
      </c>
      <c r="I245" s="2">
        <f>$B245/I$5</f>
        <v>3.734375</v>
      </c>
      <c r="J245" s="2">
        <f>$B245/J$5</f>
        <v>1.8671875</v>
      </c>
      <c r="L245" s="2">
        <v>1.8671875</v>
      </c>
      <c r="M245" s="23" t="s">
        <v>264</v>
      </c>
      <c r="N245" s="4">
        <f>239/128</f>
        <v>1.8671875</v>
      </c>
      <c r="O245" s="21">
        <f t="shared" si="6"/>
        <v>0</v>
      </c>
      <c r="P245" s="24" t="s">
        <v>6</v>
      </c>
      <c r="Q245" s="31"/>
      <c r="R245" s="32"/>
      <c r="S245" s="32"/>
      <c r="T245" s="34"/>
    </row>
    <row r="246" spans="2:20" x14ac:dyDescent="0.25">
      <c r="B246" s="6">
        <f t="shared" si="7"/>
        <v>240</v>
      </c>
      <c r="C246" s="2">
        <f>$B246/C$5</f>
        <v>240</v>
      </c>
      <c r="D246" s="3">
        <f>$B246/D$5</f>
        <v>120</v>
      </c>
      <c r="E246" s="3">
        <f>$B246/E$5</f>
        <v>60</v>
      </c>
      <c r="F246" s="3">
        <f>$B246/F$5</f>
        <v>30</v>
      </c>
      <c r="G246" s="3">
        <f>$B246/G$5</f>
        <v>15</v>
      </c>
      <c r="H246" s="3">
        <f>$B246/H$5</f>
        <v>7.5</v>
      </c>
      <c r="I246" s="3">
        <f>$B246/I$5</f>
        <v>3.75</v>
      </c>
      <c r="J246" s="3">
        <f>$B246/J$5</f>
        <v>1.875</v>
      </c>
      <c r="L246" s="2">
        <v>1.875</v>
      </c>
      <c r="M246" s="23" t="s">
        <v>670</v>
      </c>
      <c r="N246" s="23">
        <f>15/8</f>
        <v>1.875</v>
      </c>
      <c r="O246" s="21">
        <f t="shared" si="6"/>
        <v>0</v>
      </c>
      <c r="P246" s="24" t="s">
        <v>6</v>
      </c>
      <c r="Q246" s="31"/>
      <c r="R246" s="32"/>
      <c r="S246" s="32"/>
      <c r="T246" s="34"/>
    </row>
    <row r="247" spans="2:20" x14ac:dyDescent="0.25">
      <c r="B247" s="6">
        <f t="shared" si="7"/>
        <v>241</v>
      </c>
      <c r="C247" s="2">
        <f>$B247/C$5</f>
        <v>241</v>
      </c>
      <c r="D247" s="2">
        <f>$B247/D$5</f>
        <v>120.5</v>
      </c>
      <c r="E247" s="2">
        <f>$B247/E$5</f>
        <v>60.25</v>
      </c>
      <c r="F247" s="2">
        <f>$B247/F$5</f>
        <v>30.125</v>
      </c>
      <c r="G247" s="2">
        <f>$B247/G$5</f>
        <v>15.0625</v>
      </c>
      <c r="H247" s="2">
        <f>$B247/H$5</f>
        <v>7.53125</v>
      </c>
      <c r="I247" s="2">
        <f>$B247/I$5</f>
        <v>3.765625</v>
      </c>
      <c r="J247" s="2">
        <f>$B247/J$5</f>
        <v>1.8828125</v>
      </c>
      <c r="L247" s="2">
        <v>1.8828125</v>
      </c>
      <c r="M247" s="23" t="s">
        <v>265</v>
      </c>
      <c r="N247" s="4">
        <f>241/128</f>
        <v>1.8828125</v>
      </c>
      <c r="O247" s="21">
        <f t="shared" si="6"/>
        <v>0</v>
      </c>
      <c r="P247" s="24" t="s">
        <v>6</v>
      </c>
      <c r="Q247" s="31"/>
      <c r="R247" s="32"/>
      <c r="S247" s="32"/>
      <c r="T247" s="34"/>
    </row>
    <row r="248" spans="2:20" x14ac:dyDescent="0.25">
      <c r="B248" s="6">
        <f t="shared" si="7"/>
        <v>242</v>
      </c>
      <c r="C248" s="2">
        <f>$B248/C$5</f>
        <v>242</v>
      </c>
      <c r="D248" s="3">
        <f>$B248/D$5</f>
        <v>121</v>
      </c>
      <c r="E248" s="3">
        <f>$B248/E$5</f>
        <v>60.5</v>
      </c>
      <c r="F248" s="3">
        <f>$B248/F$5</f>
        <v>30.25</v>
      </c>
      <c r="G248" s="3">
        <f>$B248/G$5</f>
        <v>15.125</v>
      </c>
      <c r="H248" s="3">
        <f>$B248/H$5</f>
        <v>7.5625</v>
      </c>
      <c r="I248" s="3">
        <f>$B248/I$5</f>
        <v>3.78125</v>
      </c>
      <c r="J248" s="3">
        <f>$B248/J$5</f>
        <v>1.890625</v>
      </c>
      <c r="L248" s="2">
        <v>1.890625</v>
      </c>
      <c r="M248" s="23" t="s">
        <v>1100</v>
      </c>
      <c r="N248" s="23">
        <f>121/64</f>
        <v>1.890625</v>
      </c>
      <c r="O248" s="21">
        <f t="shared" si="6"/>
        <v>0</v>
      </c>
      <c r="P248" s="24" t="s">
        <v>6</v>
      </c>
      <c r="Q248" s="31"/>
      <c r="R248" s="32"/>
      <c r="S248" s="32"/>
      <c r="T248" s="34"/>
    </row>
    <row r="249" spans="2:20" x14ac:dyDescent="0.25">
      <c r="B249" s="6">
        <f t="shared" si="7"/>
        <v>243</v>
      </c>
      <c r="C249" s="2">
        <f>$B249/C$5</f>
        <v>243</v>
      </c>
      <c r="D249" s="2">
        <f>$B249/D$5</f>
        <v>121.5</v>
      </c>
      <c r="E249" s="2">
        <f>$B249/E$5</f>
        <v>60.75</v>
      </c>
      <c r="F249" s="2">
        <f>$B249/F$5</f>
        <v>30.375</v>
      </c>
      <c r="G249" s="2">
        <f>$B249/G$5</f>
        <v>15.1875</v>
      </c>
      <c r="H249" s="2">
        <f>$B249/H$5</f>
        <v>7.59375</v>
      </c>
      <c r="I249" s="2">
        <f>$B249/I$5</f>
        <v>3.796875</v>
      </c>
      <c r="J249" s="2">
        <f>$B249/J$5</f>
        <v>1.8984375</v>
      </c>
      <c r="L249" s="2">
        <v>1.8984375</v>
      </c>
      <c r="M249" s="23" t="s">
        <v>266</v>
      </c>
      <c r="N249" s="4">
        <f>243/128</f>
        <v>1.8984375</v>
      </c>
      <c r="O249" s="21">
        <f t="shared" si="6"/>
        <v>0</v>
      </c>
      <c r="P249" s="24" t="s">
        <v>6</v>
      </c>
      <c r="Q249" s="31"/>
      <c r="R249" s="32"/>
      <c r="S249" s="32"/>
      <c r="T249" s="34"/>
    </row>
    <row r="250" spans="2:20" x14ac:dyDescent="0.25">
      <c r="B250" s="6">
        <f t="shared" si="7"/>
        <v>244</v>
      </c>
      <c r="C250" s="2">
        <f>$B250/C$5</f>
        <v>244</v>
      </c>
      <c r="D250" s="3">
        <f>$B250/D$5</f>
        <v>122</v>
      </c>
      <c r="E250" s="3">
        <f>$B250/E$5</f>
        <v>61</v>
      </c>
      <c r="F250" s="3">
        <f>$B250/F$5</f>
        <v>30.5</v>
      </c>
      <c r="G250" s="3">
        <f>$B250/G$5</f>
        <v>15.25</v>
      </c>
      <c r="H250" s="3">
        <f>$B250/H$5</f>
        <v>7.625</v>
      </c>
      <c r="I250" s="3">
        <f>$B250/I$5</f>
        <v>3.8125</v>
      </c>
      <c r="J250" s="3">
        <f>$B250/J$5</f>
        <v>1.90625</v>
      </c>
      <c r="L250" s="2">
        <v>1.90625</v>
      </c>
      <c r="M250" s="23" t="s">
        <v>946</v>
      </c>
      <c r="N250" s="23">
        <f>61/32</f>
        <v>1.90625</v>
      </c>
      <c r="O250" s="21">
        <f t="shared" si="6"/>
        <v>0</v>
      </c>
      <c r="P250" s="24" t="s">
        <v>6</v>
      </c>
      <c r="Q250" s="31"/>
      <c r="R250" s="32"/>
      <c r="S250" s="32"/>
      <c r="T250" s="34"/>
    </row>
    <row r="251" spans="2:20" x14ac:dyDescent="0.25">
      <c r="B251" s="6">
        <f t="shared" si="7"/>
        <v>245</v>
      </c>
      <c r="C251" s="2">
        <f>$B251/C$5</f>
        <v>245</v>
      </c>
      <c r="D251" s="2">
        <f>$B251/D$5</f>
        <v>122.5</v>
      </c>
      <c r="E251" s="2">
        <f>$B251/E$5</f>
        <v>61.25</v>
      </c>
      <c r="F251" s="2">
        <f>$B251/F$5</f>
        <v>30.625</v>
      </c>
      <c r="G251" s="2">
        <f>$B251/G$5</f>
        <v>15.3125</v>
      </c>
      <c r="H251" s="2">
        <f>$B251/H$5</f>
        <v>7.65625</v>
      </c>
      <c r="I251" s="2">
        <f>$B251/I$5</f>
        <v>3.828125</v>
      </c>
      <c r="J251" s="2">
        <f>$B251/J$5</f>
        <v>1.9140625</v>
      </c>
      <c r="L251" s="2">
        <v>1.9140625</v>
      </c>
      <c r="M251" s="23" t="s">
        <v>267</v>
      </c>
      <c r="N251" s="4">
        <f>245/128</f>
        <v>1.9140625</v>
      </c>
      <c r="O251" s="21">
        <f t="shared" si="6"/>
        <v>0</v>
      </c>
      <c r="P251" s="24" t="s">
        <v>6</v>
      </c>
      <c r="Q251" s="31"/>
      <c r="R251" s="32"/>
      <c r="S251" s="32"/>
      <c r="T251" s="34"/>
    </row>
    <row r="252" spans="2:20" x14ac:dyDescent="0.25">
      <c r="B252" s="6">
        <f t="shared" si="7"/>
        <v>246</v>
      </c>
      <c r="C252" s="2">
        <f>$B252/C$5</f>
        <v>246</v>
      </c>
      <c r="D252" s="3">
        <f>$B252/D$5</f>
        <v>123</v>
      </c>
      <c r="E252" s="3">
        <f>$B252/E$5</f>
        <v>61.5</v>
      </c>
      <c r="F252" s="3">
        <f>$B252/F$5</f>
        <v>30.75</v>
      </c>
      <c r="G252" s="3">
        <f>$B252/G$5</f>
        <v>15.375</v>
      </c>
      <c r="H252" s="3">
        <f>$B252/H$5</f>
        <v>7.6875</v>
      </c>
      <c r="I252" s="3">
        <f>$B252/I$5</f>
        <v>3.84375</v>
      </c>
      <c r="J252" s="3">
        <f>$B252/J$5</f>
        <v>1.921875</v>
      </c>
      <c r="L252" s="2">
        <v>1.921875</v>
      </c>
      <c r="M252" s="23" t="s">
        <v>1101</v>
      </c>
      <c r="N252" s="23">
        <f>123/64</f>
        <v>1.921875</v>
      </c>
      <c r="O252" s="21">
        <f t="shared" si="6"/>
        <v>0</v>
      </c>
      <c r="P252" s="24" t="s">
        <v>6</v>
      </c>
      <c r="Q252" s="31"/>
      <c r="R252" s="32"/>
      <c r="S252" s="32"/>
      <c r="T252" s="34"/>
    </row>
    <row r="253" spans="2:20" x14ac:dyDescent="0.25">
      <c r="B253" s="6">
        <f t="shared" si="7"/>
        <v>247</v>
      </c>
      <c r="C253" s="2">
        <f>$B253/C$5</f>
        <v>247</v>
      </c>
      <c r="D253" s="2">
        <f>$B253/D$5</f>
        <v>123.5</v>
      </c>
      <c r="E253" s="2">
        <f>$B253/E$5</f>
        <v>61.75</v>
      </c>
      <c r="F253" s="2">
        <f>$B253/F$5</f>
        <v>30.875</v>
      </c>
      <c r="G253" s="2">
        <f>$B253/G$5</f>
        <v>15.4375</v>
      </c>
      <c r="H253" s="2">
        <f>$B253/H$5</f>
        <v>7.71875</v>
      </c>
      <c r="I253" s="2">
        <f>$B253/I$5</f>
        <v>3.859375</v>
      </c>
      <c r="J253" s="2">
        <f>$B253/J$5</f>
        <v>1.9296875</v>
      </c>
      <c r="L253" s="2">
        <v>1.9296875</v>
      </c>
      <c r="M253" s="23" t="s">
        <v>268</v>
      </c>
      <c r="N253" s="4">
        <f>247/128</f>
        <v>1.9296875</v>
      </c>
      <c r="O253" s="21">
        <f t="shared" si="6"/>
        <v>0</v>
      </c>
      <c r="P253" s="24" t="s">
        <v>6</v>
      </c>
      <c r="Q253" s="31"/>
      <c r="R253" s="32"/>
      <c r="S253" s="32"/>
      <c r="T253" s="34"/>
    </row>
    <row r="254" spans="2:20" x14ac:dyDescent="0.25">
      <c r="B254" s="6">
        <f t="shared" si="7"/>
        <v>248</v>
      </c>
      <c r="C254" s="2">
        <f>$B254/C$5</f>
        <v>248</v>
      </c>
      <c r="D254" s="3">
        <f>$B254/D$5</f>
        <v>124</v>
      </c>
      <c r="E254" s="3">
        <f>$B254/E$5</f>
        <v>62</v>
      </c>
      <c r="F254" s="3">
        <f>$B254/F$5</f>
        <v>31</v>
      </c>
      <c r="G254" s="3">
        <f>$B254/G$5</f>
        <v>15.5</v>
      </c>
      <c r="H254" s="3">
        <f>$B254/H$5</f>
        <v>7.75</v>
      </c>
      <c r="I254" s="3">
        <f>$B254/I$5</f>
        <v>3.875</v>
      </c>
      <c r="J254" s="3">
        <f>$B254/J$5</f>
        <v>1.9375</v>
      </c>
      <c r="L254" s="2">
        <v>1.9375</v>
      </c>
      <c r="M254" s="23" t="s">
        <v>805</v>
      </c>
      <c r="N254" s="23">
        <f>31/16</f>
        <v>1.9375</v>
      </c>
      <c r="O254" s="21">
        <f t="shared" si="6"/>
        <v>0</v>
      </c>
      <c r="P254" s="24" t="s">
        <v>6</v>
      </c>
      <c r="Q254" s="31"/>
      <c r="R254" s="32"/>
      <c r="S254" s="32"/>
      <c r="T254" s="34"/>
    </row>
    <row r="255" spans="2:20" x14ac:dyDescent="0.25">
      <c r="B255" s="6">
        <f t="shared" si="7"/>
        <v>249</v>
      </c>
      <c r="C255" s="2">
        <f>$B255/C$5</f>
        <v>249</v>
      </c>
      <c r="D255" s="2">
        <f>$B255/D$5</f>
        <v>124.5</v>
      </c>
      <c r="E255" s="2">
        <f>$B255/E$5</f>
        <v>62.25</v>
      </c>
      <c r="F255" s="2">
        <f>$B255/F$5</f>
        <v>31.125</v>
      </c>
      <c r="G255" s="2">
        <f>$B255/G$5</f>
        <v>15.5625</v>
      </c>
      <c r="H255" s="2">
        <f>$B255/H$5</f>
        <v>7.78125</v>
      </c>
      <c r="I255" s="2">
        <f>$B255/I$5</f>
        <v>3.890625</v>
      </c>
      <c r="J255" s="2">
        <f>$B255/J$5</f>
        <v>1.9453125</v>
      </c>
      <c r="L255" s="2">
        <v>1.9453125</v>
      </c>
      <c r="M255" s="23" t="s">
        <v>269</v>
      </c>
      <c r="N255" s="4">
        <f>249/128</f>
        <v>1.9453125</v>
      </c>
      <c r="O255" s="21">
        <f t="shared" si="6"/>
        <v>0</v>
      </c>
      <c r="P255" s="24" t="s">
        <v>6</v>
      </c>
      <c r="Q255" s="31"/>
      <c r="R255" s="32"/>
      <c r="S255" s="32"/>
      <c r="T255" s="34"/>
    </row>
    <row r="256" spans="2:20" x14ac:dyDescent="0.25">
      <c r="B256" s="6">
        <f t="shared" si="7"/>
        <v>250</v>
      </c>
      <c r="C256" s="2">
        <f>$B256/C$5</f>
        <v>250</v>
      </c>
      <c r="D256" s="3">
        <f>$B256/D$5</f>
        <v>125</v>
      </c>
      <c r="E256" s="3">
        <f>$B256/E$5</f>
        <v>62.5</v>
      </c>
      <c r="F256" s="3">
        <f>$B256/F$5</f>
        <v>31.25</v>
      </c>
      <c r="G256" s="3">
        <f>$B256/G$5</f>
        <v>15.625</v>
      </c>
      <c r="H256" s="3">
        <f>$B256/H$5</f>
        <v>7.8125</v>
      </c>
      <c r="I256" s="3">
        <f>$B256/I$5</f>
        <v>3.90625</v>
      </c>
      <c r="J256" s="3">
        <f>$B256/J$5</f>
        <v>1.953125</v>
      </c>
      <c r="L256" s="2">
        <v>1.953125</v>
      </c>
      <c r="M256" s="23" t="s">
        <v>1102</v>
      </c>
      <c r="N256" s="23">
        <f>125/64</f>
        <v>1.953125</v>
      </c>
      <c r="O256" s="21">
        <f t="shared" si="6"/>
        <v>0</v>
      </c>
      <c r="P256" s="24" t="s">
        <v>6</v>
      </c>
      <c r="Q256" s="31"/>
      <c r="R256" s="32"/>
      <c r="S256" s="32"/>
      <c r="T256" s="34"/>
    </row>
    <row r="257" spans="2:20" x14ac:dyDescent="0.25">
      <c r="B257" s="6">
        <f t="shared" si="7"/>
        <v>251</v>
      </c>
      <c r="C257" s="2">
        <f>$B257/C$5</f>
        <v>251</v>
      </c>
      <c r="D257" s="2">
        <f>$B257/D$5</f>
        <v>125.5</v>
      </c>
      <c r="E257" s="2">
        <f>$B257/E$5</f>
        <v>62.75</v>
      </c>
      <c r="F257" s="2">
        <f>$B257/F$5</f>
        <v>31.375</v>
      </c>
      <c r="G257" s="2">
        <f>$B257/G$5</f>
        <v>15.6875</v>
      </c>
      <c r="H257" s="2">
        <f>$B257/H$5</f>
        <v>7.84375</v>
      </c>
      <c r="I257" s="2">
        <f>$B257/I$5</f>
        <v>3.921875</v>
      </c>
      <c r="J257" s="2">
        <f>$B257/J$5</f>
        <v>1.9609375</v>
      </c>
      <c r="L257" s="2">
        <v>1.9609375</v>
      </c>
      <c r="M257" s="23" t="s">
        <v>270</v>
      </c>
      <c r="N257" s="4">
        <f>251/128</f>
        <v>1.9609375</v>
      </c>
      <c r="O257" s="21">
        <f t="shared" si="6"/>
        <v>0</v>
      </c>
      <c r="P257" s="24" t="s">
        <v>6</v>
      </c>
      <c r="Q257" s="31"/>
      <c r="R257" s="32"/>
      <c r="S257" s="32"/>
      <c r="T257" s="34"/>
    </row>
    <row r="258" spans="2:20" x14ac:dyDescent="0.25">
      <c r="B258" s="6">
        <f t="shared" si="7"/>
        <v>252</v>
      </c>
      <c r="C258" s="2">
        <f>$B258/C$5</f>
        <v>252</v>
      </c>
      <c r="D258" s="3">
        <f>$B258/D$5</f>
        <v>126</v>
      </c>
      <c r="E258" s="3">
        <f>$B258/E$5</f>
        <v>63</v>
      </c>
      <c r="F258" s="3">
        <f>$B258/F$5</f>
        <v>31.5</v>
      </c>
      <c r="G258" s="3">
        <f>$B258/G$5</f>
        <v>15.75</v>
      </c>
      <c r="H258" s="3">
        <f>$B258/H$5</f>
        <v>7.875</v>
      </c>
      <c r="I258" s="3">
        <f>$B258/I$5</f>
        <v>3.9375</v>
      </c>
      <c r="J258" s="3">
        <f>$B258/J$5</f>
        <v>1.96875</v>
      </c>
      <c r="L258" s="2">
        <v>1.96875</v>
      </c>
      <c r="M258" s="23" t="s">
        <v>947</v>
      </c>
      <c r="N258" s="23">
        <f>63/32</f>
        <v>1.96875</v>
      </c>
      <c r="O258" s="21">
        <f t="shared" si="6"/>
        <v>0</v>
      </c>
      <c r="P258" s="24" t="s">
        <v>6</v>
      </c>
      <c r="Q258" s="31"/>
      <c r="R258" s="32"/>
      <c r="S258" s="32"/>
      <c r="T258" s="34"/>
    </row>
    <row r="259" spans="2:20" x14ac:dyDescent="0.25">
      <c r="B259" s="6">
        <f t="shared" si="7"/>
        <v>253</v>
      </c>
      <c r="C259" s="2">
        <f>$B259/C$5</f>
        <v>253</v>
      </c>
      <c r="D259" s="2">
        <f>$B259/D$5</f>
        <v>126.5</v>
      </c>
      <c r="E259" s="2">
        <f>$B259/E$5</f>
        <v>63.25</v>
      </c>
      <c r="F259" s="2">
        <f>$B259/F$5</f>
        <v>31.625</v>
      </c>
      <c r="G259" s="2">
        <f>$B259/G$5</f>
        <v>15.8125</v>
      </c>
      <c r="H259" s="2">
        <f>$B259/H$5</f>
        <v>7.90625</v>
      </c>
      <c r="I259" s="2">
        <f>$B259/I$5</f>
        <v>3.953125</v>
      </c>
      <c r="J259" s="2">
        <f>$B259/J$5</f>
        <v>1.9765625</v>
      </c>
      <c r="L259" s="2">
        <v>1.9765625</v>
      </c>
      <c r="M259" s="23" t="s">
        <v>271</v>
      </c>
      <c r="N259" s="4">
        <f>253/128</f>
        <v>1.9765625</v>
      </c>
      <c r="O259" s="21">
        <f t="shared" si="6"/>
        <v>0</v>
      </c>
      <c r="P259" s="24" t="s">
        <v>6</v>
      </c>
      <c r="Q259" s="31"/>
      <c r="R259" s="32"/>
      <c r="S259" s="32"/>
      <c r="T259" s="34"/>
    </row>
    <row r="260" spans="2:20" x14ac:dyDescent="0.25">
      <c r="B260" s="6">
        <f t="shared" si="7"/>
        <v>254</v>
      </c>
      <c r="C260" s="2">
        <f>$B260/C$5</f>
        <v>254</v>
      </c>
      <c r="D260" s="3">
        <f>$B260/D$5</f>
        <v>127</v>
      </c>
      <c r="E260" s="3">
        <f>$B260/E$5</f>
        <v>63.5</v>
      </c>
      <c r="F260" s="3">
        <f>$B260/F$5</f>
        <v>31.75</v>
      </c>
      <c r="G260" s="3">
        <f>$B260/G$5</f>
        <v>15.875</v>
      </c>
      <c r="H260" s="3">
        <f>$B260/H$5</f>
        <v>7.9375</v>
      </c>
      <c r="I260" s="3">
        <f>$B260/I$5</f>
        <v>3.96875</v>
      </c>
      <c r="J260" s="3">
        <f>$B260/J$5</f>
        <v>1.984375</v>
      </c>
      <c r="L260" s="2">
        <v>1.984375</v>
      </c>
      <c r="M260" s="23" t="s">
        <v>1103</v>
      </c>
      <c r="N260" s="23">
        <f>127/64</f>
        <v>1.984375</v>
      </c>
      <c r="O260" s="21">
        <f t="shared" si="6"/>
        <v>0</v>
      </c>
      <c r="P260" s="24" t="s">
        <v>6</v>
      </c>
      <c r="Q260" s="31"/>
      <c r="R260" s="32"/>
      <c r="S260" s="32"/>
      <c r="T260" s="34"/>
    </row>
    <row r="261" spans="2:20" x14ac:dyDescent="0.25">
      <c r="B261" s="6">
        <f t="shared" si="7"/>
        <v>255</v>
      </c>
      <c r="C261" s="2">
        <f>$B261/C$5</f>
        <v>255</v>
      </c>
      <c r="D261" s="2">
        <f>$B261/D$5</f>
        <v>127.5</v>
      </c>
      <c r="E261" s="2">
        <f>$B261/E$5</f>
        <v>63.75</v>
      </c>
      <c r="F261" s="2">
        <f>$B261/F$5</f>
        <v>31.875</v>
      </c>
      <c r="G261" s="2">
        <f>$B261/G$5</f>
        <v>15.9375</v>
      </c>
      <c r="H261" s="2">
        <f>$B261/H$5</f>
        <v>7.96875</v>
      </c>
      <c r="I261" s="2">
        <f>$B261/I$5</f>
        <v>3.984375</v>
      </c>
      <c r="J261" s="2">
        <f>$B261/J$5</f>
        <v>1.9921875</v>
      </c>
      <c r="L261" s="2">
        <v>1.9921875</v>
      </c>
      <c r="M261" s="23" t="s">
        <v>272</v>
      </c>
      <c r="N261" s="4">
        <f>255/128</f>
        <v>1.9921875</v>
      </c>
      <c r="O261" s="21">
        <f t="shared" si="6"/>
        <v>0</v>
      </c>
      <c r="P261" s="24" t="s">
        <v>6</v>
      </c>
      <c r="Q261" s="31"/>
      <c r="R261" s="32"/>
      <c r="S261" s="32"/>
      <c r="T261" s="34"/>
    </row>
    <row r="262" spans="2:20" x14ac:dyDescent="0.25">
      <c r="L262" s="2">
        <v>2</v>
      </c>
      <c r="M262" s="23" t="s">
        <v>295</v>
      </c>
      <c r="N262" s="23">
        <f>2/1</f>
        <v>2</v>
      </c>
      <c r="O262" s="21">
        <f t="shared" si="6"/>
        <v>0</v>
      </c>
      <c r="P262" s="24" t="s">
        <v>6</v>
      </c>
      <c r="Q262" s="43"/>
      <c r="R262" s="44"/>
      <c r="S262" s="49"/>
      <c r="T262" s="48"/>
    </row>
    <row r="263" spans="2:20" x14ac:dyDescent="0.25">
      <c r="L263" s="2">
        <v>2.015625</v>
      </c>
      <c r="M263" s="23" t="s">
        <v>1104</v>
      </c>
      <c r="N263" s="23">
        <f>129/64</f>
        <v>2.015625</v>
      </c>
      <c r="O263" s="21">
        <f t="shared" ref="O263:O326" si="8">ABS(L263-N263)</f>
        <v>0</v>
      </c>
      <c r="P263" s="25" t="s">
        <v>7</v>
      </c>
      <c r="Q263" s="37" t="s">
        <v>278</v>
      </c>
      <c r="R263" s="38"/>
      <c r="S263" s="38"/>
      <c r="T263" s="41"/>
    </row>
    <row r="264" spans="2:20" x14ac:dyDescent="0.25">
      <c r="L264" s="2">
        <v>2.03125</v>
      </c>
      <c r="M264" s="23" t="s">
        <v>948</v>
      </c>
      <c r="N264" s="23">
        <f>65/32</f>
        <v>2.03125</v>
      </c>
      <c r="O264" s="21">
        <f t="shared" si="8"/>
        <v>0</v>
      </c>
      <c r="P264" s="25" t="s">
        <v>7</v>
      </c>
      <c r="Q264" s="37"/>
      <c r="R264" s="38"/>
      <c r="S264" s="38"/>
      <c r="T264" s="41"/>
    </row>
    <row r="265" spans="2:20" x14ac:dyDescent="0.25">
      <c r="L265" s="2">
        <v>2.046875</v>
      </c>
      <c r="M265" s="23" t="s">
        <v>1105</v>
      </c>
      <c r="N265" s="23">
        <f>131/64</f>
        <v>2.046875</v>
      </c>
      <c r="O265" s="21">
        <f t="shared" si="8"/>
        <v>0</v>
      </c>
      <c r="P265" s="25" t="s">
        <v>7</v>
      </c>
      <c r="Q265" s="37"/>
      <c r="R265" s="38"/>
      <c r="S265" s="38"/>
      <c r="T265" s="41"/>
    </row>
    <row r="266" spans="2:20" x14ac:dyDescent="0.25">
      <c r="L266" s="2">
        <v>2.0625</v>
      </c>
      <c r="M266" s="23" t="s">
        <v>806</v>
      </c>
      <c r="N266" s="23">
        <f>33/16</f>
        <v>2.0625</v>
      </c>
      <c r="O266" s="21">
        <f t="shared" si="8"/>
        <v>0</v>
      </c>
      <c r="P266" s="25" t="s">
        <v>7</v>
      </c>
      <c r="Q266" s="37"/>
      <c r="R266" s="38"/>
      <c r="S266" s="38"/>
      <c r="T266" s="41"/>
    </row>
    <row r="267" spans="2:20" x14ac:dyDescent="0.25">
      <c r="L267" s="2">
        <v>2.078125</v>
      </c>
      <c r="M267" s="23" t="s">
        <v>1106</v>
      </c>
      <c r="N267" s="23">
        <f>133/64</f>
        <v>2.078125</v>
      </c>
      <c r="O267" s="21">
        <f t="shared" si="8"/>
        <v>0</v>
      </c>
      <c r="P267" s="25" t="s">
        <v>7</v>
      </c>
      <c r="Q267" s="37"/>
      <c r="R267" s="38"/>
      <c r="S267" s="38"/>
      <c r="T267" s="41"/>
    </row>
    <row r="268" spans="2:20" x14ac:dyDescent="0.25">
      <c r="L268" s="2">
        <v>2.09375</v>
      </c>
      <c r="M268" s="23" t="s">
        <v>949</v>
      </c>
      <c r="N268" s="23">
        <f>67/32</f>
        <v>2.09375</v>
      </c>
      <c r="O268" s="21">
        <f t="shared" si="8"/>
        <v>0</v>
      </c>
      <c r="P268" s="25" t="s">
        <v>7</v>
      </c>
      <c r="Q268" s="37"/>
      <c r="R268" s="38"/>
      <c r="S268" s="38"/>
      <c r="T268" s="41"/>
    </row>
    <row r="269" spans="2:20" x14ac:dyDescent="0.25">
      <c r="L269" s="2">
        <v>2.109375</v>
      </c>
      <c r="M269" s="23" t="s">
        <v>1107</v>
      </c>
      <c r="N269" s="23">
        <f>135/64</f>
        <v>2.109375</v>
      </c>
      <c r="O269" s="21">
        <f t="shared" si="8"/>
        <v>0</v>
      </c>
      <c r="P269" s="25" t="s">
        <v>7</v>
      </c>
      <c r="Q269" s="37"/>
      <c r="R269" s="38"/>
      <c r="S269" s="38"/>
      <c r="T269" s="41"/>
    </row>
    <row r="270" spans="2:20" x14ac:dyDescent="0.25">
      <c r="L270" s="2">
        <v>2.125</v>
      </c>
      <c r="M270" s="23" t="s">
        <v>671</v>
      </c>
      <c r="N270" s="23">
        <f>17/8</f>
        <v>2.125</v>
      </c>
      <c r="O270" s="21">
        <f t="shared" si="8"/>
        <v>0</v>
      </c>
      <c r="P270" s="25" t="s">
        <v>7</v>
      </c>
      <c r="Q270" s="37"/>
      <c r="R270" s="38"/>
      <c r="S270" s="38"/>
      <c r="T270" s="41"/>
    </row>
    <row r="271" spans="2:20" x14ac:dyDescent="0.25">
      <c r="L271" s="2">
        <v>2.140625</v>
      </c>
      <c r="M271" s="23" t="s">
        <v>1108</v>
      </c>
      <c r="N271" s="23">
        <f>137/64</f>
        <v>2.140625</v>
      </c>
      <c r="O271" s="21">
        <f t="shared" si="8"/>
        <v>0</v>
      </c>
      <c r="P271" s="25" t="s">
        <v>7</v>
      </c>
      <c r="Q271" s="37"/>
      <c r="R271" s="38"/>
      <c r="S271" s="38"/>
      <c r="T271" s="41"/>
    </row>
    <row r="272" spans="2:20" x14ac:dyDescent="0.25">
      <c r="L272" s="2">
        <v>2.15625</v>
      </c>
      <c r="M272" s="23" t="s">
        <v>950</v>
      </c>
      <c r="N272" s="23">
        <f>69/32</f>
        <v>2.15625</v>
      </c>
      <c r="O272" s="21">
        <f t="shared" si="8"/>
        <v>0</v>
      </c>
      <c r="P272" s="25" t="s">
        <v>7</v>
      </c>
      <c r="Q272" s="37"/>
      <c r="R272" s="38"/>
      <c r="S272" s="38"/>
      <c r="T272" s="41"/>
    </row>
    <row r="273" spans="12:20" x14ac:dyDescent="0.25">
      <c r="L273" s="2">
        <v>2.171875</v>
      </c>
      <c r="M273" s="23" t="s">
        <v>1109</v>
      </c>
      <c r="N273" s="23">
        <f>139/64</f>
        <v>2.171875</v>
      </c>
      <c r="O273" s="21">
        <f t="shared" si="8"/>
        <v>0</v>
      </c>
      <c r="P273" s="25" t="s">
        <v>7</v>
      </c>
      <c r="Q273" s="37"/>
      <c r="R273" s="38"/>
      <c r="S273" s="38"/>
      <c r="T273" s="41"/>
    </row>
    <row r="274" spans="12:20" x14ac:dyDescent="0.25">
      <c r="L274" s="2">
        <v>2.1875</v>
      </c>
      <c r="M274" s="23" t="s">
        <v>807</v>
      </c>
      <c r="N274" s="23">
        <f>35/16</f>
        <v>2.1875</v>
      </c>
      <c r="O274" s="21">
        <f t="shared" si="8"/>
        <v>0</v>
      </c>
      <c r="P274" s="25" t="s">
        <v>7</v>
      </c>
      <c r="Q274" s="37"/>
      <c r="R274" s="38"/>
      <c r="S274" s="38"/>
      <c r="T274" s="41"/>
    </row>
    <row r="275" spans="12:20" x14ac:dyDescent="0.25">
      <c r="L275" s="2">
        <v>2.203125</v>
      </c>
      <c r="M275" s="23" t="s">
        <v>1110</v>
      </c>
      <c r="N275" s="23">
        <f>141/64</f>
        <v>2.203125</v>
      </c>
      <c r="O275" s="21">
        <f t="shared" si="8"/>
        <v>0</v>
      </c>
      <c r="P275" s="25" t="s">
        <v>7</v>
      </c>
      <c r="Q275" s="37"/>
      <c r="R275" s="38"/>
      <c r="S275" s="38"/>
      <c r="T275" s="41"/>
    </row>
    <row r="276" spans="12:20" x14ac:dyDescent="0.25">
      <c r="L276" s="2">
        <v>2.21875</v>
      </c>
      <c r="M276" s="23" t="s">
        <v>951</v>
      </c>
      <c r="N276" s="23">
        <f>71/32</f>
        <v>2.21875</v>
      </c>
      <c r="O276" s="21">
        <f t="shared" si="8"/>
        <v>0</v>
      </c>
      <c r="P276" s="25" t="s">
        <v>7</v>
      </c>
      <c r="Q276" s="37"/>
      <c r="R276" s="38"/>
      <c r="S276" s="38"/>
      <c r="T276" s="41"/>
    </row>
    <row r="277" spans="12:20" x14ac:dyDescent="0.25">
      <c r="L277" s="2">
        <v>2.234375</v>
      </c>
      <c r="M277" s="23" t="s">
        <v>1111</v>
      </c>
      <c r="N277" s="23">
        <f>143/64</f>
        <v>2.234375</v>
      </c>
      <c r="O277" s="21">
        <f t="shared" si="8"/>
        <v>0</v>
      </c>
      <c r="P277" s="25" t="s">
        <v>7</v>
      </c>
      <c r="Q277" s="37"/>
      <c r="R277" s="38"/>
      <c r="S277" s="38"/>
      <c r="T277" s="41"/>
    </row>
    <row r="278" spans="12:20" x14ac:dyDescent="0.25">
      <c r="L278" s="2">
        <v>2.25</v>
      </c>
      <c r="M278" s="23" t="s">
        <v>540</v>
      </c>
      <c r="N278" s="23">
        <f>9/4</f>
        <v>2.25</v>
      </c>
      <c r="O278" s="21">
        <f t="shared" si="8"/>
        <v>0</v>
      </c>
      <c r="P278" s="25" t="s">
        <v>7</v>
      </c>
      <c r="Q278" s="37"/>
      <c r="R278" s="38"/>
      <c r="S278" s="38"/>
      <c r="T278" s="41"/>
    </row>
    <row r="279" spans="12:20" x14ac:dyDescent="0.25">
      <c r="L279" s="2">
        <v>2.265625</v>
      </c>
      <c r="M279" s="23" t="s">
        <v>1112</v>
      </c>
      <c r="N279" s="23">
        <f>145/64</f>
        <v>2.265625</v>
      </c>
      <c r="O279" s="21">
        <f t="shared" si="8"/>
        <v>0</v>
      </c>
      <c r="P279" s="25" t="s">
        <v>7</v>
      </c>
      <c r="Q279" s="37"/>
      <c r="R279" s="38"/>
      <c r="S279" s="38"/>
      <c r="T279" s="41"/>
    </row>
    <row r="280" spans="12:20" x14ac:dyDescent="0.25">
      <c r="L280" s="2">
        <v>2.28125</v>
      </c>
      <c r="M280" s="23" t="s">
        <v>952</v>
      </c>
      <c r="N280" s="23">
        <f>73/32</f>
        <v>2.28125</v>
      </c>
      <c r="O280" s="21">
        <f t="shared" si="8"/>
        <v>0</v>
      </c>
      <c r="P280" s="25" t="s">
        <v>7</v>
      </c>
      <c r="Q280" s="37"/>
      <c r="R280" s="38"/>
      <c r="S280" s="38"/>
      <c r="T280" s="41"/>
    </row>
    <row r="281" spans="12:20" x14ac:dyDescent="0.25">
      <c r="L281" s="2">
        <v>2.296875</v>
      </c>
      <c r="M281" s="23" t="s">
        <v>1113</v>
      </c>
      <c r="N281" s="23">
        <f>147/64</f>
        <v>2.296875</v>
      </c>
      <c r="O281" s="21">
        <f t="shared" si="8"/>
        <v>0</v>
      </c>
      <c r="P281" s="25" t="s">
        <v>7</v>
      </c>
      <c r="Q281" s="37"/>
      <c r="R281" s="38"/>
      <c r="S281" s="38"/>
      <c r="T281" s="41"/>
    </row>
    <row r="282" spans="12:20" x14ac:dyDescent="0.25">
      <c r="L282" s="2">
        <v>2.3125</v>
      </c>
      <c r="M282" s="23" t="s">
        <v>808</v>
      </c>
      <c r="N282" s="23">
        <f>37/16</f>
        <v>2.3125</v>
      </c>
      <c r="O282" s="21">
        <f t="shared" si="8"/>
        <v>0</v>
      </c>
      <c r="P282" s="25" t="s">
        <v>7</v>
      </c>
      <c r="Q282" s="37"/>
      <c r="R282" s="38"/>
      <c r="S282" s="38"/>
      <c r="T282" s="41"/>
    </row>
    <row r="283" spans="12:20" x14ac:dyDescent="0.25">
      <c r="L283" s="2">
        <v>2.328125</v>
      </c>
      <c r="M283" s="23" t="s">
        <v>1114</v>
      </c>
      <c r="N283" s="23">
        <f>149/64</f>
        <v>2.328125</v>
      </c>
      <c r="O283" s="21">
        <f t="shared" si="8"/>
        <v>0</v>
      </c>
      <c r="P283" s="25" t="s">
        <v>7</v>
      </c>
      <c r="Q283" s="37"/>
      <c r="R283" s="38"/>
      <c r="S283" s="38"/>
      <c r="T283" s="41"/>
    </row>
    <row r="284" spans="12:20" x14ac:dyDescent="0.25">
      <c r="L284" s="2">
        <v>2.34375</v>
      </c>
      <c r="M284" s="23" t="s">
        <v>953</v>
      </c>
      <c r="N284" s="23">
        <f>75/32</f>
        <v>2.34375</v>
      </c>
      <c r="O284" s="21">
        <f t="shared" si="8"/>
        <v>0</v>
      </c>
      <c r="P284" s="25" t="s">
        <v>7</v>
      </c>
      <c r="Q284" s="37"/>
      <c r="R284" s="38"/>
      <c r="S284" s="38"/>
      <c r="T284" s="41"/>
    </row>
    <row r="285" spans="12:20" x14ac:dyDescent="0.25">
      <c r="L285" s="2">
        <v>2.359375</v>
      </c>
      <c r="M285" s="23" t="s">
        <v>1115</v>
      </c>
      <c r="N285" s="23">
        <f>151/64</f>
        <v>2.359375</v>
      </c>
      <c r="O285" s="21">
        <f t="shared" si="8"/>
        <v>0</v>
      </c>
      <c r="P285" s="25" t="s">
        <v>7</v>
      </c>
      <c r="Q285" s="37"/>
      <c r="R285" s="38"/>
      <c r="S285" s="38"/>
      <c r="T285" s="41"/>
    </row>
    <row r="286" spans="12:20" x14ac:dyDescent="0.25">
      <c r="L286" s="2">
        <v>2.375</v>
      </c>
      <c r="M286" s="23" t="s">
        <v>672</v>
      </c>
      <c r="N286" s="23">
        <f>19/8</f>
        <v>2.375</v>
      </c>
      <c r="O286" s="21">
        <f t="shared" si="8"/>
        <v>0</v>
      </c>
      <c r="P286" s="25" t="s">
        <v>7</v>
      </c>
      <c r="Q286" s="37"/>
      <c r="R286" s="38"/>
      <c r="S286" s="38"/>
      <c r="T286" s="41"/>
    </row>
    <row r="287" spans="12:20" x14ac:dyDescent="0.25">
      <c r="L287" s="2">
        <v>2.390625</v>
      </c>
      <c r="M287" s="23" t="s">
        <v>1116</v>
      </c>
      <c r="N287" s="23">
        <f>153/64</f>
        <v>2.390625</v>
      </c>
      <c r="O287" s="21">
        <f t="shared" si="8"/>
        <v>0</v>
      </c>
      <c r="P287" s="25" t="s">
        <v>7</v>
      </c>
      <c r="Q287" s="37"/>
      <c r="R287" s="38"/>
      <c r="S287" s="38"/>
      <c r="T287" s="41"/>
    </row>
    <row r="288" spans="12:20" x14ac:dyDescent="0.25">
      <c r="L288" s="2">
        <v>2.40625</v>
      </c>
      <c r="M288" s="23" t="s">
        <v>954</v>
      </c>
      <c r="N288" s="23">
        <f>77/32</f>
        <v>2.40625</v>
      </c>
      <c r="O288" s="21">
        <f t="shared" si="8"/>
        <v>0</v>
      </c>
      <c r="P288" s="25" t="s">
        <v>7</v>
      </c>
      <c r="Q288" s="37"/>
      <c r="R288" s="38"/>
      <c r="S288" s="38"/>
      <c r="T288" s="41"/>
    </row>
    <row r="289" spans="12:20" x14ac:dyDescent="0.25">
      <c r="L289" s="2">
        <v>2.421875</v>
      </c>
      <c r="M289" s="23" t="s">
        <v>1117</v>
      </c>
      <c r="N289" s="23">
        <f>155/64</f>
        <v>2.421875</v>
      </c>
      <c r="O289" s="21">
        <f t="shared" si="8"/>
        <v>0</v>
      </c>
      <c r="P289" s="25" t="s">
        <v>7</v>
      </c>
      <c r="Q289" s="37"/>
      <c r="R289" s="38"/>
      <c r="S289" s="38"/>
      <c r="T289" s="41"/>
    </row>
    <row r="290" spans="12:20" x14ac:dyDescent="0.25">
      <c r="L290" s="2">
        <v>2.4375</v>
      </c>
      <c r="M290" s="23" t="s">
        <v>809</v>
      </c>
      <c r="N290" s="23">
        <f>39/16</f>
        <v>2.4375</v>
      </c>
      <c r="O290" s="21">
        <f t="shared" si="8"/>
        <v>0</v>
      </c>
      <c r="P290" s="25" t="s">
        <v>7</v>
      </c>
      <c r="Q290" s="37"/>
      <c r="R290" s="38"/>
      <c r="S290" s="38"/>
      <c r="T290" s="41"/>
    </row>
    <row r="291" spans="12:20" x14ac:dyDescent="0.25">
      <c r="L291" s="2">
        <v>2.453125</v>
      </c>
      <c r="M291" s="23" t="s">
        <v>1118</v>
      </c>
      <c r="N291" s="23">
        <f>157/64</f>
        <v>2.453125</v>
      </c>
      <c r="O291" s="21">
        <f t="shared" si="8"/>
        <v>0</v>
      </c>
      <c r="P291" s="25" t="s">
        <v>7</v>
      </c>
      <c r="Q291" s="37"/>
      <c r="R291" s="38"/>
      <c r="S291" s="38"/>
      <c r="T291" s="41"/>
    </row>
    <row r="292" spans="12:20" x14ac:dyDescent="0.25">
      <c r="L292" s="2">
        <v>2.46875</v>
      </c>
      <c r="M292" s="23" t="s">
        <v>955</v>
      </c>
      <c r="N292" s="23">
        <f>79/32</f>
        <v>2.46875</v>
      </c>
      <c r="O292" s="21">
        <f t="shared" si="8"/>
        <v>0</v>
      </c>
      <c r="P292" s="25" t="s">
        <v>7</v>
      </c>
      <c r="Q292" s="37"/>
      <c r="R292" s="38"/>
      <c r="S292" s="38"/>
      <c r="T292" s="41"/>
    </row>
    <row r="293" spans="12:20" x14ac:dyDescent="0.25">
      <c r="L293" s="2">
        <v>2.484375</v>
      </c>
      <c r="M293" s="23" t="s">
        <v>1119</v>
      </c>
      <c r="N293" s="23">
        <f>159/64</f>
        <v>2.484375</v>
      </c>
      <c r="O293" s="21">
        <f t="shared" si="8"/>
        <v>0</v>
      </c>
      <c r="P293" s="25" t="s">
        <v>7</v>
      </c>
      <c r="Q293" s="37"/>
      <c r="R293" s="38"/>
      <c r="S293" s="38"/>
      <c r="T293" s="41"/>
    </row>
    <row r="294" spans="12:20" x14ac:dyDescent="0.25">
      <c r="L294" s="2">
        <v>2.5</v>
      </c>
      <c r="M294" s="23" t="s">
        <v>507</v>
      </c>
      <c r="N294" s="23">
        <f>5/2</f>
        <v>2.5</v>
      </c>
      <c r="O294" s="21">
        <f t="shared" si="8"/>
        <v>0</v>
      </c>
      <c r="P294" s="25" t="s">
        <v>7</v>
      </c>
      <c r="Q294" s="37"/>
      <c r="R294" s="38"/>
      <c r="S294" s="38"/>
      <c r="T294" s="41"/>
    </row>
    <row r="295" spans="12:20" x14ac:dyDescent="0.25">
      <c r="L295" s="2">
        <v>2.515625</v>
      </c>
      <c r="M295" s="23" t="s">
        <v>1120</v>
      </c>
      <c r="N295" s="23">
        <f>161/64</f>
        <v>2.515625</v>
      </c>
      <c r="O295" s="21">
        <f t="shared" si="8"/>
        <v>0</v>
      </c>
      <c r="P295" s="25" t="s">
        <v>7</v>
      </c>
      <c r="Q295" s="37"/>
      <c r="R295" s="38"/>
      <c r="S295" s="38"/>
      <c r="T295" s="41"/>
    </row>
    <row r="296" spans="12:20" x14ac:dyDescent="0.25">
      <c r="L296" s="2">
        <v>2.53125</v>
      </c>
      <c r="M296" s="23" t="s">
        <v>956</v>
      </c>
      <c r="N296" s="23">
        <f>81/32</f>
        <v>2.53125</v>
      </c>
      <c r="O296" s="21">
        <f t="shared" si="8"/>
        <v>0</v>
      </c>
      <c r="P296" s="25" t="s">
        <v>7</v>
      </c>
      <c r="Q296" s="37"/>
      <c r="R296" s="38"/>
      <c r="S296" s="38"/>
      <c r="T296" s="41"/>
    </row>
    <row r="297" spans="12:20" x14ac:dyDescent="0.25">
      <c r="L297" s="2">
        <v>2.546875</v>
      </c>
      <c r="M297" s="23" t="s">
        <v>1121</v>
      </c>
      <c r="N297" s="23">
        <f>163/64</f>
        <v>2.546875</v>
      </c>
      <c r="O297" s="21">
        <f t="shared" si="8"/>
        <v>0</v>
      </c>
      <c r="P297" s="25" t="s">
        <v>7</v>
      </c>
      <c r="Q297" s="37"/>
      <c r="R297" s="38"/>
      <c r="S297" s="38"/>
      <c r="T297" s="41"/>
    </row>
    <row r="298" spans="12:20" x14ac:dyDescent="0.25">
      <c r="L298" s="2">
        <v>2.5625</v>
      </c>
      <c r="M298" s="23" t="s">
        <v>810</v>
      </c>
      <c r="N298" s="23">
        <f>41/16</f>
        <v>2.5625</v>
      </c>
      <c r="O298" s="21">
        <f t="shared" si="8"/>
        <v>0</v>
      </c>
      <c r="P298" s="25" t="s">
        <v>7</v>
      </c>
      <c r="Q298" s="37"/>
      <c r="R298" s="38"/>
      <c r="S298" s="38"/>
      <c r="T298" s="41"/>
    </row>
    <row r="299" spans="12:20" x14ac:dyDescent="0.25">
      <c r="L299" s="2">
        <v>2.578125</v>
      </c>
      <c r="M299" s="23" t="s">
        <v>1122</v>
      </c>
      <c r="N299" s="23">
        <f>165/64</f>
        <v>2.578125</v>
      </c>
      <c r="O299" s="21">
        <f t="shared" si="8"/>
        <v>0</v>
      </c>
      <c r="P299" s="25" t="s">
        <v>7</v>
      </c>
      <c r="Q299" s="37"/>
      <c r="R299" s="38"/>
      <c r="S299" s="38"/>
      <c r="T299" s="41"/>
    </row>
    <row r="300" spans="12:20" x14ac:dyDescent="0.25">
      <c r="L300" s="2">
        <v>2.59375</v>
      </c>
      <c r="M300" s="23" t="s">
        <v>957</v>
      </c>
      <c r="N300" s="23">
        <f>83/32</f>
        <v>2.59375</v>
      </c>
      <c r="O300" s="21">
        <f t="shared" si="8"/>
        <v>0</v>
      </c>
      <c r="P300" s="25" t="s">
        <v>7</v>
      </c>
      <c r="Q300" s="37"/>
      <c r="R300" s="38"/>
      <c r="S300" s="38"/>
      <c r="T300" s="41"/>
    </row>
    <row r="301" spans="12:20" x14ac:dyDescent="0.25">
      <c r="L301" s="2">
        <v>2.609375</v>
      </c>
      <c r="M301" s="23" t="s">
        <v>1123</v>
      </c>
      <c r="N301" s="23">
        <f>167/64</f>
        <v>2.609375</v>
      </c>
      <c r="O301" s="21">
        <f t="shared" si="8"/>
        <v>0</v>
      </c>
      <c r="P301" s="25" t="s">
        <v>7</v>
      </c>
      <c r="Q301" s="37"/>
      <c r="R301" s="38"/>
      <c r="S301" s="38"/>
      <c r="T301" s="41"/>
    </row>
    <row r="302" spans="12:20" x14ac:dyDescent="0.25">
      <c r="L302" s="2">
        <v>2.625</v>
      </c>
      <c r="M302" s="23" t="s">
        <v>673</v>
      </c>
      <c r="N302" s="23">
        <f>21/8</f>
        <v>2.625</v>
      </c>
      <c r="O302" s="21">
        <f t="shared" si="8"/>
        <v>0</v>
      </c>
      <c r="P302" s="25" t="s">
        <v>7</v>
      </c>
      <c r="Q302" s="37"/>
      <c r="R302" s="38"/>
      <c r="S302" s="38"/>
      <c r="T302" s="41"/>
    </row>
    <row r="303" spans="12:20" x14ac:dyDescent="0.25">
      <c r="L303" s="2">
        <v>2.640625</v>
      </c>
      <c r="M303" s="23" t="s">
        <v>1124</v>
      </c>
      <c r="N303" s="23">
        <f>169/64</f>
        <v>2.640625</v>
      </c>
      <c r="O303" s="21">
        <f t="shared" si="8"/>
        <v>0</v>
      </c>
      <c r="P303" s="25" t="s">
        <v>7</v>
      </c>
      <c r="Q303" s="37"/>
      <c r="R303" s="38"/>
      <c r="S303" s="38"/>
      <c r="T303" s="41"/>
    </row>
    <row r="304" spans="12:20" x14ac:dyDescent="0.25">
      <c r="L304" s="2">
        <v>2.65625</v>
      </c>
      <c r="M304" s="23" t="s">
        <v>958</v>
      </c>
      <c r="N304" s="23">
        <f>85/32</f>
        <v>2.65625</v>
      </c>
      <c r="O304" s="21">
        <f t="shared" si="8"/>
        <v>0</v>
      </c>
      <c r="P304" s="25" t="s">
        <v>7</v>
      </c>
      <c r="Q304" s="37"/>
      <c r="R304" s="38"/>
      <c r="S304" s="38"/>
      <c r="T304" s="41"/>
    </row>
    <row r="305" spans="12:20" x14ac:dyDescent="0.25">
      <c r="L305" s="2">
        <v>2.671875</v>
      </c>
      <c r="M305" s="23" t="s">
        <v>1125</v>
      </c>
      <c r="N305" s="23">
        <f>171/64</f>
        <v>2.671875</v>
      </c>
      <c r="O305" s="21">
        <f t="shared" si="8"/>
        <v>0</v>
      </c>
      <c r="P305" s="25" t="s">
        <v>7</v>
      </c>
      <c r="Q305" s="37"/>
      <c r="R305" s="38"/>
      <c r="S305" s="38"/>
      <c r="T305" s="41"/>
    </row>
    <row r="306" spans="12:20" x14ac:dyDescent="0.25">
      <c r="L306" s="2">
        <v>2.6875</v>
      </c>
      <c r="M306" s="23" t="s">
        <v>811</v>
      </c>
      <c r="N306" s="23">
        <f>43/16</f>
        <v>2.6875</v>
      </c>
      <c r="O306" s="21">
        <f t="shared" si="8"/>
        <v>0</v>
      </c>
      <c r="P306" s="25" t="s">
        <v>7</v>
      </c>
      <c r="Q306" s="37"/>
      <c r="R306" s="38"/>
      <c r="S306" s="38"/>
      <c r="T306" s="41"/>
    </row>
    <row r="307" spans="12:20" x14ac:dyDescent="0.25">
      <c r="L307" s="2">
        <v>2.703125</v>
      </c>
      <c r="M307" s="23" t="s">
        <v>1126</v>
      </c>
      <c r="N307" s="23">
        <f>173/64</f>
        <v>2.703125</v>
      </c>
      <c r="O307" s="21">
        <f t="shared" si="8"/>
        <v>0</v>
      </c>
      <c r="P307" s="25" t="s">
        <v>7</v>
      </c>
      <c r="Q307" s="37"/>
      <c r="R307" s="38"/>
      <c r="S307" s="38"/>
      <c r="T307" s="41"/>
    </row>
    <row r="308" spans="12:20" x14ac:dyDescent="0.25">
      <c r="L308" s="2">
        <v>2.71875</v>
      </c>
      <c r="M308" s="23" t="s">
        <v>959</v>
      </c>
      <c r="N308" s="23">
        <f>87/32</f>
        <v>2.71875</v>
      </c>
      <c r="O308" s="21">
        <f t="shared" si="8"/>
        <v>0</v>
      </c>
      <c r="P308" s="25" t="s">
        <v>7</v>
      </c>
      <c r="Q308" s="37"/>
      <c r="R308" s="38"/>
      <c r="S308" s="38"/>
      <c r="T308" s="41"/>
    </row>
    <row r="309" spans="12:20" x14ac:dyDescent="0.25">
      <c r="L309" s="2">
        <v>2.734375</v>
      </c>
      <c r="M309" s="23" t="s">
        <v>1127</v>
      </c>
      <c r="N309" s="23">
        <f>175/64</f>
        <v>2.734375</v>
      </c>
      <c r="O309" s="21">
        <f t="shared" si="8"/>
        <v>0</v>
      </c>
      <c r="P309" s="25" t="s">
        <v>7</v>
      </c>
      <c r="Q309" s="37"/>
      <c r="R309" s="38"/>
      <c r="S309" s="38"/>
      <c r="T309" s="41"/>
    </row>
    <row r="310" spans="12:20" x14ac:dyDescent="0.25">
      <c r="L310" s="2">
        <v>2.75</v>
      </c>
      <c r="M310" s="23" t="s">
        <v>541</v>
      </c>
      <c r="N310" s="23">
        <f>11/4</f>
        <v>2.75</v>
      </c>
      <c r="O310" s="21">
        <f t="shared" si="8"/>
        <v>0</v>
      </c>
      <c r="P310" s="25" t="s">
        <v>7</v>
      </c>
      <c r="Q310" s="37"/>
      <c r="R310" s="38"/>
      <c r="S310" s="38"/>
      <c r="T310" s="41"/>
    </row>
    <row r="311" spans="12:20" x14ac:dyDescent="0.25">
      <c r="L311" s="2">
        <v>2.765625</v>
      </c>
      <c r="M311" s="23" t="s">
        <v>1128</v>
      </c>
      <c r="N311" s="23">
        <f>177/64</f>
        <v>2.765625</v>
      </c>
      <c r="O311" s="21">
        <f t="shared" si="8"/>
        <v>0</v>
      </c>
      <c r="P311" s="25" t="s">
        <v>7</v>
      </c>
      <c r="Q311" s="37"/>
      <c r="R311" s="38"/>
      <c r="S311" s="38"/>
      <c r="T311" s="41"/>
    </row>
    <row r="312" spans="12:20" x14ac:dyDescent="0.25">
      <c r="L312" s="2">
        <v>2.78125</v>
      </c>
      <c r="M312" s="23" t="s">
        <v>960</v>
      </c>
      <c r="N312" s="23">
        <f>89/32</f>
        <v>2.78125</v>
      </c>
      <c r="O312" s="21">
        <f t="shared" si="8"/>
        <v>0</v>
      </c>
      <c r="P312" s="25" t="s">
        <v>7</v>
      </c>
      <c r="Q312" s="37"/>
      <c r="R312" s="38"/>
      <c r="S312" s="38"/>
      <c r="T312" s="41"/>
    </row>
    <row r="313" spans="12:20" x14ac:dyDescent="0.25">
      <c r="L313" s="2">
        <v>2.796875</v>
      </c>
      <c r="M313" s="23" t="s">
        <v>1129</v>
      </c>
      <c r="N313" s="23">
        <f>179/64</f>
        <v>2.796875</v>
      </c>
      <c r="O313" s="21">
        <f t="shared" si="8"/>
        <v>0</v>
      </c>
      <c r="P313" s="25" t="s">
        <v>7</v>
      </c>
      <c r="Q313" s="37"/>
      <c r="R313" s="38"/>
      <c r="S313" s="38"/>
      <c r="T313" s="41"/>
    </row>
    <row r="314" spans="12:20" x14ac:dyDescent="0.25">
      <c r="L314" s="2">
        <v>2.8125</v>
      </c>
      <c r="M314" s="23" t="s">
        <v>812</v>
      </c>
      <c r="N314" s="23">
        <f>45/16</f>
        <v>2.8125</v>
      </c>
      <c r="O314" s="21">
        <f t="shared" si="8"/>
        <v>0</v>
      </c>
      <c r="P314" s="25" t="s">
        <v>7</v>
      </c>
      <c r="Q314" s="37"/>
      <c r="R314" s="38"/>
      <c r="S314" s="38"/>
      <c r="T314" s="41"/>
    </row>
    <row r="315" spans="12:20" x14ac:dyDescent="0.25">
      <c r="L315" s="2">
        <v>2.828125</v>
      </c>
      <c r="M315" s="23" t="s">
        <v>1130</v>
      </c>
      <c r="N315" s="23">
        <f>181/64</f>
        <v>2.828125</v>
      </c>
      <c r="O315" s="21">
        <f t="shared" si="8"/>
        <v>0</v>
      </c>
      <c r="P315" s="25" t="s">
        <v>7</v>
      </c>
      <c r="Q315" s="37"/>
      <c r="R315" s="38"/>
      <c r="S315" s="38"/>
      <c r="T315" s="41"/>
    </row>
    <row r="316" spans="12:20" x14ac:dyDescent="0.25">
      <c r="L316" s="2">
        <v>2.84375</v>
      </c>
      <c r="M316" s="23" t="s">
        <v>961</v>
      </c>
      <c r="N316" s="23">
        <f>91/32</f>
        <v>2.84375</v>
      </c>
      <c r="O316" s="21">
        <f t="shared" si="8"/>
        <v>0</v>
      </c>
      <c r="P316" s="25" t="s">
        <v>7</v>
      </c>
      <c r="Q316" s="37"/>
      <c r="R316" s="38"/>
      <c r="S316" s="38"/>
      <c r="T316" s="41"/>
    </row>
    <row r="317" spans="12:20" x14ac:dyDescent="0.25">
      <c r="L317" s="2">
        <v>2.859375</v>
      </c>
      <c r="M317" s="23" t="s">
        <v>1131</v>
      </c>
      <c r="N317" s="23">
        <f>183/64</f>
        <v>2.859375</v>
      </c>
      <c r="O317" s="21">
        <f t="shared" si="8"/>
        <v>0</v>
      </c>
      <c r="P317" s="25" t="s">
        <v>7</v>
      </c>
      <c r="Q317" s="37"/>
      <c r="R317" s="38"/>
      <c r="S317" s="38"/>
      <c r="T317" s="41"/>
    </row>
    <row r="318" spans="12:20" x14ac:dyDescent="0.25">
      <c r="L318" s="2">
        <v>2.875</v>
      </c>
      <c r="M318" s="23" t="s">
        <v>674</v>
      </c>
      <c r="N318" s="23">
        <f>23/8</f>
        <v>2.875</v>
      </c>
      <c r="O318" s="21">
        <f t="shared" si="8"/>
        <v>0</v>
      </c>
      <c r="P318" s="25" t="s">
        <v>7</v>
      </c>
      <c r="Q318" s="37"/>
      <c r="R318" s="38"/>
      <c r="S318" s="38"/>
      <c r="T318" s="41"/>
    </row>
    <row r="319" spans="12:20" x14ac:dyDescent="0.25">
      <c r="L319" s="2">
        <v>2.890625</v>
      </c>
      <c r="M319" s="23" t="s">
        <v>1132</v>
      </c>
      <c r="N319" s="23">
        <f>185/64</f>
        <v>2.890625</v>
      </c>
      <c r="O319" s="21">
        <f t="shared" si="8"/>
        <v>0</v>
      </c>
      <c r="P319" s="25" t="s">
        <v>7</v>
      </c>
      <c r="Q319" s="37"/>
      <c r="R319" s="38"/>
      <c r="S319" s="38"/>
      <c r="T319" s="41"/>
    </row>
    <row r="320" spans="12:20" x14ac:dyDescent="0.25">
      <c r="L320" s="2">
        <v>2.90625</v>
      </c>
      <c r="M320" s="23" t="s">
        <v>962</v>
      </c>
      <c r="N320" s="23">
        <f>93/32</f>
        <v>2.90625</v>
      </c>
      <c r="O320" s="21">
        <f t="shared" si="8"/>
        <v>0</v>
      </c>
      <c r="P320" s="25" t="s">
        <v>7</v>
      </c>
      <c r="Q320" s="37"/>
      <c r="R320" s="38"/>
      <c r="S320" s="38"/>
      <c r="T320" s="41"/>
    </row>
    <row r="321" spans="12:20" x14ac:dyDescent="0.25">
      <c r="L321" s="2">
        <v>2.921875</v>
      </c>
      <c r="M321" s="23" t="s">
        <v>1133</v>
      </c>
      <c r="N321" s="23">
        <f>187/64</f>
        <v>2.921875</v>
      </c>
      <c r="O321" s="21">
        <f t="shared" si="8"/>
        <v>0</v>
      </c>
      <c r="P321" s="25" t="s">
        <v>7</v>
      </c>
      <c r="Q321" s="37"/>
      <c r="R321" s="38"/>
      <c r="S321" s="38"/>
      <c r="T321" s="41"/>
    </row>
    <row r="322" spans="12:20" x14ac:dyDescent="0.25">
      <c r="L322" s="2">
        <v>2.9375</v>
      </c>
      <c r="M322" s="23" t="s">
        <v>813</v>
      </c>
      <c r="N322" s="23">
        <f>47/16</f>
        <v>2.9375</v>
      </c>
      <c r="O322" s="21">
        <f t="shared" si="8"/>
        <v>0</v>
      </c>
      <c r="P322" s="25" t="s">
        <v>7</v>
      </c>
      <c r="Q322" s="37"/>
      <c r="R322" s="38"/>
      <c r="S322" s="38"/>
      <c r="T322" s="41"/>
    </row>
    <row r="323" spans="12:20" x14ac:dyDescent="0.25">
      <c r="L323" s="2">
        <v>2.953125</v>
      </c>
      <c r="M323" s="23" t="s">
        <v>1134</v>
      </c>
      <c r="N323" s="23">
        <f>189/64</f>
        <v>2.953125</v>
      </c>
      <c r="O323" s="21">
        <f t="shared" si="8"/>
        <v>0</v>
      </c>
      <c r="P323" s="25" t="s">
        <v>7</v>
      </c>
      <c r="Q323" s="37"/>
      <c r="R323" s="38"/>
      <c r="S323" s="38"/>
      <c r="T323" s="41"/>
    </row>
    <row r="324" spans="12:20" x14ac:dyDescent="0.25">
      <c r="L324" s="2">
        <v>2.96875</v>
      </c>
      <c r="M324" s="23" t="s">
        <v>963</v>
      </c>
      <c r="N324" s="23">
        <f>95/32</f>
        <v>2.96875</v>
      </c>
      <c r="O324" s="21">
        <f t="shared" si="8"/>
        <v>0</v>
      </c>
      <c r="P324" s="25" t="s">
        <v>7</v>
      </c>
      <c r="Q324" s="37"/>
      <c r="R324" s="38"/>
      <c r="S324" s="38"/>
      <c r="T324" s="41"/>
    </row>
    <row r="325" spans="12:20" x14ac:dyDescent="0.25">
      <c r="L325" s="2">
        <v>2.984375</v>
      </c>
      <c r="M325" s="23" t="s">
        <v>1135</v>
      </c>
      <c r="N325" s="23">
        <f>191/64</f>
        <v>2.984375</v>
      </c>
      <c r="O325" s="21">
        <f t="shared" si="8"/>
        <v>0</v>
      </c>
      <c r="P325" s="25" t="s">
        <v>7</v>
      </c>
      <c r="Q325" s="37"/>
      <c r="R325" s="38"/>
      <c r="S325" s="38"/>
      <c r="T325" s="41"/>
    </row>
    <row r="326" spans="12:20" x14ac:dyDescent="0.25">
      <c r="L326" s="2">
        <v>3</v>
      </c>
      <c r="M326" s="23" t="s">
        <v>296</v>
      </c>
      <c r="N326" s="23">
        <f>3/1</f>
        <v>3</v>
      </c>
      <c r="O326" s="21">
        <f t="shared" si="8"/>
        <v>0</v>
      </c>
      <c r="P326" s="25" t="s">
        <v>7</v>
      </c>
      <c r="Q326" s="37"/>
      <c r="R326" s="38"/>
      <c r="S326" s="38"/>
      <c r="T326" s="41"/>
    </row>
    <row r="327" spans="12:20" x14ac:dyDescent="0.25">
      <c r="L327" s="2">
        <v>3.015625</v>
      </c>
      <c r="M327" s="23" t="s">
        <v>1136</v>
      </c>
      <c r="N327" s="23">
        <f>193/64</f>
        <v>3.015625</v>
      </c>
      <c r="O327" s="21">
        <f t="shared" ref="O327:O390" si="9">ABS(L327-N327)</f>
        <v>0</v>
      </c>
      <c r="P327" s="25" t="s">
        <v>7</v>
      </c>
      <c r="Q327" s="37"/>
      <c r="R327" s="38"/>
      <c r="S327" s="38"/>
      <c r="T327" s="41"/>
    </row>
    <row r="328" spans="12:20" x14ac:dyDescent="0.25">
      <c r="L328" s="2">
        <v>3.03125</v>
      </c>
      <c r="M328" s="23" t="s">
        <v>964</v>
      </c>
      <c r="N328" s="23">
        <f>97/32</f>
        <v>3.03125</v>
      </c>
      <c r="O328" s="21">
        <f t="shared" si="9"/>
        <v>0</v>
      </c>
      <c r="P328" s="25" t="s">
        <v>7</v>
      </c>
      <c r="Q328" s="37"/>
      <c r="R328" s="38"/>
      <c r="S328" s="38"/>
      <c r="T328" s="41"/>
    </row>
    <row r="329" spans="12:20" x14ac:dyDescent="0.25">
      <c r="L329" s="2">
        <v>3.046875</v>
      </c>
      <c r="M329" s="23" t="s">
        <v>1137</v>
      </c>
      <c r="N329" s="23">
        <f>195/64</f>
        <v>3.046875</v>
      </c>
      <c r="O329" s="21">
        <f t="shared" si="9"/>
        <v>0</v>
      </c>
      <c r="P329" s="25" t="s">
        <v>7</v>
      </c>
      <c r="Q329" s="37"/>
      <c r="R329" s="38"/>
      <c r="S329" s="38"/>
      <c r="T329" s="41"/>
    </row>
    <row r="330" spans="12:20" x14ac:dyDescent="0.25">
      <c r="L330" s="2">
        <v>3.0625</v>
      </c>
      <c r="M330" s="23" t="s">
        <v>814</v>
      </c>
      <c r="N330" s="23">
        <f>49/16</f>
        <v>3.0625</v>
      </c>
      <c r="O330" s="21">
        <f t="shared" si="9"/>
        <v>0</v>
      </c>
      <c r="P330" s="25" t="s">
        <v>7</v>
      </c>
      <c r="Q330" s="37"/>
      <c r="R330" s="38"/>
      <c r="S330" s="38"/>
      <c r="T330" s="41"/>
    </row>
    <row r="331" spans="12:20" x14ac:dyDescent="0.25">
      <c r="L331" s="2">
        <v>3.078125</v>
      </c>
      <c r="M331" s="23" t="s">
        <v>1138</v>
      </c>
      <c r="N331" s="23">
        <f>197/64</f>
        <v>3.078125</v>
      </c>
      <c r="O331" s="21">
        <f t="shared" si="9"/>
        <v>0</v>
      </c>
      <c r="P331" s="25" t="s">
        <v>7</v>
      </c>
      <c r="Q331" s="37"/>
      <c r="R331" s="38"/>
      <c r="S331" s="38"/>
      <c r="T331" s="41"/>
    </row>
    <row r="332" spans="12:20" x14ac:dyDescent="0.25">
      <c r="L332" s="2">
        <v>3.09375</v>
      </c>
      <c r="M332" s="23" t="s">
        <v>965</v>
      </c>
      <c r="N332" s="23">
        <f>99/32</f>
        <v>3.09375</v>
      </c>
      <c r="O332" s="21">
        <f t="shared" si="9"/>
        <v>0</v>
      </c>
      <c r="P332" s="25" t="s">
        <v>7</v>
      </c>
      <c r="Q332" s="37"/>
      <c r="R332" s="38"/>
      <c r="S332" s="38"/>
      <c r="T332" s="41"/>
    </row>
    <row r="333" spans="12:20" x14ac:dyDescent="0.25">
      <c r="L333" s="2">
        <v>3.109375</v>
      </c>
      <c r="M333" s="23" t="s">
        <v>1139</v>
      </c>
      <c r="N333" s="23">
        <f>199/64</f>
        <v>3.109375</v>
      </c>
      <c r="O333" s="21">
        <f t="shared" si="9"/>
        <v>0</v>
      </c>
      <c r="P333" s="25" t="s">
        <v>7</v>
      </c>
      <c r="Q333" s="37"/>
      <c r="R333" s="38"/>
      <c r="S333" s="38"/>
      <c r="T333" s="41"/>
    </row>
    <row r="334" spans="12:20" x14ac:dyDescent="0.25">
      <c r="L334" s="2">
        <v>3.125</v>
      </c>
      <c r="M334" s="23" t="s">
        <v>675</v>
      </c>
      <c r="N334" s="23">
        <f>25/8</f>
        <v>3.125</v>
      </c>
      <c r="O334" s="21">
        <f t="shared" si="9"/>
        <v>0</v>
      </c>
      <c r="P334" s="25" t="s">
        <v>7</v>
      </c>
      <c r="Q334" s="37"/>
      <c r="R334" s="38"/>
      <c r="S334" s="38"/>
      <c r="T334" s="41"/>
    </row>
    <row r="335" spans="12:20" x14ac:dyDescent="0.25">
      <c r="L335" s="2">
        <v>3.140625</v>
      </c>
      <c r="M335" s="23" t="s">
        <v>1140</v>
      </c>
      <c r="N335" s="23">
        <f>201/64</f>
        <v>3.140625</v>
      </c>
      <c r="O335" s="21">
        <f t="shared" si="9"/>
        <v>0</v>
      </c>
      <c r="P335" s="25" t="s">
        <v>7</v>
      </c>
      <c r="Q335" s="37"/>
      <c r="R335" s="38"/>
      <c r="S335" s="38"/>
      <c r="T335" s="41"/>
    </row>
    <row r="336" spans="12:20" x14ac:dyDescent="0.25">
      <c r="L336" s="2">
        <v>3.15625</v>
      </c>
      <c r="M336" s="23" t="s">
        <v>966</v>
      </c>
      <c r="N336" s="23">
        <f>101/32</f>
        <v>3.15625</v>
      </c>
      <c r="O336" s="21">
        <f t="shared" si="9"/>
        <v>0</v>
      </c>
      <c r="P336" s="25" t="s">
        <v>7</v>
      </c>
      <c r="Q336" s="37"/>
      <c r="R336" s="38"/>
      <c r="S336" s="38"/>
      <c r="T336" s="41"/>
    </row>
    <row r="337" spans="12:20" x14ac:dyDescent="0.25">
      <c r="L337" s="2">
        <v>3.171875</v>
      </c>
      <c r="M337" s="23" t="s">
        <v>1141</v>
      </c>
      <c r="N337" s="23">
        <f>203/64</f>
        <v>3.171875</v>
      </c>
      <c r="O337" s="21">
        <f t="shared" si="9"/>
        <v>0</v>
      </c>
      <c r="P337" s="25" t="s">
        <v>7</v>
      </c>
      <c r="Q337" s="37"/>
      <c r="R337" s="38"/>
      <c r="S337" s="38"/>
      <c r="T337" s="41"/>
    </row>
    <row r="338" spans="12:20" x14ac:dyDescent="0.25">
      <c r="L338" s="2">
        <v>3.1875</v>
      </c>
      <c r="M338" s="23" t="s">
        <v>815</v>
      </c>
      <c r="N338" s="23">
        <f>51/16</f>
        <v>3.1875</v>
      </c>
      <c r="O338" s="21">
        <f t="shared" si="9"/>
        <v>0</v>
      </c>
      <c r="P338" s="25" t="s">
        <v>7</v>
      </c>
      <c r="Q338" s="37"/>
      <c r="R338" s="38"/>
      <c r="S338" s="38"/>
      <c r="T338" s="41"/>
    </row>
    <row r="339" spans="12:20" x14ac:dyDescent="0.25">
      <c r="L339" s="2">
        <v>3.203125</v>
      </c>
      <c r="M339" s="23" t="s">
        <v>1142</v>
      </c>
      <c r="N339" s="23">
        <f>205/64</f>
        <v>3.203125</v>
      </c>
      <c r="O339" s="21">
        <f t="shared" si="9"/>
        <v>0</v>
      </c>
      <c r="P339" s="25" t="s">
        <v>7</v>
      </c>
      <c r="Q339" s="37"/>
      <c r="R339" s="38"/>
      <c r="S339" s="38"/>
      <c r="T339" s="41"/>
    </row>
    <row r="340" spans="12:20" x14ac:dyDescent="0.25">
      <c r="L340" s="2">
        <v>3.21875</v>
      </c>
      <c r="M340" s="23" t="s">
        <v>967</v>
      </c>
      <c r="N340" s="23">
        <f>103/32</f>
        <v>3.21875</v>
      </c>
      <c r="O340" s="21">
        <f t="shared" si="9"/>
        <v>0</v>
      </c>
      <c r="P340" s="25" t="s">
        <v>7</v>
      </c>
      <c r="Q340" s="37"/>
      <c r="R340" s="38"/>
      <c r="S340" s="38"/>
      <c r="T340" s="41"/>
    </row>
    <row r="341" spans="12:20" x14ac:dyDescent="0.25">
      <c r="L341" s="2">
        <v>3.234375</v>
      </c>
      <c r="M341" s="23" t="s">
        <v>1143</v>
      </c>
      <c r="N341" s="23">
        <f>207/64</f>
        <v>3.234375</v>
      </c>
      <c r="O341" s="21">
        <f t="shared" si="9"/>
        <v>0</v>
      </c>
      <c r="P341" s="25" t="s">
        <v>7</v>
      </c>
      <c r="Q341" s="37"/>
      <c r="R341" s="38"/>
      <c r="S341" s="38"/>
      <c r="T341" s="41"/>
    </row>
    <row r="342" spans="12:20" x14ac:dyDescent="0.25">
      <c r="L342" s="2">
        <v>3.25</v>
      </c>
      <c r="M342" s="23" t="s">
        <v>542</v>
      </c>
      <c r="N342" s="23">
        <f>13/4</f>
        <v>3.25</v>
      </c>
      <c r="O342" s="21">
        <f t="shared" si="9"/>
        <v>0</v>
      </c>
      <c r="P342" s="25" t="s">
        <v>7</v>
      </c>
      <c r="Q342" s="37"/>
      <c r="R342" s="38"/>
      <c r="S342" s="38"/>
      <c r="T342" s="41"/>
    </row>
    <row r="343" spans="12:20" x14ac:dyDescent="0.25">
      <c r="L343" s="2">
        <v>3.265625</v>
      </c>
      <c r="M343" s="23" t="s">
        <v>1144</v>
      </c>
      <c r="N343" s="23">
        <f>209/64</f>
        <v>3.265625</v>
      </c>
      <c r="O343" s="21">
        <f t="shared" si="9"/>
        <v>0</v>
      </c>
      <c r="P343" s="25" t="s">
        <v>7</v>
      </c>
      <c r="Q343" s="37"/>
      <c r="R343" s="38"/>
      <c r="S343" s="38"/>
      <c r="T343" s="41"/>
    </row>
    <row r="344" spans="12:20" x14ac:dyDescent="0.25">
      <c r="L344" s="2">
        <v>3.28125</v>
      </c>
      <c r="M344" s="23" t="s">
        <v>968</v>
      </c>
      <c r="N344" s="23">
        <f>105/32</f>
        <v>3.28125</v>
      </c>
      <c r="O344" s="21">
        <f t="shared" si="9"/>
        <v>0</v>
      </c>
      <c r="P344" s="25" t="s">
        <v>7</v>
      </c>
      <c r="Q344" s="37"/>
      <c r="R344" s="38"/>
      <c r="S344" s="38"/>
      <c r="T344" s="41"/>
    </row>
    <row r="345" spans="12:20" x14ac:dyDescent="0.25">
      <c r="L345" s="2">
        <v>3.296875</v>
      </c>
      <c r="M345" s="23" t="s">
        <v>1145</v>
      </c>
      <c r="N345" s="23">
        <f>211/64</f>
        <v>3.296875</v>
      </c>
      <c r="O345" s="21">
        <f t="shared" si="9"/>
        <v>0</v>
      </c>
      <c r="P345" s="25" t="s">
        <v>7</v>
      </c>
      <c r="Q345" s="37"/>
      <c r="R345" s="38"/>
      <c r="S345" s="38"/>
      <c r="T345" s="41"/>
    </row>
    <row r="346" spans="12:20" x14ac:dyDescent="0.25">
      <c r="L346" s="2">
        <v>3.3125</v>
      </c>
      <c r="M346" s="23" t="s">
        <v>816</v>
      </c>
      <c r="N346" s="23">
        <f>53/16</f>
        <v>3.3125</v>
      </c>
      <c r="O346" s="21">
        <f t="shared" si="9"/>
        <v>0</v>
      </c>
      <c r="P346" s="25" t="s">
        <v>7</v>
      </c>
      <c r="Q346" s="37"/>
      <c r="R346" s="38"/>
      <c r="S346" s="38"/>
      <c r="T346" s="41"/>
    </row>
    <row r="347" spans="12:20" x14ac:dyDescent="0.25">
      <c r="L347" s="2">
        <v>3.328125</v>
      </c>
      <c r="M347" s="23" t="s">
        <v>1146</v>
      </c>
      <c r="N347" s="23">
        <f>213/64</f>
        <v>3.328125</v>
      </c>
      <c r="O347" s="21">
        <f t="shared" si="9"/>
        <v>0</v>
      </c>
      <c r="P347" s="25" t="s">
        <v>7</v>
      </c>
      <c r="Q347" s="37"/>
      <c r="R347" s="38"/>
      <c r="S347" s="38"/>
      <c r="T347" s="41"/>
    </row>
    <row r="348" spans="12:20" x14ac:dyDescent="0.25">
      <c r="L348" s="2">
        <v>3.34375</v>
      </c>
      <c r="M348" s="23" t="s">
        <v>969</v>
      </c>
      <c r="N348" s="23">
        <f>107/32</f>
        <v>3.34375</v>
      </c>
      <c r="O348" s="21">
        <f t="shared" si="9"/>
        <v>0</v>
      </c>
      <c r="P348" s="25" t="s">
        <v>7</v>
      </c>
      <c r="Q348" s="37"/>
      <c r="R348" s="38"/>
      <c r="S348" s="38"/>
      <c r="T348" s="41"/>
    </row>
    <row r="349" spans="12:20" x14ac:dyDescent="0.25">
      <c r="L349" s="2">
        <v>3.359375</v>
      </c>
      <c r="M349" s="23" t="s">
        <v>1147</v>
      </c>
      <c r="N349" s="23">
        <f>215/64</f>
        <v>3.359375</v>
      </c>
      <c r="O349" s="21">
        <f t="shared" si="9"/>
        <v>0</v>
      </c>
      <c r="P349" s="25" t="s">
        <v>7</v>
      </c>
      <c r="Q349" s="37"/>
      <c r="R349" s="38"/>
      <c r="S349" s="38"/>
      <c r="T349" s="41"/>
    </row>
    <row r="350" spans="12:20" x14ac:dyDescent="0.25">
      <c r="L350" s="2">
        <v>3.375</v>
      </c>
      <c r="M350" s="23" t="s">
        <v>676</v>
      </c>
      <c r="N350" s="23">
        <f>27/8</f>
        <v>3.375</v>
      </c>
      <c r="O350" s="21">
        <f t="shared" si="9"/>
        <v>0</v>
      </c>
      <c r="P350" s="25" t="s">
        <v>7</v>
      </c>
      <c r="Q350" s="37"/>
      <c r="R350" s="38"/>
      <c r="S350" s="38"/>
      <c r="T350" s="41"/>
    </row>
    <row r="351" spans="12:20" x14ac:dyDescent="0.25">
      <c r="L351" s="2">
        <v>3.390625</v>
      </c>
      <c r="M351" s="23" t="s">
        <v>1148</v>
      </c>
      <c r="N351" s="23">
        <f>217/64</f>
        <v>3.390625</v>
      </c>
      <c r="O351" s="21">
        <f t="shared" si="9"/>
        <v>0</v>
      </c>
      <c r="P351" s="25" t="s">
        <v>7</v>
      </c>
      <c r="Q351" s="37"/>
      <c r="R351" s="38"/>
      <c r="S351" s="38"/>
      <c r="T351" s="41"/>
    </row>
    <row r="352" spans="12:20" x14ac:dyDescent="0.25">
      <c r="L352" s="2">
        <v>3.40625</v>
      </c>
      <c r="M352" s="23" t="s">
        <v>970</v>
      </c>
      <c r="N352" s="23">
        <f>109/32</f>
        <v>3.40625</v>
      </c>
      <c r="O352" s="21">
        <f t="shared" si="9"/>
        <v>0</v>
      </c>
      <c r="P352" s="25" t="s">
        <v>7</v>
      </c>
      <c r="Q352" s="37"/>
      <c r="R352" s="38"/>
      <c r="S352" s="38"/>
      <c r="T352" s="41"/>
    </row>
    <row r="353" spans="12:20" x14ac:dyDescent="0.25">
      <c r="L353" s="2">
        <v>3.421875</v>
      </c>
      <c r="M353" s="23" t="s">
        <v>1149</v>
      </c>
      <c r="N353" s="23">
        <f>219/64</f>
        <v>3.421875</v>
      </c>
      <c r="O353" s="21">
        <f t="shared" si="9"/>
        <v>0</v>
      </c>
      <c r="P353" s="25" t="s">
        <v>7</v>
      </c>
      <c r="Q353" s="37"/>
      <c r="R353" s="38"/>
      <c r="S353" s="38"/>
      <c r="T353" s="41"/>
    </row>
    <row r="354" spans="12:20" x14ac:dyDescent="0.25">
      <c r="L354" s="2">
        <v>3.4375</v>
      </c>
      <c r="M354" s="23" t="s">
        <v>817</v>
      </c>
      <c r="N354" s="23">
        <f>55/16</f>
        <v>3.4375</v>
      </c>
      <c r="O354" s="21">
        <f t="shared" si="9"/>
        <v>0</v>
      </c>
      <c r="P354" s="25" t="s">
        <v>7</v>
      </c>
      <c r="Q354" s="37"/>
      <c r="R354" s="38"/>
      <c r="S354" s="38"/>
      <c r="T354" s="41"/>
    </row>
    <row r="355" spans="12:20" x14ac:dyDescent="0.25">
      <c r="L355" s="2">
        <v>3.453125</v>
      </c>
      <c r="M355" s="23" t="s">
        <v>1150</v>
      </c>
      <c r="N355" s="23">
        <f>221/64</f>
        <v>3.453125</v>
      </c>
      <c r="O355" s="21">
        <f t="shared" si="9"/>
        <v>0</v>
      </c>
      <c r="P355" s="25" t="s">
        <v>7</v>
      </c>
      <c r="Q355" s="37"/>
      <c r="R355" s="38"/>
      <c r="S355" s="38"/>
      <c r="T355" s="41"/>
    </row>
    <row r="356" spans="12:20" x14ac:dyDescent="0.25">
      <c r="L356" s="2">
        <v>3.46875</v>
      </c>
      <c r="M356" s="23" t="s">
        <v>971</v>
      </c>
      <c r="N356" s="23">
        <f>111/32</f>
        <v>3.46875</v>
      </c>
      <c r="O356" s="21">
        <f t="shared" si="9"/>
        <v>0</v>
      </c>
      <c r="P356" s="25" t="s">
        <v>7</v>
      </c>
      <c r="Q356" s="37"/>
      <c r="R356" s="38"/>
      <c r="S356" s="38"/>
      <c r="T356" s="41"/>
    </row>
    <row r="357" spans="12:20" x14ac:dyDescent="0.25">
      <c r="L357" s="2">
        <v>3.484375</v>
      </c>
      <c r="M357" s="23" t="s">
        <v>1151</v>
      </c>
      <c r="N357" s="23">
        <f>223/64</f>
        <v>3.484375</v>
      </c>
      <c r="O357" s="21">
        <f t="shared" si="9"/>
        <v>0</v>
      </c>
      <c r="P357" s="25" t="s">
        <v>7</v>
      </c>
      <c r="Q357" s="37"/>
      <c r="R357" s="38"/>
      <c r="S357" s="38"/>
      <c r="T357" s="41"/>
    </row>
    <row r="358" spans="12:20" x14ac:dyDescent="0.25">
      <c r="L358" s="2">
        <v>3.5</v>
      </c>
      <c r="M358" s="23" t="s">
        <v>508</v>
      </c>
      <c r="N358" s="23">
        <f>7/2</f>
        <v>3.5</v>
      </c>
      <c r="O358" s="21">
        <f t="shared" si="9"/>
        <v>0</v>
      </c>
      <c r="P358" s="25" t="s">
        <v>7</v>
      </c>
      <c r="Q358" s="37"/>
      <c r="R358" s="38"/>
      <c r="S358" s="38"/>
      <c r="T358" s="41"/>
    </row>
    <row r="359" spans="12:20" x14ac:dyDescent="0.25">
      <c r="L359" s="2">
        <v>3.515625</v>
      </c>
      <c r="M359" s="23" t="s">
        <v>1152</v>
      </c>
      <c r="N359" s="23">
        <f>225/64</f>
        <v>3.515625</v>
      </c>
      <c r="O359" s="21">
        <f t="shared" si="9"/>
        <v>0</v>
      </c>
      <c r="P359" s="25" t="s">
        <v>7</v>
      </c>
      <c r="Q359" s="37"/>
      <c r="R359" s="38"/>
      <c r="S359" s="38"/>
      <c r="T359" s="41"/>
    </row>
    <row r="360" spans="12:20" x14ac:dyDescent="0.25">
      <c r="L360" s="2">
        <v>3.53125</v>
      </c>
      <c r="M360" s="23" t="s">
        <v>972</v>
      </c>
      <c r="N360" s="23">
        <f>113/32</f>
        <v>3.53125</v>
      </c>
      <c r="O360" s="21">
        <f t="shared" si="9"/>
        <v>0</v>
      </c>
      <c r="P360" s="25" t="s">
        <v>7</v>
      </c>
      <c r="Q360" s="37"/>
      <c r="R360" s="38"/>
      <c r="S360" s="38"/>
      <c r="T360" s="41"/>
    </row>
    <row r="361" spans="12:20" x14ac:dyDescent="0.25">
      <c r="L361" s="2">
        <v>3.546875</v>
      </c>
      <c r="M361" s="23" t="s">
        <v>1153</v>
      </c>
      <c r="N361" s="23">
        <f>227/64</f>
        <v>3.546875</v>
      </c>
      <c r="O361" s="21">
        <f t="shared" si="9"/>
        <v>0</v>
      </c>
      <c r="P361" s="25" t="s">
        <v>7</v>
      </c>
      <c r="Q361" s="37"/>
      <c r="R361" s="38"/>
      <c r="S361" s="38"/>
      <c r="T361" s="41"/>
    </row>
    <row r="362" spans="12:20" x14ac:dyDescent="0.25">
      <c r="L362" s="2">
        <v>3.5625</v>
      </c>
      <c r="M362" s="23" t="s">
        <v>818</v>
      </c>
      <c r="N362" s="23">
        <f>57/16</f>
        <v>3.5625</v>
      </c>
      <c r="O362" s="21">
        <f t="shared" si="9"/>
        <v>0</v>
      </c>
      <c r="P362" s="25" t="s">
        <v>7</v>
      </c>
      <c r="Q362" s="37"/>
      <c r="R362" s="38"/>
      <c r="S362" s="38"/>
      <c r="T362" s="41"/>
    </row>
    <row r="363" spans="12:20" x14ac:dyDescent="0.25">
      <c r="L363" s="2">
        <v>3.578125</v>
      </c>
      <c r="M363" s="23" t="s">
        <v>1154</v>
      </c>
      <c r="N363" s="23">
        <f>229/64</f>
        <v>3.578125</v>
      </c>
      <c r="O363" s="21">
        <f t="shared" si="9"/>
        <v>0</v>
      </c>
      <c r="P363" s="25" t="s">
        <v>7</v>
      </c>
      <c r="Q363" s="37"/>
      <c r="R363" s="38"/>
      <c r="S363" s="38"/>
      <c r="T363" s="41"/>
    </row>
    <row r="364" spans="12:20" x14ac:dyDescent="0.25">
      <c r="L364" s="2">
        <v>3.59375</v>
      </c>
      <c r="M364" s="23" t="s">
        <v>973</v>
      </c>
      <c r="N364" s="23">
        <f>115/32</f>
        <v>3.59375</v>
      </c>
      <c r="O364" s="21">
        <f t="shared" si="9"/>
        <v>0</v>
      </c>
      <c r="P364" s="25" t="s">
        <v>7</v>
      </c>
      <c r="Q364" s="37"/>
      <c r="R364" s="38"/>
      <c r="S364" s="38"/>
      <c r="T364" s="41"/>
    </row>
    <row r="365" spans="12:20" x14ac:dyDescent="0.25">
      <c r="L365" s="2">
        <v>3.609375</v>
      </c>
      <c r="M365" s="23" t="s">
        <v>1155</v>
      </c>
      <c r="N365" s="23">
        <f>231/64</f>
        <v>3.609375</v>
      </c>
      <c r="O365" s="21">
        <f t="shared" si="9"/>
        <v>0</v>
      </c>
      <c r="P365" s="25" t="s">
        <v>7</v>
      </c>
      <c r="Q365" s="37"/>
      <c r="R365" s="38"/>
      <c r="S365" s="38"/>
      <c r="T365" s="41"/>
    </row>
    <row r="366" spans="12:20" x14ac:dyDescent="0.25">
      <c r="L366" s="2">
        <v>3.625</v>
      </c>
      <c r="M366" s="23" t="s">
        <v>677</v>
      </c>
      <c r="N366" s="23">
        <f>29/8</f>
        <v>3.625</v>
      </c>
      <c r="O366" s="21">
        <f t="shared" si="9"/>
        <v>0</v>
      </c>
      <c r="P366" s="25" t="s">
        <v>7</v>
      </c>
      <c r="Q366" s="37"/>
      <c r="R366" s="38"/>
      <c r="S366" s="38"/>
      <c r="T366" s="41"/>
    </row>
    <row r="367" spans="12:20" x14ac:dyDescent="0.25">
      <c r="L367" s="2">
        <v>3.640625</v>
      </c>
      <c r="M367" s="23" t="s">
        <v>1156</v>
      </c>
      <c r="N367" s="23">
        <f>233/64</f>
        <v>3.640625</v>
      </c>
      <c r="O367" s="21">
        <f t="shared" si="9"/>
        <v>0</v>
      </c>
      <c r="P367" s="25" t="s">
        <v>7</v>
      </c>
      <c r="Q367" s="37"/>
      <c r="R367" s="38"/>
      <c r="S367" s="38"/>
      <c r="T367" s="41"/>
    </row>
    <row r="368" spans="12:20" x14ac:dyDescent="0.25">
      <c r="L368" s="2">
        <v>3.65625</v>
      </c>
      <c r="M368" s="23" t="s">
        <v>974</v>
      </c>
      <c r="N368" s="23">
        <f>117/32</f>
        <v>3.65625</v>
      </c>
      <c r="O368" s="21">
        <f t="shared" si="9"/>
        <v>0</v>
      </c>
      <c r="P368" s="25" t="s">
        <v>7</v>
      </c>
      <c r="Q368" s="37"/>
      <c r="R368" s="38"/>
      <c r="S368" s="38"/>
      <c r="T368" s="41"/>
    </row>
    <row r="369" spans="12:20" x14ac:dyDescent="0.25">
      <c r="L369" s="2">
        <v>3.671875</v>
      </c>
      <c r="M369" s="23" t="s">
        <v>1157</v>
      </c>
      <c r="N369" s="23">
        <f>235/64</f>
        <v>3.671875</v>
      </c>
      <c r="O369" s="21">
        <f t="shared" si="9"/>
        <v>0</v>
      </c>
      <c r="P369" s="25" t="s">
        <v>7</v>
      </c>
      <c r="Q369" s="37"/>
      <c r="R369" s="38"/>
      <c r="S369" s="38"/>
      <c r="T369" s="41"/>
    </row>
    <row r="370" spans="12:20" x14ac:dyDescent="0.25">
      <c r="L370" s="2">
        <v>3.6875</v>
      </c>
      <c r="M370" s="23" t="s">
        <v>819</v>
      </c>
      <c r="N370" s="23">
        <f>59/16</f>
        <v>3.6875</v>
      </c>
      <c r="O370" s="21">
        <f t="shared" si="9"/>
        <v>0</v>
      </c>
      <c r="P370" s="25" t="s">
        <v>7</v>
      </c>
      <c r="Q370" s="37"/>
      <c r="R370" s="38"/>
      <c r="S370" s="38"/>
      <c r="T370" s="41"/>
    </row>
    <row r="371" spans="12:20" x14ac:dyDescent="0.25">
      <c r="L371" s="2">
        <v>3.703125</v>
      </c>
      <c r="M371" s="23" t="s">
        <v>1158</v>
      </c>
      <c r="N371" s="23">
        <f>237/64</f>
        <v>3.703125</v>
      </c>
      <c r="O371" s="21">
        <f t="shared" si="9"/>
        <v>0</v>
      </c>
      <c r="P371" s="25" t="s">
        <v>7</v>
      </c>
      <c r="Q371" s="37"/>
      <c r="R371" s="38"/>
      <c r="S371" s="38"/>
      <c r="T371" s="41"/>
    </row>
    <row r="372" spans="12:20" x14ac:dyDescent="0.25">
      <c r="L372" s="2">
        <v>3.71875</v>
      </c>
      <c r="M372" s="23" t="s">
        <v>975</v>
      </c>
      <c r="N372" s="23">
        <f>119/32</f>
        <v>3.71875</v>
      </c>
      <c r="O372" s="21">
        <f t="shared" si="9"/>
        <v>0</v>
      </c>
      <c r="P372" s="25" t="s">
        <v>7</v>
      </c>
      <c r="Q372" s="37"/>
      <c r="R372" s="38"/>
      <c r="S372" s="38"/>
      <c r="T372" s="41"/>
    </row>
    <row r="373" spans="12:20" x14ac:dyDescent="0.25">
      <c r="L373" s="2">
        <v>3.734375</v>
      </c>
      <c r="M373" s="23" t="s">
        <v>1159</v>
      </c>
      <c r="N373" s="23">
        <f>239/64</f>
        <v>3.734375</v>
      </c>
      <c r="O373" s="21">
        <f t="shared" si="9"/>
        <v>0</v>
      </c>
      <c r="P373" s="25" t="s">
        <v>7</v>
      </c>
      <c r="Q373" s="37"/>
      <c r="R373" s="38"/>
      <c r="S373" s="38"/>
      <c r="T373" s="41"/>
    </row>
    <row r="374" spans="12:20" x14ac:dyDescent="0.25">
      <c r="L374" s="2">
        <v>3.75</v>
      </c>
      <c r="M374" s="23" t="s">
        <v>543</v>
      </c>
      <c r="N374" s="23">
        <f>15/4</f>
        <v>3.75</v>
      </c>
      <c r="O374" s="21">
        <f t="shared" si="9"/>
        <v>0</v>
      </c>
      <c r="P374" s="25" t="s">
        <v>7</v>
      </c>
      <c r="Q374" s="37"/>
      <c r="R374" s="38"/>
      <c r="S374" s="38"/>
      <c r="T374" s="41"/>
    </row>
    <row r="375" spans="12:20" x14ac:dyDescent="0.25">
      <c r="L375" s="2">
        <v>3.765625</v>
      </c>
      <c r="M375" s="23" t="s">
        <v>1160</v>
      </c>
      <c r="N375" s="23">
        <f>241/64</f>
        <v>3.765625</v>
      </c>
      <c r="O375" s="21">
        <f t="shared" si="9"/>
        <v>0</v>
      </c>
      <c r="P375" s="25" t="s">
        <v>7</v>
      </c>
      <c r="Q375" s="37"/>
      <c r="R375" s="38"/>
      <c r="S375" s="38"/>
      <c r="T375" s="41"/>
    </row>
    <row r="376" spans="12:20" x14ac:dyDescent="0.25">
      <c r="L376" s="2">
        <v>3.78125</v>
      </c>
      <c r="M376" s="23" t="s">
        <v>976</v>
      </c>
      <c r="N376" s="23">
        <f>121/32</f>
        <v>3.78125</v>
      </c>
      <c r="O376" s="21">
        <f t="shared" si="9"/>
        <v>0</v>
      </c>
      <c r="P376" s="25" t="s">
        <v>7</v>
      </c>
      <c r="Q376" s="37"/>
      <c r="R376" s="38"/>
      <c r="S376" s="38"/>
      <c r="T376" s="41"/>
    </row>
    <row r="377" spans="12:20" x14ac:dyDescent="0.25">
      <c r="L377" s="2">
        <v>3.796875</v>
      </c>
      <c r="M377" s="23" t="s">
        <v>1161</v>
      </c>
      <c r="N377" s="23">
        <f>243/64</f>
        <v>3.796875</v>
      </c>
      <c r="O377" s="21">
        <f t="shared" si="9"/>
        <v>0</v>
      </c>
      <c r="P377" s="25" t="s">
        <v>7</v>
      </c>
      <c r="Q377" s="37"/>
      <c r="R377" s="38"/>
      <c r="S377" s="38"/>
      <c r="T377" s="41"/>
    </row>
    <row r="378" spans="12:20" x14ac:dyDescent="0.25">
      <c r="L378" s="2">
        <v>3.8125</v>
      </c>
      <c r="M378" s="23" t="s">
        <v>820</v>
      </c>
      <c r="N378" s="23">
        <f>61/16</f>
        <v>3.8125</v>
      </c>
      <c r="O378" s="21">
        <f t="shared" si="9"/>
        <v>0</v>
      </c>
      <c r="P378" s="25" t="s">
        <v>7</v>
      </c>
      <c r="Q378" s="37"/>
      <c r="R378" s="38"/>
      <c r="S378" s="38"/>
      <c r="T378" s="41"/>
    </row>
    <row r="379" spans="12:20" x14ac:dyDescent="0.25">
      <c r="L379" s="2">
        <v>3.828125</v>
      </c>
      <c r="M379" s="23" t="s">
        <v>1162</v>
      </c>
      <c r="N379" s="23">
        <f>245/64</f>
        <v>3.828125</v>
      </c>
      <c r="O379" s="21">
        <f t="shared" si="9"/>
        <v>0</v>
      </c>
      <c r="P379" s="25" t="s">
        <v>7</v>
      </c>
      <c r="Q379" s="37"/>
      <c r="R379" s="38"/>
      <c r="S379" s="38"/>
      <c r="T379" s="41"/>
    </row>
    <row r="380" spans="12:20" x14ac:dyDescent="0.25">
      <c r="L380" s="2">
        <v>3.84375</v>
      </c>
      <c r="M380" s="23" t="s">
        <v>977</v>
      </c>
      <c r="N380" s="23">
        <f>123/32</f>
        <v>3.84375</v>
      </c>
      <c r="O380" s="21">
        <f t="shared" si="9"/>
        <v>0</v>
      </c>
      <c r="P380" s="25" t="s">
        <v>7</v>
      </c>
      <c r="Q380" s="37"/>
      <c r="R380" s="38"/>
      <c r="S380" s="38"/>
      <c r="T380" s="41"/>
    </row>
    <row r="381" spans="12:20" x14ac:dyDescent="0.25">
      <c r="L381" s="2">
        <v>3.859375</v>
      </c>
      <c r="M381" s="23" t="s">
        <v>1163</v>
      </c>
      <c r="N381" s="23">
        <f>247/64</f>
        <v>3.859375</v>
      </c>
      <c r="O381" s="21">
        <f t="shared" si="9"/>
        <v>0</v>
      </c>
      <c r="P381" s="25" t="s">
        <v>7</v>
      </c>
      <c r="Q381" s="37"/>
      <c r="R381" s="38"/>
      <c r="S381" s="38"/>
      <c r="T381" s="41"/>
    </row>
    <row r="382" spans="12:20" x14ac:dyDescent="0.25">
      <c r="L382" s="2">
        <v>3.875</v>
      </c>
      <c r="M382" s="23" t="s">
        <v>678</v>
      </c>
      <c r="N382" s="23">
        <f>31/8</f>
        <v>3.875</v>
      </c>
      <c r="O382" s="21">
        <f t="shared" si="9"/>
        <v>0</v>
      </c>
      <c r="P382" s="25" t="s">
        <v>7</v>
      </c>
      <c r="Q382" s="37"/>
      <c r="R382" s="38"/>
      <c r="S382" s="38"/>
      <c r="T382" s="41"/>
    </row>
    <row r="383" spans="12:20" x14ac:dyDescent="0.25">
      <c r="L383" s="2">
        <v>3.890625</v>
      </c>
      <c r="M383" s="23" t="s">
        <v>1164</v>
      </c>
      <c r="N383" s="23">
        <f>249/64</f>
        <v>3.890625</v>
      </c>
      <c r="O383" s="21">
        <f t="shared" si="9"/>
        <v>0</v>
      </c>
      <c r="P383" s="25" t="s">
        <v>7</v>
      </c>
      <c r="Q383" s="37"/>
      <c r="R383" s="38"/>
      <c r="S383" s="38"/>
      <c r="T383" s="41"/>
    </row>
    <row r="384" spans="12:20" x14ac:dyDescent="0.25">
      <c r="L384" s="2">
        <v>3.90625</v>
      </c>
      <c r="M384" s="23" t="s">
        <v>978</v>
      </c>
      <c r="N384" s="23">
        <f>125/32</f>
        <v>3.90625</v>
      </c>
      <c r="O384" s="21">
        <f t="shared" si="9"/>
        <v>0</v>
      </c>
      <c r="P384" s="25" t="s">
        <v>7</v>
      </c>
      <c r="Q384" s="37"/>
      <c r="R384" s="38"/>
      <c r="S384" s="38"/>
      <c r="T384" s="41"/>
    </row>
    <row r="385" spans="12:20" x14ac:dyDescent="0.25">
      <c r="L385" s="2">
        <v>3.921875</v>
      </c>
      <c r="M385" s="23" t="s">
        <v>1165</v>
      </c>
      <c r="N385" s="23">
        <f>251/64</f>
        <v>3.921875</v>
      </c>
      <c r="O385" s="21">
        <f t="shared" si="9"/>
        <v>0</v>
      </c>
      <c r="P385" s="25" t="s">
        <v>7</v>
      </c>
      <c r="Q385" s="37"/>
      <c r="R385" s="38"/>
      <c r="S385" s="38"/>
      <c r="T385" s="41"/>
    </row>
    <row r="386" spans="12:20" x14ac:dyDescent="0.25">
      <c r="L386" s="2">
        <v>3.9375</v>
      </c>
      <c r="M386" s="23" t="s">
        <v>821</v>
      </c>
      <c r="N386" s="23">
        <f>63/16</f>
        <v>3.9375</v>
      </c>
      <c r="O386" s="21">
        <f t="shared" si="9"/>
        <v>0</v>
      </c>
      <c r="P386" s="25" t="s">
        <v>7</v>
      </c>
      <c r="Q386" s="37"/>
      <c r="R386" s="38"/>
      <c r="S386" s="38"/>
      <c r="T386" s="41"/>
    </row>
    <row r="387" spans="12:20" x14ac:dyDescent="0.25">
      <c r="L387" s="2">
        <v>3.953125</v>
      </c>
      <c r="M387" s="23" t="s">
        <v>1166</v>
      </c>
      <c r="N387" s="23">
        <f>253/64</f>
        <v>3.953125</v>
      </c>
      <c r="O387" s="21">
        <f t="shared" si="9"/>
        <v>0</v>
      </c>
      <c r="P387" s="25" t="s">
        <v>7</v>
      </c>
      <c r="Q387" s="37"/>
      <c r="R387" s="38"/>
      <c r="S387" s="38"/>
      <c r="T387" s="41"/>
    </row>
    <row r="388" spans="12:20" x14ac:dyDescent="0.25">
      <c r="L388" s="2">
        <v>3.96875</v>
      </c>
      <c r="M388" s="23" t="s">
        <v>979</v>
      </c>
      <c r="N388" s="23">
        <f>127/32</f>
        <v>3.96875</v>
      </c>
      <c r="O388" s="21">
        <f t="shared" si="9"/>
        <v>0</v>
      </c>
      <c r="P388" s="25" t="s">
        <v>7</v>
      </c>
      <c r="Q388" s="37"/>
      <c r="R388" s="38"/>
      <c r="S388" s="38"/>
      <c r="T388" s="41"/>
    </row>
    <row r="389" spans="12:20" x14ac:dyDescent="0.25">
      <c r="L389" s="2">
        <v>3.984375</v>
      </c>
      <c r="M389" s="23" t="s">
        <v>1167</v>
      </c>
      <c r="N389" s="23">
        <f>255/64</f>
        <v>3.984375</v>
      </c>
      <c r="O389" s="21">
        <f t="shared" si="9"/>
        <v>0</v>
      </c>
      <c r="P389" s="25" t="s">
        <v>7</v>
      </c>
      <c r="Q389" s="37"/>
      <c r="R389" s="38"/>
      <c r="S389" s="38"/>
      <c r="T389" s="41"/>
    </row>
    <row r="390" spans="12:20" x14ac:dyDescent="0.25">
      <c r="L390" s="2">
        <v>4</v>
      </c>
      <c r="M390" s="23" t="s">
        <v>297</v>
      </c>
      <c r="N390" s="23">
        <f>4/1</f>
        <v>4</v>
      </c>
      <c r="O390" s="21">
        <f t="shared" si="9"/>
        <v>0</v>
      </c>
      <c r="P390" s="25" t="s">
        <v>7</v>
      </c>
      <c r="Q390" s="50"/>
      <c r="R390" s="47"/>
      <c r="S390" s="45"/>
      <c r="T390" s="46"/>
    </row>
    <row r="391" spans="12:20" x14ac:dyDescent="0.25">
      <c r="L391" s="2">
        <v>4.03125</v>
      </c>
      <c r="M391" s="23" t="s">
        <v>980</v>
      </c>
      <c r="N391" s="23">
        <f>129/32</f>
        <v>4.03125</v>
      </c>
      <c r="O391" s="21">
        <f t="shared" ref="O391:O454" si="10">ABS(L391-N391)</f>
        <v>0</v>
      </c>
      <c r="P391" s="26" t="s">
        <v>9</v>
      </c>
      <c r="Q391" s="31" t="s">
        <v>279</v>
      </c>
      <c r="R391" s="53"/>
      <c r="S391" s="53"/>
      <c r="T391" s="53"/>
    </row>
    <row r="392" spans="12:20" x14ac:dyDescent="0.25">
      <c r="L392" s="2">
        <v>4.0625</v>
      </c>
      <c r="M392" s="23" t="s">
        <v>822</v>
      </c>
      <c r="N392" s="23">
        <f>65/16</f>
        <v>4.0625</v>
      </c>
      <c r="O392" s="21">
        <f t="shared" si="10"/>
        <v>0</v>
      </c>
      <c r="P392" s="26" t="s">
        <v>9</v>
      </c>
      <c r="Q392" s="54"/>
      <c r="R392" s="53"/>
      <c r="S392" s="53"/>
      <c r="T392" s="53"/>
    </row>
    <row r="393" spans="12:20" x14ac:dyDescent="0.25">
      <c r="L393" s="2">
        <v>4.09375</v>
      </c>
      <c r="M393" s="4" t="s">
        <v>981</v>
      </c>
      <c r="N393" s="4">
        <f>131/32</f>
        <v>4.09375</v>
      </c>
      <c r="O393" s="21">
        <f t="shared" si="10"/>
        <v>0</v>
      </c>
      <c r="P393" s="26" t="s">
        <v>9</v>
      </c>
      <c r="Q393" s="54"/>
      <c r="R393" s="53"/>
      <c r="S393" s="53"/>
      <c r="T393" s="53"/>
    </row>
    <row r="394" spans="12:20" x14ac:dyDescent="0.25">
      <c r="L394" s="2">
        <v>4.125</v>
      </c>
      <c r="M394" s="23" t="s">
        <v>679</v>
      </c>
      <c r="N394" s="23">
        <f>33/8</f>
        <v>4.125</v>
      </c>
      <c r="O394" s="21">
        <f t="shared" si="10"/>
        <v>0</v>
      </c>
      <c r="P394" s="26" t="s">
        <v>9</v>
      </c>
      <c r="Q394" s="54"/>
      <c r="R394" s="53"/>
      <c r="S394" s="53"/>
      <c r="T394" s="53"/>
    </row>
    <row r="395" spans="12:20" x14ac:dyDescent="0.25">
      <c r="L395" s="2">
        <v>4.15625</v>
      </c>
      <c r="M395" s="23" t="s">
        <v>982</v>
      </c>
      <c r="N395" s="23">
        <f>133/32</f>
        <v>4.15625</v>
      </c>
      <c r="O395" s="21">
        <f t="shared" si="10"/>
        <v>0</v>
      </c>
      <c r="P395" s="26" t="s">
        <v>9</v>
      </c>
      <c r="Q395" s="54"/>
      <c r="R395" s="53"/>
      <c r="S395" s="53"/>
      <c r="T395" s="53"/>
    </row>
    <row r="396" spans="12:20" x14ac:dyDescent="0.25">
      <c r="L396" s="2">
        <v>4.1875</v>
      </c>
      <c r="M396" s="23" t="s">
        <v>823</v>
      </c>
      <c r="N396" s="23">
        <f>67/16</f>
        <v>4.1875</v>
      </c>
      <c r="O396" s="21">
        <f t="shared" si="10"/>
        <v>0</v>
      </c>
      <c r="P396" s="26" t="s">
        <v>9</v>
      </c>
      <c r="Q396" s="54"/>
      <c r="R396" s="53"/>
      <c r="S396" s="53"/>
      <c r="T396" s="53"/>
    </row>
    <row r="397" spans="12:20" x14ac:dyDescent="0.25">
      <c r="L397" s="2">
        <v>4.21875</v>
      </c>
      <c r="M397" s="23" t="s">
        <v>983</v>
      </c>
      <c r="N397" s="23">
        <f>135/32</f>
        <v>4.21875</v>
      </c>
      <c r="O397" s="21">
        <f t="shared" si="10"/>
        <v>0</v>
      </c>
      <c r="P397" s="26" t="s">
        <v>9</v>
      </c>
      <c r="Q397" s="54"/>
      <c r="R397" s="53"/>
      <c r="S397" s="53"/>
      <c r="T397" s="53"/>
    </row>
    <row r="398" spans="12:20" x14ac:dyDescent="0.25">
      <c r="L398" s="2">
        <v>4.25</v>
      </c>
      <c r="M398" s="23" t="s">
        <v>544</v>
      </c>
      <c r="N398" s="23">
        <f>17/4</f>
        <v>4.25</v>
      </c>
      <c r="O398" s="21">
        <f t="shared" si="10"/>
        <v>0</v>
      </c>
      <c r="P398" s="26" t="s">
        <v>9</v>
      </c>
      <c r="Q398" s="54"/>
      <c r="R398" s="53"/>
      <c r="S398" s="53"/>
      <c r="T398" s="53"/>
    </row>
    <row r="399" spans="12:20" x14ac:dyDescent="0.25">
      <c r="L399" s="2">
        <v>4.28125</v>
      </c>
      <c r="M399" s="23" t="s">
        <v>984</v>
      </c>
      <c r="N399" s="23">
        <f>137/32</f>
        <v>4.28125</v>
      </c>
      <c r="O399" s="21">
        <f t="shared" si="10"/>
        <v>0</v>
      </c>
      <c r="P399" s="26" t="s">
        <v>9</v>
      </c>
      <c r="Q399" s="54"/>
      <c r="R399" s="53"/>
      <c r="S399" s="53"/>
      <c r="T399" s="53"/>
    </row>
    <row r="400" spans="12:20" x14ac:dyDescent="0.25">
      <c r="L400" s="2">
        <v>4.3125</v>
      </c>
      <c r="M400" s="23" t="s">
        <v>824</v>
      </c>
      <c r="N400" s="23">
        <f>69/16</f>
        <v>4.3125</v>
      </c>
      <c r="O400" s="21">
        <f t="shared" si="10"/>
        <v>0</v>
      </c>
      <c r="P400" s="26" t="s">
        <v>9</v>
      </c>
      <c r="Q400" s="54"/>
      <c r="R400" s="53"/>
      <c r="S400" s="53"/>
      <c r="T400" s="53"/>
    </row>
    <row r="401" spans="12:20" x14ac:dyDescent="0.25">
      <c r="L401" s="2">
        <v>4.34375</v>
      </c>
      <c r="M401" s="23" t="s">
        <v>985</v>
      </c>
      <c r="N401" s="23">
        <f>139/32</f>
        <v>4.34375</v>
      </c>
      <c r="O401" s="21">
        <f t="shared" si="10"/>
        <v>0</v>
      </c>
      <c r="P401" s="26" t="s">
        <v>9</v>
      </c>
      <c r="Q401" s="54"/>
      <c r="R401" s="53"/>
      <c r="S401" s="53"/>
      <c r="T401" s="53"/>
    </row>
    <row r="402" spans="12:20" x14ac:dyDescent="0.25">
      <c r="L402" s="2">
        <v>4.375</v>
      </c>
      <c r="M402" s="23" t="s">
        <v>680</v>
      </c>
      <c r="N402" s="23">
        <f>35/8</f>
        <v>4.375</v>
      </c>
      <c r="O402" s="21">
        <f t="shared" si="10"/>
        <v>0</v>
      </c>
      <c r="P402" s="26" t="s">
        <v>9</v>
      </c>
      <c r="Q402" s="54"/>
      <c r="R402" s="53"/>
      <c r="S402" s="53"/>
      <c r="T402" s="53"/>
    </row>
    <row r="403" spans="12:20" x14ac:dyDescent="0.25">
      <c r="L403" s="2">
        <v>4.40625</v>
      </c>
      <c r="M403" s="23" t="s">
        <v>986</v>
      </c>
      <c r="N403" s="23">
        <f>141/32</f>
        <v>4.40625</v>
      </c>
      <c r="O403" s="21">
        <f t="shared" si="10"/>
        <v>0</v>
      </c>
      <c r="P403" s="26" t="s">
        <v>9</v>
      </c>
      <c r="Q403" s="54"/>
      <c r="R403" s="53"/>
      <c r="S403" s="53"/>
      <c r="T403" s="53"/>
    </row>
    <row r="404" spans="12:20" x14ac:dyDescent="0.25">
      <c r="L404" s="2">
        <v>4.4375</v>
      </c>
      <c r="M404" s="23" t="s">
        <v>825</v>
      </c>
      <c r="N404" s="23">
        <f>71/16</f>
        <v>4.4375</v>
      </c>
      <c r="O404" s="21">
        <f t="shared" si="10"/>
        <v>0</v>
      </c>
      <c r="P404" s="26" t="s">
        <v>9</v>
      </c>
      <c r="Q404" s="54"/>
      <c r="R404" s="53"/>
      <c r="S404" s="53"/>
      <c r="T404" s="53"/>
    </row>
    <row r="405" spans="12:20" x14ac:dyDescent="0.25">
      <c r="L405" s="2">
        <v>4.46875</v>
      </c>
      <c r="M405" s="23" t="s">
        <v>987</v>
      </c>
      <c r="N405" s="23">
        <f>143/32</f>
        <v>4.46875</v>
      </c>
      <c r="O405" s="21">
        <f t="shared" si="10"/>
        <v>0</v>
      </c>
      <c r="P405" s="26" t="s">
        <v>9</v>
      </c>
      <c r="Q405" s="54"/>
      <c r="R405" s="53"/>
      <c r="S405" s="53"/>
      <c r="T405" s="53"/>
    </row>
    <row r="406" spans="12:20" x14ac:dyDescent="0.25">
      <c r="L406" s="2">
        <v>4.5</v>
      </c>
      <c r="M406" s="23" t="s">
        <v>509</v>
      </c>
      <c r="N406" s="23">
        <f>9/2</f>
        <v>4.5</v>
      </c>
      <c r="O406" s="21">
        <f t="shared" si="10"/>
        <v>0</v>
      </c>
      <c r="P406" s="26" t="s">
        <v>9</v>
      </c>
      <c r="Q406" s="54"/>
      <c r="R406" s="53"/>
      <c r="S406" s="53"/>
      <c r="T406" s="53"/>
    </row>
    <row r="407" spans="12:20" x14ac:dyDescent="0.25">
      <c r="L407" s="2">
        <v>4.53125</v>
      </c>
      <c r="M407" s="23" t="s">
        <v>988</v>
      </c>
      <c r="N407" s="23">
        <f>145/32</f>
        <v>4.53125</v>
      </c>
      <c r="O407" s="21">
        <f t="shared" si="10"/>
        <v>0</v>
      </c>
      <c r="P407" s="26" t="s">
        <v>9</v>
      </c>
      <c r="Q407" s="54"/>
      <c r="R407" s="53"/>
      <c r="S407" s="53"/>
      <c r="T407" s="53"/>
    </row>
    <row r="408" spans="12:20" x14ac:dyDescent="0.25">
      <c r="L408" s="2">
        <v>4.5625</v>
      </c>
      <c r="M408" s="23" t="s">
        <v>826</v>
      </c>
      <c r="N408" s="23">
        <f>73/16</f>
        <v>4.5625</v>
      </c>
      <c r="O408" s="21">
        <f t="shared" si="10"/>
        <v>0</v>
      </c>
      <c r="P408" s="26" t="s">
        <v>9</v>
      </c>
      <c r="Q408" s="54"/>
      <c r="R408" s="53"/>
      <c r="S408" s="53"/>
      <c r="T408" s="53"/>
    </row>
    <row r="409" spans="12:20" x14ac:dyDescent="0.25">
      <c r="L409" s="2">
        <v>4.59375</v>
      </c>
      <c r="M409" s="23" t="s">
        <v>989</v>
      </c>
      <c r="N409" s="23">
        <f>147/32</f>
        <v>4.59375</v>
      </c>
      <c r="O409" s="21">
        <f t="shared" si="10"/>
        <v>0</v>
      </c>
      <c r="P409" s="26" t="s">
        <v>9</v>
      </c>
      <c r="Q409" s="54"/>
      <c r="R409" s="53"/>
      <c r="S409" s="53"/>
      <c r="T409" s="53"/>
    </row>
    <row r="410" spans="12:20" x14ac:dyDescent="0.25">
      <c r="L410" s="2">
        <v>4.625</v>
      </c>
      <c r="M410" s="23" t="s">
        <v>681</v>
      </c>
      <c r="N410" s="23">
        <f>37/8</f>
        <v>4.625</v>
      </c>
      <c r="O410" s="21">
        <f t="shared" si="10"/>
        <v>0</v>
      </c>
      <c r="P410" s="26" t="s">
        <v>9</v>
      </c>
      <c r="Q410" s="54"/>
      <c r="R410" s="53"/>
      <c r="S410" s="53"/>
      <c r="T410" s="53"/>
    </row>
    <row r="411" spans="12:20" x14ac:dyDescent="0.25">
      <c r="L411" s="2">
        <v>4.65625</v>
      </c>
      <c r="M411" s="23" t="s">
        <v>990</v>
      </c>
      <c r="N411" s="23">
        <f>149/32</f>
        <v>4.65625</v>
      </c>
      <c r="O411" s="21">
        <f t="shared" si="10"/>
        <v>0</v>
      </c>
      <c r="P411" s="26" t="s">
        <v>9</v>
      </c>
      <c r="Q411" s="54"/>
      <c r="R411" s="53"/>
      <c r="S411" s="53"/>
      <c r="T411" s="53"/>
    </row>
    <row r="412" spans="12:20" x14ac:dyDescent="0.25">
      <c r="L412" s="2">
        <v>4.6875</v>
      </c>
      <c r="M412" s="23" t="s">
        <v>827</v>
      </c>
      <c r="N412" s="23">
        <f>75/16</f>
        <v>4.6875</v>
      </c>
      <c r="O412" s="21">
        <f t="shared" si="10"/>
        <v>0</v>
      </c>
      <c r="P412" s="26" t="s">
        <v>9</v>
      </c>
      <c r="Q412" s="54"/>
      <c r="R412" s="53"/>
      <c r="S412" s="53"/>
      <c r="T412" s="53"/>
    </row>
    <row r="413" spans="12:20" x14ac:dyDescent="0.25">
      <c r="L413" s="2">
        <v>4.71875</v>
      </c>
      <c r="M413" s="23" t="s">
        <v>991</v>
      </c>
      <c r="N413" s="23">
        <f>151/32</f>
        <v>4.71875</v>
      </c>
      <c r="O413" s="21">
        <f t="shared" si="10"/>
        <v>0</v>
      </c>
      <c r="P413" s="26" t="s">
        <v>9</v>
      </c>
      <c r="Q413" s="54"/>
      <c r="R413" s="53"/>
      <c r="S413" s="53"/>
      <c r="T413" s="53"/>
    </row>
    <row r="414" spans="12:20" x14ac:dyDescent="0.25">
      <c r="L414" s="2">
        <v>4.75</v>
      </c>
      <c r="M414" s="23" t="s">
        <v>545</v>
      </c>
      <c r="N414" s="23">
        <f>19/4</f>
        <v>4.75</v>
      </c>
      <c r="O414" s="21">
        <f t="shared" si="10"/>
        <v>0</v>
      </c>
      <c r="P414" s="26" t="s">
        <v>9</v>
      </c>
      <c r="Q414" s="54"/>
      <c r="R414" s="53"/>
      <c r="S414" s="53"/>
      <c r="T414" s="53"/>
    </row>
    <row r="415" spans="12:20" x14ac:dyDescent="0.25">
      <c r="L415" s="2">
        <v>4.78125</v>
      </c>
      <c r="M415" s="23" t="s">
        <v>992</v>
      </c>
      <c r="N415" s="23">
        <f>153/32</f>
        <v>4.78125</v>
      </c>
      <c r="O415" s="21">
        <f t="shared" si="10"/>
        <v>0</v>
      </c>
      <c r="P415" s="26" t="s">
        <v>9</v>
      </c>
      <c r="Q415" s="54"/>
      <c r="R415" s="53"/>
      <c r="S415" s="53"/>
      <c r="T415" s="53"/>
    </row>
    <row r="416" spans="12:20" x14ac:dyDescent="0.25">
      <c r="L416" s="2">
        <v>4.8125</v>
      </c>
      <c r="M416" s="23" t="s">
        <v>828</v>
      </c>
      <c r="N416" s="23">
        <f>77/16</f>
        <v>4.8125</v>
      </c>
      <c r="O416" s="21">
        <f t="shared" si="10"/>
        <v>0</v>
      </c>
      <c r="P416" s="26" t="s">
        <v>9</v>
      </c>
      <c r="Q416" s="54"/>
      <c r="R416" s="53"/>
      <c r="S416" s="53"/>
      <c r="T416" s="53"/>
    </row>
    <row r="417" spans="12:20" x14ac:dyDescent="0.25">
      <c r="L417" s="2">
        <v>4.84375</v>
      </c>
      <c r="M417" s="23" t="s">
        <v>993</v>
      </c>
      <c r="N417" s="23">
        <f>155/32</f>
        <v>4.84375</v>
      </c>
      <c r="O417" s="21">
        <f t="shared" si="10"/>
        <v>0</v>
      </c>
      <c r="P417" s="26" t="s">
        <v>9</v>
      </c>
      <c r="Q417" s="54"/>
      <c r="R417" s="53"/>
      <c r="S417" s="53"/>
      <c r="T417" s="53"/>
    </row>
    <row r="418" spans="12:20" x14ac:dyDescent="0.25">
      <c r="L418" s="2">
        <v>4.875</v>
      </c>
      <c r="M418" s="23" t="s">
        <v>682</v>
      </c>
      <c r="N418" s="23">
        <f>39/8</f>
        <v>4.875</v>
      </c>
      <c r="O418" s="21">
        <f t="shared" si="10"/>
        <v>0</v>
      </c>
      <c r="P418" s="26" t="s">
        <v>9</v>
      </c>
      <c r="Q418" s="54"/>
      <c r="R418" s="53"/>
      <c r="S418" s="53"/>
      <c r="T418" s="53"/>
    </row>
    <row r="419" spans="12:20" x14ac:dyDescent="0.25">
      <c r="L419" s="2">
        <v>4.90625</v>
      </c>
      <c r="M419" s="23" t="s">
        <v>994</v>
      </c>
      <c r="N419" s="23">
        <f>157/32</f>
        <v>4.90625</v>
      </c>
      <c r="O419" s="21">
        <f t="shared" si="10"/>
        <v>0</v>
      </c>
      <c r="P419" s="26" t="s">
        <v>9</v>
      </c>
      <c r="Q419" s="54"/>
      <c r="R419" s="53"/>
      <c r="S419" s="53"/>
      <c r="T419" s="53"/>
    </row>
    <row r="420" spans="12:20" x14ac:dyDescent="0.25">
      <c r="L420" s="2">
        <v>4.9375</v>
      </c>
      <c r="M420" s="23" t="s">
        <v>829</v>
      </c>
      <c r="N420" s="23">
        <f>79/16</f>
        <v>4.9375</v>
      </c>
      <c r="O420" s="21">
        <f t="shared" si="10"/>
        <v>0</v>
      </c>
      <c r="P420" s="26" t="s">
        <v>9</v>
      </c>
      <c r="Q420" s="54"/>
      <c r="R420" s="53"/>
      <c r="S420" s="53"/>
      <c r="T420" s="53"/>
    </row>
    <row r="421" spans="12:20" x14ac:dyDescent="0.25">
      <c r="L421" s="2">
        <v>4.96875</v>
      </c>
      <c r="M421" s="23" t="s">
        <v>995</v>
      </c>
      <c r="N421" s="23">
        <f>159/32</f>
        <v>4.96875</v>
      </c>
      <c r="O421" s="21">
        <f t="shared" si="10"/>
        <v>0</v>
      </c>
      <c r="P421" s="26" t="s">
        <v>9</v>
      </c>
      <c r="Q421" s="54"/>
      <c r="R421" s="53"/>
      <c r="S421" s="53"/>
      <c r="T421" s="53"/>
    </row>
    <row r="422" spans="12:20" x14ac:dyDescent="0.25">
      <c r="L422" s="2">
        <v>5</v>
      </c>
      <c r="M422" s="23" t="s">
        <v>298</v>
      </c>
      <c r="N422" s="23">
        <f>5/1</f>
        <v>5</v>
      </c>
      <c r="O422" s="21">
        <f t="shared" si="10"/>
        <v>0</v>
      </c>
      <c r="P422" s="26" t="s">
        <v>9</v>
      </c>
      <c r="Q422" s="54"/>
      <c r="R422" s="53"/>
      <c r="S422" s="53"/>
      <c r="T422" s="53"/>
    </row>
    <row r="423" spans="12:20" x14ac:dyDescent="0.25">
      <c r="L423" s="2">
        <v>5.03125</v>
      </c>
      <c r="M423" s="23" t="s">
        <v>996</v>
      </c>
      <c r="N423" s="23">
        <f>161/32</f>
        <v>5.03125</v>
      </c>
      <c r="O423" s="21">
        <f t="shared" si="10"/>
        <v>0</v>
      </c>
      <c r="P423" s="26" t="s">
        <v>9</v>
      </c>
      <c r="Q423" s="54"/>
      <c r="R423" s="53"/>
      <c r="S423" s="53"/>
      <c r="T423" s="53"/>
    </row>
    <row r="424" spans="12:20" x14ac:dyDescent="0.25">
      <c r="L424" s="2">
        <v>5.0625</v>
      </c>
      <c r="M424" s="23" t="s">
        <v>830</v>
      </c>
      <c r="N424" s="23">
        <f>81/16</f>
        <v>5.0625</v>
      </c>
      <c r="O424" s="21">
        <f t="shared" si="10"/>
        <v>0</v>
      </c>
      <c r="P424" s="26" t="s">
        <v>9</v>
      </c>
      <c r="Q424" s="54"/>
      <c r="R424" s="53"/>
      <c r="S424" s="53"/>
      <c r="T424" s="53"/>
    </row>
    <row r="425" spans="12:20" x14ac:dyDescent="0.25">
      <c r="L425" s="2">
        <v>5.09375</v>
      </c>
      <c r="M425" s="23" t="s">
        <v>997</v>
      </c>
      <c r="N425" s="23">
        <f>163/32</f>
        <v>5.09375</v>
      </c>
      <c r="O425" s="21">
        <f t="shared" si="10"/>
        <v>0</v>
      </c>
      <c r="P425" s="26" t="s">
        <v>9</v>
      </c>
      <c r="Q425" s="54"/>
      <c r="R425" s="53"/>
      <c r="S425" s="53"/>
      <c r="T425" s="53"/>
    </row>
    <row r="426" spans="12:20" x14ac:dyDescent="0.25">
      <c r="L426" s="2">
        <v>5.125</v>
      </c>
      <c r="M426" s="23" t="s">
        <v>683</v>
      </c>
      <c r="N426" s="23">
        <f>41/8</f>
        <v>5.125</v>
      </c>
      <c r="O426" s="21">
        <f t="shared" si="10"/>
        <v>0</v>
      </c>
      <c r="P426" s="26" t="s">
        <v>9</v>
      </c>
      <c r="Q426" s="54"/>
      <c r="R426" s="53"/>
      <c r="S426" s="53"/>
      <c r="T426" s="53"/>
    </row>
    <row r="427" spans="12:20" x14ac:dyDescent="0.25">
      <c r="L427" s="2">
        <v>5.15625</v>
      </c>
      <c r="M427" s="23" t="s">
        <v>998</v>
      </c>
      <c r="N427" s="23">
        <f>165/32</f>
        <v>5.15625</v>
      </c>
      <c r="O427" s="21">
        <f t="shared" si="10"/>
        <v>0</v>
      </c>
      <c r="P427" s="26" t="s">
        <v>9</v>
      </c>
      <c r="Q427" s="54"/>
      <c r="R427" s="53"/>
      <c r="S427" s="53"/>
      <c r="T427" s="53"/>
    </row>
    <row r="428" spans="12:20" x14ac:dyDescent="0.25">
      <c r="L428" s="2">
        <v>5.1875</v>
      </c>
      <c r="M428" s="23" t="s">
        <v>831</v>
      </c>
      <c r="N428" s="23">
        <f>83/16</f>
        <v>5.1875</v>
      </c>
      <c r="O428" s="21">
        <f t="shared" si="10"/>
        <v>0</v>
      </c>
      <c r="P428" s="26" t="s">
        <v>9</v>
      </c>
      <c r="Q428" s="54"/>
      <c r="R428" s="53"/>
      <c r="S428" s="53"/>
      <c r="T428" s="53"/>
    </row>
    <row r="429" spans="12:20" x14ac:dyDescent="0.25">
      <c r="L429" s="2">
        <v>5.21875</v>
      </c>
      <c r="M429" s="23" t="s">
        <v>999</v>
      </c>
      <c r="N429" s="23">
        <f>167/32</f>
        <v>5.21875</v>
      </c>
      <c r="O429" s="21">
        <f t="shared" si="10"/>
        <v>0</v>
      </c>
      <c r="P429" s="26" t="s">
        <v>9</v>
      </c>
      <c r="Q429" s="54"/>
      <c r="R429" s="53"/>
      <c r="S429" s="53"/>
      <c r="T429" s="53"/>
    </row>
    <row r="430" spans="12:20" x14ac:dyDescent="0.25">
      <c r="L430" s="2">
        <v>5.25</v>
      </c>
      <c r="M430" s="23" t="s">
        <v>546</v>
      </c>
      <c r="N430" s="23">
        <f>21/4</f>
        <v>5.25</v>
      </c>
      <c r="O430" s="21">
        <f t="shared" si="10"/>
        <v>0</v>
      </c>
      <c r="P430" s="26" t="s">
        <v>9</v>
      </c>
      <c r="Q430" s="54"/>
      <c r="R430" s="53"/>
      <c r="S430" s="53"/>
      <c r="T430" s="53"/>
    </row>
    <row r="431" spans="12:20" x14ac:dyDescent="0.25">
      <c r="L431" s="2">
        <v>5.28125</v>
      </c>
      <c r="M431" s="23" t="s">
        <v>1000</v>
      </c>
      <c r="N431" s="23">
        <f>169/32</f>
        <v>5.28125</v>
      </c>
      <c r="O431" s="21">
        <f t="shared" si="10"/>
        <v>0</v>
      </c>
      <c r="P431" s="26" t="s">
        <v>9</v>
      </c>
      <c r="Q431" s="54"/>
      <c r="R431" s="53"/>
      <c r="S431" s="53"/>
      <c r="T431" s="53"/>
    </row>
    <row r="432" spans="12:20" x14ac:dyDescent="0.25">
      <c r="L432" s="2">
        <v>5.3125</v>
      </c>
      <c r="M432" s="23" t="s">
        <v>832</v>
      </c>
      <c r="N432" s="23">
        <f>85/16</f>
        <v>5.3125</v>
      </c>
      <c r="O432" s="21">
        <f t="shared" si="10"/>
        <v>0</v>
      </c>
      <c r="P432" s="26" t="s">
        <v>9</v>
      </c>
      <c r="Q432" s="54"/>
      <c r="R432" s="53"/>
      <c r="S432" s="53"/>
      <c r="T432" s="53"/>
    </row>
    <row r="433" spans="12:20" x14ac:dyDescent="0.25">
      <c r="L433" s="2">
        <v>5.34375</v>
      </c>
      <c r="M433" s="23" t="s">
        <v>1001</v>
      </c>
      <c r="N433" s="23">
        <f>171/32</f>
        <v>5.34375</v>
      </c>
      <c r="O433" s="21">
        <f t="shared" si="10"/>
        <v>0</v>
      </c>
      <c r="P433" s="26" t="s">
        <v>9</v>
      </c>
      <c r="Q433" s="54"/>
      <c r="R433" s="53"/>
      <c r="S433" s="53"/>
      <c r="T433" s="53"/>
    </row>
    <row r="434" spans="12:20" x14ac:dyDescent="0.25">
      <c r="L434" s="2">
        <v>5.375</v>
      </c>
      <c r="M434" s="23" t="s">
        <v>684</v>
      </c>
      <c r="N434" s="23">
        <f>43/8</f>
        <v>5.375</v>
      </c>
      <c r="O434" s="21">
        <f t="shared" si="10"/>
        <v>0</v>
      </c>
      <c r="P434" s="26" t="s">
        <v>9</v>
      </c>
      <c r="Q434" s="54"/>
      <c r="R434" s="53"/>
      <c r="S434" s="53"/>
      <c r="T434" s="53"/>
    </row>
    <row r="435" spans="12:20" x14ac:dyDescent="0.25">
      <c r="L435" s="2">
        <v>5.40625</v>
      </c>
      <c r="M435" s="23" t="s">
        <v>1002</v>
      </c>
      <c r="N435" s="23">
        <f>173/32</f>
        <v>5.40625</v>
      </c>
      <c r="O435" s="21">
        <f t="shared" si="10"/>
        <v>0</v>
      </c>
      <c r="P435" s="26" t="s">
        <v>9</v>
      </c>
      <c r="Q435" s="54"/>
      <c r="R435" s="53"/>
      <c r="S435" s="53"/>
      <c r="T435" s="53"/>
    </row>
    <row r="436" spans="12:20" x14ac:dyDescent="0.25">
      <c r="L436" s="2">
        <v>5.4375</v>
      </c>
      <c r="M436" s="23" t="s">
        <v>833</v>
      </c>
      <c r="N436" s="23">
        <f>87/16</f>
        <v>5.4375</v>
      </c>
      <c r="O436" s="21">
        <f t="shared" si="10"/>
        <v>0</v>
      </c>
      <c r="P436" s="26" t="s">
        <v>9</v>
      </c>
      <c r="Q436" s="54"/>
      <c r="R436" s="53"/>
      <c r="S436" s="53"/>
      <c r="T436" s="53"/>
    </row>
    <row r="437" spans="12:20" x14ac:dyDescent="0.25">
      <c r="L437" s="2">
        <v>5.46875</v>
      </c>
      <c r="M437" s="23" t="s">
        <v>1003</v>
      </c>
      <c r="N437" s="23">
        <f>175/32</f>
        <v>5.46875</v>
      </c>
      <c r="O437" s="21">
        <f t="shared" si="10"/>
        <v>0</v>
      </c>
      <c r="P437" s="26" t="s">
        <v>9</v>
      </c>
      <c r="Q437" s="54"/>
      <c r="R437" s="53"/>
      <c r="S437" s="53"/>
      <c r="T437" s="53"/>
    </row>
    <row r="438" spans="12:20" x14ac:dyDescent="0.25">
      <c r="L438" s="2">
        <v>5.5</v>
      </c>
      <c r="M438" s="23" t="s">
        <v>510</v>
      </c>
      <c r="N438" s="23">
        <f>11/2</f>
        <v>5.5</v>
      </c>
      <c r="O438" s="21">
        <f t="shared" si="10"/>
        <v>0</v>
      </c>
      <c r="P438" s="26" t="s">
        <v>9</v>
      </c>
      <c r="Q438" s="54"/>
      <c r="R438" s="53"/>
      <c r="S438" s="53"/>
      <c r="T438" s="53"/>
    </row>
    <row r="439" spans="12:20" x14ac:dyDescent="0.25">
      <c r="L439" s="2">
        <v>5.53125</v>
      </c>
      <c r="M439" s="23" t="s">
        <v>1004</v>
      </c>
      <c r="N439" s="23">
        <f>177/32</f>
        <v>5.53125</v>
      </c>
      <c r="O439" s="21">
        <f t="shared" si="10"/>
        <v>0</v>
      </c>
      <c r="P439" s="26" t="s">
        <v>9</v>
      </c>
      <c r="Q439" s="54"/>
      <c r="R439" s="53"/>
      <c r="S439" s="53"/>
      <c r="T439" s="53"/>
    </row>
    <row r="440" spans="12:20" x14ac:dyDescent="0.25">
      <c r="L440" s="2">
        <v>5.5625</v>
      </c>
      <c r="M440" s="23" t="s">
        <v>834</v>
      </c>
      <c r="N440" s="23">
        <f>89/16</f>
        <v>5.5625</v>
      </c>
      <c r="O440" s="21">
        <f t="shared" si="10"/>
        <v>0</v>
      </c>
      <c r="P440" s="26" t="s">
        <v>9</v>
      </c>
      <c r="Q440" s="54"/>
      <c r="R440" s="53"/>
      <c r="S440" s="53"/>
      <c r="T440" s="53"/>
    </row>
    <row r="441" spans="12:20" x14ac:dyDescent="0.25">
      <c r="L441" s="2">
        <v>5.59375</v>
      </c>
      <c r="M441" s="23" t="s">
        <v>1005</v>
      </c>
      <c r="N441" s="23">
        <f>179/32</f>
        <v>5.59375</v>
      </c>
      <c r="O441" s="21">
        <f t="shared" si="10"/>
        <v>0</v>
      </c>
      <c r="P441" s="26" t="s">
        <v>9</v>
      </c>
      <c r="Q441" s="54"/>
      <c r="R441" s="53"/>
      <c r="S441" s="53"/>
      <c r="T441" s="53"/>
    </row>
    <row r="442" spans="12:20" x14ac:dyDescent="0.25">
      <c r="L442" s="2">
        <v>5.625</v>
      </c>
      <c r="M442" s="23" t="s">
        <v>685</v>
      </c>
      <c r="N442" s="23">
        <f>45/8</f>
        <v>5.625</v>
      </c>
      <c r="O442" s="21">
        <f t="shared" si="10"/>
        <v>0</v>
      </c>
      <c r="P442" s="26" t="s">
        <v>9</v>
      </c>
      <c r="Q442" s="54"/>
      <c r="R442" s="53"/>
      <c r="S442" s="53"/>
      <c r="T442" s="53"/>
    </row>
    <row r="443" spans="12:20" x14ac:dyDescent="0.25">
      <c r="L443" s="2">
        <v>5.65625</v>
      </c>
      <c r="M443" s="23" t="s">
        <v>1006</v>
      </c>
      <c r="N443" s="23">
        <f>181/32</f>
        <v>5.65625</v>
      </c>
      <c r="O443" s="21">
        <f t="shared" si="10"/>
        <v>0</v>
      </c>
      <c r="P443" s="26" t="s">
        <v>9</v>
      </c>
      <c r="Q443" s="54"/>
      <c r="R443" s="53"/>
      <c r="S443" s="53"/>
      <c r="T443" s="53"/>
    </row>
    <row r="444" spans="12:20" x14ac:dyDescent="0.25">
      <c r="L444" s="2">
        <v>5.6875</v>
      </c>
      <c r="M444" s="23" t="s">
        <v>835</v>
      </c>
      <c r="N444" s="23">
        <f>91/16</f>
        <v>5.6875</v>
      </c>
      <c r="O444" s="21">
        <f t="shared" si="10"/>
        <v>0</v>
      </c>
      <c r="P444" s="26" t="s">
        <v>9</v>
      </c>
      <c r="Q444" s="54"/>
      <c r="R444" s="53"/>
      <c r="S444" s="53"/>
      <c r="T444" s="53"/>
    </row>
    <row r="445" spans="12:20" x14ac:dyDescent="0.25">
      <c r="L445" s="2">
        <v>5.71875</v>
      </c>
      <c r="M445" s="23" t="s">
        <v>1007</v>
      </c>
      <c r="N445" s="23">
        <f>183/32</f>
        <v>5.71875</v>
      </c>
      <c r="O445" s="21">
        <f t="shared" si="10"/>
        <v>0</v>
      </c>
      <c r="P445" s="26" t="s">
        <v>9</v>
      </c>
      <c r="Q445" s="54"/>
      <c r="R445" s="53"/>
      <c r="S445" s="53"/>
      <c r="T445" s="53"/>
    </row>
    <row r="446" spans="12:20" x14ac:dyDescent="0.25">
      <c r="L446" s="2">
        <v>5.75</v>
      </c>
      <c r="M446" s="23" t="s">
        <v>547</v>
      </c>
      <c r="N446" s="23">
        <f>23/4</f>
        <v>5.75</v>
      </c>
      <c r="O446" s="21">
        <f t="shared" si="10"/>
        <v>0</v>
      </c>
      <c r="P446" s="26" t="s">
        <v>9</v>
      </c>
      <c r="Q446" s="54"/>
      <c r="R446" s="53"/>
      <c r="S446" s="53"/>
      <c r="T446" s="53"/>
    </row>
    <row r="447" spans="12:20" x14ac:dyDescent="0.25">
      <c r="L447" s="2">
        <v>5.78125</v>
      </c>
      <c r="M447" s="23" t="s">
        <v>1008</v>
      </c>
      <c r="N447" s="23">
        <f>185/32</f>
        <v>5.78125</v>
      </c>
      <c r="O447" s="21">
        <f t="shared" si="10"/>
        <v>0</v>
      </c>
      <c r="P447" s="26" t="s">
        <v>9</v>
      </c>
      <c r="Q447" s="54"/>
      <c r="R447" s="53"/>
      <c r="S447" s="53"/>
      <c r="T447" s="53"/>
    </row>
    <row r="448" spans="12:20" x14ac:dyDescent="0.25">
      <c r="L448" s="2">
        <v>5.8125</v>
      </c>
      <c r="M448" s="23" t="s">
        <v>836</v>
      </c>
      <c r="N448" s="23">
        <f>93/16</f>
        <v>5.8125</v>
      </c>
      <c r="O448" s="21">
        <f t="shared" si="10"/>
        <v>0</v>
      </c>
      <c r="P448" s="26" t="s">
        <v>9</v>
      </c>
      <c r="Q448" s="54"/>
      <c r="R448" s="53"/>
      <c r="S448" s="53"/>
      <c r="T448" s="53"/>
    </row>
    <row r="449" spans="12:20" x14ac:dyDescent="0.25">
      <c r="L449" s="2">
        <v>5.84375</v>
      </c>
      <c r="M449" s="23" t="s">
        <v>1009</v>
      </c>
      <c r="N449" s="23">
        <f>187/32</f>
        <v>5.84375</v>
      </c>
      <c r="O449" s="21">
        <f t="shared" si="10"/>
        <v>0</v>
      </c>
      <c r="P449" s="26" t="s">
        <v>9</v>
      </c>
      <c r="Q449" s="54"/>
      <c r="R449" s="53"/>
      <c r="S449" s="53"/>
      <c r="T449" s="53"/>
    </row>
    <row r="450" spans="12:20" x14ac:dyDescent="0.25">
      <c r="L450" s="2">
        <v>5.875</v>
      </c>
      <c r="M450" s="23" t="s">
        <v>686</v>
      </c>
      <c r="N450" s="23">
        <f>47/8</f>
        <v>5.875</v>
      </c>
      <c r="O450" s="21">
        <f t="shared" si="10"/>
        <v>0</v>
      </c>
      <c r="P450" s="26" t="s">
        <v>9</v>
      </c>
      <c r="Q450" s="54"/>
      <c r="R450" s="53"/>
      <c r="S450" s="53"/>
      <c r="T450" s="53"/>
    </row>
    <row r="451" spans="12:20" x14ac:dyDescent="0.25">
      <c r="L451" s="2">
        <v>5.90625</v>
      </c>
      <c r="M451" s="23" t="s">
        <v>1010</v>
      </c>
      <c r="N451" s="23">
        <f>189/32</f>
        <v>5.90625</v>
      </c>
      <c r="O451" s="21">
        <f t="shared" si="10"/>
        <v>0</v>
      </c>
      <c r="P451" s="26" t="s">
        <v>9</v>
      </c>
      <c r="Q451" s="54"/>
      <c r="R451" s="53"/>
      <c r="S451" s="53"/>
      <c r="T451" s="53"/>
    </row>
    <row r="452" spans="12:20" x14ac:dyDescent="0.25">
      <c r="L452" s="2">
        <v>5.9375</v>
      </c>
      <c r="M452" s="23" t="s">
        <v>837</v>
      </c>
      <c r="N452" s="23">
        <f>95/16</f>
        <v>5.9375</v>
      </c>
      <c r="O452" s="21">
        <f t="shared" si="10"/>
        <v>0</v>
      </c>
      <c r="P452" s="26" t="s">
        <v>9</v>
      </c>
      <c r="Q452" s="54"/>
      <c r="R452" s="53"/>
      <c r="S452" s="53"/>
      <c r="T452" s="53"/>
    </row>
    <row r="453" spans="12:20" x14ac:dyDescent="0.25">
      <c r="L453" s="2">
        <v>5.96875</v>
      </c>
      <c r="M453" s="23" t="s">
        <v>1011</v>
      </c>
      <c r="N453" s="23">
        <f>191/32</f>
        <v>5.96875</v>
      </c>
      <c r="O453" s="21">
        <f t="shared" si="10"/>
        <v>0</v>
      </c>
      <c r="P453" s="26" t="s">
        <v>9</v>
      </c>
      <c r="Q453" s="54"/>
      <c r="R453" s="53"/>
      <c r="S453" s="53"/>
      <c r="T453" s="53"/>
    </row>
    <row r="454" spans="12:20" x14ac:dyDescent="0.25">
      <c r="L454" s="2">
        <v>6</v>
      </c>
      <c r="M454" s="23" t="s">
        <v>286</v>
      </c>
      <c r="N454" s="23">
        <f>6/1</f>
        <v>6</v>
      </c>
      <c r="O454" s="21">
        <f t="shared" si="10"/>
        <v>0</v>
      </c>
      <c r="P454" s="26" t="s">
        <v>9</v>
      </c>
      <c r="Q454" s="54"/>
      <c r="R454" s="53"/>
      <c r="S454" s="53"/>
      <c r="T454" s="53"/>
    </row>
    <row r="455" spans="12:20" x14ac:dyDescent="0.25">
      <c r="L455" s="2">
        <v>6.03125</v>
      </c>
      <c r="M455" s="23" t="s">
        <v>1012</v>
      </c>
      <c r="N455" s="23">
        <f>193/32</f>
        <v>6.03125</v>
      </c>
      <c r="O455" s="21">
        <f t="shared" ref="O455:O518" si="11">ABS(L455-N455)</f>
        <v>0</v>
      </c>
      <c r="P455" s="26" t="s">
        <v>9</v>
      </c>
      <c r="Q455" s="54"/>
      <c r="R455" s="53"/>
      <c r="S455" s="53"/>
      <c r="T455" s="53"/>
    </row>
    <row r="456" spans="12:20" x14ac:dyDescent="0.25">
      <c r="L456" s="2">
        <v>6.0625</v>
      </c>
      <c r="M456" s="23" t="s">
        <v>838</v>
      </c>
      <c r="N456" s="23">
        <f>97/16</f>
        <v>6.0625</v>
      </c>
      <c r="O456" s="21">
        <f t="shared" si="11"/>
        <v>0</v>
      </c>
      <c r="P456" s="26" t="s">
        <v>9</v>
      </c>
      <c r="Q456" s="54"/>
      <c r="R456" s="53"/>
      <c r="S456" s="53"/>
      <c r="T456" s="53"/>
    </row>
    <row r="457" spans="12:20" x14ac:dyDescent="0.25">
      <c r="L457" s="2">
        <v>6.09375</v>
      </c>
      <c r="M457" s="23" t="s">
        <v>1013</v>
      </c>
      <c r="N457" s="23">
        <f>195/32</f>
        <v>6.09375</v>
      </c>
      <c r="O457" s="21">
        <f t="shared" si="11"/>
        <v>0</v>
      </c>
      <c r="P457" s="26" t="s">
        <v>9</v>
      </c>
      <c r="Q457" s="54"/>
      <c r="R457" s="53"/>
      <c r="S457" s="53"/>
      <c r="T457" s="53"/>
    </row>
    <row r="458" spans="12:20" x14ac:dyDescent="0.25">
      <c r="L458" s="2">
        <v>6.125</v>
      </c>
      <c r="M458" s="23" t="s">
        <v>687</v>
      </c>
      <c r="N458" s="23">
        <f>49/8</f>
        <v>6.125</v>
      </c>
      <c r="O458" s="21">
        <f t="shared" si="11"/>
        <v>0</v>
      </c>
      <c r="P458" s="26" t="s">
        <v>9</v>
      </c>
      <c r="Q458" s="54"/>
      <c r="R458" s="53"/>
      <c r="S458" s="53"/>
      <c r="T458" s="53"/>
    </row>
    <row r="459" spans="12:20" x14ac:dyDescent="0.25">
      <c r="L459" s="2">
        <v>6.15625</v>
      </c>
      <c r="M459" s="23" t="s">
        <v>1014</v>
      </c>
      <c r="N459" s="23">
        <f>197/32</f>
        <v>6.15625</v>
      </c>
      <c r="O459" s="21">
        <f t="shared" si="11"/>
        <v>0</v>
      </c>
      <c r="P459" s="26" t="s">
        <v>9</v>
      </c>
      <c r="Q459" s="54"/>
      <c r="R459" s="53"/>
      <c r="S459" s="53"/>
      <c r="T459" s="53"/>
    </row>
    <row r="460" spans="12:20" x14ac:dyDescent="0.25">
      <c r="L460" s="2">
        <v>6.1875</v>
      </c>
      <c r="M460" s="23" t="s">
        <v>839</v>
      </c>
      <c r="N460" s="23">
        <f>99/16</f>
        <v>6.1875</v>
      </c>
      <c r="O460" s="21">
        <f t="shared" si="11"/>
        <v>0</v>
      </c>
      <c r="P460" s="26" t="s">
        <v>9</v>
      </c>
      <c r="Q460" s="54"/>
      <c r="R460" s="53"/>
      <c r="S460" s="53"/>
      <c r="T460" s="53"/>
    </row>
    <row r="461" spans="12:20" x14ac:dyDescent="0.25">
      <c r="L461" s="2">
        <v>6.21875</v>
      </c>
      <c r="M461" s="23" t="s">
        <v>1015</v>
      </c>
      <c r="N461" s="23">
        <f>199/32</f>
        <v>6.21875</v>
      </c>
      <c r="O461" s="21">
        <f t="shared" si="11"/>
        <v>0</v>
      </c>
      <c r="P461" s="26" t="s">
        <v>9</v>
      </c>
      <c r="Q461" s="54"/>
      <c r="R461" s="53"/>
      <c r="S461" s="53"/>
      <c r="T461" s="53"/>
    </row>
    <row r="462" spans="12:20" x14ac:dyDescent="0.25">
      <c r="L462" s="2">
        <v>6.25</v>
      </c>
      <c r="M462" s="23" t="s">
        <v>548</v>
      </c>
      <c r="N462" s="23">
        <f>25/4</f>
        <v>6.25</v>
      </c>
      <c r="O462" s="21">
        <f t="shared" si="11"/>
        <v>0</v>
      </c>
      <c r="P462" s="26" t="s">
        <v>9</v>
      </c>
      <c r="Q462" s="54"/>
      <c r="R462" s="53"/>
      <c r="S462" s="53"/>
      <c r="T462" s="53"/>
    </row>
    <row r="463" spans="12:20" x14ac:dyDescent="0.25">
      <c r="L463" s="2">
        <v>6.28125</v>
      </c>
      <c r="M463" s="23" t="s">
        <v>1016</v>
      </c>
      <c r="N463" s="23">
        <f>201/32</f>
        <v>6.28125</v>
      </c>
      <c r="O463" s="21">
        <f t="shared" si="11"/>
        <v>0</v>
      </c>
      <c r="P463" s="26" t="s">
        <v>9</v>
      </c>
      <c r="Q463" s="54"/>
      <c r="R463" s="53"/>
      <c r="S463" s="53"/>
      <c r="T463" s="53"/>
    </row>
    <row r="464" spans="12:20" x14ac:dyDescent="0.25">
      <c r="L464" s="2">
        <v>6.3125</v>
      </c>
      <c r="M464" s="23" t="s">
        <v>840</v>
      </c>
      <c r="N464" s="23">
        <f>101/16</f>
        <v>6.3125</v>
      </c>
      <c r="O464" s="21">
        <f t="shared" si="11"/>
        <v>0</v>
      </c>
      <c r="P464" s="26" t="s">
        <v>9</v>
      </c>
      <c r="Q464" s="54"/>
      <c r="R464" s="53"/>
      <c r="S464" s="53"/>
      <c r="T464" s="53"/>
    </row>
    <row r="465" spans="12:20" x14ac:dyDescent="0.25">
      <c r="L465" s="2">
        <v>6.34375</v>
      </c>
      <c r="M465" s="23" t="s">
        <v>1017</v>
      </c>
      <c r="N465" s="23">
        <f>203/32</f>
        <v>6.34375</v>
      </c>
      <c r="O465" s="21">
        <f t="shared" si="11"/>
        <v>0</v>
      </c>
      <c r="P465" s="26" t="s">
        <v>9</v>
      </c>
      <c r="Q465" s="54"/>
      <c r="R465" s="53"/>
      <c r="S465" s="53"/>
      <c r="T465" s="53"/>
    </row>
    <row r="466" spans="12:20" x14ac:dyDescent="0.25">
      <c r="L466" s="2">
        <v>6.375</v>
      </c>
      <c r="M466" s="23" t="s">
        <v>688</v>
      </c>
      <c r="N466" s="23">
        <f>51/8</f>
        <v>6.375</v>
      </c>
      <c r="O466" s="21">
        <f t="shared" si="11"/>
        <v>0</v>
      </c>
      <c r="P466" s="26" t="s">
        <v>9</v>
      </c>
      <c r="Q466" s="54"/>
      <c r="R466" s="53"/>
      <c r="S466" s="53"/>
      <c r="T466" s="53"/>
    </row>
    <row r="467" spans="12:20" x14ac:dyDescent="0.25">
      <c r="L467" s="2">
        <v>6.40625</v>
      </c>
      <c r="M467" s="23" t="s">
        <v>1018</v>
      </c>
      <c r="N467" s="23">
        <f>205/32</f>
        <v>6.40625</v>
      </c>
      <c r="O467" s="21">
        <f t="shared" si="11"/>
        <v>0</v>
      </c>
      <c r="P467" s="26" t="s">
        <v>9</v>
      </c>
      <c r="Q467" s="54"/>
      <c r="R467" s="53"/>
      <c r="S467" s="53"/>
      <c r="T467" s="53"/>
    </row>
    <row r="468" spans="12:20" x14ac:dyDescent="0.25">
      <c r="L468" s="2">
        <v>6.4375</v>
      </c>
      <c r="M468" s="23" t="s">
        <v>841</v>
      </c>
      <c r="N468" s="23">
        <f>103/16</f>
        <v>6.4375</v>
      </c>
      <c r="O468" s="21">
        <f t="shared" si="11"/>
        <v>0</v>
      </c>
      <c r="P468" s="26" t="s">
        <v>9</v>
      </c>
      <c r="Q468" s="54"/>
      <c r="R468" s="53"/>
      <c r="S468" s="53"/>
      <c r="T468" s="53"/>
    </row>
    <row r="469" spans="12:20" x14ac:dyDescent="0.25">
      <c r="L469" s="2">
        <v>6.46875</v>
      </c>
      <c r="M469" s="23" t="s">
        <v>1019</v>
      </c>
      <c r="N469" s="23">
        <f>207/32</f>
        <v>6.46875</v>
      </c>
      <c r="O469" s="21">
        <f t="shared" si="11"/>
        <v>0</v>
      </c>
      <c r="P469" s="26" t="s">
        <v>9</v>
      </c>
      <c r="Q469" s="54"/>
      <c r="R469" s="53"/>
      <c r="S469" s="53"/>
      <c r="T469" s="53"/>
    </row>
    <row r="470" spans="12:20" x14ac:dyDescent="0.25">
      <c r="L470" s="2">
        <v>6.5</v>
      </c>
      <c r="M470" s="23" t="s">
        <v>511</v>
      </c>
      <c r="N470" s="23">
        <f>13/2</f>
        <v>6.5</v>
      </c>
      <c r="O470" s="21">
        <f t="shared" si="11"/>
        <v>0</v>
      </c>
      <c r="P470" s="26" t="s">
        <v>9</v>
      </c>
      <c r="Q470" s="54"/>
      <c r="R470" s="53"/>
      <c r="S470" s="53"/>
      <c r="T470" s="53"/>
    </row>
    <row r="471" spans="12:20" x14ac:dyDescent="0.25">
      <c r="L471" s="2">
        <v>6.53125</v>
      </c>
      <c r="M471" s="23" t="s">
        <v>1020</v>
      </c>
      <c r="N471" s="23">
        <f>209/32</f>
        <v>6.53125</v>
      </c>
      <c r="O471" s="21">
        <f t="shared" si="11"/>
        <v>0</v>
      </c>
      <c r="P471" s="26" t="s">
        <v>9</v>
      </c>
      <c r="Q471" s="54"/>
      <c r="R471" s="53"/>
      <c r="S471" s="53"/>
      <c r="T471" s="53"/>
    </row>
    <row r="472" spans="12:20" x14ac:dyDescent="0.25">
      <c r="L472" s="2">
        <v>6.5625</v>
      </c>
      <c r="M472" s="23" t="s">
        <v>842</v>
      </c>
      <c r="N472" s="23">
        <f>105/16</f>
        <v>6.5625</v>
      </c>
      <c r="O472" s="21">
        <f t="shared" si="11"/>
        <v>0</v>
      </c>
      <c r="P472" s="26" t="s">
        <v>9</v>
      </c>
      <c r="Q472" s="54"/>
      <c r="R472" s="53"/>
      <c r="S472" s="53"/>
      <c r="T472" s="53"/>
    </row>
    <row r="473" spans="12:20" x14ac:dyDescent="0.25">
      <c r="L473" s="2">
        <v>6.59375</v>
      </c>
      <c r="M473" s="23" t="s">
        <v>1021</v>
      </c>
      <c r="N473" s="23">
        <f>211/32</f>
        <v>6.59375</v>
      </c>
      <c r="O473" s="21">
        <f t="shared" si="11"/>
        <v>0</v>
      </c>
      <c r="P473" s="26" t="s">
        <v>9</v>
      </c>
      <c r="Q473" s="54"/>
      <c r="R473" s="53"/>
      <c r="S473" s="53"/>
      <c r="T473" s="53"/>
    </row>
    <row r="474" spans="12:20" x14ac:dyDescent="0.25">
      <c r="L474" s="2">
        <v>6.625</v>
      </c>
      <c r="M474" s="23" t="s">
        <v>689</v>
      </c>
      <c r="N474" s="23">
        <f>53/8</f>
        <v>6.625</v>
      </c>
      <c r="O474" s="21">
        <f t="shared" si="11"/>
        <v>0</v>
      </c>
      <c r="P474" s="26" t="s">
        <v>9</v>
      </c>
      <c r="Q474" s="54"/>
      <c r="R474" s="53"/>
      <c r="S474" s="53"/>
      <c r="T474" s="53"/>
    </row>
    <row r="475" spans="12:20" x14ac:dyDescent="0.25">
      <c r="L475" s="2">
        <v>6.65625</v>
      </c>
      <c r="M475" s="23" t="s">
        <v>1022</v>
      </c>
      <c r="N475" s="23">
        <f>213/32</f>
        <v>6.65625</v>
      </c>
      <c r="O475" s="21">
        <f t="shared" si="11"/>
        <v>0</v>
      </c>
      <c r="P475" s="26" t="s">
        <v>9</v>
      </c>
      <c r="Q475" s="54"/>
      <c r="R475" s="53"/>
      <c r="S475" s="53"/>
      <c r="T475" s="53"/>
    </row>
    <row r="476" spans="12:20" x14ac:dyDescent="0.25">
      <c r="L476" s="2">
        <v>6.6875</v>
      </c>
      <c r="M476" s="23" t="s">
        <v>843</v>
      </c>
      <c r="N476" s="23">
        <f>107/16</f>
        <v>6.6875</v>
      </c>
      <c r="O476" s="21">
        <f t="shared" si="11"/>
        <v>0</v>
      </c>
      <c r="P476" s="26" t="s">
        <v>9</v>
      </c>
      <c r="Q476" s="54"/>
      <c r="R476" s="53"/>
      <c r="S476" s="53"/>
      <c r="T476" s="53"/>
    </row>
    <row r="477" spans="12:20" x14ac:dyDescent="0.25">
      <c r="L477" s="2">
        <v>6.71875</v>
      </c>
      <c r="M477" s="23" t="s">
        <v>1023</v>
      </c>
      <c r="N477" s="23">
        <f>215/32</f>
        <v>6.71875</v>
      </c>
      <c r="O477" s="21">
        <f t="shared" si="11"/>
        <v>0</v>
      </c>
      <c r="P477" s="26" t="s">
        <v>9</v>
      </c>
      <c r="Q477" s="54"/>
      <c r="R477" s="53"/>
      <c r="S477" s="53"/>
      <c r="T477" s="53"/>
    </row>
    <row r="478" spans="12:20" x14ac:dyDescent="0.25">
      <c r="L478" s="2">
        <v>6.75</v>
      </c>
      <c r="M478" s="23" t="s">
        <v>549</v>
      </c>
      <c r="N478" s="23">
        <f>27/4</f>
        <v>6.75</v>
      </c>
      <c r="O478" s="21">
        <f t="shared" si="11"/>
        <v>0</v>
      </c>
      <c r="P478" s="26" t="s">
        <v>9</v>
      </c>
      <c r="Q478" s="54"/>
      <c r="R478" s="53"/>
      <c r="S478" s="53"/>
      <c r="T478" s="53"/>
    </row>
    <row r="479" spans="12:20" x14ac:dyDescent="0.25">
      <c r="L479" s="2">
        <v>6.78125</v>
      </c>
      <c r="M479" s="23" t="s">
        <v>1024</v>
      </c>
      <c r="N479" s="23">
        <f>217/32</f>
        <v>6.78125</v>
      </c>
      <c r="O479" s="21">
        <f t="shared" si="11"/>
        <v>0</v>
      </c>
      <c r="P479" s="26" t="s">
        <v>9</v>
      </c>
      <c r="Q479" s="54"/>
      <c r="R479" s="53"/>
      <c r="S479" s="53"/>
      <c r="T479" s="53"/>
    </row>
    <row r="480" spans="12:20" x14ac:dyDescent="0.25">
      <c r="L480" s="2">
        <v>6.8125</v>
      </c>
      <c r="M480" s="23" t="s">
        <v>844</v>
      </c>
      <c r="N480" s="23">
        <f>109/16</f>
        <v>6.8125</v>
      </c>
      <c r="O480" s="21">
        <f t="shared" si="11"/>
        <v>0</v>
      </c>
      <c r="P480" s="26" t="s">
        <v>9</v>
      </c>
      <c r="Q480" s="54"/>
      <c r="R480" s="53"/>
      <c r="S480" s="53"/>
      <c r="T480" s="53"/>
    </row>
    <row r="481" spans="12:20" x14ac:dyDescent="0.25">
      <c r="L481" s="2">
        <v>6.84375</v>
      </c>
      <c r="M481" s="23" t="s">
        <v>1025</v>
      </c>
      <c r="N481" s="23">
        <f>219/32</f>
        <v>6.84375</v>
      </c>
      <c r="O481" s="21">
        <f t="shared" si="11"/>
        <v>0</v>
      </c>
      <c r="P481" s="26" t="s">
        <v>9</v>
      </c>
      <c r="Q481" s="54"/>
      <c r="R481" s="53"/>
      <c r="S481" s="53"/>
      <c r="T481" s="53"/>
    </row>
    <row r="482" spans="12:20" x14ac:dyDescent="0.25">
      <c r="L482" s="2">
        <v>6.875</v>
      </c>
      <c r="M482" s="23" t="s">
        <v>690</v>
      </c>
      <c r="N482" s="23">
        <f>55/8</f>
        <v>6.875</v>
      </c>
      <c r="O482" s="21">
        <f t="shared" si="11"/>
        <v>0</v>
      </c>
      <c r="P482" s="26" t="s">
        <v>9</v>
      </c>
      <c r="Q482" s="54"/>
      <c r="R482" s="53"/>
      <c r="S482" s="53"/>
      <c r="T482" s="53"/>
    </row>
    <row r="483" spans="12:20" x14ac:dyDescent="0.25">
      <c r="L483" s="2">
        <v>6.90625</v>
      </c>
      <c r="M483" s="23" t="s">
        <v>1026</v>
      </c>
      <c r="N483" s="23">
        <f>221/32</f>
        <v>6.90625</v>
      </c>
      <c r="O483" s="21">
        <f t="shared" si="11"/>
        <v>0</v>
      </c>
      <c r="P483" s="26" t="s">
        <v>9</v>
      </c>
      <c r="Q483" s="54"/>
      <c r="R483" s="53"/>
      <c r="S483" s="53"/>
      <c r="T483" s="53"/>
    </row>
    <row r="484" spans="12:20" x14ac:dyDescent="0.25">
      <c r="L484" s="2">
        <v>6.9375</v>
      </c>
      <c r="M484" s="23" t="s">
        <v>845</v>
      </c>
      <c r="N484" s="23">
        <f>111/16</f>
        <v>6.9375</v>
      </c>
      <c r="O484" s="21">
        <f t="shared" si="11"/>
        <v>0</v>
      </c>
      <c r="P484" s="26" t="s">
        <v>9</v>
      </c>
      <c r="Q484" s="54"/>
      <c r="R484" s="53"/>
      <c r="S484" s="53"/>
      <c r="T484" s="53"/>
    </row>
    <row r="485" spans="12:20" x14ac:dyDescent="0.25">
      <c r="L485" s="2">
        <v>6.96875</v>
      </c>
      <c r="M485" s="23" t="s">
        <v>1027</v>
      </c>
      <c r="N485" s="23">
        <f>223/32</f>
        <v>6.96875</v>
      </c>
      <c r="O485" s="21">
        <f t="shared" si="11"/>
        <v>0</v>
      </c>
      <c r="P485" s="26" t="s">
        <v>9</v>
      </c>
      <c r="Q485" s="54"/>
      <c r="R485" s="53"/>
      <c r="S485" s="53"/>
      <c r="T485" s="53"/>
    </row>
    <row r="486" spans="12:20" x14ac:dyDescent="0.25">
      <c r="L486" s="2">
        <v>7</v>
      </c>
      <c r="M486" s="23" t="s">
        <v>299</v>
      </c>
      <c r="N486" s="23">
        <f>7/1</f>
        <v>7</v>
      </c>
      <c r="O486" s="21">
        <f t="shared" si="11"/>
        <v>0</v>
      </c>
      <c r="P486" s="26" t="s">
        <v>9</v>
      </c>
      <c r="Q486" s="54"/>
      <c r="R486" s="53"/>
      <c r="S486" s="53"/>
      <c r="T486" s="53"/>
    </row>
    <row r="487" spans="12:20" x14ac:dyDescent="0.25">
      <c r="L487" s="2">
        <v>7.03125</v>
      </c>
      <c r="M487" s="23" t="s">
        <v>1028</v>
      </c>
      <c r="N487" s="23">
        <f>225/32</f>
        <v>7.03125</v>
      </c>
      <c r="O487" s="21">
        <f t="shared" si="11"/>
        <v>0</v>
      </c>
      <c r="P487" s="26" t="s">
        <v>9</v>
      </c>
      <c r="Q487" s="54"/>
      <c r="R487" s="53"/>
      <c r="S487" s="53"/>
      <c r="T487" s="53"/>
    </row>
    <row r="488" spans="12:20" x14ac:dyDescent="0.25">
      <c r="L488" s="2">
        <v>7.0625</v>
      </c>
      <c r="M488" s="23" t="s">
        <v>846</v>
      </c>
      <c r="N488" s="23">
        <f>113/16</f>
        <v>7.0625</v>
      </c>
      <c r="O488" s="21">
        <f t="shared" si="11"/>
        <v>0</v>
      </c>
      <c r="P488" s="26" t="s">
        <v>9</v>
      </c>
      <c r="Q488" s="54"/>
      <c r="R488" s="53"/>
      <c r="S488" s="53"/>
      <c r="T488" s="53"/>
    </row>
    <row r="489" spans="12:20" x14ac:dyDescent="0.25">
      <c r="L489" s="2">
        <v>7.09375</v>
      </c>
      <c r="M489" s="23" t="s">
        <v>1029</v>
      </c>
      <c r="N489" s="23">
        <f>227/32</f>
        <v>7.09375</v>
      </c>
      <c r="O489" s="21">
        <f t="shared" si="11"/>
        <v>0</v>
      </c>
      <c r="P489" s="26" t="s">
        <v>9</v>
      </c>
      <c r="Q489" s="54"/>
      <c r="R489" s="53"/>
      <c r="S489" s="53"/>
      <c r="T489" s="53"/>
    </row>
    <row r="490" spans="12:20" x14ac:dyDescent="0.25">
      <c r="L490" s="2">
        <v>7.125</v>
      </c>
      <c r="M490" s="23" t="s">
        <v>691</v>
      </c>
      <c r="N490" s="23">
        <f>57/8</f>
        <v>7.125</v>
      </c>
      <c r="O490" s="21">
        <f t="shared" si="11"/>
        <v>0</v>
      </c>
      <c r="P490" s="26" t="s">
        <v>9</v>
      </c>
      <c r="Q490" s="54"/>
      <c r="R490" s="53"/>
      <c r="S490" s="53"/>
      <c r="T490" s="53"/>
    </row>
    <row r="491" spans="12:20" x14ac:dyDescent="0.25">
      <c r="L491" s="2">
        <v>7.15625</v>
      </c>
      <c r="M491" s="23" t="s">
        <v>1030</v>
      </c>
      <c r="N491" s="23">
        <f>229/32</f>
        <v>7.15625</v>
      </c>
      <c r="O491" s="21">
        <f t="shared" si="11"/>
        <v>0</v>
      </c>
      <c r="P491" s="26" t="s">
        <v>9</v>
      </c>
      <c r="Q491" s="54"/>
      <c r="R491" s="53"/>
      <c r="S491" s="53"/>
      <c r="T491" s="53"/>
    </row>
    <row r="492" spans="12:20" x14ac:dyDescent="0.25">
      <c r="L492" s="2">
        <v>7.1875</v>
      </c>
      <c r="M492" s="23" t="s">
        <v>847</v>
      </c>
      <c r="N492" s="23">
        <f>115/16</f>
        <v>7.1875</v>
      </c>
      <c r="O492" s="21">
        <f t="shared" si="11"/>
        <v>0</v>
      </c>
      <c r="P492" s="26" t="s">
        <v>9</v>
      </c>
      <c r="Q492" s="54"/>
      <c r="R492" s="53"/>
      <c r="S492" s="53"/>
      <c r="T492" s="53"/>
    </row>
    <row r="493" spans="12:20" x14ac:dyDescent="0.25">
      <c r="L493" s="2">
        <v>7.21875</v>
      </c>
      <c r="M493" s="23" t="s">
        <v>1031</v>
      </c>
      <c r="N493" s="23">
        <f>231/32</f>
        <v>7.21875</v>
      </c>
      <c r="O493" s="21">
        <f t="shared" si="11"/>
        <v>0</v>
      </c>
      <c r="P493" s="26" t="s">
        <v>9</v>
      </c>
      <c r="Q493" s="54"/>
      <c r="R493" s="53"/>
      <c r="S493" s="53"/>
      <c r="T493" s="53"/>
    </row>
    <row r="494" spans="12:20" x14ac:dyDescent="0.25">
      <c r="L494" s="2">
        <v>7.25</v>
      </c>
      <c r="M494" s="23" t="s">
        <v>550</v>
      </c>
      <c r="N494" s="23">
        <f>29/4</f>
        <v>7.25</v>
      </c>
      <c r="O494" s="21">
        <f t="shared" si="11"/>
        <v>0</v>
      </c>
      <c r="P494" s="26" t="s">
        <v>9</v>
      </c>
      <c r="Q494" s="54"/>
      <c r="R494" s="53"/>
      <c r="S494" s="53"/>
      <c r="T494" s="53"/>
    </row>
    <row r="495" spans="12:20" x14ac:dyDescent="0.25">
      <c r="L495" s="2">
        <v>7.28125</v>
      </c>
      <c r="M495" s="23" t="s">
        <v>1032</v>
      </c>
      <c r="N495" s="23">
        <f>233/32</f>
        <v>7.28125</v>
      </c>
      <c r="O495" s="21">
        <f t="shared" si="11"/>
        <v>0</v>
      </c>
      <c r="P495" s="26" t="s">
        <v>9</v>
      </c>
      <c r="Q495" s="54"/>
      <c r="R495" s="53"/>
      <c r="S495" s="53"/>
      <c r="T495" s="53"/>
    </row>
    <row r="496" spans="12:20" x14ac:dyDescent="0.25">
      <c r="L496" s="2">
        <v>7.3125</v>
      </c>
      <c r="M496" s="23" t="s">
        <v>848</v>
      </c>
      <c r="N496" s="23">
        <f>117/16</f>
        <v>7.3125</v>
      </c>
      <c r="O496" s="21">
        <f t="shared" si="11"/>
        <v>0</v>
      </c>
      <c r="P496" s="26" t="s">
        <v>9</v>
      </c>
      <c r="Q496" s="54"/>
      <c r="R496" s="53"/>
      <c r="S496" s="53"/>
      <c r="T496" s="53"/>
    </row>
    <row r="497" spans="12:20" x14ac:dyDescent="0.25">
      <c r="L497" s="2">
        <v>7.34375</v>
      </c>
      <c r="M497" s="23" t="s">
        <v>1033</v>
      </c>
      <c r="N497" s="23">
        <f>235/32</f>
        <v>7.34375</v>
      </c>
      <c r="O497" s="21">
        <f t="shared" si="11"/>
        <v>0</v>
      </c>
      <c r="P497" s="26" t="s">
        <v>9</v>
      </c>
      <c r="Q497" s="54"/>
      <c r="R497" s="53"/>
      <c r="S497" s="53"/>
      <c r="T497" s="53"/>
    </row>
    <row r="498" spans="12:20" x14ac:dyDescent="0.25">
      <c r="L498" s="2">
        <v>7.375</v>
      </c>
      <c r="M498" s="23" t="s">
        <v>692</v>
      </c>
      <c r="N498" s="23">
        <f>59/8</f>
        <v>7.375</v>
      </c>
      <c r="O498" s="21">
        <f t="shared" si="11"/>
        <v>0</v>
      </c>
      <c r="P498" s="26" t="s">
        <v>9</v>
      </c>
      <c r="Q498" s="54"/>
      <c r="R498" s="53"/>
      <c r="S498" s="53"/>
      <c r="T498" s="53"/>
    </row>
    <row r="499" spans="12:20" x14ac:dyDescent="0.25">
      <c r="L499" s="2">
        <v>7.40625</v>
      </c>
      <c r="M499" s="23" t="s">
        <v>1034</v>
      </c>
      <c r="N499" s="23">
        <f>237/32</f>
        <v>7.40625</v>
      </c>
      <c r="O499" s="21">
        <f t="shared" si="11"/>
        <v>0</v>
      </c>
      <c r="P499" s="26" t="s">
        <v>9</v>
      </c>
      <c r="Q499" s="54"/>
      <c r="R499" s="53"/>
      <c r="S499" s="53"/>
      <c r="T499" s="53"/>
    </row>
    <row r="500" spans="12:20" x14ac:dyDescent="0.25">
      <c r="L500" s="2">
        <v>7.4375</v>
      </c>
      <c r="M500" s="23" t="s">
        <v>849</v>
      </c>
      <c r="N500" s="23">
        <f>119/16</f>
        <v>7.4375</v>
      </c>
      <c r="O500" s="21">
        <f t="shared" si="11"/>
        <v>0</v>
      </c>
      <c r="P500" s="26" t="s">
        <v>9</v>
      </c>
      <c r="Q500" s="54"/>
      <c r="R500" s="53"/>
      <c r="S500" s="53"/>
      <c r="T500" s="53"/>
    </row>
    <row r="501" spans="12:20" x14ac:dyDescent="0.25">
      <c r="L501" s="2">
        <v>7.46875</v>
      </c>
      <c r="M501" s="23" t="s">
        <v>1035</v>
      </c>
      <c r="N501" s="23">
        <f>239/32</f>
        <v>7.46875</v>
      </c>
      <c r="O501" s="21">
        <f t="shared" si="11"/>
        <v>0</v>
      </c>
      <c r="P501" s="26" t="s">
        <v>9</v>
      </c>
      <c r="Q501" s="54"/>
      <c r="R501" s="53"/>
      <c r="S501" s="53"/>
      <c r="T501" s="53"/>
    </row>
    <row r="502" spans="12:20" x14ac:dyDescent="0.25">
      <c r="L502" s="2">
        <v>7.5</v>
      </c>
      <c r="M502" s="23" t="s">
        <v>512</v>
      </c>
      <c r="N502" s="23">
        <f>15/2</f>
        <v>7.5</v>
      </c>
      <c r="O502" s="21">
        <f t="shared" si="11"/>
        <v>0</v>
      </c>
      <c r="P502" s="26" t="s">
        <v>9</v>
      </c>
      <c r="Q502" s="54"/>
      <c r="R502" s="53"/>
      <c r="S502" s="53"/>
      <c r="T502" s="53"/>
    </row>
    <row r="503" spans="12:20" x14ac:dyDescent="0.25">
      <c r="L503" s="2">
        <v>7.53125</v>
      </c>
      <c r="M503" s="23" t="s">
        <v>1036</v>
      </c>
      <c r="N503" s="23">
        <f>241/32</f>
        <v>7.53125</v>
      </c>
      <c r="O503" s="21">
        <f t="shared" si="11"/>
        <v>0</v>
      </c>
      <c r="P503" s="26" t="s">
        <v>9</v>
      </c>
      <c r="Q503" s="54"/>
      <c r="R503" s="53"/>
      <c r="S503" s="53"/>
      <c r="T503" s="53"/>
    </row>
    <row r="504" spans="12:20" x14ac:dyDescent="0.25">
      <c r="L504" s="2">
        <v>7.5625</v>
      </c>
      <c r="M504" s="23" t="s">
        <v>850</v>
      </c>
      <c r="N504" s="23">
        <f>121/16</f>
        <v>7.5625</v>
      </c>
      <c r="O504" s="21">
        <f t="shared" si="11"/>
        <v>0</v>
      </c>
      <c r="P504" s="26" t="s">
        <v>9</v>
      </c>
      <c r="Q504" s="54"/>
      <c r="R504" s="53"/>
      <c r="S504" s="53"/>
      <c r="T504" s="53"/>
    </row>
    <row r="505" spans="12:20" x14ac:dyDescent="0.25">
      <c r="L505" s="2">
        <v>7.59375</v>
      </c>
      <c r="M505" s="23" t="s">
        <v>1037</v>
      </c>
      <c r="N505" s="23">
        <f>243/32</f>
        <v>7.59375</v>
      </c>
      <c r="O505" s="21">
        <f t="shared" si="11"/>
        <v>0</v>
      </c>
      <c r="P505" s="26" t="s">
        <v>9</v>
      </c>
      <c r="Q505" s="54"/>
      <c r="R505" s="53"/>
      <c r="S505" s="53"/>
      <c r="T505" s="53"/>
    </row>
    <row r="506" spans="12:20" x14ac:dyDescent="0.25">
      <c r="L506" s="2">
        <v>7.625</v>
      </c>
      <c r="M506" s="23" t="s">
        <v>693</v>
      </c>
      <c r="N506" s="23">
        <f>61/8</f>
        <v>7.625</v>
      </c>
      <c r="O506" s="21">
        <f t="shared" si="11"/>
        <v>0</v>
      </c>
      <c r="P506" s="26" t="s">
        <v>9</v>
      </c>
      <c r="Q506" s="54"/>
      <c r="R506" s="53"/>
      <c r="S506" s="53"/>
      <c r="T506" s="53"/>
    </row>
    <row r="507" spans="12:20" x14ac:dyDescent="0.25">
      <c r="L507" s="2">
        <v>7.65625</v>
      </c>
      <c r="M507" s="23" t="s">
        <v>1038</v>
      </c>
      <c r="N507" s="23">
        <f>245/32</f>
        <v>7.65625</v>
      </c>
      <c r="O507" s="21">
        <f t="shared" si="11"/>
        <v>0</v>
      </c>
      <c r="P507" s="26" t="s">
        <v>9</v>
      </c>
      <c r="Q507" s="54"/>
      <c r="R507" s="53"/>
      <c r="S507" s="53"/>
      <c r="T507" s="53"/>
    </row>
    <row r="508" spans="12:20" x14ac:dyDescent="0.25">
      <c r="L508" s="2">
        <v>7.6875</v>
      </c>
      <c r="M508" s="23" t="s">
        <v>851</v>
      </c>
      <c r="N508" s="23">
        <f>123/16</f>
        <v>7.6875</v>
      </c>
      <c r="O508" s="21">
        <f t="shared" si="11"/>
        <v>0</v>
      </c>
      <c r="P508" s="26" t="s">
        <v>9</v>
      </c>
      <c r="Q508" s="54"/>
      <c r="R508" s="53"/>
      <c r="S508" s="53"/>
      <c r="T508" s="53"/>
    </row>
    <row r="509" spans="12:20" x14ac:dyDescent="0.25">
      <c r="L509" s="2">
        <v>7.71875</v>
      </c>
      <c r="M509" s="23" t="s">
        <v>1039</v>
      </c>
      <c r="N509" s="23">
        <f>247/32</f>
        <v>7.71875</v>
      </c>
      <c r="O509" s="21">
        <f t="shared" si="11"/>
        <v>0</v>
      </c>
      <c r="P509" s="26" t="s">
        <v>9</v>
      </c>
      <c r="Q509" s="54"/>
      <c r="R509" s="53"/>
      <c r="S509" s="53"/>
      <c r="T509" s="53"/>
    </row>
    <row r="510" spans="12:20" x14ac:dyDescent="0.25">
      <c r="L510" s="2">
        <v>7.75</v>
      </c>
      <c r="M510" s="23" t="s">
        <v>551</v>
      </c>
      <c r="N510" s="23">
        <f>31/4</f>
        <v>7.75</v>
      </c>
      <c r="O510" s="21">
        <f t="shared" si="11"/>
        <v>0</v>
      </c>
      <c r="P510" s="26" t="s">
        <v>9</v>
      </c>
      <c r="Q510" s="54"/>
      <c r="R510" s="53"/>
      <c r="S510" s="53"/>
      <c r="T510" s="53"/>
    </row>
    <row r="511" spans="12:20" x14ac:dyDescent="0.25">
      <c r="L511" s="2">
        <v>7.78125</v>
      </c>
      <c r="M511" s="23" t="s">
        <v>1040</v>
      </c>
      <c r="N511" s="23">
        <f>249/32</f>
        <v>7.78125</v>
      </c>
      <c r="O511" s="21">
        <f t="shared" si="11"/>
        <v>0</v>
      </c>
      <c r="P511" s="26" t="s">
        <v>9</v>
      </c>
      <c r="Q511" s="54"/>
      <c r="R511" s="53"/>
      <c r="S511" s="53"/>
      <c r="T511" s="53"/>
    </row>
    <row r="512" spans="12:20" x14ac:dyDescent="0.25">
      <c r="L512" s="2">
        <v>7.8125</v>
      </c>
      <c r="M512" s="23" t="s">
        <v>852</v>
      </c>
      <c r="N512" s="23">
        <f>125/16</f>
        <v>7.8125</v>
      </c>
      <c r="O512" s="21">
        <f t="shared" si="11"/>
        <v>0</v>
      </c>
      <c r="P512" s="26" t="s">
        <v>9</v>
      </c>
      <c r="Q512" s="54"/>
      <c r="R512" s="53"/>
      <c r="S512" s="53"/>
      <c r="T512" s="53"/>
    </row>
    <row r="513" spans="12:20" x14ac:dyDescent="0.25">
      <c r="L513" s="2">
        <v>7.84375</v>
      </c>
      <c r="M513" s="23" t="s">
        <v>1041</v>
      </c>
      <c r="N513" s="23">
        <f>251/32</f>
        <v>7.84375</v>
      </c>
      <c r="O513" s="21">
        <f t="shared" si="11"/>
        <v>0</v>
      </c>
      <c r="P513" s="26" t="s">
        <v>9</v>
      </c>
      <c r="Q513" s="54"/>
      <c r="R513" s="53"/>
      <c r="S513" s="53"/>
      <c r="T513" s="53"/>
    </row>
    <row r="514" spans="12:20" x14ac:dyDescent="0.25">
      <c r="L514" s="2">
        <v>7.875</v>
      </c>
      <c r="M514" s="23" t="s">
        <v>694</v>
      </c>
      <c r="N514" s="23">
        <f>63/8</f>
        <v>7.875</v>
      </c>
      <c r="O514" s="21">
        <f t="shared" si="11"/>
        <v>0</v>
      </c>
      <c r="P514" s="26" t="s">
        <v>9</v>
      </c>
      <c r="Q514" s="54"/>
      <c r="R514" s="53"/>
      <c r="S514" s="53"/>
      <c r="T514" s="53"/>
    </row>
    <row r="515" spans="12:20" x14ac:dyDescent="0.25">
      <c r="L515" s="2">
        <v>7.90625</v>
      </c>
      <c r="M515" s="23" t="s">
        <v>1042</v>
      </c>
      <c r="N515" s="23">
        <f>253/32</f>
        <v>7.90625</v>
      </c>
      <c r="O515" s="21">
        <f t="shared" si="11"/>
        <v>0</v>
      </c>
      <c r="P515" s="26" t="s">
        <v>9</v>
      </c>
      <c r="Q515" s="54"/>
      <c r="R515" s="53"/>
      <c r="S515" s="53"/>
      <c r="T515" s="53"/>
    </row>
    <row r="516" spans="12:20" x14ac:dyDescent="0.25">
      <c r="L516" s="2">
        <v>7.9375</v>
      </c>
      <c r="M516" s="23" t="s">
        <v>853</v>
      </c>
      <c r="N516" s="23">
        <f>127/16</f>
        <v>7.9375</v>
      </c>
      <c r="O516" s="21">
        <f t="shared" si="11"/>
        <v>0</v>
      </c>
      <c r="P516" s="26" t="s">
        <v>9</v>
      </c>
      <c r="Q516" s="54"/>
      <c r="R516" s="53"/>
      <c r="S516" s="53"/>
      <c r="T516" s="53"/>
    </row>
    <row r="517" spans="12:20" x14ac:dyDescent="0.25">
      <c r="L517" s="2">
        <v>7.96875</v>
      </c>
      <c r="M517" s="23" t="s">
        <v>1043</v>
      </c>
      <c r="N517" s="23">
        <f>255/32</f>
        <v>7.96875</v>
      </c>
      <c r="O517" s="21">
        <f t="shared" si="11"/>
        <v>0</v>
      </c>
      <c r="P517" s="26" t="s">
        <v>9</v>
      </c>
      <c r="Q517" s="54"/>
      <c r="R517" s="53"/>
      <c r="S517" s="53"/>
      <c r="T517" s="53"/>
    </row>
    <row r="518" spans="12:20" x14ac:dyDescent="0.25">
      <c r="L518" s="2">
        <v>8</v>
      </c>
      <c r="M518" s="23" t="s">
        <v>354</v>
      </c>
      <c r="N518" s="23">
        <f>8/1</f>
        <v>8</v>
      </c>
      <c r="O518" s="21">
        <f t="shared" si="11"/>
        <v>0</v>
      </c>
      <c r="P518" s="26" t="s">
        <v>9</v>
      </c>
      <c r="Q518" s="57"/>
      <c r="R518" s="58"/>
      <c r="S518" s="55"/>
      <c r="T518" s="56"/>
    </row>
    <row r="519" spans="12:20" x14ac:dyDescent="0.25">
      <c r="L519" s="2">
        <v>8.0625</v>
      </c>
      <c r="M519" s="23" t="s">
        <v>854</v>
      </c>
      <c r="N519" s="23">
        <f>129/16</f>
        <v>8.0625</v>
      </c>
      <c r="O519" s="21">
        <f t="shared" ref="O519:O582" si="12">ABS(L519-N519)</f>
        <v>0</v>
      </c>
      <c r="P519" s="25" t="s">
        <v>13</v>
      </c>
      <c r="Q519" s="35" t="s">
        <v>280</v>
      </c>
      <c r="R519" s="61"/>
      <c r="S519" s="62"/>
      <c r="T519" s="63"/>
    </row>
    <row r="520" spans="12:20" x14ac:dyDescent="0.25">
      <c r="L520" s="2">
        <v>8.125</v>
      </c>
      <c r="M520" s="23" t="s">
        <v>695</v>
      </c>
      <c r="N520" s="23">
        <f>65/8</f>
        <v>8.125</v>
      </c>
      <c r="O520" s="21">
        <f t="shared" si="12"/>
        <v>0</v>
      </c>
      <c r="P520" s="25" t="s">
        <v>13</v>
      </c>
      <c r="Q520" s="64"/>
      <c r="R520" s="62"/>
      <c r="S520" s="62"/>
      <c r="T520" s="63"/>
    </row>
    <row r="521" spans="12:20" x14ac:dyDescent="0.25">
      <c r="L521" s="2">
        <v>8.1875</v>
      </c>
      <c r="M521" s="23" t="s">
        <v>855</v>
      </c>
      <c r="N521" s="23">
        <f>131/16</f>
        <v>8.1875</v>
      </c>
      <c r="O521" s="21">
        <f t="shared" si="12"/>
        <v>0</v>
      </c>
      <c r="P521" s="25" t="s">
        <v>13</v>
      </c>
      <c r="Q521" s="64"/>
      <c r="R521" s="62"/>
      <c r="S521" s="62"/>
      <c r="T521" s="63"/>
    </row>
    <row r="522" spans="12:20" x14ac:dyDescent="0.25">
      <c r="L522" s="2">
        <v>8.25</v>
      </c>
      <c r="M522" s="23" t="s">
        <v>552</v>
      </c>
      <c r="N522" s="23">
        <f>33/4</f>
        <v>8.25</v>
      </c>
      <c r="O522" s="21">
        <f t="shared" si="12"/>
        <v>0</v>
      </c>
      <c r="P522" s="25" t="s">
        <v>13</v>
      </c>
      <c r="Q522" s="64"/>
      <c r="R522" s="62"/>
      <c r="S522" s="62"/>
      <c r="T522" s="63"/>
    </row>
    <row r="523" spans="12:20" x14ac:dyDescent="0.25">
      <c r="L523" s="2">
        <v>8.3125</v>
      </c>
      <c r="M523" s="23" t="s">
        <v>856</v>
      </c>
      <c r="N523" s="23">
        <f>133/16</f>
        <v>8.3125</v>
      </c>
      <c r="O523" s="21">
        <f t="shared" si="12"/>
        <v>0</v>
      </c>
      <c r="P523" s="25" t="s">
        <v>13</v>
      </c>
      <c r="Q523" s="64"/>
      <c r="R523" s="62"/>
      <c r="S523" s="62"/>
      <c r="T523" s="63"/>
    </row>
    <row r="524" spans="12:20" x14ac:dyDescent="0.25">
      <c r="L524" s="2">
        <v>8.375</v>
      </c>
      <c r="M524" s="23" t="s">
        <v>696</v>
      </c>
      <c r="N524" s="23">
        <f>67/8</f>
        <v>8.375</v>
      </c>
      <c r="O524" s="21">
        <f t="shared" si="12"/>
        <v>0</v>
      </c>
      <c r="P524" s="25" t="s">
        <v>13</v>
      </c>
      <c r="Q524" s="64"/>
      <c r="R524" s="62"/>
      <c r="S524" s="62"/>
      <c r="T524" s="63"/>
    </row>
    <row r="525" spans="12:20" x14ac:dyDescent="0.25">
      <c r="L525" s="2">
        <v>8.4375</v>
      </c>
      <c r="M525" s="23" t="s">
        <v>857</v>
      </c>
      <c r="N525" s="23">
        <f>135/16</f>
        <v>8.4375</v>
      </c>
      <c r="O525" s="21">
        <f t="shared" si="12"/>
        <v>0</v>
      </c>
      <c r="P525" s="25" t="s">
        <v>13</v>
      </c>
      <c r="Q525" s="64"/>
      <c r="R525" s="62"/>
      <c r="S525" s="62"/>
      <c r="T525" s="63"/>
    </row>
    <row r="526" spans="12:20" x14ac:dyDescent="0.25">
      <c r="L526" s="2">
        <v>8.5</v>
      </c>
      <c r="M526" s="23" t="s">
        <v>513</v>
      </c>
      <c r="N526" s="23">
        <f>17/2</f>
        <v>8.5</v>
      </c>
      <c r="O526" s="21">
        <f t="shared" si="12"/>
        <v>0</v>
      </c>
      <c r="P526" s="25" t="s">
        <v>13</v>
      </c>
      <c r="Q526" s="64"/>
      <c r="R526" s="62"/>
      <c r="S526" s="62"/>
      <c r="T526" s="63"/>
    </row>
    <row r="527" spans="12:20" x14ac:dyDescent="0.25">
      <c r="L527" s="2">
        <v>8.5625</v>
      </c>
      <c r="M527" s="23" t="s">
        <v>858</v>
      </c>
      <c r="N527" s="23">
        <f>137/16</f>
        <v>8.5625</v>
      </c>
      <c r="O527" s="21">
        <f t="shared" si="12"/>
        <v>0</v>
      </c>
      <c r="P527" s="25" t="s">
        <v>13</v>
      </c>
      <c r="Q527" s="64"/>
      <c r="R527" s="62"/>
      <c r="S527" s="62"/>
      <c r="T527" s="63"/>
    </row>
    <row r="528" spans="12:20" x14ac:dyDescent="0.25">
      <c r="L528" s="2">
        <v>8.625</v>
      </c>
      <c r="M528" s="23" t="s">
        <v>697</v>
      </c>
      <c r="N528" s="23">
        <f>69/8</f>
        <v>8.625</v>
      </c>
      <c r="O528" s="21">
        <f t="shared" si="12"/>
        <v>0</v>
      </c>
      <c r="P528" s="25" t="s">
        <v>13</v>
      </c>
      <c r="Q528" s="64"/>
      <c r="R528" s="62"/>
      <c r="S528" s="62"/>
      <c r="T528" s="63"/>
    </row>
    <row r="529" spans="12:20" x14ac:dyDescent="0.25">
      <c r="L529" s="2">
        <v>8.6875</v>
      </c>
      <c r="M529" s="23" t="s">
        <v>859</v>
      </c>
      <c r="N529" s="23">
        <f>139/16</f>
        <v>8.6875</v>
      </c>
      <c r="O529" s="21">
        <f t="shared" si="12"/>
        <v>0</v>
      </c>
      <c r="P529" s="25" t="s">
        <v>13</v>
      </c>
      <c r="Q529" s="64"/>
      <c r="R529" s="62"/>
      <c r="S529" s="62"/>
      <c r="T529" s="63"/>
    </row>
    <row r="530" spans="12:20" x14ac:dyDescent="0.25">
      <c r="L530" s="2">
        <v>8.75</v>
      </c>
      <c r="M530" s="23" t="s">
        <v>553</v>
      </c>
      <c r="N530" s="23">
        <f>35/4</f>
        <v>8.75</v>
      </c>
      <c r="O530" s="21">
        <f t="shared" si="12"/>
        <v>0</v>
      </c>
      <c r="P530" s="25" t="s">
        <v>13</v>
      </c>
      <c r="Q530" s="64"/>
      <c r="R530" s="62"/>
      <c r="S530" s="62"/>
      <c r="T530" s="63"/>
    </row>
    <row r="531" spans="12:20" x14ac:dyDescent="0.25">
      <c r="L531" s="2">
        <v>8.8125</v>
      </c>
      <c r="M531" s="23" t="s">
        <v>860</v>
      </c>
      <c r="N531" s="23">
        <f>141/16</f>
        <v>8.8125</v>
      </c>
      <c r="O531" s="21">
        <f t="shared" si="12"/>
        <v>0</v>
      </c>
      <c r="P531" s="25" t="s">
        <v>13</v>
      </c>
      <c r="Q531" s="64"/>
      <c r="R531" s="62"/>
      <c r="S531" s="62"/>
      <c r="T531" s="63"/>
    </row>
    <row r="532" spans="12:20" x14ac:dyDescent="0.25">
      <c r="L532" s="2">
        <v>8.875</v>
      </c>
      <c r="M532" s="23" t="s">
        <v>698</v>
      </c>
      <c r="N532" s="23">
        <f>71/8</f>
        <v>8.875</v>
      </c>
      <c r="O532" s="21">
        <f t="shared" si="12"/>
        <v>0</v>
      </c>
      <c r="P532" s="25" t="s">
        <v>13</v>
      </c>
      <c r="Q532" s="64"/>
      <c r="R532" s="62"/>
      <c r="S532" s="62"/>
      <c r="T532" s="63"/>
    </row>
    <row r="533" spans="12:20" x14ac:dyDescent="0.25">
      <c r="L533" s="2">
        <v>8.9375</v>
      </c>
      <c r="M533" s="23" t="s">
        <v>861</v>
      </c>
      <c r="N533" s="23">
        <f>143/16</f>
        <v>8.9375</v>
      </c>
      <c r="O533" s="21">
        <f t="shared" si="12"/>
        <v>0</v>
      </c>
      <c r="P533" s="25" t="s">
        <v>13</v>
      </c>
      <c r="Q533" s="64"/>
      <c r="R533" s="62"/>
      <c r="S533" s="62"/>
      <c r="T533" s="63"/>
    </row>
    <row r="534" spans="12:20" x14ac:dyDescent="0.25">
      <c r="L534" s="2">
        <v>9</v>
      </c>
      <c r="M534" s="23" t="s">
        <v>355</v>
      </c>
      <c r="N534" s="23">
        <f>9/1</f>
        <v>9</v>
      </c>
      <c r="O534" s="21">
        <f t="shared" si="12"/>
        <v>0</v>
      </c>
      <c r="P534" s="25" t="s">
        <v>13</v>
      </c>
      <c r="Q534" s="64"/>
      <c r="R534" s="62"/>
      <c r="S534" s="62"/>
      <c r="T534" s="63"/>
    </row>
    <row r="535" spans="12:20" x14ac:dyDescent="0.25">
      <c r="L535" s="2">
        <v>9.0625</v>
      </c>
      <c r="M535" s="23" t="s">
        <v>862</v>
      </c>
      <c r="N535" s="23">
        <f>145/16</f>
        <v>9.0625</v>
      </c>
      <c r="O535" s="21">
        <f t="shared" si="12"/>
        <v>0</v>
      </c>
      <c r="P535" s="25" t="s">
        <v>13</v>
      </c>
      <c r="Q535" s="64"/>
      <c r="R535" s="62"/>
      <c r="S535" s="62"/>
      <c r="T535" s="63"/>
    </row>
    <row r="536" spans="12:20" x14ac:dyDescent="0.25">
      <c r="L536" s="2">
        <v>9.125</v>
      </c>
      <c r="M536" s="23" t="s">
        <v>699</v>
      </c>
      <c r="N536" s="23">
        <f>73/8</f>
        <v>9.125</v>
      </c>
      <c r="O536" s="21">
        <f t="shared" si="12"/>
        <v>0</v>
      </c>
      <c r="P536" s="25" t="s">
        <v>13</v>
      </c>
      <c r="Q536" s="64"/>
      <c r="R536" s="62"/>
      <c r="S536" s="62"/>
      <c r="T536" s="63"/>
    </row>
    <row r="537" spans="12:20" x14ac:dyDescent="0.25">
      <c r="L537" s="2">
        <v>9.1875</v>
      </c>
      <c r="M537" s="23" t="s">
        <v>863</v>
      </c>
      <c r="N537" s="23">
        <f>147/16</f>
        <v>9.1875</v>
      </c>
      <c r="O537" s="21">
        <f t="shared" si="12"/>
        <v>0</v>
      </c>
      <c r="P537" s="25" t="s">
        <v>13</v>
      </c>
      <c r="Q537" s="64"/>
      <c r="R537" s="62"/>
      <c r="S537" s="62"/>
      <c r="T537" s="63"/>
    </row>
    <row r="538" spans="12:20" x14ac:dyDescent="0.25">
      <c r="L538" s="2">
        <v>9.25</v>
      </c>
      <c r="M538" s="23" t="s">
        <v>554</v>
      </c>
      <c r="N538" s="23">
        <f>37/4</f>
        <v>9.25</v>
      </c>
      <c r="O538" s="21">
        <f t="shared" si="12"/>
        <v>0</v>
      </c>
      <c r="P538" s="25" t="s">
        <v>13</v>
      </c>
      <c r="Q538" s="64"/>
      <c r="R538" s="62"/>
      <c r="S538" s="62"/>
      <c r="T538" s="63"/>
    </row>
    <row r="539" spans="12:20" x14ac:dyDescent="0.25">
      <c r="L539" s="2">
        <v>9.3125</v>
      </c>
      <c r="M539" s="23" t="s">
        <v>864</v>
      </c>
      <c r="N539" s="23">
        <f>149/16</f>
        <v>9.3125</v>
      </c>
      <c r="O539" s="21">
        <f t="shared" si="12"/>
        <v>0</v>
      </c>
      <c r="P539" s="25" t="s">
        <v>13</v>
      </c>
      <c r="Q539" s="64"/>
      <c r="R539" s="62"/>
      <c r="S539" s="62"/>
      <c r="T539" s="63"/>
    </row>
    <row r="540" spans="12:20" x14ac:dyDescent="0.25">
      <c r="L540" s="2">
        <v>9.375</v>
      </c>
      <c r="M540" s="23" t="s">
        <v>700</v>
      </c>
      <c r="N540" s="23">
        <f>75/8</f>
        <v>9.375</v>
      </c>
      <c r="O540" s="21">
        <f t="shared" si="12"/>
        <v>0</v>
      </c>
      <c r="P540" s="25" t="s">
        <v>13</v>
      </c>
      <c r="Q540" s="64"/>
      <c r="R540" s="62"/>
      <c r="S540" s="62"/>
      <c r="T540" s="63"/>
    </row>
    <row r="541" spans="12:20" x14ac:dyDescent="0.25">
      <c r="L541" s="2">
        <v>9.4375</v>
      </c>
      <c r="M541" s="23" t="s">
        <v>865</v>
      </c>
      <c r="N541" s="23">
        <f>151/16</f>
        <v>9.4375</v>
      </c>
      <c r="O541" s="21">
        <f t="shared" si="12"/>
        <v>0</v>
      </c>
      <c r="P541" s="25" t="s">
        <v>13</v>
      </c>
      <c r="Q541" s="64"/>
      <c r="R541" s="62"/>
      <c r="S541" s="62"/>
      <c r="T541" s="63"/>
    </row>
    <row r="542" spans="12:20" x14ac:dyDescent="0.25">
      <c r="L542" s="2">
        <v>9.5</v>
      </c>
      <c r="M542" s="23" t="s">
        <v>514</v>
      </c>
      <c r="N542" s="23">
        <f>19/2</f>
        <v>9.5</v>
      </c>
      <c r="O542" s="21">
        <f t="shared" si="12"/>
        <v>0</v>
      </c>
      <c r="P542" s="25" t="s">
        <v>13</v>
      </c>
      <c r="Q542" s="64"/>
      <c r="R542" s="62"/>
      <c r="S542" s="62"/>
      <c r="T542" s="63"/>
    </row>
    <row r="543" spans="12:20" x14ac:dyDescent="0.25">
      <c r="L543" s="2">
        <v>9.5625</v>
      </c>
      <c r="M543" s="23" t="s">
        <v>866</v>
      </c>
      <c r="N543" s="23">
        <f>153/16</f>
        <v>9.5625</v>
      </c>
      <c r="O543" s="21">
        <f t="shared" si="12"/>
        <v>0</v>
      </c>
      <c r="P543" s="25" t="s">
        <v>13</v>
      </c>
      <c r="Q543" s="64"/>
      <c r="R543" s="62"/>
      <c r="S543" s="62"/>
      <c r="T543" s="63"/>
    </row>
    <row r="544" spans="12:20" x14ac:dyDescent="0.25">
      <c r="L544" s="2">
        <v>9.625</v>
      </c>
      <c r="M544" s="23" t="s">
        <v>701</v>
      </c>
      <c r="N544" s="23">
        <f>77/8</f>
        <v>9.625</v>
      </c>
      <c r="O544" s="21">
        <f t="shared" si="12"/>
        <v>0</v>
      </c>
      <c r="P544" s="25" t="s">
        <v>13</v>
      </c>
      <c r="Q544" s="64"/>
      <c r="R544" s="62"/>
      <c r="S544" s="62"/>
      <c r="T544" s="63"/>
    </row>
    <row r="545" spans="12:20" x14ac:dyDescent="0.25">
      <c r="L545" s="2">
        <v>9.6875</v>
      </c>
      <c r="M545" s="23" t="s">
        <v>867</v>
      </c>
      <c r="N545" s="23">
        <f>155/16</f>
        <v>9.6875</v>
      </c>
      <c r="O545" s="21">
        <f t="shared" si="12"/>
        <v>0</v>
      </c>
      <c r="P545" s="25" t="s">
        <v>13</v>
      </c>
      <c r="Q545" s="64"/>
      <c r="R545" s="62"/>
      <c r="S545" s="62"/>
      <c r="T545" s="63"/>
    </row>
    <row r="546" spans="12:20" x14ac:dyDescent="0.25">
      <c r="L546" s="2">
        <v>9.75</v>
      </c>
      <c r="M546" s="23" t="s">
        <v>555</v>
      </c>
      <c r="N546" s="23">
        <f>39/4</f>
        <v>9.75</v>
      </c>
      <c r="O546" s="21">
        <f t="shared" si="12"/>
        <v>0</v>
      </c>
      <c r="P546" s="25" t="s">
        <v>13</v>
      </c>
      <c r="Q546" s="64"/>
      <c r="R546" s="62"/>
      <c r="S546" s="62"/>
      <c r="T546" s="63"/>
    </row>
    <row r="547" spans="12:20" x14ac:dyDescent="0.25">
      <c r="L547" s="2">
        <v>9.8125</v>
      </c>
      <c r="M547" s="23" t="s">
        <v>868</v>
      </c>
      <c r="N547" s="23">
        <f>157/16</f>
        <v>9.8125</v>
      </c>
      <c r="O547" s="21">
        <f t="shared" si="12"/>
        <v>0</v>
      </c>
      <c r="P547" s="25" t="s">
        <v>13</v>
      </c>
      <c r="Q547" s="64"/>
      <c r="R547" s="62"/>
      <c r="S547" s="62"/>
      <c r="T547" s="63"/>
    </row>
    <row r="548" spans="12:20" x14ac:dyDescent="0.25">
      <c r="L548" s="2">
        <v>9.875</v>
      </c>
      <c r="M548" s="23" t="s">
        <v>702</v>
      </c>
      <c r="N548" s="23">
        <f>79/8</f>
        <v>9.875</v>
      </c>
      <c r="O548" s="21">
        <f t="shared" si="12"/>
        <v>0</v>
      </c>
      <c r="P548" s="25" t="s">
        <v>13</v>
      </c>
      <c r="Q548" s="64"/>
      <c r="R548" s="62"/>
      <c r="S548" s="62"/>
      <c r="T548" s="63"/>
    </row>
    <row r="549" spans="12:20" x14ac:dyDescent="0.25">
      <c r="L549" s="2">
        <v>9.9375</v>
      </c>
      <c r="M549" s="23" t="s">
        <v>869</v>
      </c>
      <c r="N549" s="23">
        <f>159/16</f>
        <v>9.9375</v>
      </c>
      <c r="O549" s="21">
        <f t="shared" si="12"/>
        <v>0</v>
      </c>
      <c r="P549" s="25" t="s">
        <v>13</v>
      </c>
      <c r="Q549" s="64"/>
      <c r="R549" s="62"/>
      <c r="S549" s="62"/>
      <c r="T549" s="63"/>
    </row>
    <row r="550" spans="12:20" x14ac:dyDescent="0.25">
      <c r="L550" s="2">
        <v>10</v>
      </c>
      <c r="M550" s="23" t="s">
        <v>356</v>
      </c>
      <c r="N550" s="23">
        <f>10/1</f>
        <v>10</v>
      </c>
      <c r="O550" s="21">
        <f t="shared" si="12"/>
        <v>0</v>
      </c>
      <c r="P550" s="25" t="s">
        <v>13</v>
      </c>
      <c r="Q550" s="64"/>
      <c r="R550" s="62"/>
      <c r="S550" s="62"/>
      <c r="T550" s="63"/>
    </row>
    <row r="551" spans="12:20" x14ac:dyDescent="0.25">
      <c r="L551" s="2">
        <v>10.0625</v>
      </c>
      <c r="M551" s="23" t="s">
        <v>870</v>
      </c>
      <c r="N551" s="23">
        <f>161/16</f>
        <v>10.0625</v>
      </c>
      <c r="O551" s="21">
        <f t="shared" si="12"/>
        <v>0</v>
      </c>
      <c r="P551" s="25" t="s">
        <v>13</v>
      </c>
      <c r="Q551" s="64"/>
      <c r="R551" s="62"/>
      <c r="S551" s="62"/>
      <c r="T551" s="63"/>
    </row>
    <row r="552" spans="12:20" x14ac:dyDescent="0.25">
      <c r="L552" s="2">
        <v>10.125</v>
      </c>
      <c r="M552" s="23" t="s">
        <v>703</v>
      </c>
      <c r="N552" s="23">
        <f>81/8</f>
        <v>10.125</v>
      </c>
      <c r="O552" s="21">
        <f t="shared" si="12"/>
        <v>0</v>
      </c>
      <c r="P552" s="25" t="s">
        <v>13</v>
      </c>
      <c r="Q552" s="64"/>
      <c r="R552" s="62"/>
      <c r="S552" s="62"/>
      <c r="T552" s="63"/>
    </row>
    <row r="553" spans="12:20" x14ac:dyDescent="0.25">
      <c r="L553" s="2">
        <v>10.1875</v>
      </c>
      <c r="M553" s="23" t="s">
        <v>871</v>
      </c>
      <c r="N553" s="23">
        <f>163/16</f>
        <v>10.1875</v>
      </c>
      <c r="O553" s="21">
        <f t="shared" si="12"/>
        <v>0</v>
      </c>
      <c r="P553" s="25" t="s">
        <v>13</v>
      </c>
      <c r="Q553" s="64"/>
      <c r="R553" s="62"/>
      <c r="S553" s="62"/>
      <c r="T553" s="63"/>
    </row>
    <row r="554" spans="12:20" x14ac:dyDescent="0.25">
      <c r="L554" s="2">
        <v>10.25</v>
      </c>
      <c r="M554" s="23" t="s">
        <v>556</v>
      </c>
      <c r="N554" s="23">
        <f>41/4</f>
        <v>10.25</v>
      </c>
      <c r="O554" s="21">
        <f t="shared" si="12"/>
        <v>0</v>
      </c>
      <c r="P554" s="25" t="s">
        <v>13</v>
      </c>
      <c r="Q554" s="64"/>
      <c r="R554" s="62"/>
      <c r="S554" s="62"/>
      <c r="T554" s="63"/>
    </row>
    <row r="555" spans="12:20" x14ac:dyDescent="0.25">
      <c r="L555" s="2">
        <v>10.3125</v>
      </c>
      <c r="M555" s="23" t="s">
        <v>872</v>
      </c>
      <c r="N555" s="23">
        <f>165/16</f>
        <v>10.3125</v>
      </c>
      <c r="O555" s="21">
        <f t="shared" si="12"/>
        <v>0</v>
      </c>
      <c r="P555" s="25" t="s">
        <v>13</v>
      </c>
      <c r="Q555" s="64"/>
      <c r="R555" s="62"/>
      <c r="S555" s="62"/>
      <c r="T555" s="63"/>
    </row>
    <row r="556" spans="12:20" x14ac:dyDescent="0.25">
      <c r="L556" s="2">
        <v>10.375</v>
      </c>
      <c r="M556" s="23" t="s">
        <v>704</v>
      </c>
      <c r="N556" s="23">
        <f>83/8</f>
        <v>10.375</v>
      </c>
      <c r="O556" s="21">
        <f t="shared" si="12"/>
        <v>0</v>
      </c>
      <c r="P556" s="25" t="s">
        <v>13</v>
      </c>
      <c r="Q556" s="64"/>
      <c r="R556" s="62"/>
      <c r="S556" s="62"/>
      <c r="T556" s="63"/>
    </row>
    <row r="557" spans="12:20" x14ac:dyDescent="0.25">
      <c r="L557" s="2">
        <v>10.4375</v>
      </c>
      <c r="M557" s="23" t="s">
        <v>873</v>
      </c>
      <c r="N557" s="23">
        <f>167/16</f>
        <v>10.4375</v>
      </c>
      <c r="O557" s="21">
        <f t="shared" si="12"/>
        <v>0</v>
      </c>
      <c r="P557" s="25" t="s">
        <v>13</v>
      </c>
      <c r="Q557" s="64"/>
      <c r="R557" s="62"/>
      <c r="S557" s="62"/>
      <c r="T557" s="63"/>
    </row>
    <row r="558" spans="12:20" x14ac:dyDescent="0.25">
      <c r="L558" s="2">
        <v>10.5</v>
      </c>
      <c r="M558" s="23" t="s">
        <v>515</v>
      </c>
      <c r="N558" s="23">
        <f>21/2</f>
        <v>10.5</v>
      </c>
      <c r="O558" s="21">
        <f t="shared" si="12"/>
        <v>0</v>
      </c>
      <c r="P558" s="25" t="s">
        <v>13</v>
      </c>
      <c r="Q558" s="64"/>
      <c r="R558" s="62"/>
      <c r="S558" s="62"/>
      <c r="T558" s="63"/>
    </row>
    <row r="559" spans="12:20" x14ac:dyDescent="0.25">
      <c r="L559" s="2">
        <v>10.5625</v>
      </c>
      <c r="M559" s="23" t="s">
        <v>874</v>
      </c>
      <c r="N559" s="23">
        <f>169/16</f>
        <v>10.5625</v>
      </c>
      <c r="O559" s="21">
        <f t="shared" si="12"/>
        <v>0</v>
      </c>
      <c r="P559" s="25" t="s">
        <v>13</v>
      </c>
      <c r="Q559" s="64"/>
      <c r="R559" s="62"/>
      <c r="S559" s="62"/>
      <c r="T559" s="63"/>
    </row>
    <row r="560" spans="12:20" x14ac:dyDescent="0.25">
      <c r="L560" s="2">
        <v>10.625</v>
      </c>
      <c r="M560" s="23" t="s">
        <v>705</v>
      </c>
      <c r="N560" s="23">
        <f>85/8</f>
        <v>10.625</v>
      </c>
      <c r="O560" s="21">
        <f t="shared" si="12"/>
        <v>0</v>
      </c>
      <c r="P560" s="25" t="s">
        <v>13</v>
      </c>
      <c r="Q560" s="64"/>
      <c r="R560" s="62"/>
      <c r="S560" s="62"/>
      <c r="T560" s="63"/>
    </row>
    <row r="561" spans="12:20" x14ac:dyDescent="0.25">
      <c r="L561" s="2">
        <v>10.6875</v>
      </c>
      <c r="M561" s="23" t="s">
        <v>875</v>
      </c>
      <c r="N561" s="23">
        <f>171/16</f>
        <v>10.6875</v>
      </c>
      <c r="O561" s="21">
        <f t="shared" si="12"/>
        <v>0</v>
      </c>
      <c r="P561" s="25" t="s">
        <v>13</v>
      </c>
      <c r="Q561" s="64"/>
      <c r="R561" s="62"/>
      <c r="S561" s="62"/>
      <c r="T561" s="63"/>
    </row>
    <row r="562" spans="12:20" x14ac:dyDescent="0.25">
      <c r="L562" s="2">
        <v>10.75</v>
      </c>
      <c r="M562" s="23" t="s">
        <v>557</v>
      </c>
      <c r="N562" s="23">
        <f>43/4</f>
        <v>10.75</v>
      </c>
      <c r="O562" s="21">
        <f t="shared" si="12"/>
        <v>0</v>
      </c>
      <c r="P562" s="25" t="s">
        <v>13</v>
      </c>
      <c r="Q562" s="64"/>
      <c r="R562" s="62"/>
      <c r="S562" s="62"/>
      <c r="T562" s="63"/>
    </row>
    <row r="563" spans="12:20" x14ac:dyDescent="0.25">
      <c r="L563" s="2">
        <v>10.8125</v>
      </c>
      <c r="M563" s="23" t="s">
        <v>876</v>
      </c>
      <c r="N563" s="23">
        <f>173/16</f>
        <v>10.8125</v>
      </c>
      <c r="O563" s="21">
        <f t="shared" si="12"/>
        <v>0</v>
      </c>
      <c r="P563" s="25" t="s">
        <v>13</v>
      </c>
      <c r="Q563" s="64"/>
      <c r="R563" s="62"/>
      <c r="S563" s="62"/>
      <c r="T563" s="63"/>
    </row>
    <row r="564" spans="12:20" x14ac:dyDescent="0.25">
      <c r="L564" s="2">
        <v>10.875</v>
      </c>
      <c r="M564" s="23" t="s">
        <v>706</v>
      </c>
      <c r="N564" s="23">
        <f>87/8</f>
        <v>10.875</v>
      </c>
      <c r="O564" s="21">
        <f t="shared" si="12"/>
        <v>0</v>
      </c>
      <c r="P564" s="25" t="s">
        <v>13</v>
      </c>
      <c r="Q564" s="64"/>
      <c r="R564" s="62"/>
      <c r="S564" s="62"/>
      <c r="T564" s="63"/>
    </row>
    <row r="565" spans="12:20" x14ac:dyDescent="0.25">
      <c r="L565" s="2">
        <v>10.9375</v>
      </c>
      <c r="M565" s="23" t="s">
        <v>877</v>
      </c>
      <c r="N565" s="23">
        <f>175/16</f>
        <v>10.9375</v>
      </c>
      <c r="O565" s="21">
        <f t="shared" si="12"/>
        <v>0</v>
      </c>
      <c r="P565" s="25" t="s">
        <v>13</v>
      </c>
      <c r="Q565" s="64"/>
      <c r="R565" s="62"/>
      <c r="S565" s="62"/>
      <c r="T565" s="63"/>
    </row>
    <row r="566" spans="12:20" x14ac:dyDescent="0.25">
      <c r="L566" s="2">
        <v>11</v>
      </c>
      <c r="M566" s="23" t="s">
        <v>357</v>
      </c>
      <c r="N566" s="23">
        <f>11/1</f>
        <v>11</v>
      </c>
      <c r="O566" s="21">
        <f t="shared" si="12"/>
        <v>0</v>
      </c>
      <c r="P566" s="25" t="s">
        <v>13</v>
      </c>
      <c r="Q566" s="64"/>
      <c r="R566" s="62"/>
      <c r="S566" s="62"/>
      <c r="T566" s="63"/>
    </row>
    <row r="567" spans="12:20" x14ac:dyDescent="0.25">
      <c r="L567" s="2">
        <v>11.0625</v>
      </c>
      <c r="M567" s="23" t="s">
        <v>878</v>
      </c>
      <c r="N567" s="23">
        <f>177/16</f>
        <v>11.0625</v>
      </c>
      <c r="O567" s="21">
        <f t="shared" si="12"/>
        <v>0</v>
      </c>
      <c r="P567" s="25" t="s">
        <v>13</v>
      </c>
      <c r="Q567" s="64"/>
      <c r="R567" s="62"/>
      <c r="S567" s="62"/>
      <c r="T567" s="63"/>
    </row>
    <row r="568" spans="12:20" x14ac:dyDescent="0.25">
      <c r="L568" s="2">
        <v>11.125</v>
      </c>
      <c r="M568" s="23" t="s">
        <v>707</v>
      </c>
      <c r="N568" s="23">
        <f>89/8</f>
        <v>11.125</v>
      </c>
      <c r="O568" s="21">
        <f t="shared" si="12"/>
        <v>0</v>
      </c>
      <c r="P568" s="25" t="s">
        <v>13</v>
      </c>
      <c r="Q568" s="64"/>
      <c r="R568" s="62"/>
      <c r="S568" s="62"/>
      <c r="T568" s="63"/>
    </row>
    <row r="569" spans="12:20" x14ac:dyDescent="0.25">
      <c r="L569" s="2">
        <v>11.1875</v>
      </c>
      <c r="M569" s="23" t="s">
        <v>879</v>
      </c>
      <c r="N569" s="23">
        <f>179/16</f>
        <v>11.1875</v>
      </c>
      <c r="O569" s="21">
        <f t="shared" si="12"/>
        <v>0</v>
      </c>
      <c r="P569" s="25" t="s">
        <v>13</v>
      </c>
      <c r="Q569" s="64"/>
      <c r="R569" s="62"/>
      <c r="S569" s="62"/>
      <c r="T569" s="63"/>
    </row>
    <row r="570" spans="12:20" x14ac:dyDescent="0.25">
      <c r="L570" s="2">
        <v>11.25</v>
      </c>
      <c r="M570" s="23" t="s">
        <v>558</v>
      </c>
      <c r="N570" s="23">
        <f>45/4</f>
        <v>11.25</v>
      </c>
      <c r="O570" s="21">
        <f t="shared" si="12"/>
        <v>0</v>
      </c>
      <c r="P570" s="25" t="s">
        <v>13</v>
      </c>
      <c r="Q570" s="64"/>
      <c r="R570" s="62"/>
      <c r="S570" s="62"/>
      <c r="T570" s="63"/>
    </row>
    <row r="571" spans="12:20" x14ac:dyDescent="0.25">
      <c r="L571" s="2">
        <v>11.3125</v>
      </c>
      <c r="M571" s="23" t="s">
        <v>880</v>
      </c>
      <c r="N571" s="23">
        <f>181/16</f>
        <v>11.3125</v>
      </c>
      <c r="O571" s="21">
        <f t="shared" si="12"/>
        <v>0</v>
      </c>
      <c r="P571" s="25" t="s">
        <v>13</v>
      </c>
      <c r="Q571" s="64"/>
      <c r="R571" s="62"/>
      <c r="S571" s="62"/>
      <c r="T571" s="63"/>
    </row>
    <row r="572" spans="12:20" x14ac:dyDescent="0.25">
      <c r="L572" s="2">
        <v>11.375</v>
      </c>
      <c r="M572" s="23" t="s">
        <v>708</v>
      </c>
      <c r="N572" s="23">
        <f>91/8</f>
        <v>11.375</v>
      </c>
      <c r="O572" s="21">
        <f t="shared" si="12"/>
        <v>0</v>
      </c>
      <c r="P572" s="25" t="s">
        <v>13</v>
      </c>
      <c r="Q572" s="64"/>
      <c r="R572" s="62"/>
      <c r="S572" s="62"/>
      <c r="T572" s="63"/>
    </row>
    <row r="573" spans="12:20" x14ac:dyDescent="0.25">
      <c r="L573" s="2">
        <v>11.4375</v>
      </c>
      <c r="M573" s="23" t="s">
        <v>881</v>
      </c>
      <c r="N573" s="23">
        <f>183/16</f>
        <v>11.4375</v>
      </c>
      <c r="O573" s="21">
        <f t="shared" si="12"/>
        <v>0</v>
      </c>
      <c r="P573" s="25" t="s">
        <v>13</v>
      </c>
      <c r="Q573" s="64"/>
      <c r="R573" s="62"/>
      <c r="S573" s="62"/>
      <c r="T573" s="63"/>
    </row>
    <row r="574" spans="12:20" x14ac:dyDescent="0.25">
      <c r="L574" s="2">
        <v>11.5</v>
      </c>
      <c r="M574" s="23" t="s">
        <v>516</v>
      </c>
      <c r="N574" s="23">
        <f>23/2</f>
        <v>11.5</v>
      </c>
      <c r="O574" s="21">
        <f t="shared" si="12"/>
        <v>0</v>
      </c>
      <c r="P574" s="25" t="s">
        <v>13</v>
      </c>
      <c r="Q574" s="64"/>
      <c r="R574" s="62"/>
      <c r="S574" s="62"/>
      <c r="T574" s="63"/>
    </row>
    <row r="575" spans="12:20" x14ac:dyDescent="0.25">
      <c r="L575" s="2">
        <v>11.5625</v>
      </c>
      <c r="M575" s="23" t="s">
        <v>882</v>
      </c>
      <c r="N575" s="23">
        <f>185/16</f>
        <v>11.5625</v>
      </c>
      <c r="O575" s="21">
        <f t="shared" si="12"/>
        <v>0</v>
      </c>
      <c r="P575" s="25" t="s">
        <v>13</v>
      </c>
      <c r="Q575" s="64"/>
      <c r="R575" s="62"/>
      <c r="S575" s="62"/>
      <c r="T575" s="63"/>
    </row>
    <row r="576" spans="12:20" x14ac:dyDescent="0.25">
      <c r="L576" s="2">
        <v>11.625</v>
      </c>
      <c r="M576" s="23" t="s">
        <v>709</v>
      </c>
      <c r="N576" s="23">
        <f>93/8</f>
        <v>11.625</v>
      </c>
      <c r="O576" s="21">
        <f t="shared" si="12"/>
        <v>0</v>
      </c>
      <c r="P576" s="25" t="s">
        <v>13</v>
      </c>
      <c r="Q576" s="64"/>
      <c r="R576" s="62"/>
      <c r="S576" s="62"/>
      <c r="T576" s="63"/>
    </row>
    <row r="577" spans="12:20" x14ac:dyDescent="0.25">
      <c r="L577" s="2">
        <v>11.6875</v>
      </c>
      <c r="M577" s="23" t="s">
        <v>883</v>
      </c>
      <c r="N577" s="23">
        <f>187/16</f>
        <v>11.6875</v>
      </c>
      <c r="O577" s="21">
        <f t="shared" si="12"/>
        <v>0</v>
      </c>
      <c r="P577" s="25" t="s">
        <v>13</v>
      </c>
      <c r="Q577" s="64"/>
      <c r="R577" s="62"/>
      <c r="S577" s="62"/>
      <c r="T577" s="63"/>
    </row>
    <row r="578" spans="12:20" x14ac:dyDescent="0.25">
      <c r="L578" s="2">
        <v>11.75</v>
      </c>
      <c r="M578" s="23" t="s">
        <v>559</v>
      </c>
      <c r="N578" s="23">
        <f>47/4</f>
        <v>11.75</v>
      </c>
      <c r="O578" s="21">
        <f t="shared" si="12"/>
        <v>0</v>
      </c>
      <c r="P578" s="25" t="s">
        <v>13</v>
      </c>
      <c r="Q578" s="64"/>
      <c r="R578" s="62"/>
      <c r="S578" s="62"/>
      <c r="T578" s="63"/>
    </row>
    <row r="579" spans="12:20" x14ac:dyDescent="0.25">
      <c r="L579" s="2">
        <v>11.8125</v>
      </c>
      <c r="M579" s="23" t="s">
        <v>884</v>
      </c>
      <c r="N579" s="23">
        <f>189/16</f>
        <v>11.8125</v>
      </c>
      <c r="O579" s="21">
        <f t="shared" si="12"/>
        <v>0</v>
      </c>
      <c r="P579" s="25" t="s">
        <v>13</v>
      </c>
      <c r="Q579" s="64"/>
      <c r="R579" s="62"/>
      <c r="S579" s="62"/>
      <c r="T579" s="63"/>
    </row>
    <row r="580" spans="12:20" x14ac:dyDescent="0.25">
      <c r="L580" s="2">
        <v>11.875</v>
      </c>
      <c r="M580" s="23" t="s">
        <v>710</v>
      </c>
      <c r="N580" s="23">
        <f>95/8</f>
        <v>11.875</v>
      </c>
      <c r="O580" s="21">
        <f t="shared" si="12"/>
        <v>0</v>
      </c>
      <c r="P580" s="25" t="s">
        <v>13</v>
      </c>
      <c r="Q580" s="64"/>
      <c r="R580" s="62"/>
      <c r="S580" s="62"/>
      <c r="T580" s="63"/>
    </row>
    <row r="581" spans="12:20" x14ac:dyDescent="0.25">
      <c r="L581" s="2">
        <v>11.9375</v>
      </c>
      <c r="M581" s="23" t="s">
        <v>885</v>
      </c>
      <c r="N581" s="23">
        <f>191/16</f>
        <v>11.9375</v>
      </c>
      <c r="O581" s="21">
        <f t="shared" si="12"/>
        <v>0</v>
      </c>
      <c r="P581" s="25" t="s">
        <v>13</v>
      </c>
      <c r="Q581" s="64"/>
      <c r="R581" s="62"/>
      <c r="S581" s="62"/>
      <c r="T581" s="63"/>
    </row>
    <row r="582" spans="12:20" x14ac:dyDescent="0.25">
      <c r="L582" s="2">
        <v>12</v>
      </c>
      <c r="M582" s="23" t="s">
        <v>358</v>
      </c>
      <c r="N582" s="23">
        <f>12/1</f>
        <v>12</v>
      </c>
      <c r="O582" s="21">
        <f t="shared" si="12"/>
        <v>0</v>
      </c>
      <c r="P582" s="25" t="s">
        <v>13</v>
      </c>
      <c r="Q582" s="64"/>
      <c r="R582" s="62"/>
      <c r="S582" s="62"/>
      <c r="T582" s="63"/>
    </row>
    <row r="583" spans="12:20" x14ac:dyDescent="0.25">
      <c r="L583" s="2">
        <v>12.0625</v>
      </c>
      <c r="M583" s="23" t="s">
        <v>886</v>
      </c>
      <c r="N583" s="23">
        <f>193/16</f>
        <v>12.0625</v>
      </c>
      <c r="O583" s="21">
        <f t="shared" ref="O583:O646" si="13">ABS(L583-N583)</f>
        <v>0</v>
      </c>
      <c r="P583" s="25" t="s">
        <v>13</v>
      </c>
      <c r="Q583" s="64"/>
      <c r="R583" s="62"/>
      <c r="S583" s="62"/>
      <c r="T583" s="63"/>
    </row>
    <row r="584" spans="12:20" x14ac:dyDescent="0.25">
      <c r="L584" s="2">
        <v>12.125</v>
      </c>
      <c r="M584" s="23" t="s">
        <v>711</v>
      </c>
      <c r="N584" s="23">
        <f>97/8</f>
        <v>12.125</v>
      </c>
      <c r="O584" s="21">
        <f t="shared" si="13"/>
        <v>0</v>
      </c>
      <c r="P584" s="25" t="s">
        <v>13</v>
      </c>
      <c r="Q584" s="64"/>
      <c r="R584" s="62"/>
      <c r="S584" s="62"/>
      <c r="T584" s="63"/>
    </row>
    <row r="585" spans="12:20" x14ac:dyDescent="0.25">
      <c r="L585" s="2">
        <v>12.1875</v>
      </c>
      <c r="M585" s="23" t="s">
        <v>887</v>
      </c>
      <c r="N585" s="23">
        <f>195/16</f>
        <v>12.1875</v>
      </c>
      <c r="O585" s="21">
        <f t="shared" si="13"/>
        <v>0</v>
      </c>
      <c r="P585" s="25" t="s">
        <v>13</v>
      </c>
      <c r="Q585" s="64"/>
      <c r="R585" s="62"/>
      <c r="S585" s="62"/>
      <c r="T585" s="63"/>
    </row>
    <row r="586" spans="12:20" x14ac:dyDescent="0.25">
      <c r="L586" s="2">
        <v>12.25</v>
      </c>
      <c r="M586" s="23" t="s">
        <v>560</v>
      </c>
      <c r="N586" s="23">
        <f>49/4</f>
        <v>12.25</v>
      </c>
      <c r="O586" s="21">
        <f t="shared" si="13"/>
        <v>0</v>
      </c>
      <c r="P586" s="25" t="s">
        <v>13</v>
      </c>
      <c r="Q586" s="64"/>
      <c r="R586" s="62"/>
      <c r="S586" s="62"/>
      <c r="T586" s="63"/>
    </row>
    <row r="587" spans="12:20" x14ac:dyDescent="0.25">
      <c r="L587" s="2">
        <v>12.3125</v>
      </c>
      <c r="M587" s="23" t="s">
        <v>888</v>
      </c>
      <c r="N587" s="23">
        <f>197/16</f>
        <v>12.3125</v>
      </c>
      <c r="O587" s="21">
        <f t="shared" si="13"/>
        <v>0</v>
      </c>
      <c r="P587" s="25" t="s">
        <v>13</v>
      </c>
      <c r="Q587" s="64"/>
      <c r="R587" s="62"/>
      <c r="S587" s="62"/>
      <c r="T587" s="63"/>
    </row>
    <row r="588" spans="12:20" x14ac:dyDescent="0.25">
      <c r="L588" s="2">
        <v>12.375</v>
      </c>
      <c r="M588" s="23" t="s">
        <v>712</v>
      </c>
      <c r="N588" s="23">
        <f>99/8</f>
        <v>12.375</v>
      </c>
      <c r="O588" s="21">
        <f t="shared" si="13"/>
        <v>0</v>
      </c>
      <c r="P588" s="25" t="s">
        <v>13</v>
      </c>
      <c r="Q588" s="64"/>
      <c r="R588" s="62"/>
      <c r="S588" s="62"/>
      <c r="T588" s="63"/>
    </row>
    <row r="589" spans="12:20" x14ac:dyDescent="0.25">
      <c r="L589" s="2">
        <v>12.4375</v>
      </c>
      <c r="M589" s="23" t="s">
        <v>889</v>
      </c>
      <c r="N589" s="23">
        <f>199/16</f>
        <v>12.4375</v>
      </c>
      <c r="O589" s="21">
        <f t="shared" si="13"/>
        <v>0</v>
      </c>
      <c r="P589" s="25" t="s">
        <v>13</v>
      </c>
      <c r="Q589" s="64"/>
      <c r="R589" s="62"/>
      <c r="S589" s="62"/>
      <c r="T589" s="63"/>
    </row>
    <row r="590" spans="12:20" x14ac:dyDescent="0.25">
      <c r="L590" s="2">
        <v>12.5</v>
      </c>
      <c r="M590" s="23" t="s">
        <v>517</v>
      </c>
      <c r="N590" s="23">
        <f>25/2</f>
        <v>12.5</v>
      </c>
      <c r="O590" s="21">
        <f t="shared" si="13"/>
        <v>0</v>
      </c>
      <c r="P590" s="25" t="s">
        <v>13</v>
      </c>
      <c r="Q590" s="64"/>
      <c r="R590" s="62"/>
      <c r="S590" s="62"/>
      <c r="T590" s="63"/>
    </row>
    <row r="591" spans="12:20" x14ac:dyDescent="0.25">
      <c r="L591" s="2">
        <v>12.5625</v>
      </c>
      <c r="M591" s="23" t="s">
        <v>890</v>
      </c>
      <c r="N591" s="23">
        <f>201/16</f>
        <v>12.5625</v>
      </c>
      <c r="O591" s="21">
        <f t="shared" si="13"/>
        <v>0</v>
      </c>
      <c r="P591" s="25" t="s">
        <v>13</v>
      </c>
      <c r="Q591" s="64"/>
      <c r="R591" s="62"/>
      <c r="S591" s="62"/>
      <c r="T591" s="63"/>
    </row>
    <row r="592" spans="12:20" x14ac:dyDescent="0.25">
      <c r="L592" s="2">
        <v>12.625</v>
      </c>
      <c r="M592" s="23" t="s">
        <v>713</v>
      </c>
      <c r="N592" s="23">
        <f>101/8</f>
        <v>12.625</v>
      </c>
      <c r="O592" s="21">
        <f t="shared" si="13"/>
        <v>0</v>
      </c>
      <c r="P592" s="25" t="s">
        <v>13</v>
      </c>
      <c r="Q592" s="64"/>
      <c r="R592" s="62"/>
      <c r="S592" s="62"/>
      <c r="T592" s="63"/>
    </row>
    <row r="593" spans="12:20" x14ac:dyDescent="0.25">
      <c r="L593" s="2">
        <v>12.6875</v>
      </c>
      <c r="M593" s="23" t="s">
        <v>891</v>
      </c>
      <c r="N593" s="23">
        <f>203/16</f>
        <v>12.6875</v>
      </c>
      <c r="O593" s="21">
        <f t="shared" si="13"/>
        <v>0</v>
      </c>
      <c r="P593" s="25" t="s">
        <v>13</v>
      </c>
      <c r="Q593" s="64"/>
      <c r="R593" s="62"/>
      <c r="S593" s="62"/>
      <c r="T593" s="63"/>
    </row>
    <row r="594" spans="12:20" x14ac:dyDescent="0.25">
      <c r="L594" s="2">
        <v>12.75</v>
      </c>
      <c r="M594" s="23" t="s">
        <v>561</v>
      </c>
      <c r="N594" s="23">
        <f>51/4</f>
        <v>12.75</v>
      </c>
      <c r="O594" s="21">
        <f t="shared" si="13"/>
        <v>0</v>
      </c>
      <c r="P594" s="25" t="s">
        <v>13</v>
      </c>
      <c r="Q594" s="64"/>
      <c r="R594" s="62"/>
      <c r="S594" s="62"/>
      <c r="T594" s="63"/>
    </row>
    <row r="595" spans="12:20" x14ac:dyDescent="0.25">
      <c r="L595" s="2">
        <v>12.8125</v>
      </c>
      <c r="M595" s="23" t="s">
        <v>892</v>
      </c>
      <c r="N595" s="23">
        <f>205/16</f>
        <v>12.8125</v>
      </c>
      <c r="O595" s="21">
        <f t="shared" si="13"/>
        <v>0</v>
      </c>
      <c r="P595" s="25" t="s">
        <v>13</v>
      </c>
      <c r="Q595" s="64"/>
      <c r="R595" s="62"/>
      <c r="S595" s="62"/>
      <c r="T595" s="63"/>
    </row>
    <row r="596" spans="12:20" x14ac:dyDescent="0.25">
      <c r="L596" s="2">
        <v>12.875</v>
      </c>
      <c r="M596" s="23" t="s">
        <v>714</v>
      </c>
      <c r="N596" s="23">
        <f>103/8</f>
        <v>12.875</v>
      </c>
      <c r="O596" s="21">
        <f t="shared" si="13"/>
        <v>0</v>
      </c>
      <c r="P596" s="25" t="s">
        <v>13</v>
      </c>
      <c r="Q596" s="64"/>
      <c r="R596" s="62"/>
      <c r="S596" s="62"/>
      <c r="T596" s="63"/>
    </row>
    <row r="597" spans="12:20" x14ac:dyDescent="0.25">
      <c r="L597" s="2">
        <v>12.9375</v>
      </c>
      <c r="M597" s="23" t="s">
        <v>893</v>
      </c>
      <c r="N597" s="23">
        <f>207/16</f>
        <v>12.9375</v>
      </c>
      <c r="O597" s="21">
        <f t="shared" si="13"/>
        <v>0</v>
      </c>
      <c r="P597" s="25" t="s">
        <v>13</v>
      </c>
      <c r="Q597" s="64"/>
      <c r="R597" s="62"/>
      <c r="S597" s="62"/>
      <c r="T597" s="63"/>
    </row>
    <row r="598" spans="12:20" x14ac:dyDescent="0.25">
      <c r="L598" s="2">
        <v>13</v>
      </c>
      <c r="M598" s="23" t="s">
        <v>359</v>
      </c>
      <c r="N598" s="23">
        <f>13/1</f>
        <v>13</v>
      </c>
      <c r="O598" s="21">
        <f t="shared" si="13"/>
        <v>0</v>
      </c>
      <c r="P598" s="25" t="s">
        <v>13</v>
      </c>
      <c r="Q598" s="64"/>
      <c r="R598" s="62"/>
      <c r="S598" s="62"/>
      <c r="T598" s="63"/>
    </row>
    <row r="599" spans="12:20" x14ac:dyDescent="0.25">
      <c r="L599" s="2">
        <v>13.0625</v>
      </c>
      <c r="M599" s="23" t="s">
        <v>894</v>
      </c>
      <c r="N599" s="23">
        <f>209/16</f>
        <v>13.0625</v>
      </c>
      <c r="O599" s="21">
        <f t="shared" si="13"/>
        <v>0</v>
      </c>
      <c r="P599" s="25" t="s">
        <v>13</v>
      </c>
      <c r="Q599" s="64"/>
      <c r="R599" s="62"/>
      <c r="S599" s="62"/>
      <c r="T599" s="63"/>
    </row>
    <row r="600" spans="12:20" x14ac:dyDescent="0.25">
      <c r="L600" s="2">
        <v>13.125</v>
      </c>
      <c r="M600" s="23" t="s">
        <v>715</v>
      </c>
      <c r="N600" s="23">
        <f>105/8</f>
        <v>13.125</v>
      </c>
      <c r="O600" s="21">
        <f t="shared" si="13"/>
        <v>0</v>
      </c>
      <c r="P600" s="25" t="s">
        <v>13</v>
      </c>
      <c r="Q600" s="64"/>
      <c r="R600" s="62"/>
      <c r="S600" s="62"/>
      <c r="T600" s="63"/>
    </row>
    <row r="601" spans="12:20" x14ac:dyDescent="0.25">
      <c r="L601" s="2">
        <v>13.1875</v>
      </c>
      <c r="M601" s="23" t="s">
        <v>895</v>
      </c>
      <c r="N601" s="23">
        <f>211/16</f>
        <v>13.1875</v>
      </c>
      <c r="O601" s="21">
        <f t="shared" si="13"/>
        <v>0</v>
      </c>
      <c r="P601" s="25" t="s">
        <v>13</v>
      </c>
      <c r="Q601" s="64"/>
      <c r="R601" s="62"/>
      <c r="S601" s="62"/>
      <c r="T601" s="63"/>
    </row>
    <row r="602" spans="12:20" x14ac:dyDescent="0.25">
      <c r="L602" s="2">
        <v>13.25</v>
      </c>
      <c r="M602" s="23" t="s">
        <v>562</v>
      </c>
      <c r="N602" s="23">
        <f>53/4</f>
        <v>13.25</v>
      </c>
      <c r="O602" s="21">
        <f t="shared" si="13"/>
        <v>0</v>
      </c>
      <c r="P602" s="25" t="s">
        <v>13</v>
      </c>
      <c r="Q602" s="64"/>
      <c r="R602" s="62"/>
      <c r="S602" s="62"/>
      <c r="T602" s="63"/>
    </row>
    <row r="603" spans="12:20" x14ac:dyDescent="0.25">
      <c r="L603" s="2">
        <v>13.3125</v>
      </c>
      <c r="M603" s="23" t="s">
        <v>896</v>
      </c>
      <c r="N603" s="23">
        <f>213/16</f>
        <v>13.3125</v>
      </c>
      <c r="O603" s="21">
        <f t="shared" si="13"/>
        <v>0</v>
      </c>
      <c r="P603" s="25" t="s">
        <v>13</v>
      </c>
      <c r="Q603" s="64"/>
      <c r="R603" s="62"/>
      <c r="S603" s="62"/>
      <c r="T603" s="63"/>
    </row>
    <row r="604" spans="12:20" x14ac:dyDescent="0.25">
      <c r="L604" s="2">
        <v>13.375</v>
      </c>
      <c r="M604" s="23" t="s">
        <v>716</v>
      </c>
      <c r="N604" s="23">
        <f>107/8</f>
        <v>13.375</v>
      </c>
      <c r="O604" s="21">
        <f t="shared" si="13"/>
        <v>0</v>
      </c>
      <c r="P604" s="25" t="s">
        <v>13</v>
      </c>
      <c r="Q604" s="64"/>
      <c r="R604" s="62"/>
      <c r="S604" s="62"/>
      <c r="T604" s="63"/>
    </row>
    <row r="605" spans="12:20" x14ac:dyDescent="0.25">
      <c r="L605" s="2">
        <v>13.4375</v>
      </c>
      <c r="M605" s="23" t="s">
        <v>897</v>
      </c>
      <c r="N605" s="23">
        <f>215/16</f>
        <v>13.4375</v>
      </c>
      <c r="O605" s="21">
        <f t="shared" si="13"/>
        <v>0</v>
      </c>
      <c r="P605" s="25" t="s">
        <v>13</v>
      </c>
      <c r="Q605" s="64"/>
      <c r="R605" s="62"/>
      <c r="S605" s="62"/>
      <c r="T605" s="63"/>
    </row>
    <row r="606" spans="12:20" x14ac:dyDescent="0.25">
      <c r="L606" s="2">
        <v>13.5</v>
      </c>
      <c r="M606" s="23" t="s">
        <v>518</v>
      </c>
      <c r="N606" s="23">
        <f>27/2</f>
        <v>13.5</v>
      </c>
      <c r="O606" s="21">
        <f t="shared" si="13"/>
        <v>0</v>
      </c>
      <c r="P606" s="25" t="s">
        <v>13</v>
      </c>
      <c r="Q606" s="64"/>
      <c r="R606" s="62"/>
      <c r="S606" s="62"/>
      <c r="T606" s="63"/>
    </row>
    <row r="607" spans="12:20" x14ac:dyDescent="0.25">
      <c r="L607" s="2">
        <v>13.5625</v>
      </c>
      <c r="M607" s="23" t="s">
        <v>898</v>
      </c>
      <c r="N607" s="23">
        <f>217/16</f>
        <v>13.5625</v>
      </c>
      <c r="O607" s="21">
        <f t="shared" si="13"/>
        <v>0</v>
      </c>
      <c r="P607" s="25" t="s">
        <v>13</v>
      </c>
      <c r="Q607" s="64"/>
      <c r="R607" s="62"/>
      <c r="S607" s="62"/>
      <c r="T607" s="63"/>
    </row>
    <row r="608" spans="12:20" x14ac:dyDescent="0.25">
      <c r="L608" s="2">
        <v>13.625</v>
      </c>
      <c r="M608" s="23" t="s">
        <v>717</v>
      </c>
      <c r="N608" s="23">
        <f>109/8</f>
        <v>13.625</v>
      </c>
      <c r="O608" s="21">
        <f t="shared" si="13"/>
        <v>0</v>
      </c>
      <c r="P608" s="25" t="s">
        <v>13</v>
      </c>
      <c r="Q608" s="64"/>
      <c r="R608" s="62"/>
      <c r="S608" s="62"/>
      <c r="T608" s="63"/>
    </row>
    <row r="609" spans="12:20" x14ac:dyDescent="0.25">
      <c r="L609" s="2">
        <v>13.6875</v>
      </c>
      <c r="M609" s="23" t="s">
        <v>899</v>
      </c>
      <c r="N609" s="23">
        <f>219/16</f>
        <v>13.6875</v>
      </c>
      <c r="O609" s="21">
        <f t="shared" si="13"/>
        <v>0</v>
      </c>
      <c r="P609" s="25" t="s">
        <v>13</v>
      </c>
      <c r="Q609" s="64"/>
      <c r="R609" s="62"/>
      <c r="S609" s="62"/>
      <c r="T609" s="63"/>
    </row>
    <row r="610" spans="12:20" x14ac:dyDescent="0.25">
      <c r="L610" s="2">
        <v>13.75</v>
      </c>
      <c r="M610" s="23" t="s">
        <v>563</v>
      </c>
      <c r="N610" s="23">
        <f>55/4</f>
        <v>13.75</v>
      </c>
      <c r="O610" s="21">
        <f t="shared" si="13"/>
        <v>0</v>
      </c>
      <c r="P610" s="25" t="s">
        <v>13</v>
      </c>
      <c r="Q610" s="64"/>
      <c r="R610" s="62"/>
      <c r="S610" s="62"/>
      <c r="T610" s="63"/>
    </row>
    <row r="611" spans="12:20" x14ac:dyDescent="0.25">
      <c r="L611" s="2">
        <v>13.8125</v>
      </c>
      <c r="M611" s="23" t="s">
        <v>900</v>
      </c>
      <c r="N611" s="23">
        <f>221/16</f>
        <v>13.8125</v>
      </c>
      <c r="O611" s="21">
        <f t="shared" si="13"/>
        <v>0</v>
      </c>
      <c r="P611" s="25" t="s">
        <v>13</v>
      </c>
      <c r="Q611" s="64"/>
      <c r="R611" s="62"/>
      <c r="S611" s="62"/>
      <c r="T611" s="63"/>
    </row>
    <row r="612" spans="12:20" x14ac:dyDescent="0.25">
      <c r="L612" s="2">
        <v>13.875</v>
      </c>
      <c r="M612" s="23" t="s">
        <v>718</v>
      </c>
      <c r="N612" s="23">
        <f>111/8</f>
        <v>13.875</v>
      </c>
      <c r="O612" s="21">
        <f t="shared" si="13"/>
        <v>0</v>
      </c>
      <c r="P612" s="25" t="s">
        <v>13</v>
      </c>
      <c r="Q612" s="64"/>
      <c r="R612" s="62"/>
      <c r="S612" s="62"/>
      <c r="T612" s="63"/>
    </row>
    <row r="613" spans="12:20" x14ac:dyDescent="0.25">
      <c r="L613" s="2">
        <v>13.9375</v>
      </c>
      <c r="M613" s="23" t="s">
        <v>901</v>
      </c>
      <c r="N613" s="23">
        <f>223/16</f>
        <v>13.9375</v>
      </c>
      <c r="O613" s="21">
        <f t="shared" si="13"/>
        <v>0</v>
      </c>
      <c r="P613" s="25" t="s">
        <v>13</v>
      </c>
      <c r="Q613" s="64"/>
      <c r="R613" s="62"/>
      <c r="S613" s="62"/>
      <c r="T613" s="63"/>
    </row>
    <row r="614" spans="12:20" x14ac:dyDescent="0.25">
      <c r="L614" s="2">
        <v>14</v>
      </c>
      <c r="M614" s="23" t="s">
        <v>360</v>
      </c>
      <c r="N614" s="23">
        <f>14/1</f>
        <v>14</v>
      </c>
      <c r="O614" s="21">
        <f t="shared" si="13"/>
        <v>0</v>
      </c>
      <c r="P614" s="25" t="s">
        <v>13</v>
      </c>
      <c r="Q614" s="64"/>
      <c r="R614" s="62"/>
      <c r="S614" s="62"/>
      <c r="T614" s="63"/>
    </row>
    <row r="615" spans="12:20" x14ac:dyDescent="0.25">
      <c r="L615" s="2">
        <v>14.0625</v>
      </c>
      <c r="M615" s="23" t="s">
        <v>902</v>
      </c>
      <c r="N615" s="23">
        <f>225/16</f>
        <v>14.0625</v>
      </c>
      <c r="O615" s="21">
        <f t="shared" si="13"/>
        <v>0</v>
      </c>
      <c r="P615" s="25" t="s">
        <v>13</v>
      </c>
      <c r="Q615" s="64"/>
      <c r="R615" s="62"/>
      <c r="S615" s="62"/>
      <c r="T615" s="63"/>
    </row>
    <row r="616" spans="12:20" x14ac:dyDescent="0.25">
      <c r="L616" s="2">
        <v>14.125</v>
      </c>
      <c r="M616" s="23" t="s">
        <v>719</v>
      </c>
      <c r="N616" s="23">
        <f>113/8</f>
        <v>14.125</v>
      </c>
      <c r="O616" s="21">
        <f t="shared" si="13"/>
        <v>0</v>
      </c>
      <c r="P616" s="25" t="s">
        <v>13</v>
      </c>
      <c r="Q616" s="64"/>
      <c r="R616" s="62"/>
      <c r="S616" s="62"/>
      <c r="T616" s="63"/>
    </row>
    <row r="617" spans="12:20" x14ac:dyDescent="0.25">
      <c r="L617" s="2">
        <v>14.1875</v>
      </c>
      <c r="M617" s="23" t="s">
        <v>903</v>
      </c>
      <c r="N617" s="23">
        <f>227/16</f>
        <v>14.1875</v>
      </c>
      <c r="O617" s="21">
        <f t="shared" si="13"/>
        <v>0</v>
      </c>
      <c r="P617" s="25" t="s">
        <v>13</v>
      </c>
      <c r="Q617" s="64"/>
      <c r="R617" s="62"/>
      <c r="S617" s="62"/>
      <c r="T617" s="63"/>
    </row>
    <row r="618" spans="12:20" x14ac:dyDescent="0.25">
      <c r="L618" s="2">
        <v>14.25</v>
      </c>
      <c r="M618" s="23" t="s">
        <v>564</v>
      </c>
      <c r="N618" s="23">
        <f>57/4</f>
        <v>14.25</v>
      </c>
      <c r="O618" s="21">
        <f t="shared" si="13"/>
        <v>0</v>
      </c>
      <c r="P618" s="25" t="s">
        <v>13</v>
      </c>
      <c r="Q618" s="64"/>
      <c r="R618" s="62"/>
      <c r="S618" s="62"/>
      <c r="T618" s="63"/>
    </row>
    <row r="619" spans="12:20" x14ac:dyDescent="0.25">
      <c r="L619" s="2">
        <v>14.3125</v>
      </c>
      <c r="M619" s="23" t="s">
        <v>904</v>
      </c>
      <c r="N619" s="23">
        <f>229/16</f>
        <v>14.3125</v>
      </c>
      <c r="O619" s="21">
        <f t="shared" si="13"/>
        <v>0</v>
      </c>
      <c r="P619" s="25" t="s">
        <v>13</v>
      </c>
      <c r="Q619" s="64"/>
      <c r="R619" s="62"/>
      <c r="S619" s="62"/>
      <c r="T619" s="63"/>
    </row>
    <row r="620" spans="12:20" x14ac:dyDescent="0.25">
      <c r="L620" s="2">
        <v>14.375</v>
      </c>
      <c r="M620" s="23" t="s">
        <v>720</v>
      </c>
      <c r="N620" s="23">
        <f>115/8</f>
        <v>14.375</v>
      </c>
      <c r="O620" s="21">
        <f t="shared" si="13"/>
        <v>0</v>
      </c>
      <c r="P620" s="25" t="s">
        <v>13</v>
      </c>
      <c r="Q620" s="64"/>
      <c r="R620" s="62"/>
      <c r="S620" s="62"/>
      <c r="T620" s="63"/>
    </row>
    <row r="621" spans="12:20" x14ac:dyDescent="0.25">
      <c r="L621" s="2">
        <v>14.4375</v>
      </c>
      <c r="M621" s="23" t="s">
        <v>905</v>
      </c>
      <c r="N621" s="23">
        <f>231/16</f>
        <v>14.4375</v>
      </c>
      <c r="O621" s="21">
        <f t="shared" si="13"/>
        <v>0</v>
      </c>
      <c r="P621" s="25" t="s">
        <v>13</v>
      </c>
      <c r="Q621" s="64"/>
      <c r="R621" s="62"/>
      <c r="S621" s="62"/>
      <c r="T621" s="63"/>
    </row>
    <row r="622" spans="12:20" x14ac:dyDescent="0.25">
      <c r="L622" s="2">
        <v>14.5</v>
      </c>
      <c r="M622" s="23" t="s">
        <v>519</v>
      </c>
      <c r="N622" s="23">
        <f>29/2</f>
        <v>14.5</v>
      </c>
      <c r="O622" s="21">
        <f t="shared" si="13"/>
        <v>0</v>
      </c>
      <c r="P622" s="25" t="s">
        <v>13</v>
      </c>
      <c r="Q622" s="64"/>
      <c r="R622" s="62"/>
      <c r="S622" s="62"/>
      <c r="T622" s="63"/>
    </row>
    <row r="623" spans="12:20" x14ac:dyDescent="0.25">
      <c r="L623" s="2">
        <v>14.5625</v>
      </c>
      <c r="M623" s="23" t="s">
        <v>906</v>
      </c>
      <c r="N623" s="23">
        <f>233/16</f>
        <v>14.5625</v>
      </c>
      <c r="O623" s="21">
        <f t="shared" si="13"/>
        <v>0</v>
      </c>
      <c r="P623" s="25" t="s">
        <v>13</v>
      </c>
      <c r="Q623" s="64"/>
      <c r="R623" s="62"/>
      <c r="S623" s="62"/>
      <c r="T623" s="63"/>
    </row>
    <row r="624" spans="12:20" x14ac:dyDescent="0.25">
      <c r="L624" s="2">
        <v>14.625</v>
      </c>
      <c r="M624" s="23" t="s">
        <v>721</v>
      </c>
      <c r="N624" s="23">
        <f>117/8</f>
        <v>14.625</v>
      </c>
      <c r="O624" s="21">
        <f t="shared" si="13"/>
        <v>0</v>
      </c>
      <c r="P624" s="25" t="s">
        <v>13</v>
      </c>
      <c r="Q624" s="64"/>
      <c r="R624" s="62"/>
      <c r="S624" s="62"/>
      <c r="T624" s="63"/>
    </row>
    <row r="625" spans="12:20" x14ac:dyDescent="0.25">
      <c r="L625" s="2">
        <v>14.6875</v>
      </c>
      <c r="M625" s="23" t="s">
        <v>907</v>
      </c>
      <c r="N625" s="23">
        <f>235/16</f>
        <v>14.6875</v>
      </c>
      <c r="O625" s="21">
        <f t="shared" si="13"/>
        <v>0</v>
      </c>
      <c r="P625" s="25" t="s">
        <v>13</v>
      </c>
      <c r="Q625" s="64"/>
      <c r="R625" s="62"/>
      <c r="S625" s="62"/>
      <c r="T625" s="63"/>
    </row>
    <row r="626" spans="12:20" x14ac:dyDescent="0.25">
      <c r="L626" s="2">
        <v>14.75</v>
      </c>
      <c r="M626" s="23" t="s">
        <v>565</v>
      </c>
      <c r="N626" s="23">
        <f>59/4</f>
        <v>14.75</v>
      </c>
      <c r="O626" s="21">
        <f t="shared" si="13"/>
        <v>0</v>
      </c>
      <c r="P626" s="25" t="s">
        <v>13</v>
      </c>
      <c r="Q626" s="64"/>
      <c r="R626" s="62"/>
      <c r="S626" s="62"/>
      <c r="T626" s="63"/>
    </row>
    <row r="627" spans="12:20" x14ac:dyDescent="0.25">
      <c r="L627" s="2">
        <v>14.8125</v>
      </c>
      <c r="M627" s="23" t="s">
        <v>908</v>
      </c>
      <c r="N627" s="23">
        <f>237/16</f>
        <v>14.8125</v>
      </c>
      <c r="O627" s="21">
        <f t="shared" si="13"/>
        <v>0</v>
      </c>
      <c r="P627" s="25" t="s">
        <v>13</v>
      </c>
      <c r="Q627" s="64"/>
      <c r="R627" s="62"/>
      <c r="S627" s="62"/>
      <c r="T627" s="63"/>
    </row>
    <row r="628" spans="12:20" x14ac:dyDescent="0.25">
      <c r="L628" s="2">
        <v>14.875</v>
      </c>
      <c r="M628" s="23" t="s">
        <v>722</v>
      </c>
      <c r="N628" s="23">
        <f>119/8</f>
        <v>14.875</v>
      </c>
      <c r="O628" s="21">
        <f t="shared" si="13"/>
        <v>0</v>
      </c>
      <c r="P628" s="25" t="s">
        <v>13</v>
      </c>
      <c r="Q628" s="64"/>
      <c r="R628" s="62"/>
      <c r="S628" s="62"/>
      <c r="T628" s="63"/>
    </row>
    <row r="629" spans="12:20" x14ac:dyDescent="0.25">
      <c r="L629" s="2">
        <v>14.9375</v>
      </c>
      <c r="M629" s="23" t="s">
        <v>909</v>
      </c>
      <c r="N629" s="23">
        <f>239/16</f>
        <v>14.9375</v>
      </c>
      <c r="O629" s="21">
        <f t="shared" si="13"/>
        <v>0</v>
      </c>
      <c r="P629" s="25" t="s">
        <v>13</v>
      </c>
      <c r="Q629" s="64"/>
      <c r="R629" s="62"/>
      <c r="S629" s="62"/>
      <c r="T629" s="63"/>
    </row>
    <row r="630" spans="12:20" x14ac:dyDescent="0.25">
      <c r="L630" s="2">
        <v>15</v>
      </c>
      <c r="M630" s="23" t="s">
        <v>361</v>
      </c>
      <c r="N630" s="23">
        <f>15/1</f>
        <v>15</v>
      </c>
      <c r="O630" s="21">
        <f t="shared" si="13"/>
        <v>0</v>
      </c>
      <c r="P630" s="25" t="s">
        <v>13</v>
      </c>
      <c r="Q630" s="64"/>
      <c r="R630" s="62"/>
      <c r="S630" s="62"/>
      <c r="T630" s="63"/>
    </row>
    <row r="631" spans="12:20" x14ac:dyDescent="0.25">
      <c r="L631" s="2">
        <v>15.0625</v>
      </c>
      <c r="M631" s="23" t="s">
        <v>910</v>
      </c>
      <c r="N631" s="23">
        <f>241/16</f>
        <v>15.0625</v>
      </c>
      <c r="O631" s="21">
        <f t="shared" si="13"/>
        <v>0</v>
      </c>
      <c r="P631" s="25" t="s">
        <v>13</v>
      </c>
      <c r="Q631" s="64"/>
      <c r="R631" s="62"/>
      <c r="S631" s="62"/>
      <c r="T631" s="63"/>
    </row>
    <row r="632" spans="12:20" x14ac:dyDescent="0.25">
      <c r="L632" s="2">
        <v>15.125</v>
      </c>
      <c r="M632" s="23" t="s">
        <v>723</v>
      </c>
      <c r="N632" s="23">
        <f>121/8</f>
        <v>15.125</v>
      </c>
      <c r="O632" s="21">
        <f t="shared" si="13"/>
        <v>0</v>
      </c>
      <c r="P632" s="25" t="s">
        <v>13</v>
      </c>
      <c r="Q632" s="64"/>
      <c r="R632" s="62"/>
      <c r="S632" s="62"/>
      <c r="T632" s="63"/>
    </row>
    <row r="633" spans="12:20" x14ac:dyDescent="0.25">
      <c r="L633" s="2">
        <v>15.1875</v>
      </c>
      <c r="M633" s="23" t="s">
        <v>911</v>
      </c>
      <c r="N633" s="23">
        <f>243/16</f>
        <v>15.1875</v>
      </c>
      <c r="O633" s="21">
        <f t="shared" si="13"/>
        <v>0</v>
      </c>
      <c r="P633" s="25" t="s">
        <v>13</v>
      </c>
      <c r="Q633" s="64"/>
      <c r="R633" s="62"/>
      <c r="S633" s="62"/>
      <c r="T633" s="63"/>
    </row>
    <row r="634" spans="12:20" x14ac:dyDescent="0.25">
      <c r="L634" s="2">
        <v>15.25</v>
      </c>
      <c r="M634" s="23" t="s">
        <v>566</v>
      </c>
      <c r="N634" s="23">
        <f>61/4</f>
        <v>15.25</v>
      </c>
      <c r="O634" s="21">
        <f t="shared" si="13"/>
        <v>0</v>
      </c>
      <c r="P634" s="25" t="s">
        <v>13</v>
      </c>
      <c r="Q634" s="64"/>
      <c r="R634" s="62"/>
      <c r="S634" s="62"/>
      <c r="T634" s="63"/>
    </row>
    <row r="635" spans="12:20" x14ac:dyDescent="0.25">
      <c r="L635" s="2">
        <v>15.3125</v>
      </c>
      <c r="M635" s="23" t="s">
        <v>912</v>
      </c>
      <c r="N635" s="23">
        <f>245/16</f>
        <v>15.3125</v>
      </c>
      <c r="O635" s="21">
        <f t="shared" si="13"/>
        <v>0</v>
      </c>
      <c r="P635" s="25" t="s">
        <v>13</v>
      </c>
      <c r="Q635" s="64"/>
      <c r="R635" s="62"/>
      <c r="S635" s="62"/>
      <c r="T635" s="63"/>
    </row>
    <row r="636" spans="12:20" x14ac:dyDescent="0.25">
      <c r="L636" s="2">
        <v>15.375</v>
      </c>
      <c r="M636" s="23" t="s">
        <v>724</v>
      </c>
      <c r="N636" s="23">
        <f>123/8</f>
        <v>15.375</v>
      </c>
      <c r="O636" s="21">
        <f t="shared" si="13"/>
        <v>0</v>
      </c>
      <c r="P636" s="25" t="s">
        <v>13</v>
      </c>
      <c r="Q636" s="64"/>
      <c r="R636" s="62"/>
      <c r="S636" s="62"/>
      <c r="T636" s="63"/>
    </row>
    <row r="637" spans="12:20" x14ac:dyDescent="0.25">
      <c r="L637" s="2">
        <v>15.4375</v>
      </c>
      <c r="M637" s="23" t="s">
        <v>913</v>
      </c>
      <c r="N637" s="23">
        <f>247/16</f>
        <v>15.4375</v>
      </c>
      <c r="O637" s="21">
        <f t="shared" si="13"/>
        <v>0</v>
      </c>
      <c r="P637" s="25" t="s">
        <v>13</v>
      </c>
      <c r="Q637" s="64"/>
      <c r="R637" s="62"/>
      <c r="S637" s="62"/>
      <c r="T637" s="63"/>
    </row>
    <row r="638" spans="12:20" x14ac:dyDescent="0.25">
      <c r="L638" s="2">
        <v>15.5</v>
      </c>
      <c r="M638" s="23" t="s">
        <v>520</v>
      </c>
      <c r="N638" s="23">
        <f>31/2</f>
        <v>15.5</v>
      </c>
      <c r="O638" s="21">
        <f t="shared" si="13"/>
        <v>0</v>
      </c>
      <c r="P638" s="25" t="s">
        <v>13</v>
      </c>
      <c r="Q638" s="64"/>
      <c r="R638" s="62"/>
      <c r="S638" s="62"/>
      <c r="T638" s="63"/>
    </row>
    <row r="639" spans="12:20" x14ac:dyDescent="0.25">
      <c r="L639" s="2">
        <v>15.5625</v>
      </c>
      <c r="M639" s="23" t="s">
        <v>914</v>
      </c>
      <c r="N639" s="23">
        <f>249/16</f>
        <v>15.5625</v>
      </c>
      <c r="O639" s="21">
        <f t="shared" si="13"/>
        <v>0</v>
      </c>
      <c r="P639" s="25" t="s">
        <v>13</v>
      </c>
      <c r="Q639" s="64"/>
      <c r="R639" s="62"/>
      <c r="S639" s="62"/>
      <c r="T639" s="63"/>
    </row>
    <row r="640" spans="12:20" x14ac:dyDescent="0.25">
      <c r="L640" s="2">
        <v>15.625</v>
      </c>
      <c r="M640" s="23" t="s">
        <v>725</v>
      </c>
      <c r="N640" s="23">
        <f>125/8</f>
        <v>15.625</v>
      </c>
      <c r="O640" s="21">
        <f t="shared" si="13"/>
        <v>0</v>
      </c>
      <c r="P640" s="25" t="s">
        <v>13</v>
      </c>
      <c r="Q640" s="64"/>
      <c r="R640" s="62"/>
      <c r="S640" s="62"/>
      <c r="T640" s="63"/>
    </row>
    <row r="641" spans="12:20" x14ac:dyDescent="0.25">
      <c r="L641" s="2">
        <v>15.6875</v>
      </c>
      <c r="M641" s="23" t="s">
        <v>915</v>
      </c>
      <c r="N641" s="23">
        <f>251/16</f>
        <v>15.6875</v>
      </c>
      <c r="O641" s="21">
        <f t="shared" si="13"/>
        <v>0</v>
      </c>
      <c r="P641" s="25" t="s">
        <v>13</v>
      </c>
      <c r="Q641" s="64"/>
      <c r="R641" s="62"/>
      <c r="S641" s="62"/>
      <c r="T641" s="63"/>
    </row>
    <row r="642" spans="12:20" x14ac:dyDescent="0.25">
      <c r="L642" s="2">
        <v>15.75</v>
      </c>
      <c r="M642" s="23" t="s">
        <v>567</v>
      </c>
      <c r="N642" s="23">
        <f>63/4</f>
        <v>15.75</v>
      </c>
      <c r="O642" s="21">
        <f t="shared" si="13"/>
        <v>0</v>
      </c>
      <c r="P642" s="25" t="s">
        <v>13</v>
      </c>
      <c r="Q642" s="64"/>
      <c r="R642" s="62"/>
      <c r="S642" s="62"/>
      <c r="T642" s="63"/>
    </row>
    <row r="643" spans="12:20" x14ac:dyDescent="0.25">
      <c r="L643" s="2">
        <v>15.8125</v>
      </c>
      <c r="M643" s="23" t="s">
        <v>916</v>
      </c>
      <c r="N643" s="23">
        <f>253/16</f>
        <v>15.8125</v>
      </c>
      <c r="O643" s="21">
        <f t="shared" si="13"/>
        <v>0</v>
      </c>
      <c r="P643" s="25" t="s">
        <v>13</v>
      </c>
      <c r="Q643" s="64"/>
      <c r="R643" s="62"/>
      <c r="S643" s="62"/>
      <c r="T643" s="63"/>
    </row>
    <row r="644" spans="12:20" x14ac:dyDescent="0.25">
      <c r="L644" s="2">
        <v>15.875</v>
      </c>
      <c r="M644" s="23" t="s">
        <v>726</v>
      </c>
      <c r="N644" s="23">
        <f>127/8</f>
        <v>15.875</v>
      </c>
      <c r="O644" s="21">
        <f t="shared" si="13"/>
        <v>0</v>
      </c>
      <c r="P644" s="25" t="s">
        <v>13</v>
      </c>
      <c r="Q644" s="64"/>
      <c r="R644" s="62"/>
      <c r="S644" s="62"/>
      <c r="T644" s="63"/>
    </row>
    <row r="645" spans="12:20" x14ac:dyDescent="0.25">
      <c r="L645" s="2">
        <v>15.9375</v>
      </c>
      <c r="M645" s="23" t="s">
        <v>917</v>
      </c>
      <c r="N645" s="23">
        <f>255/16</f>
        <v>15.9375</v>
      </c>
      <c r="O645" s="21">
        <f t="shared" si="13"/>
        <v>0</v>
      </c>
      <c r="P645" s="25" t="s">
        <v>13</v>
      </c>
      <c r="Q645" s="64"/>
      <c r="R645" s="62"/>
      <c r="S645" s="65"/>
      <c r="T645" s="66"/>
    </row>
    <row r="646" spans="12:20" x14ac:dyDescent="0.25">
      <c r="L646" s="2">
        <v>16</v>
      </c>
      <c r="M646" s="23" t="s">
        <v>362</v>
      </c>
      <c r="N646" s="23">
        <f>16/1</f>
        <v>16</v>
      </c>
      <c r="O646" s="21">
        <f t="shared" si="13"/>
        <v>0</v>
      </c>
      <c r="P646" s="25" t="s">
        <v>13</v>
      </c>
      <c r="Q646" s="76"/>
      <c r="R646" s="67"/>
      <c r="S646" s="69"/>
      <c r="T646" s="70"/>
    </row>
    <row r="647" spans="12:20" x14ac:dyDescent="0.25">
      <c r="L647" s="2">
        <v>16.125</v>
      </c>
      <c r="M647" s="23" t="s">
        <v>727</v>
      </c>
      <c r="N647" s="23">
        <f>129/8</f>
        <v>16.125</v>
      </c>
      <c r="O647" s="21">
        <f t="shared" ref="O647:O710" si="14">ABS(L647-N647)</f>
        <v>0</v>
      </c>
      <c r="P647" s="27" t="s">
        <v>150</v>
      </c>
      <c r="Q647" s="29" t="s">
        <v>283</v>
      </c>
      <c r="R647" s="71"/>
      <c r="S647" s="72"/>
      <c r="T647" s="73"/>
    </row>
    <row r="648" spans="12:20" x14ac:dyDescent="0.25">
      <c r="L648" s="2">
        <v>16.25</v>
      </c>
      <c r="M648" s="23" t="s">
        <v>568</v>
      </c>
      <c r="N648" s="23">
        <f>65/4</f>
        <v>16.25</v>
      </c>
      <c r="O648" s="21">
        <f t="shared" si="14"/>
        <v>0</v>
      </c>
      <c r="P648" s="27" t="s">
        <v>150</v>
      </c>
      <c r="Q648" s="54"/>
      <c r="R648" s="72"/>
      <c r="S648" s="72"/>
      <c r="T648" s="73"/>
    </row>
    <row r="649" spans="12:20" x14ac:dyDescent="0.25">
      <c r="L649" s="2">
        <v>16.375</v>
      </c>
      <c r="M649" s="23" t="s">
        <v>728</v>
      </c>
      <c r="N649" s="23">
        <f>131/8</f>
        <v>16.375</v>
      </c>
      <c r="O649" s="21">
        <f t="shared" si="14"/>
        <v>0</v>
      </c>
      <c r="P649" s="27" t="s">
        <v>150</v>
      </c>
      <c r="Q649" s="54"/>
      <c r="R649" s="72"/>
      <c r="S649" s="72"/>
      <c r="T649" s="73"/>
    </row>
    <row r="650" spans="12:20" x14ac:dyDescent="0.25">
      <c r="L650" s="2">
        <v>16.5</v>
      </c>
      <c r="M650" s="23" t="s">
        <v>521</v>
      </c>
      <c r="N650" s="23">
        <f>33/2</f>
        <v>16.5</v>
      </c>
      <c r="O650" s="21">
        <f t="shared" si="14"/>
        <v>0</v>
      </c>
      <c r="P650" s="27" t="s">
        <v>150</v>
      </c>
      <c r="Q650" s="54"/>
      <c r="R650" s="72"/>
      <c r="S650" s="72"/>
      <c r="T650" s="73"/>
    </row>
    <row r="651" spans="12:20" x14ac:dyDescent="0.25">
      <c r="L651" s="2">
        <v>16.625</v>
      </c>
      <c r="M651" s="23" t="s">
        <v>729</v>
      </c>
      <c r="N651" s="23">
        <f>133/8</f>
        <v>16.625</v>
      </c>
      <c r="O651" s="21">
        <f t="shared" si="14"/>
        <v>0</v>
      </c>
      <c r="P651" s="27" t="s">
        <v>150</v>
      </c>
      <c r="Q651" s="54"/>
      <c r="R651" s="72"/>
      <c r="S651" s="72"/>
      <c r="T651" s="73"/>
    </row>
    <row r="652" spans="12:20" x14ac:dyDescent="0.25">
      <c r="L652" s="2">
        <v>16.75</v>
      </c>
      <c r="M652" s="23" t="s">
        <v>569</v>
      </c>
      <c r="N652" s="23">
        <f>67/4</f>
        <v>16.75</v>
      </c>
      <c r="O652" s="21">
        <f t="shared" si="14"/>
        <v>0</v>
      </c>
      <c r="P652" s="27" t="s">
        <v>150</v>
      </c>
      <c r="Q652" s="54"/>
      <c r="R652" s="72"/>
      <c r="S652" s="72"/>
      <c r="T652" s="73"/>
    </row>
    <row r="653" spans="12:20" x14ac:dyDescent="0.25">
      <c r="L653" s="2">
        <v>16.875</v>
      </c>
      <c r="M653" s="23" t="s">
        <v>730</v>
      </c>
      <c r="N653" s="23">
        <f>135/8</f>
        <v>16.875</v>
      </c>
      <c r="O653" s="21">
        <f t="shared" si="14"/>
        <v>0</v>
      </c>
      <c r="P653" s="27" t="s">
        <v>150</v>
      </c>
      <c r="Q653" s="54"/>
      <c r="R653" s="72"/>
      <c r="S653" s="72"/>
      <c r="T653" s="73"/>
    </row>
    <row r="654" spans="12:20" x14ac:dyDescent="0.25">
      <c r="L654" s="2">
        <v>17</v>
      </c>
      <c r="M654" s="23" t="s">
        <v>363</v>
      </c>
      <c r="N654" s="23">
        <f>17/1</f>
        <v>17</v>
      </c>
      <c r="O654" s="21">
        <f t="shared" si="14"/>
        <v>0</v>
      </c>
      <c r="P654" s="27" t="s">
        <v>150</v>
      </c>
      <c r="Q654" s="54"/>
      <c r="R654" s="72"/>
      <c r="S654" s="72"/>
      <c r="T654" s="73"/>
    </row>
    <row r="655" spans="12:20" x14ac:dyDescent="0.25">
      <c r="L655" s="2">
        <v>17.125</v>
      </c>
      <c r="M655" s="23" t="s">
        <v>731</v>
      </c>
      <c r="N655" s="23">
        <f>137/8</f>
        <v>17.125</v>
      </c>
      <c r="O655" s="21">
        <f t="shared" si="14"/>
        <v>0</v>
      </c>
      <c r="P655" s="27" t="s">
        <v>150</v>
      </c>
      <c r="Q655" s="54"/>
      <c r="R655" s="72"/>
      <c r="S655" s="72"/>
      <c r="T655" s="73"/>
    </row>
    <row r="656" spans="12:20" x14ac:dyDescent="0.25">
      <c r="L656" s="2">
        <v>17.25</v>
      </c>
      <c r="M656" s="23" t="s">
        <v>570</v>
      </c>
      <c r="N656" s="23">
        <f>69/4</f>
        <v>17.25</v>
      </c>
      <c r="O656" s="21">
        <f t="shared" si="14"/>
        <v>0</v>
      </c>
      <c r="P656" s="27" t="s">
        <v>150</v>
      </c>
      <c r="Q656" s="54"/>
      <c r="R656" s="72"/>
      <c r="S656" s="72"/>
      <c r="T656" s="73"/>
    </row>
    <row r="657" spans="12:20" x14ac:dyDescent="0.25">
      <c r="L657" s="2">
        <v>17.375</v>
      </c>
      <c r="M657" s="23" t="s">
        <v>732</v>
      </c>
      <c r="N657" s="23">
        <f>139/8</f>
        <v>17.375</v>
      </c>
      <c r="O657" s="21">
        <f t="shared" si="14"/>
        <v>0</v>
      </c>
      <c r="P657" s="27" t="s">
        <v>150</v>
      </c>
      <c r="Q657" s="54"/>
      <c r="R657" s="72"/>
      <c r="S657" s="72"/>
      <c r="T657" s="73"/>
    </row>
    <row r="658" spans="12:20" x14ac:dyDescent="0.25">
      <c r="L658" s="2">
        <v>17.5</v>
      </c>
      <c r="M658" s="23" t="s">
        <v>522</v>
      </c>
      <c r="N658" s="23">
        <f>35/2</f>
        <v>17.5</v>
      </c>
      <c r="O658" s="21">
        <f t="shared" si="14"/>
        <v>0</v>
      </c>
      <c r="P658" s="27" t="s">
        <v>150</v>
      </c>
      <c r="Q658" s="54"/>
      <c r="R658" s="72"/>
      <c r="S658" s="72"/>
      <c r="T658" s="73"/>
    </row>
    <row r="659" spans="12:20" x14ac:dyDescent="0.25">
      <c r="L659" s="2">
        <v>17.625</v>
      </c>
      <c r="M659" s="23" t="s">
        <v>733</v>
      </c>
      <c r="N659" s="23">
        <f>141/8</f>
        <v>17.625</v>
      </c>
      <c r="O659" s="21">
        <f t="shared" si="14"/>
        <v>0</v>
      </c>
      <c r="P659" s="27" t="s">
        <v>150</v>
      </c>
      <c r="Q659" s="54"/>
      <c r="R659" s="72"/>
      <c r="S659" s="72"/>
      <c r="T659" s="73"/>
    </row>
    <row r="660" spans="12:20" x14ac:dyDescent="0.25">
      <c r="L660" s="2">
        <v>17.75</v>
      </c>
      <c r="M660" s="23" t="s">
        <v>571</v>
      </c>
      <c r="N660" s="23">
        <f>71/4</f>
        <v>17.75</v>
      </c>
      <c r="O660" s="21">
        <f t="shared" si="14"/>
        <v>0</v>
      </c>
      <c r="P660" s="27" t="s">
        <v>150</v>
      </c>
      <c r="Q660" s="54"/>
      <c r="R660" s="72"/>
      <c r="S660" s="72"/>
      <c r="T660" s="73"/>
    </row>
    <row r="661" spans="12:20" x14ac:dyDescent="0.25">
      <c r="L661" s="2">
        <v>17.875</v>
      </c>
      <c r="M661" s="23" t="s">
        <v>734</v>
      </c>
      <c r="N661" s="23">
        <f>143/8</f>
        <v>17.875</v>
      </c>
      <c r="O661" s="21">
        <f t="shared" si="14"/>
        <v>0</v>
      </c>
      <c r="P661" s="27" t="s">
        <v>150</v>
      </c>
      <c r="Q661" s="54"/>
      <c r="R661" s="72"/>
      <c r="S661" s="72"/>
      <c r="T661" s="73"/>
    </row>
    <row r="662" spans="12:20" x14ac:dyDescent="0.25">
      <c r="L662" s="2">
        <v>18</v>
      </c>
      <c r="M662" s="23" t="s">
        <v>364</v>
      </c>
      <c r="N662" s="23">
        <f>18/1</f>
        <v>18</v>
      </c>
      <c r="O662" s="21">
        <f t="shared" si="14"/>
        <v>0</v>
      </c>
      <c r="P662" s="27" t="s">
        <v>150</v>
      </c>
      <c r="Q662" s="54"/>
      <c r="R662" s="72"/>
      <c r="S662" s="72"/>
      <c r="T662" s="73"/>
    </row>
    <row r="663" spans="12:20" x14ac:dyDescent="0.25">
      <c r="L663" s="2">
        <v>18.125</v>
      </c>
      <c r="M663" s="23" t="s">
        <v>735</v>
      </c>
      <c r="N663" s="23">
        <f>145/8</f>
        <v>18.125</v>
      </c>
      <c r="O663" s="21">
        <f t="shared" si="14"/>
        <v>0</v>
      </c>
      <c r="P663" s="27" t="s">
        <v>150</v>
      </c>
      <c r="Q663" s="54"/>
      <c r="R663" s="72"/>
      <c r="S663" s="72"/>
      <c r="T663" s="73"/>
    </row>
    <row r="664" spans="12:20" x14ac:dyDescent="0.25">
      <c r="L664" s="2">
        <v>18.25</v>
      </c>
      <c r="M664" s="23" t="s">
        <v>572</v>
      </c>
      <c r="N664" s="23">
        <f>73/4</f>
        <v>18.25</v>
      </c>
      <c r="O664" s="21">
        <f t="shared" si="14"/>
        <v>0</v>
      </c>
      <c r="P664" s="27" t="s">
        <v>150</v>
      </c>
      <c r="Q664" s="54"/>
      <c r="R664" s="72"/>
      <c r="S664" s="72"/>
      <c r="T664" s="73"/>
    </row>
    <row r="665" spans="12:20" x14ac:dyDescent="0.25">
      <c r="L665" s="2">
        <v>18.375</v>
      </c>
      <c r="M665" s="23" t="s">
        <v>736</v>
      </c>
      <c r="N665" s="23">
        <f>147/8</f>
        <v>18.375</v>
      </c>
      <c r="O665" s="21">
        <f t="shared" si="14"/>
        <v>0</v>
      </c>
      <c r="P665" s="27" t="s">
        <v>150</v>
      </c>
      <c r="Q665" s="54"/>
      <c r="R665" s="72"/>
      <c r="S665" s="72"/>
      <c r="T665" s="73"/>
    </row>
    <row r="666" spans="12:20" x14ac:dyDescent="0.25">
      <c r="L666" s="2">
        <v>18.5</v>
      </c>
      <c r="M666" s="23" t="s">
        <v>523</v>
      </c>
      <c r="N666" s="23">
        <f>37/2</f>
        <v>18.5</v>
      </c>
      <c r="O666" s="21">
        <f t="shared" si="14"/>
        <v>0</v>
      </c>
      <c r="P666" s="27" t="s">
        <v>150</v>
      </c>
      <c r="Q666" s="54"/>
      <c r="R666" s="72"/>
      <c r="S666" s="72"/>
      <c r="T666" s="73"/>
    </row>
    <row r="667" spans="12:20" x14ac:dyDescent="0.25">
      <c r="L667" s="2">
        <v>18.625</v>
      </c>
      <c r="M667" s="23" t="s">
        <v>737</v>
      </c>
      <c r="N667" s="23">
        <f>149/8</f>
        <v>18.625</v>
      </c>
      <c r="O667" s="21">
        <f t="shared" si="14"/>
        <v>0</v>
      </c>
      <c r="P667" s="27" t="s">
        <v>150</v>
      </c>
      <c r="Q667" s="54"/>
      <c r="R667" s="72"/>
      <c r="S667" s="72"/>
      <c r="T667" s="73"/>
    </row>
    <row r="668" spans="12:20" x14ac:dyDescent="0.25">
      <c r="L668" s="2">
        <v>18.75</v>
      </c>
      <c r="M668" s="23" t="s">
        <v>573</v>
      </c>
      <c r="N668" s="23">
        <f>75/4</f>
        <v>18.75</v>
      </c>
      <c r="O668" s="21">
        <f t="shared" si="14"/>
        <v>0</v>
      </c>
      <c r="P668" s="27" t="s">
        <v>150</v>
      </c>
      <c r="Q668" s="54"/>
      <c r="R668" s="72"/>
      <c r="S668" s="72"/>
      <c r="T668" s="73"/>
    </row>
    <row r="669" spans="12:20" x14ac:dyDescent="0.25">
      <c r="L669" s="2">
        <v>18.875</v>
      </c>
      <c r="M669" s="23" t="s">
        <v>738</v>
      </c>
      <c r="N669" s="23">
        <f>151/8</f>
        <v>18.875</v>
      </c>
      <c r="O669" s="21">
        <f t="shared" si="14"/>
        <v>0</v>
      </c>
      <c r="P669" s="27" t="s">
        <v>150</v>
      </c>
      <c r="Q669" s="54"/>
      <c r="R669" s="72"/>
      <c r="S669" s="72"/>
      <c r="T669" s="73"/>
    </row>
    <row r="670" spans="12:20" x14ac:dyDescent="0.25">
      <c r="L670" s="2">
        <v>19</v>
      </c>
      <c r="M670" s="23" t="s">
        <v>365</v>
      </c>
      <c r="N670" s="23">
        <f>19/1</f>
        <v>19</v>
      </c>
      <c r="O670" s="21">
        <f t="shared" si="14"/>
        <v>0</v>
      </c>
      <c r="P670" s="27" t="s">
        <v>150</v>
      </c>
      <c r="Q670" s="54"/>
      <c r="R670" s="72"/>
      <c r="S670" s="72"/>
      <c r="T670" s="73"/>
    </row>
    <row r="671" spans="12:20" x14ac:dyDescent="0.25">
      <c r="L671" s="2">
        <v>19.125</v>
      </c>
      <c r="M671" s="23" t="s">
        <v>739</v>
      </c>
      <c r="N671" s="23">
        <f>153/8</f>
        <v>19.125</v>
      </c>
      <c r="O671" s="21">
        <f t="shared" si="14"/>
        <v>0</v>
      </c>
      <c r="P671" s="27" t="s">
        <v>150</v>
      </c>
      <c r="Q671" s="54"/>
      <c r="R671" s="72"/>
      <c r="S671" s="72"/>
      <c r="T671" s="73"/>
    </row>
    <row r="672" spans="12:20" x14ac:dyDescent="0.25">
      <c r="L672" s="2">
        <v>19.25</v>
      </c>
      <c r="M672" s="23" t="s">
        <v>574</v>
      </c>
      <c r="N672" s="23">
        <f>77/4</f>
        <v>19.25</v>
      </c>
      <c r="O672" s="21">
        <f t="shared" si="14"/>
        <v>0</v>
      </c>
      <c r="P672" s="27" t="s">
        <v>150</v>
      </c>
      <c r="Q672" s="54"/>
      <c r="R672" s="72"/>
      <c r="S672" s="72"/>
      <c r="T672" s="73"/>
    </row>
    <row r="673" spans="12:20" x14ac:dyDescent="0.25">
      <c r="L673" s="2">
        <v>19.375</v>
      </c>
      <c r="M673" s="23" t="s">
        <v>740</v>
      </c>
      <c r="N673" s="23">
        <f>155/8</f>
        <v>19.375</v>
      </c>
      <c r="O673" s="21">
        <f t="shared" si="14"/>
        <v>0</v>
      </c>
      <c r="P673" s="27" t="s">
        <v>150</v>
      </c>
      <c r="Q673" s="54"/>
      <c r="R673" s="72"/>
      <c r="S673" s="72"/>
      <c r="T673" s="73"/>
    </row>
    <row r="674" spans="12:20" x14ac:dyDescent="0.25">
      <c r="L674" s="2">
        <v>19.5</v>
      </c>
      <c r="M674" s="23" t="s">
        <v>524</v>
      </c>
      <c r="N674" s="23">
        <f>39/2</f>
        <v>19.5</v>
      </c>
      <c r="O674" s="21">
        <f t="shared" si="14"/>
        <v>0</v>
      </c>
      <c r="P674" s="27" t="s">
        <v>150</v>
      </c>
      <c r="Q674" s="54"/>
      <c r="R674" s="72"/>
      <c r="S674" s="72"/>
      <c r="T674" s="73"/>
    </row>
    <row r="675" spans="12:20" x14ac:dyDescent="0.25">
      <c r="L675" s="2">
        <v>19.625</v>
      </c>
      <c r="M675" s="23" t="s">
        <v>741</v>
      </c>
      <c r="N675" s="23">
        <f>157/8</f>
        <v>19.625</v>
      </c>
      <c r="O675" s="21">
        <f t="shared" si="14"/>
        <v>0</v>
      </c>
      <c r="P675" s="27" t="s">
        <v>150</v>
      </c>
      <c r="Q675" s="54"/>
      <c r="R675" s="72"/>
      <c r="S675" s="72"/>
      <c r="T675" s="73"/>
    </row>
    <row r="676" spans="12:20" x14ac:dyDescent="0.25">
      <c r="L676" s="2">
        <v>19.75</v>
      </c>
      <c r="M676" s="23" t="s">
        <v>575</v>
      </c>
      <c r="N676" s="23">
        <f>79/4</f>
        <v>19.75</v>
      </c>
      <c r="O676" s="21">
        <f t="shared" si="14"/>
        <v>0</v>
      </c>
      <c r="P676" s="27" t="s">
        <v>150</v>
      </c>
      <c r="Q676" s="54"/>
      <c r="R676" s="72"/>
      <c r="S676" s="72"/>
      <c r="T676" s="73"/>
    </row>
    <row r="677" spans="12:20" x14ac:dyDescent="0.25">
      <c r="L677" s="2">
        <v>19.875</v>
      </c>
      <c r="M677" s="23" t="s">
        <v>742</v>
      </c>
      <c r="N677" s="23">
        <f>159/8</f>
        <v>19.875</v>
      </c>
      <c r="O677" s="21">
        <f t="shared" si="14"/>
        <v>0</v>
      </c>
      <c r="P677" s="27" t="s">
        <v>150</v>
      </c>
      <c r="Q677" s="54"/>
      <c r="R677" s="72"/>
      <c r="S677" s="72"/>
      <c r="T677" s="73"/>
    </row>
    <row r="678" spans="12:20" x14ac:dyDescent="0.25">
      <c r="L678" s="2">
        <v>20</v>
      </c>
      <c r="M678" s="23" t="s">
        <v>366</v>
      </c>
      <c r="N678" s="23">
        <f>20/1</f>
        <v>20</v>
      </c>
      <c r="O678" s="21">
        <f t="shared" si="14"/>
        <v>0</v>
      </c>
      <c r="P678" s="27" t="s">
        <v>150</v>
      </c>
      <c r="Q678" s="54"/>
      <c r="R678" s="72"/>
      <c r="S678" s="72"/>
      <c r="T678" s="73"/>
    </row>
    <row r="679" spans="12:20" x14ac:dyDescent="0.25">
      <c r="L679" s="2">
        <v>20.125</v>
      </c>
      <c r="M679" s="23" t="s">
        <v>743</v>
      </c>
      <c r="N679" s="23">
        <f>161/8</f>
        <v>20.125</v>
      </c>
      <c r="O679" s="21">
        <f t="shared" si="14"/>
        <v>0</v>
      </c>
      <c r="P679" s="27" t="s">
        <v>150</v>
      </c>
      <c r="Q679" s="54"/>
      <c r="R679" s="72"/>
      <c r="S679" s="72"/>
      <c r="T679" s="73"/>
    </row>
    <row r="680" spans="12:20" x14ac:dyDescent="0.25">
      <c r="L680" s="2">
        <v>20.25</v>
      </c>
      <c r="M680" s="23" t="s">
        <v>576</v>
      </c>
      <c r="N680" s="23">
        <f>81/4</f>
        <v>20.25</v>
      </c>
      <c r="O680" s="21">
        <f t="shared" si="14"/>
        <v>0</v>
      </c>
      <c r="P680" s="27" t="s">
        <v>150</v>
      </c>
      <c r="Q680" s="54"/>
      <c r="R680" s="72"/>
      <c r="S680" s="72"/>
      <c r="T680" s="73"/>
    </row>
    <row r="681" spans="12:20" x14ac:dyDescent="0.25">
      <c r="L681" s="2">
        <v>20.375</v>
      </c>
      <c r="M681" s="23" t="s">
        <v>744</v>
      </c>
      <c r="N681" s="23">
        <f>163/8</f>
        <v>20.375</v>
      </c>
      <c r="O681" s="21">
        <f t="shared" si="14"/>
        <v>0</v>
      </c>
      <c r="P681" s="27" t="s">
        <v>150</v>
      </c>
      <c r="Q681" s="54"/>
      <c r="R681" s="72"/>
      <c r="S681" s="72"/>
      <c r="T681" s="73"/>
    </row>
    <row r="682" spans="12:20" x14ac:dyDescent="0.25">
      <c r="L682" s="2">
        <v>20.5</v>
      </c>
      <c r="M682" s="23" t="s">
        <v>525</v>
      </c>
      <c r="N682" s="23">
        <f>41/2</f>
        <v>20.5</v>
      </c>
      <c r="O682" s="21">
        <f t="shared" si="14"/>
        <v>0</v>
      </c>
      <c r="P682" s="27" t="s">
        <v>150</v>
      </c>
      <c r="Q682" s="54"/>
      <c r="R682" s="72"/>
      <c r="S682" s="72"/>
      <c r="T682" s="73"/>
    </row>
    <row r="683" spans="12:20" x14ac:dyDescent="0.25">
      <c r="L683" s="2">
        <v>20.625</v>
      </c>
      <c r="M683" s="23" t="s">
        <v>745</v>
      </c>
      <c r="N683" s="23">
        <f>165/8</f>
        <v>20.625</v>
      </c>
      <c r="O683" s="21">
        <f t="shared" si="14"/>
        <v>0</v>
      </c>
      <c r="P683" s="27" t="s">
        <v>150</v>
      </c>
      <c r="Q683" s="54"/>
      <c r="R683" s="72"/>
      <c r="S683" s="72"/>
      <c r="T683" s="73"/>
    </row>
    <row r="684" spans="12:20" x14ac:dyDescent="0.25">
      <c r="L684" s="2">
        <v>20.75</v>
      </c>
      <c r="M684" s="23" t="s">
        <v>577</v>
      </c>
      <c r="N684" s="23">
        <f>83/4</f>
        <v>20.75</v>
      </c>
      <c r="O684" s="21">
        <f t="shared" si="14"/>
        <v>0</v>
      </c>
      <c r="P684" s="27" t="s">
        <v>150</v>
      </c>
      <c r="Q684" s="54"/>
      <c r="R684" s="72"/>
      <c r="S684" s="72"/>
      <c r="T684" s="73"/>
    </row>
    <row r="685" spans="12:20" x14ac:dyDescent="0.25">
      <c r="L685" s="2">
        <v>20.875</v>
      </c>
      <c r="M685" s="23" t="s">
        <v>746</v>
      </c>
      <c r="N685" s="23">
        <f>167/8</f>
        <v>20.875</v>
      </c>
      <c r="O685" s="21">
        <f t="shared" si="14"/>
        <v>0</v>
      </c>
      <c r="P685" s="27" t="s">
        <v>150</v>
      </c>
      <c r="Q685" s="54"/>
      <c r="R685" s="72"/>
      <c r="S685" s="72"/>
      <c r="T685" s="73"/>
    </row>
    <row r="686" spans="12:20" x14ac:dyDescent="0.25">
      <c r="L686" s="2">
        <v>21</v>
      </c>
      <c r="M686" s="23" t="s">
        <v>367</v>
      </c>
      <c r="N686" s="23">
        <f>21/1</f>
        <v>21</v>
      </c>
      <c r="O686" s="21">
        <f t="shared" si="14"/>
        <v>0</v>
      </c>
      <c r="P686" s="27" t="s">
        <v>150</v>
      </c>
      <c r="Q686" s="54"/>
      <c r="R686" s="72"/>
      <c r="S686" s="72"/>
      <c r="T686" s="73"/>
    </row>
    <row r="687" spans="12:20" x14ac:dyDescent="0.25">
      <c r="L687" s="2">
        <v>21.125</v>
      </c>
      <c r="M687" s="23" t="s">
        <v>747</v>
      </c>
      <c r="N687" s="23">
        <f>169/8</f>
        <v>21.125</v>
      </c>
      <c r="O687" s="21">
        <f t="shared" si="14"/>
        <v>0</v>
      </c>
      <c r="P687" s="27" t="s">
        <v>150</v>
      </c>
      <c r="Q687" s="54"/>
      <c r="R687" s="72"/>
      <c r="S687" s="72"/>
      <c r="T687" s="73"/>
    </row>
    <row r="688" spans="12:20" x14ac:dyDescent="0.25">
      <c r="L688" s="2">
        <v>21.25</v>
      </c>
      <c r="M688" s="23" t="s">
        <v>578</v>
      </c>
      <c r="N688" s="23">
        <f>85/4</f>
        <v>21.25</v>
      </c>
      <c r="O688" s="21">
        <f t="shared" si="14"/>
        <v>0</v>
      </c>
      <c r="P688" s="27" t="s">
        <v>150</v>
      </c>
      <c r="Q688" s="54"/>
      <c r="R688" s="72"/>
      <c r="S688" s="72"/>
      <c r="T688" s="73"/>
    </row>
    <row r="689" spans="12:20" x14ac:dyDescent="0.25">
      <c r="L689" s="2">
        <v>21.375</v>
      </c>
      <c r="M689" s="23" t="s">
        <v>748</v>
      </c>
      <c r="N689" s="23">
        <f>171/8</f>
        <v>21.375</v>
      </c>
      <c r="O689" s="21">
        <f t="shared" si="14"/>
        <v>0</v>
      </c>
      <c r="P689" s="27" t="s">
        <v>150</v>
      </c>
      <c r="Q689" s="54"/>
      <c r="R689" s="72"/>
      <c r="S689" s="72"/>
      <c r="T689" s="73"/>
    </row>
    <row r="690" spans="12:20" x14ac:dyDescent="0.25">
      <c r="L690" s="2">
        <v>21.5</v>
      </c>
      <c r="M690" s="23" t="s">
        <v>526</v>
      </c>
      <c r="N690" s="23">
        <f>43/2</f>
        <v>21.5</v>
      </c>
      <c r="O690" s="21">
        <f t="shared" si="14"/>
        <v>0</v>
      </c>
      <c r="P690" s="27" t="s">
        <v>150</v>
      </c>
      <c r="Q690" s="54"/>
      <c r="R690" s="72"/>
      <c r="S690" s="72"/>
      <c r="T690" s="73"/>
    </row>
    <row r="691" spans="12:20" x14ac:dyDescent="0.25">
      <c r="L691" s="2">
        <v>21.625</v>
      </c>
      <c r="M691" s="23" t="s">
        <v>749</v>
      </c>
      <c r="N691" s="23">
        <f>173/8</f>
        <v>21.625</v>
      </c>
      <c r="O691" s="21">
        <f t="shared" si="14"/>
        <v>0</v>
      </c>
      <c r="P691" s="27" t="s">
        <v>150</v>
      </c>
      <c r="Q691" s="54"/>
      <c r="R691" s="72"/>
      <c r="S691" s="72"/>
      <c r="T691" s="73"/>
    </row>
    <row r="692" spans="12:20" x14ac:dyDescent="0.25">
      <c r="L692" s="2">
        <v>21.75</v>
      </c>
      <c r="M692" s="23" t="s">
        <v>579</v>
      </c>
      <c r="N692" s="23">
        <f>87/4</f>
        <v>21.75</v>
      </c>
      <c r="O692" s="21">
        <f t="shared" si="14"/>
        <v>0</v>
      </c>
      <c r="P692" s="27" t="s">
        <v>150</v>
      </c>
      <c r="Q692" s="54"/>
      <c r="R692" s="72"/>
      <c r="S692" s="72"/>
      <c r="T692" s="73"/>
    </row>
    <row r="693" spans="12:20" x14ac:dyDescent="0.25">
      <c r="L693" s="2">
        <v>21.875</v>
      </c>
      <c r="M693" s="23" t="s">
        <v>750</v>
      </c>
      <c r="N693" s="23">
        <f>175/8</f>
        <v>21.875</v>
      </c>
      <c r="O693" s="21">
        <f t="shared" si="14"/>
        <v>0</v>
      </c>
      <c r="P693" s="27" t="s">
        <v>150</v>
      </c>
      <c r="Q693" s="54"/>
      <c r="R693" s="72"/>
      <c r="S693" s="72"/>
      <c r="T693" s="73"/>
    </row>
    <row r="694" spans="12:20" x14ac:dyDescent="0.25">
      <c r="L694" s="2">
        <v>22</v>
      </c>
      <c r="M694" s="23" t="s">
        <v>368</v>
      </c>
      <c r="N694" s="23">
        <f>22/1</f>
        <v>22</v>
      </c>
      <c r="O694" s="21">
        <f t="shared" si="14"/>
        <v>0</v>
      </c>
      <c r="P694" s="27" t="s">
        <v>150</v>
      </c>
      <c r="Q694" s="54"/>
      <c r="R694" s="72"/>
      <c r="S694" s="72"/>
      <c r="T694" s="73"/>
    </row>
    <row r="695" spans="12:20" x14ac:dyDescent="0.25">
      <c r="L695" s="2">
        <v>22.125</v>
      </c>
      <c r="M695" s="23" t="s">
        <v>751</v>
      </c>
      <c r="N695" s="23">
        <f>177/8</f>
        <v>22.125</v>
      </c>
      <c r="O695" s="21">
        <f t="shared" si="14"/>
        <v>0</v>
      </c>
      <c r="P695" s="27" t="s">
        <v>150</v>
      </c>
      <c r="Q695" s="54"/>
      <c r="R695" s="72"/>
      <c r="S695" s="72"/>
      <c r="T695" s="73"/>
    </row>
    <row r="696" spans="12:20" x14ac:dyDescent="0.25">
      <c r="L696" s="2">
        <v>22.25</v>
      </c>
      <c r="M696" s="23" t="s">
        <v>580</v>
      </c>
      <c r="N696" s="23">
        <f>89/4</f>
        <v>22.25</v>
      </c>
      <c r="O696" s="21">
        <f t="shared" si="14"/>
        <v>0</v>
      </c>
      <c r="P696" s="27" t="s">
        <v>150</v>
      </c>
      <c r="Q696" s="54"/>
      <c r="R696" s="72"/>
      <c r="S696" s="72"/>
      <c r="T696" s="73"/>
    </row>
    <row r="697" spans="12:20" x14ac:dyDescent="0.25">
      <c r="L697" s="2">
        <v>22.375</v>
      </c>
      <c r="M697" s="23" t="s">
        <v>752</v>
      </c>
      <c r="N697" s="23">
        <f>179/8</f>
        <v>22.375</v>
      </c>
      <c r="O697" s="21">
        <f t="shared" si="14"/>
        <v>0</v>
      </c>
      <c r="P697" s="27" t="s">
        <v>150</v>
      </c>
      <c r="Q697" s="54"/>
      <c r="R697" s="72"/>
      <c r="S697" s="72"/>
      <c r="T697" s="73"/>
    </row>
    <row r="698" spans="12:20" x14ac:dyDescent="0.25">
      <c r="L698" s="2">
        <v>22.5</v>
      </c>
      <c r="M698" s="23" t="s">
        <v>527</v>
      </c>
      <c r="N698" s="23">
        <f>45/2</f>
        <v>22.5</v>
      </c>
      <c r="O698" s="21">
        <f t="shared" si="14"/>
        <v>0</v>
      </c>
      <c r="P698" s="27" t="s">
        <v>150</v>
      </c>
      <c r="Q698" s="54"/>
      <c r="R698" s="72"/>
      <c r="S698" s="72"/>
      <c r="T698" s="73"/>
    </row>
    <row r="699" spans="12:20" x14ac:dyDescent="0.25">
      <c r="L699" s="2">
        <v>22.625</v>
      </c>
      <c r="M699" s="23" t="s">
        <v>753</v>
      </c>
      <c r="N699" s="23">
        <f>181/8</f>
        <v>22.625</v>
      </c>
      <c r="O699" s="21">
        <f t="shared" si="14"/>
        <v>0</v>
      </c>
      <c r="P699" s="27" t="s">
        <v>150</v>
      </c>
      <c r="Q699" s="54"/>
      <c r="R699" s="72"/>
      <c r="S699" s="72"/>
      <c r="T699" s="73"/>
    </row>
    <row r="700" spans="12:20" x14ac:dyDescent="0.25">
      <c r="L700" s="2">
        <v>22.75</v>
      </c>
      <c r="M700" s="23" t="s">
        <v>581</v>
      </c>
      <c r="N700" s="23">
        <f>91/4</f>
        <v>22.75</v>
      </c>
      <c r="O700" s="21">
        <f t="shared" si="14"/>
        <v>0</v>
      </c>
      <c r="P700" s="27" t="s">
        <v>150</v>
      </c>
      <c r="Q700" s="54"/>
      <c r="R700" s="72"/>
      <c r="S700" s="72"/>
      <c r="T700" s="73"/>
    </row>
    <row r="701" spans="12:20" x14ac:dyDescent="0.25">
      <c r="L701" s="2">
        <v>22.875</v>
      </c>
      <c r="M701" s="23" t="s">
        <v>754</v>
      </c>
      <c r="N701" s="23">
        <f>183/8</f>
        <v>22.875</v>
      </c>
      <c r="O701" s="21">
        <f t="shared" si="14"/>
        <v>0</v>
      </c>
      <c r="P701" s="27" t="s">
        <v>150</v>
      </c>
      <c r="Q701" s="54"/>
      <c r="R701" s="72"/>
      <c r="S701" s="72"/>
      <c r="T701" s="73"/>
    </row>
    <row r="702" spans="12:20" x14ac:dyDescent="0.25">
      <c r="L702" s="2">
        <v>23</v>
      </c>
      <c r="M702" s="23" t="s">
        <v>369</v>
      </c>
      <c r="N702" s="23">
        <f>23/1</f>
        <v>23</v>
      </c>
      <c r="O702" s="21">
        <f t="shared" si="14"/>
        <v>0</v>
      </c>
      <c r="P702" s="27" t="s">
        <v>150</v>
      </c>
      <c r="Q702" s="54"/>
      <c r="R702" s="72"/>
      <c r="S702" s="72"/>
      <c r="T702" s="73"/>
    </row>
    <row r="703" spans="12:20" x14ac:dyDescent="0.25">
      <c r="L703" s="2">
        <v>23.125</v>
      </c>
      <c r="M703" s="23" t="s">
        <v>755</v>
      </c>
      <c r="N703" s="23">
        <f>185/8</f>
        <v>23.125</v>
      </c>
      <c r="O703" s="21">
        <f t="shared" si="14"/>
        <v>0</v>
      </c>
      <c r="P703" s="27" t="s">
        <v>150</v>
      </c>
      <c r="Q703" s="54"/>
      <c r="R703" s="72"/>
      <c r="S703" s="72"/>
      <c r="T703" s="73"/>
    </row>
    <row r="704" spans="12:20" x14ac:dyDescent="0.25">
      <c r="L704" s="2">
        <v>23.25</v>
      </c>
      <c r="M704" s="23" t="s">
        <v>582</v>
      </c>
      <c r="N704" s="23">
        <f>93/4</f>
        <v>23.25</v>
      </c>
      <c r="O704" s="21">
        <f t="shared" si="14"/>
        <v>0</v>
      </c>
      <c r="P704" s="27" t="s">
        <v>150</v>
      </c>
      <c r="Q704" s="54"/>
      <c r="R704" s="72"/>
      <c r="S704" s="72"/>
      <c r="T704" s="73"/>
    </row>
    <row r="705" spans="12:20" x14ac:dyDescent="0.25">
      <c r="L705" s="2">
        <v>23.375</v>
      </c>
      <c r="M705" s="23" t="s">
        <v>756</v>
      </c>
      <c r="N705" s="23">
        <f>187/8</f>
        <v>23.375</v>
      </c>
      <c r="O705" s="21">
        <f t="shared" si="14"/>
        <v>0</v>
      </c>
      <c r="P705" s="27" t="s">
        <v>150</v>
      </c>
      <c r="Q705" s="54"/>
      <c r="R705" s="72"/>
      <c r="S705" s="72"/>
      <c r="T705" s="73"/>
    </row>
    <row r="706" spans="12:20" x14ac:dyDescent="0.25">
      <c r="L706" s="2">
        <v>23.5</v>
      </c>
      <c r="M706" s="23" t="s">
        <v>528</v>
      </c>
      <c r="N706" s="23">
        <f>47/2</f>
        <v>23.5</v>
      </c>
      <c r="O706" s="21">
        <f t="shared" si="14"/>
        <v>0</v>
      </c>
      <c r="P706" s="27" t="s">
        <v>150</v>
      </c>
      <c r="Q706" s="54"/>
      <c r="R706" s="72"/>
      <c r="S706" s="72"/>
      <c r="T706" s="73"/>
    </row>
    <row r="707" spans="12:20" x14ac:dyDescent="0.25">
      <c r="L707" s="2">
        <v>23.625</v>
      </c>
      <c r="M707" s="23" t="s">
        <v>757</v>
      </c>
      <c r="N707" s="23">
        <f>189/8</f>
        <v>23.625</v>
      </c>
      <c r="O707" s="21">
        <f t="shared" si="14"/>
        <v>0</v>
      </c>
      <c r="P707" s="27" t="s">
        <v>150</v>
      </c>
      <c r="Q707" s="54"/>
      <c r="R707" s="72"/>
      <c r="S707" s="72"/>
      <c r="T707" s="73"/>
    </row>
    <row r="708" spans="12:20" x14ac:dyDescent="0.25">
      <c r="L708" s="2">
        <v>23.75</v>
      </c>
      <c r="M708" s="23" t="s">
        <v>583</v>
      </c>
      <c r="N708" s="23">
        <f>95/4</f>
        <v>23.75</v>
      </c>
      <c r="O708" s="21">
        <f t="shared" si="14"/>
        <v>0</v>
      </c>
      <c r="P708" s="27" t="s">
        <v>150</v>
      </c>
      <c r="Q708" s="54"/>
      <c r="R708" s="72"/>
      <c r="S708" s="72"/>
      <c r="T708" s="73"/>
    </row>
    <row r="709" spans="12:20" x14ac:dyDescent="0.25">
      <c r="L709" s="2">
        <v>23.875</v>
      </c>
      <c r="M709" s="23" t="s">
        <v>758</v>
      </c>
      <c r="N709" s="23">
        <f>191/8</f>
        <v>23.875</v>
      </c>
      <c r="O709" s="21">
        <f t="shared" si="14"/>
        <v>0</v>
      </c>
      <c r="P709" s="27" t="s">
        <v>150</v>
      </c>
      <c r="Q709" s="54"/>
      <c r="R709" s="72"/>
      <c r="S709" s="72"/>
      <c r="T709" s="73"/>
    </row>
    <row r="710" spans="12:20" x14ac:dyDescent="0.25">
      <c r="L710" s="2">
        <v>24</v>
      </c>
      <c r="M710" s="23" t="s">
        <v>370</v>
      </c>
      <c r="N710" s="23">
        <f>24/1</f>
        <v>24</v>
      </c>
      <c r="O710" s="21">
        <f t="shared" si="14"/>
        <v>0</v>
      </c>
      <c r="P710" s="27" t="s">
        <v>150</v>
      </c>
      <c r="Q710" s="54"/>
      <c r="R710" s="72"/>
      <c r="S710" s="72"/>
      <c r="T710" s="73"/>
    </row>
    <row r="711" spans="12:20" x14ac:dyDescent="0.25">
      <c r="L711" s="2">
        <v>24.125</v>
      </c>
      <c r="M711" s="23" t="s">
        <v>759</v>
      </c>
      <c r="N711" s="23">
        <f>193/8</f>
        <v>24.125</v>
      </c>
      <c r="O711" s="21">
        <f t="shared" ref="O711:O774" si="15">ABS(L711-N711)</f>
        <v>0</v>
      </c>
      <c r="P711" s="27" t="s">
        <v>150</v>
      </c>
      <c r="Q711" s="54"/>
      <c r="R711" s="72"/>
      <c r="S711" s="72"/>
      <c r="T711" s="73"/>
    </row>
    <row r="712" spans="12:20" x14ac:dyDescent="0.25">
      <c r="L712" s="2">
        <v>24.25</v>
      </c>
      <c r="M712" s="23" t="s">
        <v>584</v>
      </c>
      <c r="N712" s="23">
        <f>97/4</f>
        <v>24.25</v>
      </c>
      <c r="O712" s="21">
        <f t="shared" si="15"/>
        <v>0</v>
      </c>
      <c r="P712" s="27" t="s">
        <v>150</v>
      </c>
      <c r="Q712" s="54"/>
      <c r="R712" s="72"/>
      <c r="S712" s="72"/>
      <c r="T712" s="73"/>
    </row>
    <row r="713" spans="12:20" x14ac:dyDescent="0.25">
      <c r="L713" s="2">
        <v>24.375</v>
      </c>
      <c r="M713" s="23" t="s">
        <v>760</v>
      </c>
      <c r="N713" s="23">
        <f>195/8</f>
        <v>24.375</v>
      </c>
      <c r="O713" s="21">
        <f t="shared" si="15"/>
        <v>0</v>
      </c>
      <c r="P713" s="27" t="s">
        <v>150</v>
      </c>
      <c r="Q713" s="54"/>
      <c r="R713" s="72"/>
      <c r="S713" s="72"/>
      <c r="T713" s="73"/>
    </row>
    <row r="714" spans="12:20" x14ac:dyDescent="0.25">
      <c r="L714" s="2">
        <v>24.5</v>
      </c>
      <c r="M714" s="23" t="s">
        <v>529</v>
      </c>
      <c r="N714" s="23">
        <f>49/2</f>
        <v>24.5</v>
      </c>
      <c r="O714" s="21">
        <f t="shared" si="15"/>
        <v>0</v>
      </c>
      <c r="P714" s="27" t="s">
        <v>150</v>
      </c>
      <c r="Q714" s="54"/>
      <c r="R714" s="72"/>
      <c r="S714" s="72"/>
      <c r="T714" s="73"/>
    </row>
    <row r="715" spans="12:20" x14ac:dyDescent="0.25">
      <c r="L715" s="2">
        <v>24.625</v>
      </c>
      <c r="M715" s="23" t="s">
        <v>761</v>
      </c>
      <c r="N715" s="23">
        <f>197/8</f>
        <v>24.625</v>
      </c>
      <c r="O715" s="21">
        <f t="shared" si="15"/>
        <v>0</v>
      </c>
      <c r="P715" s="27" t="s">
        <v>150</v>
      </c>
      <c r="Q715" s="54"/>
      <c r="R715" s="72"/>
      <c r="S715" s="72"/>
      <c r="T715" s="73"/>
    </row>
    <row r="716" spans="12:20" x14ac:dyDescent="0.25">
      <c r="L716" s="2">
        <v>24.75</v>
      </c>
      <c r="M716" s="23" t="s">
        <v>585</v>
      </c>
      <c r="N716" s="23">
        <f>99/4</f>
        <v>24.75</v>
      </c>
      <c r="O716" s="21">
        <f t="shared" si="15"/>
        <v>0</v>
      </c>
      <c r="P716" s="27" t="s">
        <v>150</v>
      </c>
      <c r="Q716" s="54"/>
      <c r="R716" s="72"/>
      <c r="S716" s="72"/>
      <c r="T716" s="73"/>
    </row>
    <row r="717" spans="12:20" x14ac:dyDescent="0.25">
      <c r="L717" s="2">
        <v>24.875</v>
      </c>
      <c r="M717" s="23" t="s">
        <v>762</v>
      </c>
      <c r="N717" s="23">
        <f>199/8</f>
        <v>24.875</v>
      </c>
      <c r="O717" s="21">
        <f t="shared" si="15"/>
        <v>0</v>
      </c>
      <c r="P717" s="27" t="s">
        <v>150</v>
      </c>
      <c r="Q717" s="54"/>
      <c r="R717" s="72"/>
      <c r="S717" s="72"/>
      <c r="T717" s="73"/>
    </row>
    <row r="718" spans="12:20" x14ac:dyDescent="0.25">
      <c r="L718" s="2">
        <v>25</v>
      </c>
      <c r="M718" s="23" t="s">
        <v>371</v>
      </c>
      <c r="N718" s="23">
        <f>25/1</f>
        <v>25</v>
      </c>
      <c r="O718" s="21">
        <f t="shared" si="15"/>
        <v>0</v>
      </c>
      <c r="P718" s="27" t="s">
        <v>150</v>
      </c>
      <c r="Q718" s="54"/>
      <c r="R718" s="72"/>
      <c r="S718" s="72"/>
      <c r="T718" s="73"/>
    </row>
    <row r="719" spans="12:20" x14ac:dyDescent="0.25">
      <c r="L719" s="2">
        <v>25.125</v>
      </c>
      <c r="M719" s="23" t="s">
        <v>763</v>
      </c>
      <c r="N719" s="23">
        <f>201/8</f>
        <v>25.125</v>
      </c>
      <c r="O719" s="21">
        <f t="shared" si="15"/>
        <v>0</v>
      </c>
      <c r="P719" s="27" t="s">
        <v>150</v>
      </c>
      <c r="Q719" s="54"/>
      <c r="R719" s="72"/>
      <c r="S719" s="72"/>
      <c r="T719" s="73"/>
    </row>
    <row r="720" spans="12:20" x14ac:dyDescent="0.25">
      <c r="L720" s="2">
        <v>25.25</v>
      </c>
      <c r="M720" s="23" t="s">
        <v>586</v>
      </c>
      <c r="N720" s="23">
        <f>101/4</f>
        <v>25.25</v>
      </c>
      <c r="O720" s="21">
        <f t="shared" si="15"/>
        <v>0</v>
      </c>
      <c r="P720" s="27" t="s">
        <v>150</v>
      </c>
      <c r="Q720" s="54"/>
      <c r="R720" s="72"/>
      <c r="S720" s="72"/>
      <c r="T720" s="73"/>
    </row>
    <row r="721" spans="12:20" x14ac:dyDescent="0.25">
      <c r="L721" s="2">
        <v>25.375</v>
      </c>
      <c r="M721" s="23" t="s">
        <v>764</v>
      </c>
      <c r="N721" s="23">
        <f>203/8</f>
        <v>25.375</v>
      </c>
      <c r="O721" s="21">
        <f t="shared" si="15"/>
        <v>0</v>
      </c>
      <c r="P721" s="27" t="s">
        <v>150</v>
      </c>
      <c r="Q721" s="54"/>
      <c r="R721" s="72"/>
      <c r="S721" s="72"/>
      <c r="T721" s="73"/>
    </row>
    <row r="722" spans="12:20" x14ac:dyDescent="0.25">
      <c r="L722" s="2">
        <v>25.5</v>
      </c>
      <c r="M722" s="23" t="s">
        <v>530</v>
      </c>
      <c r="N722" s="23">
        <f>51/2</f>
        <v>25.5</v>
      </c>
      <c r="O722" s="21">
        <f t="shared" si="15"/>
        <v>0</v>
      </c>
      <c r="P722" s="27" t="s">
        <v>150</v>
      </c>
      <c r="Q722" s="54"/>
      <c r="R722" s="72"/>
      <c r="S722" s="72"/>
      <c r="T722" s="73"/>
    </row>
    <row r="723" spans="12:20" x14ac:dyDescent="0.25">
      <c r="L723" s="2">
        <v>25.625</v>
      </c>
      <c r="M723" s="23" t="s">
        <v>765</v>
      </c>
      <c r="N723" s="23">
        <f>205/8</f>
        <v>25.625</v>
      </c>
      <c r="O723" s="21">
        <f t="shared" si="15"/>
        <v>0</v>
      </c>
      <c r="P723" s="27" t="s">
        <v>150</v>
      </c>
      <c r="Q723" s="54"/>
      <c r="R723" s="72"/>
      <c r="S723" s="72"/>
      <c r="T723" s="73"/>
    </row>
    <row r="724" spans="12:20" x14ac:dyDescent="0.25">
      <c r="L724" s="2">
        <v>25.75</v>
      </c>
      <c r="M724" s="23" t="s">
        <v>587</v>
      </c>
      <c r="N724" s="23">
        <f>103/4</f>
        <v>25.75</v>
      </c>
      <c r="O724" s="21">
        <f t="shared" si="15"/>
        <v>0</v>
      </c>
      <c r="P724" s="27" t="s">
        <v>150</v>
      </c>
      <c r="Q724" s="54"/>
      <c r="R724" s="72"/>
      <c r="S724" s="72"/>
      <c r="T724" s="73"/>
    </row>
    <row r="725" spans="12:20" x14ac:dyDescent="0.25">
      <c r="L725" s="2">
        <v>25.875</v>
      </c>
      <c r="M725" s="23" t="s">
        <v>766</v>
      </c>
      <c r="N725" s="23">
        <f>207/8</f>
        <v>25.875</v>
      </c>
      <c r="O725" s="21">
        <f t="shared" si="15"/>
        <v>0</v>
      </c>
      <c r="P725" s="27" t="s">
        <v>150</v>
      </c>
      <c r="Q725" s="54"/>
      <c r="R725" s="72"/>
      <c r="S725" s="72"/>
      <c r="T725" s="73"/>
    </row>
    <row r="726" spans="12:20" x14ac:dyDescent="0.25">
      <c r="L726" s="2">
        <v>26</v>
      </c>
      <c r="M726" s="23" t="s">
        <v>372</v>
      </c>
      <c r="N726" s="23">
        <f>26/1</f>
        <v>26</v>
      </c>
      <c r="O726" s="21">
        <f t="shared" si="15"/>
        <v>0</v>
      </c>
      <c r="P726" s="27" t="s">
        <v>150</v>
      </c>
      <c r="Q726" s="54"/>
      <c r="R726" s="72"/>
      <c r="S726" s="72"/>
      <c r="T726" s="73"/>
    </row>
    <row r="727" spans="12:20" x14ac:dyDescent="0.25">
      <c r="L727" s="2">
        <v>26.125</v>
      </c>
      <c r="M727" s="23" t="s">
        <v>767</v>
      </c>
      <c r="N727" s="23">
        <f>209/8</f>
        <v>26.125</v>
      </c>
      <c r="O727" s="21">
        <f t="shared" si="15"/>
        <v>0</v>
      </c>
      <c r="P727" s="27" t="s">
        <v>150</v>
      </c>
      <c r="Q727" s="54"/>
      <c r="R727" s="72"/>
      <c r="S727" s="72"/>
      <c r="T727" s="73"/>
    </row>
    <row r="728" spans="12:20" x14ac:dyDescent="0.25">
      <c r="L728" s="2">
        <v>26.25</v>
      </c>
      <c r="M728" s="23" t="s">
        <v>588</v>
      </c>
      <c r="N728" s="23">
        <f>105/4</f>
        <v>26.25</v>
      </c>
      <c r="O728" s="21">
        <f t="shared" si="15"/>
        <v>0</v>
      </c>
      <c r="P728" s="27" t="s">
        <v>150</v>
      </c>
      <c r="Q728" s="54"/>
      <c r="R728" s="72"/>
      <c r="S728" s="72"/>
      <c r="T728" s="73"/>
    </row>
    <row r="729" spans="12:20" x14ac:dyDescent="0.25">
      <c r="L729" s="2">
        <v>26.375</v>
      </c>
      <c r="M729" s="23" t="s">
        <v>768</v>
      </c>
      <c r="N729" s="23">
        <f>211/8</f>
        <v>26.375</v>
      </c>
      <c r="O729" s="21">
        <f t="shared" si="15"/>
        <v>0</v>
      </c>
      <c r="P729" s="27" t="s">
        <v>150</v>
      </c>
      <c r="Q729" s="54"/>
      <c r="R729" s="72"/>
      <c r="S729" s="72"/>
      <c r="T729" s="73"/>
    </row>
    <row r="730" spans="12:20" x14ac:dyDescent="0.25">
      <c r="L730" s="2">
        <v>26.5</v>
      </c>
      <c r="M730" s="23" t="s">
        <v>531</v>
      </c>
      <c r="N730" s="23">
        <f>53/2</f>
        <v>26.5</v>
      </c>
      <c r="O730" s="21">
        <f t="shared" si="15"/>
        <v>0</v>
      </c>
      <c r="P730" s="27" t="s">
        <v>150</v>
      </c>
      <c r="Q730" s="54"/>
      <c r="R730" s="72"/>
      <c r="S730" s="72"/>
      <c r="T730" s="73"/>
    </row>
    <row r="731" spans="12:20" x14ac:dyDescent="0.25">
      <c r="L731" s="2">
        <v>26.625</v>
      </c>
      <c r="M731" s="23" t="s">
        <v>769</v>
      </c>
      <c r="N731" s="23">
        <f>213/8</f>
        <v>26.625</v>
      </c>
      <c r="O731" s="21">
        <f t="shared" si="15"/>
        <v>0</v>
      </c>
      <c r="P731" s="27" t="s">
        <v>150</v>
      </c>
      <c r="Q731" s="54"/>
      <c r="R731" s="72"/>
      <c r="S731" s="72"/>
      <c r="T731" s="73"/>
    </row>
    <row r="732" spans="12:20" x14ac:dyDescent="0.25">
      <c r="L732" s="2">
        <v>26.75</v>
      </c>
      <c r="M732" s="23" t="s">
        <v>589</v>
      </c>
      <c r="N732" s="23">
        <f>107/4</f>
        <v>26.75</v>
      </c>
      <c r="O732" s="21">
        <f t="shared" si="15"/>
        <v>0</v>
      </c>
      <c r="P732" s="27" t="s">
        <v>150</v>
      </c>
      <c r="Q732" s="54"/>
      <c r="R732" s="72"/>
      <c r="S732" s="72"/>
      <c r="T732" s="73"/>
    </row>
    <row r="733" spans="12:20" x14ac:dyDescent="0.25">
      <c r="L733" s="2">
        <v>26.875</v>
      </c>
      <c r="M733" s="23" t="s">
        <v>770</v>
      </c>
      <c r="N733" s="23">
        <f>215/8</f>
        <v>26.875</v>
      </c>
      <c r="O733" s="21">
        <f t="shared" si="15"/>
        <v>0</v>
      </c>
      <c r="P733" s="27" t="s">
        <v>150</v>
      </c>
      <c r="Q733" s="54"/>
      <c r="R733" s="72"/>
      <c r="S733" s="72"/>
      <c r="T733" s="73"/>
    </row>
    <row r="734" spans="12:20" x14ac:dyDescent="0.25">
      <c r="L734" s="2">
        <v>27</v>
      </c>
      <c r="M734" s="23" t="s">
        <v>373</v>
      </c>
      <c r="N734" s="23">
        <f>27/1</f>
        <v>27</v>
      </c>
      <c r="O734" s="21">
        <f t="shared" si="15"/>
        <v>0</v>
      </c>
      <c r="P734" s="27" t="s">
        <v>150</v>
      </c>
      <c r="Q734" s="54"/>
      <c r="R734" s="72"/>
      <c r="S734" s="72"/>
      <c r="T734" s="73"/>
    </row>
    <row r="735" spans="12:20" x14ac:dyDescent="0.25">
      <c r="L735" s="2">
        <v>27.125</v>
      </c>
      <c r="M735" s="23" t="s">
        <v>771</v>
      </c>
      <c r="N735" s="23">
        <f>217/8</f>
        <v>27.125</v>
      </c>
      <c r="O735" s="21">
        <f t="shared" si="15"/>
        <v>0</v>
      </c>
      <c r="P735" s="27" t="s">
        <v>150</v>
      </c>
      <c r="Q735" s="54"/>
      <c r="R735" s="72"/>
      <c r="S735" s="72"/>
      <c r="T735" s="73"/>
    </row>
    <row r="736" spans="12:20" x14ac:dyDescent="0.25">
      <c r="L736" s="2">
        <v>27.25</v>
      </c>
      <c r="M736" s="23" t="s">
        <v>590</v>
      </c>
      <c r="N736" s="23">
        <f>109/4</f>
        <v>27.25</v>
      </c>
      <c r="O736" s="21">
        <f t="shared" si="15"/>
        <v>0</v>
      </c>
      <c r="P736" s="27" t="s">
        <v>150</v>
      </c>
      <c r="Q736" s="54"/>
      <c r="R736" s="72"/>
      <c r="S736" s="72"/>
      <c r="T736" s="73"/>
    </row>
    <row r="737" spans="12:20" x14ac:dyDescent="0.25">
      <c r="L737" s="2">
        <v>27.375</v>
      </c>
      <c r="M737" s="23" t="s">
        <v>772</v>
      </c>
      <c r="N737" s="23">
        <f>219/8</f>
        <v>27.375</v>
      </c>
      <c r="O737" s="21">
        <f t="shared" si="15"/>
        <v>0</v>
      </c>
      <c r="P737" s="27" t="s">
        <v>150</v>
      </c>
      <c r="Q737" s="54"/>
      <c r="R737" s="72"/>
      <c r="S737" s="72"/>
      <c r="T737" s="73"/>
    </row>
    <row r="738" spans="12:20" x14ac:dyDescent="0.25">
      <c r="L738" s="2">
        <v>27.5</v>
      </c>
      <c r="M738" s="23" t="s">
        <v>532</v>
      </c>
      <c r="N738" s="23">
        <f>55/2</f>
        <v>27.5</v>
      </c>
      <c r="O738" s="21">
        <f t="shared" si="15"/>
        <v>0</v>
      </c>
      <c r="P738" s="27" t="s">
        <v>150</v>
      </c>
      <c r="Q738" s="54"/>
      <c r="R738" s="72"/>
      <c r="S738" s="72"/>
      <c r="T738" s="73"/>
    </row>
    <row r="739" spans="12:20" x14ac:dyDescent="0.25">
      <c r="L739" s="2">
        <v>27.625</v>
      </c>
      <c r="M739" s="23" t="s">
        <v>773</v>
      </c>
      <c r="N739" s="23">
        <f>221/8</f>
        <v>27.625</v>
      </c>
      <c r="O739" s="21">
        <f t="shared" si="15"/>
        <v>0</v>
      </c>
      <c r="P739" s="27" t="s">
        <v>150</v>
      </c>
      <c r="Q739" s="54"/>
      <c r="R739" s="72"/>
      <c r="S739" s="72"/>
      <c r="T739" s="73"/>
    </row>
    <row r="740" spans="12:20" x14ac:dyDescent="0.25">
      <c r="L740" s="2">
        <v>27.75</v>
      </c>
      <c r="M740" s="23" t="s">
        <v>591</v>
      </c>
      <c r="N740" s="23">
        <f>111/4</f>
        <v>27.75</v>
      </c>
      <c r="O740" s="21">
        <f t="shared" si="15"/>
        <v>0</v>
      </c>
      <c r="P740" s="27" t="s">
        <v>150</v>
      </c>
      <c r="Q740" s="54"/>
      <c r="R740" s="72"/>
      <c r="S740" s="72"/>
      <c r="T740" s="73"/>
    </row>
    <row r="741" spans="12:20" x14ac:dyDescent="0.25">
      <c r="L741" s="2">
        <v>27.875</v>
      </c>
      <c r="M741" s="23" t="s">
        <v>774</v>
      </c>
      <c r="N741" s="23">
        <f>223/8</f>
        <v>27.875</v>
      </c>
      <c r="O741" s="21">
        <f t="shared" si="15"/>
        <v>0</v>
      </c>
      <c r="P741" s="27" t="s">
        <v>150</v>
      </c>
      <c r="Q741" s="54"/>
      <c r="R741" s="72"/>
      <c r="S741" s="72"/>
      <c r="T741" s="73"/>
    </row>
    <row r="742" spans="12:20" x14ac:dyDescent="0.25">
      <c r="L742" s="2">
        <v>28</v>
      </c>
      <c r="M742" s="23" t="s">
        <v>374</v>
      </c>
      <c r="N742" s="23">
        <f>28/1</f>
        <v>28</v>
      </c>
      <c r="O742" s="21">
        <f t="shared" si="15"/>
        <v>0</v>
      </c>
      <c r="P742" s="27" t="s">
        <v>150</v>
      </c>
      <c r="Q742" s="54"/>
      <c r="R742" s="72"/>
      <c r="S742" s="72"/>
      <c r="T742" s="73"/>
    </row>
    <row r="743" spans="12:20" x14ac:dyDescent="0.25">
      <c r="L743" s="2">
        <v>28.125</v>
      </c>
      <c r="M743" s="23" t="s">
        <v>775</v>
      </c>
      <c r="N743" s="23">
        <f>225/8</f>
        <v>28.125</v>
      </c>
      <c r="O743" s="21">
        <f t="shared" si="15"/>
        <v>0</v>
      </c>
      <c r="P743" s="27" t="s">
        <v>150</v>
      </c>
      <c r="Q743" s="54"/>
      <c r="R743" s="72"/>
      <c r="S743" s="72"/>
      <c r="T743" s="73"/>
    </row>
    <row r="744" spans="12:20" x14ac:dyDescent="0.25">
      <c r="L744" s="2">
        <v>28.25</v>
      </c>
      <c r="M744" s="23" t="s">
        <v>592</v>
      </c>
      <c r="N744" s="23">
        <f>113/4</f>
        <v>28.25</v>
      </c>
      <c r="O744" s="21">
        <f t="shared" si="15"/>
        <v>0</v>
      </c>
      <c r="P744" s="27" t="s">
        <v>150</v>
      </c>
      <c r="Q744" s="54"/>
      <c r="R744" s="72"/>
      <c r="S744" s="72"/>
      <c r="T744" s="73"/>
    </row>
    <row r="745" spans="12:20" x14ac:dyDescent="0.25">
      <c r="L745" s="2">
        <v>28.375</v>
      </c>
      <c r="M745" s="23" t="s">
        <v>776</v>
      </c>
      <c r="N745" s="23">
        <f>227/8</f>
        <v>28.375</v>
      </c>
      <c r="O745" s="21">
        <f t="shared" si="15"/>
        <v>0</v>
      </c>
      <c r="P745" s="27" t="s">
        <v>150</v>
      </c>
      <c r="Q745" s="54"/>
      <c r="R745" s="72"/>
      <c r="S745" s="72"/>
      <c r="T745" s="73"/>
    </row>
    <row r="746" spans="12:20" x14ac:dyDescent="0.25">
      <c r="L746" s="2">
        <v>28.5</v>
      </c>
      <c r="M746" s="23" t="s">
        <v>533</v>
      </c>
      <c r="N746" s="23">
        <f>57/2</f>
        <v>28.5</v>
      </c>
      <c r="O746" s="21">
        <f t="shared" si="15"/>
        <v>0</v>
      </c>
      <c r="P746" s="27" t="s">
        <v>150</v>
      </c>
      <c r="Q746" s="54"/>
      <c r="R746" s="72"/>
      <c r="S746" s="72"/>
      <c r="T746" s="73"/>
    </row>
    <row r="747" spans="12:20" x14ac:dyDescent="0.25">
      <c r="L747" s="2">
        <v>28.625</v>
      </c>
      <c r="M747" s="23" t="s">
        <v>777</v>
      </c>
      <c r="N747" s="23">
        <f>229/8</f>
        <v>28.625</v>
      </c>
      <c r="O747" s="21">
        <f t="shared" si="15"/>
        <v>0</v>
      </c>
      <c r="P747" s="27" t="s">
        <v>150</v>
      </c>
      <c r="Q747" s="54"/>
      <c r="R747" s="72"/>
      <c r="S747" s="72"/>
      <c r="T747" s="73"/>
    </row>
    <row r="748" spans="12:20" x14ac:dyDescent="0.25">
      <c r="L748" s="2">
        <v>28.75</v>
      </c>
      <c r="M748" s="23" t="s">
        <v>593</v>
      </c>
      <c r="N748" s="23">
        <f>115/4</f>
        <v>28.75</v>
      </c>
      <c r="O748" s="21">
        <f t="shared" si="15"/>
        <v>0</v>
      </c>
      <c r="P748" s="27" t="s">
        <v>150</v>
      </c>
      <c r="Q748" s="54"/>
      <c r="R748" s="72"/>
      <c r="S748" s="72"/>
      <c r="T748" s="73"/>
    </row>
    <row r="749" spans="12:20" x14ac:dyDescent="0.25">
      <c r="L749" s="2">
        <v>28.875</v>
      </c>
      <c r="M749" s="23" t="s">
        <v>778</v>
      </c>
      <c r="N749" s="23">
        <f>231/8</f>
        <v>28.875</v>
      </c>
      <c r="O749" s="21">
        <f t="shared" si="15"/>
        <v>0</v>
      </c>
      <c r="P749" s="27" t="s">
        <v>150</v>
      </c>
      <c r="Q749" s="54"/>
      <c r="R749" s="72"/>
      <c r="S749" s="72"/>
      <c r="T749" s="73"/>
    </row>
    <row r="750" spans="12:20" x14ac:dyDescent="0.25">
      <c r="L750" s="2">
        <v>29</v>
      </c>
      <c r="M750" s="23" t="s">
        <v>375</v>
      </c>
      <c r="N750" s="23">
        <f>29/1</f>
        <v>29</v>
      </c>
      <c r="O750" s="21">
        <f t="shared" si="15"/>
        <v>0</v>
      </c>
      <c r="P750" s="27" t="s">
        <v>150</v>
      </c>
      <c r="Q750" s="54"/>
      <c r="R750" s="72"/>
      <c r="S750" s="72"/>
      <c r="T750" s="73"/>
    </row>
    <row r="751" spans="12:20" x14ac:dyDescent="0.25">
      <c r="L751" s="2">
        <v>29.125</v>
      </c>
      <c r="M751" s="23" t="s">
        <v>779</v>
      </c>
      <c r="N751" s="23">
        <f>233/8</f>
        <v>29.125</v>
      </c>
      <c r="O751" s="21">
        <f t="shared" si="15"/>
        <v>0</v>
      </c>
      <c r="P751" s="27" t="s">
        <v>150</v>
      </c>
      <c r="Q751" s="54"/>
      <c r="R751" s="72"/>
      <c r="S751" s="72"/>
      <c r="T751" s="73"/>
    </row>
    <row r="752" spans="12:20" x14ac:dyDescent="0.25">
      <c r="L752" s="2">
        <v>29.25</v>
      </c>
      <c r="M752" s="23" t="s">
        <v>594</v>
      </c>
      <c r="N752" s="23">
        <f>117/4</f>
        <v>29.25</v>
      </c>
      <c r="O752" s="21">
        <f t="shared" si="15"/>
        <v>0</v>
      </c>
      <c r="P752" s="27" t="s">
        <v>150</v>
      </c>
      <c r="Q752" s="54"/>
      <c r="R752" s="72"/>
      <c r="S752" s="72"/>
      <c r="T752" s="73"/>
    </row>
    <row r="753" spans="12:20" x14ac:dyDescent="0.25">
      <c r="L753" s="2">
        <v>29.375</v>
      </c>
      <c r="M753" s="23" t="s">
        <v>780</v>
      </c>
      <c r="N753" s="23">
        <f>235/8</f>
        <v>29.375</v>
      </c>
      <c r="O753" s="21">
        <f t="shared" si="15"/>
        <v>0</v>
      </c>
      <c r="P753" s="27" t="s">
        <v>150</v>
      </c>
      <c r="Q753" s="54"/>
      <c r="R753" s="72"/>
      <c r="S753" s="72"/>
      <c r="T753" s="73"/>
    </row>
    <row r="754" spans="12:20" x14ac:dyDescent="0.25">
      <c r="L754" s="2">
        <v>29.5</v>
      </c>
      <c r="M754" s="23" t="s">
        <v>534</v>
      </c>
      <c r="N754" s="23">
        <f>59/2</f>
        <v>29.5</v>
      </c>
      <c r="O754" s="21">
        <f t="shared" si="15"/>
        <v>0</v>
      </c>
      <c r="P754" s="27" t="s">
        <v>150</v>
      </c>
      <c r="Q754" s="54"/>
      <c r="R754" s="72"/>
      <c r="S754" s="72"/>
      <c r="T754" s="73"/>
    </row>
    <row r="755" spans="12:20" x14ac:dyDescent="0.25">
      <c r="L755" s="2">
        <v>29.625</v>
      </c>
      <c r="M755" s="23" t="s">
        <v>781</v>
      </c>
      <c r="N755" s="23">
        <f>237/8</f>
        <v>29.625</v>
      </c>
      <c r="O755" s="21">
        <f t="shared" si="15"/>
        <v>0</v>
      </c>
      <c r="P755" s="27" t="s">
        <v>150</v>
      </c>
      <c r="Q755" s="54"/>
      <c r="R755" s="72"/>
      <c r="S755" s="72"/>
      <c r="T755" s="73"/>
    </row>
    <row r="756" spans="12:20" x14ac:dyDescent="0.25">
      <c r="L756" s="2">
        <v>29.75</v>
      </c>
      <c r="M756" s="23" t="s">
        <v>595</v>
      </c>
      <c r="N756" s="23">
        <f>119/4</f>
        <v>29.75</v>
      </c>
      <c r="O756" s="21">
        <f t="shared" si="15"/>
        <v>0</v>
      </c>
      <c r="P756" s="27" t="s">
        <v>150</v>
      </c>
      <c r="Q756" s="54"/>
      <c r="R756" s="72"/>
      <c r="S756" s="72"/>
      <c r="T756" s="73"/>
    </row>
    <row r="757" spans="12:20" x14ac:dyDescent="0.25">
      <c r="L757" s="2">
        <v>29.875</v>
      </c>
      <c r="M757" s="23" t="s">
        <v>782</v>
      </c>
      <c r="N757" s="23">
        <f>239/8</f>
        <v>29.875</v>
      </c>
      <c r="O757" s="21">
        <f t="shared" si="15"/>
        <v>0</v>
      </c>
      <c r="P757" s="27" t="s">
        <v>150</v>
      </c>
      <c r="Q757" s="54"/>
      <c r="R757" s="72"/>
      <c r="S757" s="72"/>
      <c r="T757" s="73"/>
    </row>
    <row r="758" spans="12:20" x14ac:dyDescent="0.25">
      <c r="L758" s="2">
        <v>30</v>
      </c>
      <c r="M758" s="23" t="s">
        <v>376</v>
      </c>
      <c r="N758" s="23">
        <f>30/1</f>
        <v>30</v>
      </c>
      <c r="O758" s="21">
        <f t="shared" si="15"/>
        <v>0</v>
      </c>
      <c r="P758" s="27" t="s">
        <v>150</v>
      </c>
      <c r="Q758" s="54"/>
      <c r="R758" s="72"/>
      <c r="S758" s="72"/>
      <c r="T758" s="73"/>
    </row>
    <row r="759" spans="12:20" x14ac:dyDescent="0.25">
      <c r="L759" s="2">
        <v>30.125</v>
      </c>
      <c r="M759" s="23" t="s">
        <v>783</v>
      </c>
      <c r="N759" s="23">
        <f>241/8</f>
        <v>30.125</v>
      </c>
      <c r="O759" s="21">
        <f t="shared" si="15"/>
        <v>0</v>
      </c>
      <c r="P759" s="27" t="s">
        <v>150</v>
      </c>
      <c r="Q759" s="54"/>
      <c r="R759" s="72"/>
      <c r="S759" s="72"/>
      <c r="T759" s="73"/>
    </row>
    <row r="760" spans="12:20" x14ac:dyDescent="0.25">
      <c r="L760" s="2">
        <v>30.25</v>
      </c>
      <c r="M760" s="23" t="s">
        <v>596</v>
      </c>
      <c r="N760" s="23">
        <f>121/4</f>
        <v>30.25</v>
      </c>
      <c r="O760" s="21">
        <f t="shared" si="15"/>
        <v>0</v>
      </c>
      <c r="P760" s="27" t="s">
        <v>150</v>
      </c>
      <c r="Q760" s="54"/>
      <c r="R760" s="72"/>
      <c r="S760" s="72"/>
      <c r="T760" s="73"/>
    </row>
    <row r="761" spans="12:20" x14ac:dyDescent="0.25">
      <c r="L761" s="2">
        <v>30.375</v>
      </c>
      <c r="M761" s="23" t="s">
        <v>784</v>
      </c>
      <c r="N761" s="23">
        <f>243/8</f>
        <v>30.375</v>
      </c>
      <c r="O761" s="21">
        <f t="shared" si="15"/>
        <v>0</v>
      </c>
      <c r="P761" s="27" t="s">
        <v>150</v>
      </c>
      <c r="Q761" s="54"/>
      <c r="R761" s="72"/>
      <c r="S761" s="72"/>
      <c r="T761" s="73"/>
    </row>
    <row r="762" spans="12:20" x14ac:dyDescent="0.25">
      <c r="L762" s="2">
        <v>30.5</v>
      </c>
      <c r="M762" s="23" t="s">
        <v>535</v>
      </c>
      <c r="N762" s="23">
        <f>61/2</f>
        <v>30.5</v>
      </c>
      <c r="O762" s="21">
        <f t="shared" si="15"/>
        <v>0</v>
      </c>
      <c r="P762" s="27" t="s">
        <v>150</v>
      </c>
      <c r="Q762" s="54"/>
      <c r="R762" s="72"/>
      <c r="S762" s="72"/>
      <c r="T762" s="73"/>
    </row>
    <row r="763" spans="12:20" x14ac:dyDescent="0.25">
      <c r="L763" s="2">
        <v>30.625</v>
      </c>
      <c r="M763" s="23" t="s">
        <v>785</v>
      </c>
      <c r="N763" s="23">
        <f>245/8</f>
        <v>30.625</v>
      </c>
      <c r="O763" s="21">
        <f t="shared" si="15"/>
        <v>0</v>
      </c>
      <c r="P763" s="27" t="s">
        <v>150</v>
      </c>
      <c r="Q763" s="54"/>
      <c r="R763" s="72"/>
      <c r="S763" s="72"/>
      <c r="T763" s="73"/>
    </row>
    <row r="764" spans="12:20" x14ac:dyDescent="0.25">
      <c r="L764" s="2">
        <v>30.75</v>
      </c>
      <c r="M764" s="23" t="s">
        <v>597</v>
      </c>
      <c r="N764" s="23">
        <f>123/4</f>
        <v>30.75</v>
      </c>
      <c r="O764" s="21">
        <f t="shared" si="15"/>
        <v>0</v>
      </c>
      <c r="P764" s="27" t="s">
        <v>150</v>
      </c>
      <c r="Q764" s="54"/>
      <c r="R764" s="72"/>
      <c r="S764" s="72"/>
      <c r="T764" s="73"/>
    </row>
    <row r="765" spans="12:20" x14ac:dyDescent="0.25">
      <c r="L765" s="2">
        <v>30.875</v>
      </c>
      <c r="M765" s="23" t="s">
        <v>786</v>
      </c>
      <c r="N765" s="23">
        <f>247/8</f>
        <v>30.875</v>
      </c>
      <c r="O765" s="21">
        <f t="shared" si="15"/>
        <v>0</v>
      </c>
      <c r="P765" s="27" t="s">
        <v>150</v>
      </c>
      <c r="Q765" s="54"/>
      <c r="R765" s="72"/>
      <c r="S765" s="72"/>
      <c r="T765" s="73"/>
    </row>
    <row r="766" spans="12:20" x14ac:dyDescent="0.25">
      <c r="L766" s="2">
        <v>31</v>
      </c>
      <c r="M766" s="23" t="s">
        <v>377</v>
      </c>
      <c r="N766" s="23">
        <f>31/1</f>
        <v>31</v>
      </c>
      <c r="O766" s="21">
        <f t="shared" si="15"/>
        <v>0</v>
      </c>
      <c r="P766" s="27" t="s">
        <v>150</v>
      </c>
      <c r="Q766" s="54"/>
      <c r="R766" s="72"/>
      <c r="S766" s="72"/>
      <c r="T766" s="73"/>
    </row>
    <row r="767" spans="12:20" x14ac:dyDescent="0.25">
      <c r="L767" s="2">
        <v>31.125</v>
      </c>
      <c r="M767" s="23" t="s">
        <v>787</v>
      </c>
      <c r="N767" s="23">
        <f>249/8</f>
        <v>31.125</v>
      </c>
      <c r="O767" s="21">
        <f t="shared" si="15"/>
        <v>0</v>
      </c>
      <c r="P767" s="27" t="s">
        <v>150</v>
      </c>
      <c r="Q767" s="54"/>
      <c r="R767" s="72"/>
      <c r="S767" s="72"/>
      <c r="T767" s="73"/>
    </row>
    <row r="768" spans="12:20" x14ac:dyDescent="0.25">
      <c r="L768" s="2">
        <v>31.25</v>
      </c>
      <c r="M768" s="23" t="s">
        <v>598</v>
      </c>
      <c r="N768" s="23">
        <f>125/4</f>
        <v>31.25</v>
      </c>
      <c r="O768" s="21">
        <f t="shared" si="15"/>
        <v>0</v>
      </c>
      <c r="P768" s="27" t="s">
        <v>150</v>
      </c>
      <c r="Q768" s="54"/>
      <c r="R768" s="72"/>
      <c r="S768" s="72"/>
      <c r="T768" s="73"/>
    </row>
    <row r="769" spans="12:20" x14ac:dyDescent="0.25">
      <c r="L769" s="2">
        <v>31.375</v>
      </c>
      <c r="M769" s="23" t="s">
        <v>788</v>
      </c>
      <c r="N769" s="23">
        <f>251/8</f>
        <v>31.375</v>
      </c>
      <c r="O769" s="21">
        <f t="shared" si="15"/>
        <v>0</v>
      </c>
      <c r="P769" s="27" t="s">
        <v>150</v>
      </c>
      <c r="Q769" s="54"/>
      <c r="R769" s="72"/>
      <c r="S769" s="72"/>
      <c r="T769" s="73"/>
    </row>
    <row r="770" spans="12:20" x14ac:dyDescent="0.25">
      <c r="L770" s="2">
        <v>31.5</v>
      </c>
      <c r="M770" s="23" t="s">
        <v>536</v>
      </c>
      <c r="N770" s="23">
        <f>63/2</f>
        <v>31.5</v>
      </c>
      <c r="O770" s="21">
        <f t="shared" si="15"/>
        <v>0</v>
      </c>
      <c r="P770" s="27" t="s">
        <v>150</v>
      </c>
      <c r="Q770" s="54"/>
      <c r="R770" s="72"/>
      <c r="S770" s="72"/>
      <c r="T770" s="73"/>
    </row>
    <row r="771" spans="12:20" x14ac:dyDescent="0.25">
      <c r="L771" s="2">
        <v>31.625</v>
      </c>
      <c r="M771" s="23" t="s">
        <v>789</v>
      </c>
      <c r="N771" s="23">
        <f>253/8</f>
        <v>31.625</v>
      </c>
      <c r="O771" s="21">
        <f t="shared" si="15"/>
        <v>0</v>
      </c>
      <c r="P771" s="27" t="s">
        <v>150</v>
      </c>
      <c r="Q771" s="54"/>
      <c r="R771" s="72"/>
      <c r="S771" s="72"/>
      <c r="T771" s="73"/>
    </row>
    <row r="772" spans="12:20" x14ac:dyDescent="0.25">
      <c r="L772" s="2">
        <v>31.75</v>
      </c>
      <c r="M772" s="23" t="s">
        <v>599</v>
      </c>
      <c r="N772" s="23">
        <f>127/4</f>
        <v>31.75</v>
      </c>
      <c r="O772" s="21">
        <f t="shared" si="15"/>
        <v>0</v>
      </c>
      <c r="P772" s="27" t="s">
        <v>150</v>
      </c>
      <c r="Q772" s="54"/>
      <c r="R772" s="72"/>
      <c r="S772" s="72"/>
      <c r="T772" s="73"/>
    </row>
    <row r="773" spans="12:20" x14ac:dyDescent="0.25">
      <c r="L773" s="2">
        <v>31.875</v>
      </c>
      <c r="M773" s="23" t="s">
        <v>790</v>
      </c>
      <c r="N773" s="23">
        <f>255/8</f>
        <v>31.875</v>
      </c>
      <c r="O773" s="21">
        <f t="shared" si="15"/>
        <v>0</v>
      </c>
      <c r="P773" s="27" t="s">
        <v>150</v>
      </c>
      <c r="Q773" s="54"/>
      <c r="R773" s="72"/>
      <c r="S773" s="74"/>
      <c r="T773" s="75"/>
    </row>
    <row r="774" spans="12:20" x14ac:dyDescent="0.25">
      <c r="L774" s="2">
        <v>32</v>
      </c>
      <c r="M774" s="23" t="s">
        <v>378</v>
      </c>
      <c r="N774" s="23">
        <f>32/1</f>
        <v>32</v>
      </c>
      <c r="O774" s="21">
        <f t="shared" si="15"/>
        <v>0</v>
      </c>
      <c r="P774" s="27" t="s">
        <v>150</v>
      </c>
      <c r="Q774" s="57"/>
      <c r="R774" s="58"/>
      <c r="S774" s="55"/>
      <c r="T774" s="56"/>
    </row>
    <row r="775" spans="12:20" x14ac:dyDescent="0.25">
      <c r="L775" s="2">
        <v>32.25</v>
      </c>
      <c r="M775" s="23" t="s">
        <v>600</v>
      </c>
      <c r="N775" s="23">
        <f>129/4</f>
        <v>32.25</v>
      </c>
      <c r="O775" s="21">
        <f t="shared" ref="O775:O838" si="16">ABS(L775-N775)</f>
        <v>0</v>
      </c>
      <c r="P775" s="25" t="s">
        <v>274</v>
      </c>
      <c r="Q775" s="35" t="s">
        <v>284</v>
      </c>
      <c r="R775" s="61"/>
      <c r="S775" s="62"/>
      <c r="T775" s="63"/>
    </row>
    <row r="776" spans="12:20" x14ac:dyDescent="0.25">
      <c r="L776" s="2">
        <v>32.5</v>
      </c>
      <c r="M776" s="23" t="s">
        <v>474</v>
      </c>
      <c r="N776" s="23">
        <f>65/2</f>
        <v>32.5</v>
      </c>
      <c r="O776" s="21">
        <f t="shared" si="16"/>
        <v>0</v>
      </c>
      <c r="P776" s="25" t="s">
        <v>274</v>
      </c>
      <c r="Q776" s="64"/>
      <c r="R776" s="62"/>
      <c r="S776" s="62"/>
      <c r="T776" s="63"/>
    </row>
    <row r="777" spans="12:20" x14ac:dyDescent="0.25">
      <c r="L777" s="2">
        <v>32.75</v>
      </c>
      <c r="M777" s="23" t="s">
        <v>601</v>
      </c>
      <c r="N777" s="23">
        <f>131/4</f>
        <v>32.75</v>
      </c>
      <c r="O777" s="21">
        <f t="shared" si="16"/>
        <v>0</v>
      </c>
      <c r="P777" s="25" t="s">
        <v>274</v>
      </c>
      <c r="Q777" s="64"/>
      <c r="R777" s="62"/>
      <c r="S777" s="62"/>
      <c r="T777" s="63"/>
    </row>
    <row r="778" spans="12:20" x14ac:dyDescent="0.25">
      <c r="L778" s="2">
        <v>33</v>
      </c>
      <c r="M778" s="23" t="s">
        <v>379</v>
      </c>
      <c r="N778" s="23">
        <f>33/1</f>
        <v>33</v>
      </c>
      <c r="O778" s="21">
        <f t="shared" si="16"/>
        <v>0</v>
      </c>
      <c r="P778" s="25" t="s">
        <v>274</v>
      </c>
      <c r="Q778" s="64"/>
      <c r="R778" s="62"/>
      <c r="S778" s="62"/>
      <c r="T778" s="63"/>
    </row>
    <row r="779" spans="12:20" x14ac:dyDescent="0.25">
      <c r="L779" s="2">
        <v>33.25</v>
      </c>
      <c r="M779" s="23" t="s">
        <v>602</v>
      </c>
      <c r="N779" s="23">
        <f>133/4</f>
        <v>33.25</v>
      </c>
      <c r="O779" s="21">
        <f t="shared" si="16"/>
        <v>0</v>
      </c>
      <c r="P779" s="25" t="s">
        <v>274</v>
      </c>
      <c r="Q779" s="64"/>
      <c r="R779" s="62"/>
      <c r="S779" s="62"/>
      <c r="T779" s="63"/>
    </row>
    <row r="780" spans="12:20" x14ac:dyDescent="0.25">
      <c r="L780" s="2">
        <v>33.5</v>
      </c>
      <c r="M780" s="23" t="s">
        <v>475</v>
      </c>
      <c r="N780" s="23">
        <f>67/2</f>
        <v>33.5</v>
      </c>
      <c r="O780" s="21">
        <f t="shared" si="16"/>
        <v>0</v>
      </c>
      <c r="P780" s="25" t="s">
        <v>274</v>
      </c>
      <c r="Q780" s="64"/>
      <c r="R780" s="62"/>
      <c r="S780" s="62"/>
      <c r="T780" s="63"/>
    </row>
    <row r="781" spans="12:20" x14ac:dyDescent="0.25">
      <c r="L781" s="2">
        <v>33.75</v>
      </c>
      <c r="M781" s="23" t="s">
        <v>603</v>
      </c>
      <c r="N781" s="23">
        <f>135/4</f>
        <v>33.75</v>
      </c>
      <c r="O781" s="21">
        <f t="shared" si="16"/>
        <v>0</v>
      </c>
      <c r="P781" s="25" t="s">
        <v>274</v>
      </c>
      <c r="Q781" s="64"/>
      <c r="R781" s="62"/>
      <c r="S781" s="62"/>
      <c r="T781" s="63"/>
    </row>
    <row r="782" spans="12:20" x14ac:dyDescent="0.25">
      <c r="L782" s="2">
        <v>34</v>
      </c>
      <c r="M782" s="23" t="s">
        <v>380</v>
      </c>
      <c r="N782" s="23">
        <f>34/1</f>
        <v>34</v>
      </c>
      <c r="O782" s="21">
        <f t="shared" si="16"/>
        <v>0</v>
      </c>
      <c r="P782" s="25" t="s">
        <v>274</v>
      </c>
      <c r="Q782" s="64"/>
      <c r="R782" s="62"/>
      <c r="S782" s="62"/>
      <c r="T782" s="63"/>
    </row>
    <row r="783" spans="12:20" x14ac:dyDescent="0.25">
      <c r="L783" s="2">
        <v>34.25</v>
      </c>
      <c r="M783" s="23" t="s">
        <v>604</v>
      </c>
      <c r="N783" s="23">
        <f>137/4</f>
        <v>34.25</v>
      </c>
      <c r="O783" s="21">
        <f t="shared" si="16"/>
        <v>0</v>
      </c>
      <c r="P783" s="25" t="s">
        <v>274</v>
      </c>
      <c r="Q783" s="64"/>
      <c r="R783" s="62"/>
      <c r="S783" s="62"/>
      <c r="T783" s="63"/>
    </row>
    <row r="784" spans="12:20" x14ac:dyDescent="0.25">
      <c r="L784" s="2">
        <v>34.5</v>
      </c>
      <c r="M784" s="23" t="s">
        <v>476</v>
      </c>
      <c r="N784" s="23">
        <f>69/2</f>
        <v>34.5</v>
      </c>
      <c r="O784" s="21">
        <f t="shared" si="16"/>
        <v>0</v>
      </c>
      <c r="P784" s="25" t="s">
        <v>274</v>
      </c>
      <c r="Q784" s="64"/>
      <c r="R784" s="62"/>
      <c r="S784" s="62"/>
      <c r="T784" s="63"/>
    </row>
    <row r="785" spans="12:20" x14ac:dyDescent="0.25">
      <c r="L785" s="2">
        <v>34.75</v>
      </c>
      <c r="M785" s="23" t="s">
        <v>605</v>
      </c>
      <c r="N785" s="23">
        <f>139/4</f>
        <v>34.75</v>
      </c>
      <c r="O785" s="21">
        <f t="shared" si="16"/>
        <v>0</v>
      </c>
      <c r="P785" s="25" t="s">
        <v>274</v>
      </c>
      <c r="Q785" s="64"/>
      <c r="R785" s="62"/>
      <c r="S785" s="62"/>
      <c r="T785" s="63"/>
    </row>
    <row r="786" spans="12:20" x14ac:dyDescent="0.25">
      <c r="L786" s="2">
        <v>35</v>
      </c>
      <c r="M786" s="23" t="s">
        <v>381</v>
      </c>
      <c r="N786" s="23">
        <f>35/1</f>
        <v>35</v>
      </c>
      <c r="O786" s="21">
        <f t="shared" si="16"/>
        <v>0</v>
      </c>
      <c r="P786" s="25" t="s">
        <v>274</v>
      </c>
      <c r="Q786" s="64"/>
      <c r="R786" s="62"/>
      <c r="S786" s="62"/>
      <c r="T786" s="63"/>
    </row>
    <row r="787" spans="12:20" x14ac:dyDescent="0.25">
      <c r="L787" s="2">
        <v>35.25</v>
      </c>
      <c r="M787" s="23" t="s">
        <v>606</v>
      </c>
      <c r="N787" s="23">
        <f>141/4</f>
        <v>35.25</v>
      </c>
      <c r="O787" s="21">
        <f t="shared" si="16"/>
        <v>0</v>
      </c>
      <c r="P787" s="25" t="s">
        <v>274</v>
      </c>
      <c r="Q787" s="64"/>
      <c r="R787" s="62"/>
      <c r="S787" s="62"/>
      <c r="T787" s="63"/>
    </row>
    <row r="788" spans="12:20" x14ac:dyDescent="0.25">
      <c r="L788" s="2">
        <v>35.5</v>
      </c>
      <c r="M788" s="23" t="s">
        <v>477</v>
      </c>
      <c r="N788" s="23">
        <f>71/2</f>
        <v>35.5</v>
      </c>
      <c r="O788" s="21">
        <f t="shared" si="16"/>
        <v>0</v>
      </c>
      <c r="P788" s="25" t="s">
        <v>274</v>
      </c>
      <c r="Q788" s="64"/>
      <c r="R788" s="62"/>
      <c r="S788" s="62"/>
      <c r="T788" s="63"/>
    </row>
    <row r="789" spans="12:20" x14ac:dyDescent="0.25">
      <c r="L789" s="2">
        <v>35.75</v>
      </c>
      <c r="M789" s="23" t="s">
        <v>607</v>
      </c>
      <c r="N789" s="23">
        <f>143/4</f>
        <v>35.75</v>
      </c>
      <c r="O789" s="21">
        <f t="shared" si="16"/>
        <v>0</v>
      </c>
      <c r="P789" s="25" t="s">
        <v>274</v>
      </c>
      <c r="Q789" s="64"/>
      <c r="R789" s="62"/>
      <c r="S789" s="62"/>
      <c r="T789" s="63"/>
    </row>
    <row r="790" spans="12:20" x14ac:dyDescent="0.25">
      <c r="L790" s="2">
        <v>36</v>
      </c>
      <c r="M790" s="23" t="s">
        <v>382</v>
      </c>
      <c r="N790" s="23">
        <f>36/1</f>
        <v>36</v>
      </c>
      <c r="O790" s="21">
        <f t="shared" si="16"/>
        <v>0</v>
      </c>
      <c r="P790" s="25" t="s">
        <v>274</v>
      </c>
      <c r="Q790" s="64"/>
      <c r="R790" s="62"/>
      <c r="S790" s="62"/>
      <c r="T790" s="63"/>
    </row>
    <row r="791" spans="12:20" x14ac:dyDescent="0.25">
      <c r="L791" s="2">
        <v>36.25</v>
      </c>
      <c r="M791" s="23" t="s">
        <v>608</v>
      </c>
      <c r="N791" s="23">
        <f>145/4</f>
        <v>36.25</v>
      </c>
      <c r="O791" s="21">
        <f t="shared" si="16"/>
        <v>0</v>
      </c>
      <c r="P791" s="25" t="s">
        <v>274</v>
      </c>
      <c r="Q791" s="64"/>
      <c r="R791" s="62"/>
      <c r="S791" s="62"/>
      <c r="T791" s="63"/>
    </row>
    <row r="792" spans="12:20" x14ac:dyDescent="0.25">
      <c r="L792" s="2">
        <v>36.5</v>
      </c>
      <c r="M792" s="23" t="s">
        <v>478</v>
      </c>
      <c r="N792" s="23">
        <f>73/2</f>
        <v>36.5</v>
      </c>
      <c r="O792" s="21">
        <f t="shared" si="16"/>
        <v>0</v>
      </c>
      <c r="P792" s="25" t="s">
        <v>274</v>
      </c>
      <c r="Q792" s="64"/>
      <c r="R792" s="62"/>
      <c r="S792" s="62"/>
      <c r="T792" s="63"/>
    </row>
    <row r="793" spans="12:20" x14ac:dyDescent="0.25">
      <c r="L793" s="2">
        <v>36.75</v>
      </c>
      <c r="M793" s="23" t="s">
        <v>609</v>
      </c>
      <c r="N793" s="23">
        <f>147/4</f>
        <v>36.75</v>
      </c>
      <c r="O793" s="21">
        <f t="shared" si="16"/>
        <v>0</v>
      </c>
      <c r="P793" s="25" t="s">
        <v>274</v>
      </c>
      <c r="Q793" s="64"/>
      <c r="R793" s="62"/>
      <c r="S793" s="62"/>
      <c r="T793" s="63"/>
    </row>
    <row r="794" spans="12:20" x14ac:dyDescent="0.25">
      <c r="L794" s="2">
        <v>37</v>
      </c>
      <c r="M794" s="23" t="s">
        <v>383</v>
      </c>
      <c r="N794" s="23">
        <f>37/1</f>
        <v>37</v>
      </c>
      <c r="O794" s="21">
        <f t="shared" si="16"/>
        <v>0</v>
      </c>
      <c r="P794" s="25" t="s">
        <v>274</v>
      </c>
      <c r="Q794" s="64"/>
      <c r="R794" s="62"/>
      <c r="S794" s="62"/>
      <c r="T794" s="63"/>
    </row>
    <row r="795" spans="12:20" x14ac:dyDescent="0.25">
      <c r="L795" s="2">
        <v>37.25</v>
      </c>
      <c r="M795" s="23" t="s">
        <v>610</v>
      </c>
      <c r="N795" s="23">
        <f>149/4</f>
        <v>37.25</v>
      </c>
      <c r="O795" s="21">
        <f t="shared" si="16"/>
        <v>0</v>
      </c>
      <c r="P795" s="25" t="s">
        <v>274</v>
      </c>
      <c r="Q795" s="64"/>
      <c r="R795" s="62"/>
      <c r="S795" s="62"/>
      <c r="T795" s="63"/>
    </row>
    <row r="796" spans="12:20" x14ac:dyDescent="0.25">
      <c r="L796" s="2">
        <v>37.5</v>
      </c>
      <c r="M796" s="23" t="s">
        <v>479</v>
      </c>
      <c r="N796" s="23">
        <f>75/2</f>
        <v>37.5</v>
      </c>
      <c r="O796" s="21">
        <f t="shared" si="16"/>
        <v>0</v>
      </c>
      <c r="P796" s="25" t="s">
        <v>274</v>
      </c>
      <c r="Q796" s="64"/>
      <c r="R796" s="62"/>
      <c r="S796" s="62"/>
      <c r="T796" s="63"/>
    </row>
    <row r="797" spans="12:20" x14ac:dyDescent="0.25">
      <c r="L797" s="2">
        <v>37.75</v>
      </c>
      <c r="M797" s="23" t="s">
        <v>611</v>
      </c>
      <c r="N797" s="23">
        <f>151/4</f>
        <v>37.75</v>
      </c>
      <c r="O797" s="21">
        <f t="shared" si="16"/>
        <v>0</v>
      </c>
      <c r="P797" s="25" t="s">
        <v>274</v>
      </c>
      <c r="Q797" s="64"/>
      <c r="R797" s="62"/>
      <c r="S797" s="62"/>
      <c r="T797" s="63"/>
    </row>
    <row r="798" spans="12:20" x14ac:dyDescent="0.25">
      <c r="L798" s="2">
        <v>38</v>
      </c>
      <c r="M798" s="23" t="s">
        <v>384</v>
      </c>
      <c r="N798" s="23">
        <f>38/1</f>
        <v>38</v>
      </c>
      <c r="O798" s="21">
        <f t="shared" si="16"/>
        <v>0</v>
      </c>
      <c r="P798" s="25" t="s">
        <v>274</v>
      </c>
      <c r="Q798" s="64"/>
      <c r="R798" s="62"/>
      <c r="S798" s="62"/>
      <c r="T798" s="63"/>
    </row>
    <row r="799" spans="12:20" x14ac:dyDescent="0.25">
      <c r="L799" s="2">
        <v>38.25</v>
      </c>
      <c r="M799" s="23" t="s">
        <v>612</v>
      </c>
      <c r="N799" s="23">
        <f>153/4</f>
        <v>38.25</v>
      </c>
      <c r="O799" s="21">
        <f t="shared" si="16"/>
        <v>0</v>
      </c>
      <c r="P799" s="25" t="s">
        <v>274</v>
      </c>
      <c r="Q799" s="64"/>
      <c r="R799" s="62"/>
      <c r="S799" s="62"/>
      <c r="T799" s="63"/>
    </row>
    <row r="800" spans="12:20" x14ac:dyDescent="0.25">
      <c r="L800" s="2">
        <v>38.5</v>
      </c>
      <c r="M800" s="23" t="s">
        <v>480</v>
      </c>
      <c r="N800" s="23">
        <f>77/2</f>
        <v>38.5</v>
      </c>
      <c r="O800" s="21">
        <f t="shared" si="16"/>
        <v>0</v>
      </c>
      <c r="P800" s="25" t="s">
        <v>274</v>
      </c>
      <c r="Q800" s="64"/>
      <c r="R800" s="62"/>
      <c r="S800" s="62"/>
      <c r="T800" s="63"/>
    </row>
    <row r="801" spans="12:20" x14ac:dyDescent="0.25">
      <c r="L801" s="2">
        <v>38.75</v>
      </c>
      <c r="M801" s="23" t="s">
        <v>613</v>
      </c>
      <c r="N801" s="23">
        <f>155/4</f>
        <v>38.75</v>
      </c>
      <c r="O801" s="21">
        <f t="shared" si="16"/>
        <v>0</v>
      </c>
      <c r="P801" s="25" t="s">
        <v>274</v>
      </c>
      <c r="Q801" s="64"/>
      <c r="R801" s="62"/>
      <c r="S801" s="62"/>
      <c r="T801" s="63"/>
    </row>
    <row r="802" spans="12:20" x14ac:dyDescent="0.25">
      <c r="L802" s="2">
        <v>39</v>
      </c>
      <c r="M802" s="23" t="s">
        <v>385</v>
      </c>
      <c r="N802" s="23">
        <f>39/1</f>
        <v>39</v>
      </c>
      <c r="O802" s="21">
        <f t="shared" si="16"/>
        <v>0</v>
      </c>
      <c r="P802" s="25" t="s">
        <v>274</v>
      </c>
      <c r="Q802" s="64"/>
      <c r="R802" s="62"/>
      <c r="S802" s="62"/>
      <c r="T802" s="63"/>
    </row>
    <row r="803" spans="12:20" x14ac:dyDescent="0.25">
      <c r="L803" s="2">
        <v>39.25</v>
      </c>
      <c r="M803" s="23" t="s">
        <v>614</v>
      </c>
      <c r="N803" s="23">
        <f>157/4</f>
        <v>39.25</v>
      </c>
      <c r="O803" s="21">
        <f t="shared" si="16"/>
        <v>0</v>
      </c>
      <c r="P803" s="25" t="s">
        <v>274</v>
      </c>
      <c r="Q803" s="64"/>
      <c r="R803" s="62"/>
      <c r="S803" s="62"/>
      <c r="T803" s="63"/>
    </row>
    <row r="804" spans="12:20" x14ac:dyDescent="0.25">
      <c r="L804" s="2">
        <v>39.5</v>
      </c>
      <c r="M804" s="23" t="s">
        <v>481</v>
      </c>
      <c r="N804" s="23">
        <f>79/2</f>
        <v>39.5</v>
      </c>
      <c r="O804" s="21">
        <f t="shared" si="16"/>
        <v>0</v>
      </c>
      <c r="P804" s="25" t="s">
        <v>274</v>
      </c>
      <c r="Q804" s="64"/>
      <c r="R804" s="62"/>
      <c r="S804" s="62"/>
      <c r="T804" s="63"/>
    </row>
    <row r="805" spans="12:20" x14ac:dyDescent="0.25">
      <c r="L805" s="2">
        <v>39.75</v>
      </c>
      <c r="M805" s="23" t="s">
        <v>615</v>
      </c>
      <c r="N805" s="23">
        <f>159/4</f>
        <v>39.75</v>
      </c>
      <c r="O805" s="21">
        <f t="shared" si="16"/>
        <v>0</v>
      </c>
      <c r="P805" s="25" t="s">
        <v>274</v>
      </c>
      <c r="Q805" s="64"/>
      <c r="R805" s="62"/>
      <c r="S805" s="62"/>
      <c r="T805" s="63"/>
    </row>
    <row r="806" spans="12:20" x14ac:dyDescent="0.25">
      <c r="L806" s="2">
        <v>40</v>
      </c>
      <c r="M806" s="23" t="s">
        <v>386</v>
      </c>
      <c r="N806" s="23">
        <f>40/1</f>
        <v>40</v>
      </c>
      <c r="O806" s="21">
        <f t="shared" si="16"/>
        <v>0</v>
      </c>
      <c r="P806" s="25" t="s">
        <v>274</v>
      </c>
      <c r="Q806" s="64"/>
      <c r="R806" s="62"/>
      <c r="S806" s="62"/>
      <c r="T806" s="63"/>
    </row>
    <row r="807" spans="12:20" x14ac:dyDescent="0.25">
      <c r="L807" s="2">
        <v>40.25</v>
      </c>
      <c r="M807" s="23" t="s">
        <v>616</v>
      </c>
      <c r="N807" s="23">
        <f>161/4</f>
        <v>40.25</v>
      </c>
      <c r="O807" s="21">
        <f t="shared" si="16"/>
        <v>0</v>
      </c>
      <c r="P807" s="25" t="s">
        <v>274</v>
      </c>
      <c r="Q807" s="64"/>
      <c r="R807" s="62"/>
      <c r="S807" s="62"/>
      <c r="T807" s="63"/>
    </row>
    <row r="808" spans="12:20" x14ac:dyDescent="0.25">
      <c r="L808" s="2">
        <v>40.5</v>
      </c>
      <c r="M808" s="23" t="s">
        <v>482</v>
      </c>
      <c r="N808" s="23">
        <f>81/2</f>
        <v>40.5</v>
      </c>
      <c r="O808" s="21">
        <f t="shared" si="16"/>
        <v>0</v>
      </c>
      <c r="P808" s="25" t="s">
        <v>274</v>
      </c>
      <c r="Q808" s="64"/>
      <c r="R808" s="62"/>
      <c r="S808" s="62"/>
      <c r="T808" s="63"/>
    </row>
    <row r="809" spans="12:20" x14ac:dyDescent="0.25">
      <c r="L809" s="2">
        <v>40.75</v>
      </c>
      <c r="M809" s="23" t="s">
        <v>617</v>
      </c>
      <c r="N809" s="23">
        <f>163/4</f>
        <v>40.75</v>
      </c>
      <c r="O809" s="21">
        <f t="shared" si="16"/>
        <v>0</v>
      </c>
      <c r="P809" s="25" t="s">
        <v>274</v>
      </c>
      <c r="Q809" s="64"/>
      <c r="R809" s="62"/>
      <c r="S809" s="62"/>
      <c r="T809" s="63"/>
    </row>
    <row r="810" spans="12:20" x14ac:dyDescent="0.25">
      <c r="L810" s="2">
        <v>41</v>
      </c>
      <c r="M810" s="23" t="s">
        <v>387</v>
      </c>
      <c r="N810" s="23">
        <f>41/1</f>
        <v>41</v>
      </c>
      <c r="O810" s="21">
        <f t="shared" si="16"/>
        <v>0</v>
      </c>
      <c r="P810" s="25" t="s">
        <v>274</v>
      </c>
      <c r="Q810" s="64"/>
      <c r="R810" s="62"/>
      <c r="S810" s="62"/>
      <c r="T810" s="63"/>
    </row>
    <row r="811" spans="12:20" x14ac:dyDescent="0.25">
      <c r="L811" s="2">
        <v>41.25</v>
      </c>
      <c r="M811" s="23" t="s">
        <v>618</v>
      </c>
      <c r="N811" s="23">
        <f>165/4</f>
        <v>41.25</v>
      </c>
      <c r="O811" s="21">
        <f t="shared" si="16"/>
        <v>0</v>
      </c>
      <c r="P811" s="25" t="s">
        <v>274</v>
      </c>
      <c r="Q811" s="64"/>
      <c r="R811" s="62"/>
      <c r="S811" s="62"/>
      <c r="T811" s="63"/>
    </row>
    <row r="812" spans="12:20" x14ac:dyDescent="0.25">
      <c r="L812" s="2">
        <v>41.5</v>
      </c>
      <c r="M812" s="23" t="s">
        <v>483</v>
      </c>
      <c r="N812" s="23">
        <f>83/2</f>
        <v>41.5</v>
      </c>
      <c r="O812" s="21">
        <f t="shared" si="16"/>
        <v>0</v>
      </c>
      <c r="P812" s="25" t="s">
        <v>274</v>
      </c>
      <c r="Q812" s="64"/>
      <c r="R812" s="62"/>
      <c r="S812" s="62"/>
      <c r="T812" s="63"/>
    </row>
    <row r="813" spans="12:20" x14ac:dyDescent="0.25">
      <c r="L813" s="2">
        <v>41.75</v>
      </c>
      <c r="M813" s="23" t="s">
        <v>619</v>
      </c>
      <c r="N813" s="23">
        <f>167/4</f>
        <v>41.75</v>
      </c>
      <c r="O813" s="21">
        <f t="shared" si="16"/>
        <v>0</v>
      </c>
      <c r="P813" s="25" t="s">
        <v>274</v>
      </c>
      <c r="Q813" s="64"/>
      <c r="R813" s="62"/>
      <c r="S813" s="62"/>
      <c r="T813" s="63"/>
    </row>
    <row r="814" spans="12:20" x14ac:dyDescent="0.25">
      <c r="L814" s="2">
        <v>42</v>
      </c>
      <c r="M814" s="23" t="s">
        <v>388</v>
      </c>
      <c r="N814" s="23">
        <f>42/1</f>
        <v>42</v>
      </c>
      <c r="O814" s="21">
        <f t="shared" si="16"/>
        <v>0</v>
      </c>
      <c r="P814" s="25" t="s">
        <v>274</v>
      </c>
      <c r="Q814" s="64"/>
      <c r="R814" s="62"/>
      <c r="S814" s="62"/>
      <c r="T814" s="63"/>
    </row>
    <row r="815" spans="12:20" x14ac:dyDescent="0.25">
      <c r="L815" s="2">
        <v>42.25</v>
      </c>
      <c r="M815" s="23" t="s">
        <v>620</v>
      </c>
      <c r="N815" s="23">
        <f>169/4</f>
        <v>42.25</v>
      </c>
      <c r="O815" s="21">
        <f t="shared" si="16"/>
        <v>0</v>
      </c>
      <c r="P815" s="25" t="s">
        <v>274</v>
      </c>
      <c r="Q815" s="64"/>
      <c r="R815" s="62"/>
      <c r="S815" s="62"/>
      <c r="T815" s="63"/>
    </row>
    <row r="816" spans="12:20" x14ac:dyDescent="0.25">
      <c r="L816" s="2">
        <v>42.5</v>
      </c>
      <c r="M816" s="23" t="s">
        <v>484</v>
      </c>
      <c r="N816" s="23">
        <f>85/2</f>
        <v>42.5</v>
      </c>
      <c r="O816" s="21">
        <f t="shared" si="16"/>
        <v>0</v>
      </c>
      <c r="P816" s="25" t="s">
        <v>274</v>
      </c>
      <c r="Q816" s="64"/>
      <c r="R816" s="62"/>
      <c r="S816" s="62"/>
      <c r="T816" s="63"/>
    </row>
    <row r="817" spans="12:20" x14ac:dyDescent="0.25">
      <c r="L817" s="2">
        <v>42.75</v>
      </c>
      <c r="M817" s="23" t="s">
        <v>621</v>
      </c>
      <c r="N817" s="23">
        <f>171/4</f>
        <v>42.75</v>
      </c>
      <c r="O817" s="21">
        <f t="shared" si="16"/>
        <v>0</v>
      </c>
      <c r="P817" s="25" t="s">
        <v>274</v>
      </c>
      <c r="Q817" s="64"/>
      <c r="R817" s="62"/>
      <c r="S817" s="62"/>
      <c r="T817" s="63"/>
    </row>
    <row r="818" spans="12:20" x14ac:dyDescent="0.25">
      <c r="L818" s="2">
        <v>43</v>
      </c>
      <c r="M818" s="23" t="s">
        <v>389</v>
      </c>
      <c r="N818" s="23">
        <f>43/1</f>
        <v>43</v>
      </c>
      <c r="O818" s="21">
        <f t="shared" si="16"/>
        <v>0</v>
      </c>
      <c r="P818" s="25" t="s">
        <v>274</v>
      </c>
      <c r="Q818" s="64"/>
      <c r="R818" s="62"/>
      <c r="S818" s="62"/>
      <c r="T818" s="63"/>
    </row>
    <row r="819" spans="12:20" x14ac:dyDescent="0.25">
      <c r="L819" s="2">
        <v>43.25</v>
      </c>
      <c r="M819" s="23" t="s">
        <v>622</v>
      </c>
      <c r="N819" s="23">
        <f>173/4</f>
        <v>43.25</v>
      </c>
      <c r="O819" s="21">
        <f t="shared" si="16"/>
        <v>0</v>
      </c>
      <c r="P819" s="25" t="s">
        <v>274</v>
      </c>
      <c r="Q819" s="64"/>
      <c r="R819" s="62"/>
      <c r="S819" s="62"/>
      <c r="T819" s="63"/>
    </row>
    <row r="820" spans="12:20" x14ac:dyDescent="0.25">
      <c r="L820" s="2">
        <v>43.5</v>
      </c>
      <c r="M820" s="23" t="s">
        <v>485</v>
      </c>
      <c r="N820" s="23">
        <f>87/2</f>
        <v>43.5</v>
      </c>
      <c r="O820" s="21">
        <f t="shared" si="16"/>
        <v>0</v>
      </c>
      <c r="P820" s="25" t="s">
        <v>274</v>
      </c>
      <c r="Q820" s="64"/>
      <c r="R820" s="62"/>
      <c r="S820" s="62"/>
      <c r="T820" s="63"/>
    </row>
    <row r="821" spans="12:20" x14ac:dyDescent="0.25">
      <c r="L821" s="2">
        <v>43.75</v>
      </c>
      <c r="M821" s="23" t="s">
        <v>623</v>
      </c>
      <c r="N821" s="23">
        <f>175/4</f>
        <v>43.75</v>
      </c>
      <c r="O821" s="21">
        <f t="shared" si="16"/>
        <v>0</v>
      </c>
      <c r="P821" s="25" t="s">
        <v>274</v>
      </c>
      <c r="Q821" s="64"/>
      <c r="R821" s="62"/>
      <c r="S821" s="62"/>
      <c r="T821" s="63"/>
    </row>
    <row r="822" spans="12:20" x14ac:dyDescent="0.25">
      <c r="L822" s="2">
        <v>44</v>
      </c>
      <c r="M822" s="23" t="s">
        <v>390</v>
      </c>
      <c r="N822" s="23">
        <f>44/1</f>
        <v>44</v>
      </c>
      <c r="O822" s="21">
        <f t="shared" si="16"/>
        <v>0</v>
      </c>
      <c r="P822" s="25" t="s">
        <v>274</v>
      </c>
      <c r="Q822" s="64"/>
      <c r="R822" s="62"/>
      <c r="S822" s="62"/>
      <c r="T822" s="63"/>
    </row>
    <row r="823" spans="12:20" x14ac:dyDescent="0.25">
      <c r="L823" s="2">
        <v>44.25</v>
      </c>
      <c r="M823" s="23" t="s">
        <v>624</v>
      </c>
      <c r="N823" s="23">
        <f>177/4</f>
        <v>44.25</v>
      </c>
      <c r="O823" s="21">
        <f t="shared" si="16"/>
        <v>0</v>
      </c>
      <c r="P823" s="25" t="s">
        <v>274</v>
      </c>
      <c r="Q823" s="64"/>
      <c r="R823" s="62"/>
      <c r="S823" s="62"/>
      <c r="T823" s="63"/>
    </row>
    <row r="824" spans="12:20" x14ac:dyDescent="0.25">
      <c r="L824" s="2">
        <v>44.5</v>
      </c>
      <c r="M824" s="23" t="s">
        <v>486</v>
      </c>
      <c r="N824" s="23">
        <f>89/2</f>
        <v>44.5</v>
      </c>
      <c r="O824" s="21">
        <f t="shared" si="16"/>
        <v>0</v>
      </c>
      <c r="P824" s="25" t="s">
        <v>274</v>
      </c>
      <c r="Q824" s="64"/>
      <c r="R824" s="62"/>
      <c r="S824" s="62"/>
      <c r="T824" s="63"/>
    </row>
    <row r="825" spans="12:20" x14ac:dyDescent="0.25">
      <c r="L825" s="2">
        <v>44.75</v>
      </c>
      <c r="M825" s="23" t="s">
        <v>625</v>
      </c>
      <c r="N825" s="23">
        <f>179/4</f>
        <v>44.75</v>
      </c>
      <c r="O825" s="21">
        <f t="shared" si="16"/>
        <v>0</v>
      </c>
      <c r="P825" s="25" t="s">
        <v>274</v>
      </c>
      <c r="Q825" s="64"/>
      <c r="R825" s="62"/>
      <c r="S825" s="62"/>
      <c r="T825" s="63"/>
    </row>
    <row r="826" spans="12:20" x14ac:dyDescent="0.25">
      <c r="L826" s="2">
        <v>45</v>
      </c>
      <c r="M826" s="23" t="s">
        <v>391</v>
      </c>
      <c r="N826" s="23">
        <f>45/1</f>
        <v>45</v>
      </c>
      <c r="O826" s="21">
        <f t="shared" si="16"/>
        <v>0</v>
      </c>
      <c r="P826" s="25" t="s">
        <v>274</v>
      </c>
      <c r="Q826" s="64"/>
      <c r="R826" s="62"/>
      <c r="S826" s="62"/>
      <c r="T826" s="63"/>
    </row>
    <row r="827" spans="12:20" x14ac:dyDescent="0.25">
      <c r="L827" s="2">
        <v>45.25</v>
      </c>
      <c r="M827" s="23" t="s">
        <v>626</v>
      </c>
      <c r="N827" s="23">
        <f>181/4</f>
        <v>45.25</v>
      </c>
      <c r="O827" s="21">
        <f t="shared" si="16"/>
        <v>0</v>
      </c>
      <c r="P827" s="25" t="s">
        <v>274</v>
      </c>
      <c r="Q827" s="64"/>
      <c r="R827" s="62"/>
      <c r="S827" s="62"/>
      <c r="T827" s="63"/>
    </row>
    <row r="828" spans="12:20" x14ac:dyDescent="0.25">
      <c r="L828" s="2">
        <v>45.5</v>
      </c>
      <c r="M828" s="23" t="s">
        <v>487</v>
      </c>
      <c r="N828" s="23">
        <f>91/2</f>
        <v>45.5</v>
      </c>
      <c r="O828" s="21">
        <f t="shared" si="16"/>
        <v>0</v>
      </c>
      <c r="P828" s="25" t="s">
        <v>274</v>
      </c>
      <c r="Q828" s="64"/>
      <c r="R828" s="62"/>
      <c r="S828" s="62"/>
      <c r="T828" s="63"/>
    </row>
    <row r="829" spans="12:20" x14ac:dyDescent="0.25">
      <c r="L829" s="2">
        <v>45.75</v>
      </c>
      <c r="M829" s="23" t="s">
        <v>627</v>
      </c>
      <c r="N829" s="23">
        <f>183/4</f>
        <v>45.75</v>
      </c>
      <c r="O829" s="21">
        <f t="shared" si="16"/>
        <v>0</v>
      </c>
      <c r="P829" s="25" t="s">
        <v>274</v>
      </c>
      <c r="Q829" s="64"/>
      <c r="R829" s="62"/>
      <c r="S829" s="62"/>
      <c r="T829" s="63"/>
    </row>
    <row r="830" spans="12:20" x14ac:dyDescent="0.25">
      <c r="L830" s="2">
        <v>46</v>
      </c>
      <c r="M830" s="23" t="s">
        <v>392</v>
      </c>
      <c r="N830" s="23">
        <f>46/1</f>
        <v>46</v>
      </c>
      <c r="O830" s="21">
        <f t="shared" si="16"/>
        <v>0</v>
      </c>
      <c r="P830" s="25" t="s">
        <v>274</v>
      </c>
      <c r="Q830" s="64"/>
      <c r="R830" s="62"/>
      <c r="S830" s="62"/>
      <c r="T830" s="63"/>
    </row>
    <row r="831" spans="12:20" x14ac:dyDescent="0.25">
      <c r="L831" s="2">
        <v>46.25</v>
      </c>
      <c r="M831" s="23" t="s">
        <v>628</v>
      </c>
      <c r="N831" s="23">
        <f>185/4</f>
        <v>46.25</v>
      </c>
      <c r="O831" s="21">
        <f t="shared" si="16"/>
        <v>0</v>
      </c>
      <c r="P831" s="25" t="s">
        <v>274</v>
      </c>
      <c r="Q831" s="64"/>
      <c r="R831" s="62"/>
      <c r="S831" s="62"/>
      <c r="T831" s="63"/>
    </row>
    <row r="832" spans="12:20" x14ac:dyDescent="0.25">
      <c r="L832" s="2">
        <v>46.5</v>
      </c>
      <c r="M832" s="23" t="s">
        <v>488</v>
      </c>
      <c r="N832" s="23">
        <f>93/2</f>
        <v>46.5</v>
      </c>
      <c r="O832" s="21">
        <f t="shared" si="16"/>
        <v>0</v>
      </c>
      <c r="P832" s="25" t="s">
        <v>274</v>
      </c>
      <c r="Q832" s="64"/>
      <c r="R832" s="62"/>
      <c r="S832" s="62"/>
      <c r="T832" s="63"/>
    </row>
    <row r="833" spans="12:20" x14ac:dyDescent="0.25">
      <c r="L833" s="2">
        <v>46.75</v>
      </c>
      <c r="M833" s="23" t="s">
        <v>629</v>
      </c>
      <c r="N833" s="23">
        <f>187/4</f>
        <v>46.75</v>
      </c>
      <c r="O833" s="21">
        <f t="shared" si="16"/>
        <v>0</v>
      </c>
      <c r="P833" s="25" t="s">
        <v>274</v>
      </c>
      <c r="Q833" s="64"/>
      <c r="R833" s="62"/>
      <c r="S833" s="62"/>
      <c r="T833" s="63"/>
    </row>
    <row r="834" spans="12:20" x14ac:dyDescent="0.25">
      <c r="L834" s="2">
        <v>47</v>
      </c>
      <c r="M834" s="23" t="s">
        <v>393</v>
      </c>
      <c r="N834" s="23">
        <f>47/1</f>
        <v>47</v>
      </c>
      <c r="O834" s="21">
        <f t="shared" si="16"/>
        <v>0</v>
      </c>
      <c r="P834" s="25" t="s">
        <v>274</v>
      </c>
      <c r="Q834" s="64"/>
      <c r="R834" s="62"/>
      <c r="S834" s="62"/>
      <c r="T834" s="63"/>
    </row>
    <row r="835" spans="12:20" x14ac:dyDescent="0.25">
      <c r="L835" s="2">
        <v>47.25</v>
      </c>
      <c r="M835" s="23" t="s">
        <v>630</v>
      </c>
      <c r="N835" s="23">
        <f>189/4</f>
        <v>47.25</v>
      </c>
      <c r="O835" s="21">
        <f t="shared" si="16"/>
        <v>0</v>
      </c>
      <c r="P835" s="25" t="s">
        <v>274</v>
      </c>
      <c r="Q835" s="64"/>
      <c r="R835" s="62"/>
      <c r="S835" s="62"/>
      <c r="T835" s="63"/>
    </row>
    <row r="836" spans="12:20" x14ac:dyDescent="0.25">
      <c r="L836" s="2">
        <v>47.5</v>
      </c>
      <c r="M836" s="23" t="s">
        <v>489</v>
      </c>
      <c r="N836" s="23">
        <f>95/2</f>
        <v>47.5</v>
      </c>
      <c r="O836" s="21">
        <f t="shared" si="16"/>
        <v>0</v>
      </c>
      <c r="P836" s="25" t="s">
        <v>274</v>
      </c>
      <c r="Q836" s="64"/>
      <c r="R836" s="62"/>
      <c r="S836" s="62"/>
      <c r="T836" s="63"/>
    </row>
    <row r="837" spans="12:20" x14ac:dyDescent="0.25">
      <c r="L837" s="2">
        <v>47.75</v>
      </c>
      <c r="M837" s="23" t="s">
        <v>631</v>
      </c>
      <c r="N837" s="23">
        <f>191/4</f>
        <v>47.75</v>
      </c>
      <c r="O837" s="21">
        <f t="shared" si="16"/>
        <v>0</v>
      </c>
      <c r="P837" s="25" t="s">
        <v>274</v>
      </c>
      <c r="Q837" s="64"/>
      <c r="R837" s="62"/>
      <c r="S837" s="62"/>
      <c r="T837" s="63"/>
    </row>
    <row r="838" spans="12:20" x14ac:dyDescent="0.25">
      <c r="L838" s="2">
        <v>48</v>
      </c>
      <c r="M838" s="23" t="s">
        <v>394</v>
      </c>
      <c r="N838" s="23">
        <f>48/1</f>
        <v>48</v>
      </c>
      <c r="O838" s="21">
        <f t="shared" si="16"/>
        <v>0</v>
      </c>
      <c r="P838" s="25" t="s">
        <v>274</v>
      </c>
      <c r="Q838" s="64"/>
      <c r="R838" s="62"/>
      <c r="S838" s="62"/>
      <c r="T838" s="63"/>
    </row>
    <row r="839" spans="12:20" x14ac:dyDescent="0.25">
      <c r="L839" s="2">
        <v>48.25</v>
      </c>
      <c r="M839" s="23" t="s">
        <v>632</v>
      </c>
      <c r="N839" s="23">
        <f>193/4</f>
        <v>48.25</v>
      </c>
      <c r="O839" s="21">
        <f t="shared" ref="O839:O902" si="17">ABS(L839-N839)</f>
        <v>0</v>
      </c>
      <c r="P839" s="25" t="s">
        <v>274</v>
      </c>
      <c r="Q839" s="64"/>
      <c r="R839" s="62"/>
      <c r="S839" s="62"/>
      <c r="T839" s="63"/>
    </row>
    <row r="840" spans="12:20" x14ac:dyDescent="0.25">
      <c r="L840" s="2">
        <v>48.5</v>
      </c>
      <c r="M840" s="23" t="s">
        <v>490</v>
      </c>
      <c r="N840" s="23">
        <f>97/2</f>
        <v>48.5</v>
      </c>
      <c r="O840" s="21">
        <f t="shared" si="17"/>
        <v>0</v>
      </c>
      <c r="P840" s="25" t="s">
        <v>274</v>
      </c>
      <c r="Q840" s="64"/>
      <c r="R840" s="62"/>
      <c r="S840" s="62"/>
      <c r="T840" s="63"/>
    </row>
    <row r="841" spans="12:20" x14ac:dyDescent="0.25">
      <c r="L841" s="2">
        <v>48.75</v>
      </c>
      <c r="M841" s="23" t="s">
        <v>633</v>
      </c>
      <c r="N841" s="23">
        <f>195/4</f>
        <v>48.75</v>
      </c>
      <c r="O841" s="21">
        <f t="shared" si="17"/>
        <v>0</v>
      </c>
      <c r="P841" s="25" t="s">
        <v>274</v>
      </c>
      <c r="Q841" s="64"/>
      <c r="R841" s="62"/>
      <c r="S841" s="62"/>
      <c r="T841" s="63"/>
    </row>
    <row r="842" spans="12:20" x14ac:dyDescent="0.25">
      <c r="L842" s="2">
        <v>49</v>
      </c>
      <c r="M842" s="23" t="s">
        <v>395</v>
      </c>
      <c r="N842" s="23">
        <f>49/1</f>
        <v>49</v>
      </c>
      <c r="O842" s="21">
        <f t="shared" si="17"/>
        <v>0</v>
      </c>
      <c r="P842" s="25" t="s">
        <v>274</v>
      </c>
      <c r="Q842" s="64"/>
      <c r="R842" s="62"/>
      <c r="S842" s="62"/>
      <c r="T842" s="63"/>
    </row>
    <row r="843" spans="12:20" x14ac:dyDescent="0.25">
      <c r="L843" s="2">
        <v>49.25</v>
      </c>
      <c r="M843" s="23" t="s">
        <v>634</v>
      </c>
      <c r="N843" s="23">
        <f>197/4</f>
        <v>49.25</v>
      </c>
      <c r="O843" s="21">
        <f t="shared" si="17"/>
        <v>0</v>
      </c>
      <c r="P843" s="25" t="s">
        <v>274</v>
      </c>
      <c r="Q843" s="64"/>
      <c r="R843" s="62"/>
      <c r="S843" s="62"/>
      <c r="T843" s="63"/>
    </row>
    <row r="844" spans="12:20" x14ac:dyDescent="0.25">
      <c r="L844" s="2">
        <v>49.5</v>
      </c>
      <c r="M844" s="23" t="s">
        <v>491</v>
      </c>
      <c r="N844" s="23">
        <f>99/2</f>
        <v>49.5</v>
      </c>
      <c r="O844" s="21">
        <f t="shared" si="17"/>
        <v>0</v>
      </c>
      <c r="P844" s="25" t="s">
        <v>274</v>
      </c>
      <c r="Q844" s="64"/>
      <c r="R844" s="62"/>
      <c r="S844" s="62"/>
      <c r="T844" s="63"/>
    </row>
    <row r="845" spans="12:20" x14ac:dyDescent="0.25">
      <c r="L845" s="2">
        <v>49.75</v>
      </c>
      <c r="M845" s="23" t="s">
        <v>635</v>
      </c>
      <c r="N845" s="23">
        <f>199/4</f>
        <v>49.75</v>
      </c>
      <c r="O845" s="21">
        <f t="shared" si="17"/>
        <v>0</v>
      </c>
      <c r="P845" s="25" t="s">
        <v>274</v>
      </c>
      <c r="Q845" s="64"/>
      <c r="R845" s="62"/>
      <c r="S845" s="62"/>
      <c r="T845" s="63"/>
    </row>
    <row r="846" spans="12:20" x14ac:dyDescent="0.25">
      <c r="L846" s="2">
        <v>50</v>
      </c>
      <c r="M846" s="23" t="s">
        <v>396</v>
      </c>
      <c r="N846" s="23">
        <f>50/1</f>
        <v>50</v>
      </c>
      <c r="O846" s="21">
        <f t="shared" si="17"/>
        <v>0</v>
      </c>
      <c r="P846" s="25" t="s">
        <v>274</v>
      </c>
      <c r="Q846" s="64"/>
      <c r="R846" s="62"/>
      <c r="S846" s="62"/>
      <c r="T846" s="63"/>
    </row>
    <row r="847" spans="12:20" x14ac:dyDescent="0.25">
      <c r="L847" s="2">
        <v>50.25</v>
      </c>
      <c r="M847" s="23" t="s">
        <v>636</v>
      </c>
      <c r="N847" s="23">
        <f>201/4</f>
        <v>50.25</v>
      </c>
      <c r="O847" s="21">
        <f t="shared" si="17"/>
        <v>0</v>
      </c>
      <c r="P847" s="25" t="s">
        <v>274</v>
      </c>
      <c r="Q847" s="64"/>
      <c r="R847" s="62"/>
      <c r="S847" s="62"/>
      <c r="T847" s="63"/>
    </row>
    <row r="848" spans="12:20" x14ac:dyDescent="0.25">
      <c r="L848" s="2">
        <v>50.5</v>
      </c>
      <c r="M848" s="23" t="s">
        <v>492</v>
      </c>
      <c r="N848" s="23">
        <f>101/2</f>
        <v>50.5</v>
      </c>
      <c r="O848" s="21">
        <f t="shared" si="17"/>
        <v>0</v>
      </c>
      <c r="P848" s="25" t="s">
        <v>274</v>
      </c>
      <c r="Q848" s="64"/>
      <c r="R848" s="62"/>
      <c r="S848" s="62"/>
      <c r="T848" s="63"/>
    </row>
    <row r="849" spans="12:20" x14ac:dyDescent="0.25">
      <c r="L849" s="2">
        <v>50.75</v>
      </c>
      <c r="M849" s="23" t="s">
        <v>637</v>
      </c>
      <c r="N849" s="23">
        <f>203/4</f>
        <v>50.75</v>
      </c>
      <c r="O849" s="21">
        <f t="shared" si="17"/>
        <v>0</v>
      </c>
      <c r="P849" s="25" t="s">
        <v>274</v>
      </c>
      <c r="Q849" s="64"/>
      <c r="R849" s="62"/>
      <c r="S849" s="62"/>
      <c r="T849" s="63"/>
    </row>
    <row r="850" spans="12:20" x14ac:dyDescent="0.25">
      <c r="L850" s="2">
        <v>51</v>
      </c>
      <c r="M850" s="23" t="s">
        <v>397</v>
      </c>
      <c r="N850" s="23">
        <f>51/1</f>
        <v>51</v>
      </c>
      <c r="O850" s="21">
        <f t="shared" si="17"/>
        <v>0</v>
      </c>
      <c r="P850" s="25" t="s">
        <v>274</v>
      </c>
      <c r="Q850" s="64"/>
      <c r="R850" s="62"/>
      <c r="S850" s="62"/>
      <c r="T850" s="63"/>
    </row>
    <row r="851" spans="12:20" x14ac:dyDescent="0.25">
      <c r="L851" s="2">
        <v>51.25</v>
      </c>
      <c r="M851" s="23" t="s">
        <v>638</v>
      </c>
      <c r="N851" s="23">
        <f>205/4</f>
        <v>51.25</v>
      </c>
      <c r="O851" s="21">
        <f t="shared" si="17"/>
        <v>0</v>
      </c>
      <c r="P851" s="25" t="s">
        <v>274</v>
      </c>
      <c r="Q851" s="64"/>
      <c r="R851" s="62"/>
      <c r="S851" s="62"/>
      <c r="T851" s="63"/>
    </row>
    <row r="852" spans="12:20" x14ac:dyDescent="0.25">
      <c r="L852" s="2">
        <v>51.5</v>
      </c>
      <c r="M852" s="23" t="s">
        <v>493</v>
      </c>
      <c r="N852" s="23">
        <f>103/2</f>
        <v>51.5</v>
      </c>
      <c r="O852" s="21">
        <f t="shared" si="17"/>
        <v>0</v>
      </c>
      <c r="P852" s="25" t="s">
        <v>274</v>
      </c>
      <c r="Q852" s="64"/>
      <c r="R852" s="62"/>
      <c r="S852" s="62"/>
      <c r="T852" s="63"/>
    </row>
    <row r="853" spans="12:20" x14ac:dyDescent="0.25">
      <c r="L853" s="2">
        <v>51.75</v>
      </c>
      <c r="M853" s="23" t="s">
        <v>639</v>
      </c>
      <c r="N853" s="23">
        <f>207/4</f>
        <v>51.75</v>
      </c>
      <c r="O853" s="21">
        <f t="shared" si="17"/>
        <v>0</v>
      </c>
      <c r="P853" s="25" t="s">
        <v>274</v>
      </c>
      <c r="Q853" s="64"/>
      <c r="R853" s="62"/>
      <c r="S853" s="62"/>
      <c r="T853" s="63"/>
    </row>
    <row r="854" spans="12:20" x14ac:dyDescent="0.25">
      <c r="L854" s="2">
        <v>52</v>
      </c>
      <c r="M854" s="23" t="s">
        <v>398</v>
      </c>
      <c r="N854" s="23">
        <f>52/1</f>
        <v>52</v>
      </c>
      <c r="O854" s="21">
        <f t="shared" si="17"/>
        <v>0</v>
      </c>
      <c r="P854" s="25" t="s">
        <v>274</v>
      </c>
      <c r="Q854" s="64"/>
      <c r="R854" s="62"/>
      <c r="S854" s="62"/>
      <c r="T854" s="63"/>
    </row>
    <row r="855" spans="12:20" x14ac:dyDescent="0.25">
      <c r="L855" s="2">
        <v>52.25</v>
      </c>
      <c r="M855" s="23" t="s">
        <v>640</v>
      </c>
      <c r="N855" s="23">
        <f>209/4</f>
        <v>52.25</v>
      </c>
      <c r="O855" s="21">
        <f t="shared" si="17"/>
        <v>0</v>
      </c>
      <c r="P855" s="25" t="s">
        <v>274</v>
      </c>
      <c r="Q855" s="64"/>
      <c r="R855" s="62"/>
      <c r="S855" s="62"/>
      <c r="T855" s="63"/>
    </row>
    <row r="856" spans="12:20" x14ac:dyDescent="0.25">
      <c r="L856" s="2">
        <v>52.5</v>
      </c>
      <c r="M856" s="23" t="s">
        <v>494</v>
      </c>
      <c r="N856" s="23">
        <f>105/2</f>
        <v>52.5</v>
      </c>
      <c r="O856" s="21">
        <f t="shared" si="17"/>
        <v>0</v>
      </c>
      <c r="P856" s="25" t="s">
        <v>274</v>
      </c>
      <c r="Q856" s="64"/>
      <c r="R856" s="62"/>
      <c r="S856" s="62"/>
      <c r="T856" s="63"/>
    </row>
    <row r="857" spans="12:20" x14ac:dyDescent="0.25">
      <c r="L857" s="2">
        <v>52.75</v>
      </c>
      <c r="M857" s="23" t="s">
        <v>641</v>
      </c>
      <c r="N857" s="23">
        <f>211/4</f>
        <v>52.75</v>
      </c>
      <c r="O857" s="21">
        <f t="shared" si="17"/>
        <v>0</v>
      </c>
      <c r="P857" s="25" t="s">
        <v>274</v>
      </c>
      <c r="Q857" s="64"/>
      <c r="R857" s="62"/>
      <c r="S857" s="62"/>
      <c r="T857" s="63"/>
    </row>
    <row r="858" spans="12:20" x14ac:dyDescent="0.25">
      <c r="L858" s="2">
        <v>53</v>
      </c>
      <c r="M858" s="23" t="s">
        <v>399</v>
      </c>
      <c r="N858" s="23">
        <f>53/1</f>
        <v>53</v>
      </c>
      <c r="O858" s="21">
        <f t="shared" si="17"/>
        <v>0</v>
      </c>
      <c r="P858" s="25" t="s">
        <v>274</v>
      </c>
      <c r="Q858" s="64"/>
      <c r="R858" s="62"/>
      <c r="S858" s="62"/>
      <c r="T858" s="63"/>
    </row>
    <row r="859" spans="12:20" x14ac:dyDescent="0.25">
      <c r="L859" s="2">
        <v>53.25</v>
      </c>
      <c r="M859" s="23" t="s">
        <v>642</v>
      </c>
      <c r="N859" s="23">
        <f>213/4</f>
        <v>53.25</v>
      </c>
      <c r="O859" s="21">
        <f t="shared" si="17"/>
        <v>0</v>
      </c>
      <c r="P859" s="25" t="s">
        <v>274</v>
      </c>
      <c r="Q859" s="64"/>
      <c r="R859" s="62"/>
      <c r="S859" s="62"/>
      <c r="T859" s="63"/>
    </row>
    <row r="860" spans="12:20" x14ac:dyDescent="0.25">
      <c r="L860" s="2">
        <v>53.5</v>
      </c>
      <c r="M860" s="23" t="s">
        <v>495</v>
      </c>
      <c r="N860" s="23">
        <f>107/2</f>
        <v>53.5</v>
      </c>
      <c r="O860" s="21">
        <f t="shared" si="17"/>
        <v>0</v>
      </c>
      <c r="P860" s="25" t="s">
        <v>274</v>
      </c>
      <c r="Q860" s="64"/>
      <c r="R860" s="62"/>
      <c r="S860" s="62"/>
      <c r="T860" s="63"/>
    </row>
    <row r="861" spans="12:20" x14ac:dyDescent="0.25">
      <c r="L861" s="2">
        <v>53.75</v>
      </c>
      <c r="M861" s="23" t="s">
        <v>643</v>
      </c>
      <c r="N861" s="23">
        <f>215/4</f>
        <v>53.75</v>
      </c>
      <c r="O861" s="21">
        <f t="shared" si="17"/>
        <v>0</v>
      </c>
      <c r="P861" s="25" t="s">
        <v>274</v>
      </c>
      <c r="Q861" s="64"/>
      <c r="R861" s="62"/>
      <c r="S861" s="62"/>
      <c r="T861" s="63"/>
    </row>
    <row r="862" spans="12:20" x14ac:dyDescent="0.25">
      <c r="L862" s="2">
        <v>54</v>
      </c>
      <c r="M862" s="23" t="s">
        <v>400</v>
      </c>
      <c r="N862" s="23">
        <f>54/1</f>
        <v>54</v>
      </c>
      <c r="O862" s="21">
        <f t="shared" si="17"/>
        <v>0</v>
      </c>
      <c r="P862" s="25" t="s">
        <v>274</v>
      </c>
      <c r="Q862" s="64"/>
      <c r="R862" s="62"/>
      <c r="S862" s="62"/>
      <c r="T862" s="63"/>
    </row>
    <row r="863" spans="12:20" x14ac:dyDescent="0.25">
      <c r="L863" s="2">
        <v>54.25</v>
      </c>
      <c r="M863" s="23" t="s">
        <v>644</v>
      </c>
      <c r="N863" s="23">
        <f>217/4</f>
        <v>54.25</v>
      </c>
      <c r="O863" s="21">
        <f t="shared" si="17"/>
        <v>0</v>
      </c>
      <c r="P863" s="25" t="s">
        <v>274</v>
      </c>
      <c r="Q863" s="64"/>
      <c r="R863" s="62"/>
      <c r="S863" s="62"/>
      <c r="T863" s="63"/>
    </row>
    <row r="864" spans="12:20" x14ac:dyDescent="0.25">
      <c r="L864" s="2">
        <v>54.5</v>
      </c>
      <c r="M864" s="23" t="s">
        <v>496</v>
      </c>
      <c r="N864" s="23">
        <f>109/2</f>
        <v>54.5</v>
      </c>
      <c r="O864" s="21">
        <f t="shared" si="17"/>
        <v>0</v>
      </c>
      <c r="P864" s="25" t="s">
        <v>274</v>
      </c>
      <c r="Q864" s="64"/>
      <c r="R864" s="62"/>
      <c r="S864" s="62"/>
      <c r="T864" s="63"/>
    </row>
    <row r="865" spans="12:20" x14ac:dyDescent="0.25">
      <c r="L865" s="2">
        <v>54.75</v>
      </c>
      <c r="M865" s="23" t="s">
        <v>645</v>
      </c>
      <c r="N865" s="23">
        <f>219/4</f>
        <v>54.75</v>
      </c>
      <c r="O865" s="21">
        <f t="shared" si="17"/>
        <v>0</v>
      </c>
      <c r="P865" s="25" t="s">
        <v>274</v>
      </c>
      <c r="Q865" s="64"/>
      <c r="R865" s="62"/>
      <c r="S865" s="62"/>
      <c r="T865" s="63"/>
    </row>
    <row r="866" spans="12:20" x14ac:dyDescent="0.25">
      <c r="L866" s="2">
        <v>55</v>
      </c>
      <c r="M866" s="23" t="s">
        <v>401</v>
      </c>
      <c r="N866" s="23">
        <f>55/1</f>
        <v>55</v>
      </c>
      <c r="O866" s="21">
        <f t="shared" si="17"/>
        <v>0</v>
      </c>
      <c r="P866" s="25" t="s">
        <v>274</v>
      </c>
      <c r="Q866" s="64"/>
      <c r="R866" s="62"/>
      <c r="S866" s="62"/>
      <c r="T866" s="63"/>
    </row>
    <row r="867" spans="12:20" x14ac:dyDescent="0.25">
      <c r="L867" s="2">
        <v>55.25</v>
      </c>
      <c r="M867" s="23" t="s">
        <v>646</v>
      </c>
      <c r="N867" s="23">
        <f>221/4</f>
        <v>55.25</v>
      </c>
      <c r="O867" s="21">
        <f t="shared" si="17"/>
        <v>0</v>
      </c>
      <c r="P867" s="25" t="s">
        <v>274</v>
      </c>
      <c r="Q867" s="64"/>
      <c r="R867" s="62"/>
      <c r="S867" s="62"/>
      <c r="T867" s="63"/>
    </row>
    <row r="868" spans="12:20" x14ac:dyDescent="0.25">
      <c r="L868" s="2">
        <v>55.5</v>
      </c>
      <c r="M868" s="23" t="s">
        <v>497</v>
      </c>
      <c r="N868" s="23">
        <f>111/2</f>
        <v>55.5</v>
      </c>
      <c r="O868" s="21">
        <f t="shared" si="17"/>
        <v>0</v>
      </c>
      <c r="P868" s="25" t="s">
        <v>274</v>
      </c>
      <c r="Q868" s="64"/>
      <c r="R868" s="62"/>
      <c r="S868" s="62"/>
      <c r="T868" s="63"/>
    </row>
    <row r="869" spans="12:20" x14ac:dyDescent="0.25">
      <c r="L869" s="2">
        <v>55.75</v>
      </c>
      <c r="M869" s="23" t="s">
        <v>647</v>
      </c>
      <c r="N869" s="23">
        <f>223/4</f>
        <v>55.75</v>
      </c>
      <c r="O869" s="21">
        <f t="shared" si="17"/>
        <v>0</v>
      </c>
      <c r="P869" s="25" t="s">
        <v>274</v>
      </c>
      <c r="Q869" s="64"/>
      <c r="R869" s="62"/>
      <c r="S869" s="62"/>
      <c r="T869" s="63"/>
    </row>
    <row r="870" spans="12:20" x14ac:dyDescent="0.25">
      <c r="L870" s="2">
        <v>56</v>
      </c>
      <c r="M870" s="23" t="s">
        <v>402</v>
      </c>
      <c r="N870" s="23">
        <f>56/1</f>
        <v>56</v>
      </c>
      <c r="O870" s="21">
        <f t="shared" si="17"/>
        <v>0</v>
      </c>
      <c r="P870" s="25" t="s">
        <v>274</v>
      </c>
      <c r="Q870" s="64"/>
      <c r="R870" s="62"/>
      <c r="S870" s="62"/>
      <c r="T870" s="63"/>
    </row>
    <row r="871" spans="12:20" x14ac:dyDescent="0.25">
      <c r="L871" s="2">
        <v>56.25</v>
      </c>
      <c r="M871" s="23" t="s">
        <v>648</v>
      </c>
      <c r="N871" s="23">
        <f>225/4</f>
        <v>56.25</v>
      </c>
      <c r="O871" s="21">
        <f t="shared" si="17"/>
        <v>0</v>
      </c>
      <c r="P871" s="25" t="s">
        <v>274</v>
      </c>
      <c r="Q871" s="64"/>
      <c r="R871" s="62"/>
      <c r="S871" s="62"/>
      <c r="T871" s="63"/>
    </row>
    <row r="872" spans="12:20" x14ac:dyDescent="0.25">
      <c r="L872" s="2">
        <v>56.5</v>
      </c>
      <c r="M872" s="23" t="s">
        <v>498</v>
      </c>
      <c r="N872" s="23">
        <f>113/2</f>
        <v>56.5</v>
      </c>
      <c r="O872" s="21">
        <f t="shared" si="17"/>
        <v>0</v>
      </c>
      <c r="P872" s="25" t="s">
        <v>274</v>
      </c>
      <c r="Q872" s="64"/>
      <c r="R872" s="62"/>
      <c r="S872" s="62"/>
      <c r="T872" s="63"/>
    </row>
    <row r="873" spans="12:20" x14ac:dyDescent="0.25">
      <c r="L873" s="2">
        <v>56.75</v>
      </c>
      <c r="M873" s="23" t="s">
        <v>649</v>
      </c>
      <c r="N873" s="23">
        <f>227/4</f>
        <v>56.75</v>
      </c>
      <c r="O873" s="21">
        <f t="shared" si="17"/>
        <v>0</v>
      </c>
      <c r="P873" s="25" t="s">
        <v>274</v>
      </c>
      <c r="Q873" s="64"/>
      <c r="R873" s="62"/>
      <c r="S873" s="62"/>
      <c r="T873" s="63"/>
    </row>
    <row r="874" spans="12:20" x14ac:dyDescent="0.25">
      <c r="L874" s="2">
        <v>57</v>
      </c>
      <c r="M874" s="23" t="s">
        <v>403</v>
      </c>
      <c r="N874" s="23">
        <f>57/1</f>
        <v>57</v>
      </c>
      <c r="O874" s="21">
        <f t="shared" si="17"/>
        <v>0</v>
      </c>
      <c r="P874" s="25" t="s">
        <v>274</v>
      </c>
      <c r="Q874" s="64"/>
      <c r="R874" s="62"/>
      <c r="S874" s="62"/>
      <c r="T874" s="63"/>
    </row>
    <row r="875" spans="12:20" x14ac:dyDescent="0.25">
      <c r="L875" s="2">
        <v>57.25</v>
      </c>
      <c r="M875" s="23" t="s">
        <v>650</v>
      </c>
      <c r="N875" s="23">
        <f>229/4</f>
        <v>57.25</v>
      </c>
      <c r="O875" s="21">
        <f t="shared" si="17"/>
        <v>0</v>
      </c>
      <c r="P875" s="25" t="s">
        <v>274</v>
      </c>
      <c r="Q875" s="64"/>
      <c r="R875" s="62"/>
      <c r="S875" s="62"/>
      <c r="T875" s="63"/>
    </row>
    <row r="876" spans="12:20" x14ac:dyDescent="0.25">
      <c r="L876" s="2">
        <v>57.5</v>
      </c>
      <c r="M876" s="23" t="s">
        <v>499</v>
      </c>
      <c r="N876" s="23">
        <f>115/2</f>
        <v>57.5</v>
      </c>
      <c r="O876" s="21">
        <f t="shared" si="17"/>
        <v>0</v>
      </c>
      <c r="P876" s="25" t="s">
        <v>274</v>
      </c>
      <c r="Q876" s="64"/>
      <c r="R876" s="62"/>
      <c r="S876" s="62"/>
      <c r="T876" s="63"/>
    </row>
    <row r="877" spans="12:20" x14ac:dyDescent="0.25">
      <c r="L877" s="2">
        <v>57.75</v>
      </c>
      <c r="M877" s="23" t="s">
        <v>651</v>
      </c>
      <c r="N877" s="23">
        <f>231/4</f>
        <v>57.75</v>
      </c>
      <c r="O877" s="21">
        <f t="shared" si="17"/>
        <v>0</v>
      </c>
      <c r="P877" s="25" t="s">
        <v>274</v>
      </c>
      <c r="Q877" s="64"/>
      <c r="R877" s="62"/>
      <c r="S877" s="62"/>
      <c r="T877" s="63"/>
    </row>
    <row r="878" spans="12:20" x14ac:dyDescent="0.25">
      <c r="L878" s="2">
        <v>58</v>
      </c>
      <c r="M878" s="23" t="s">
        <v>404</v>
      </c>
      <c r="N878" s="23">
        <f>58/1</f>
        <v>58</v>
      </c>
      <c r="O878" s="21">
        <f t="shared" si="17"/>
        <v>0</v>
      </c>
      <c r="P878" s="25" t="s">
        <v>274</v>
      </c>
      <c r="Q878" s="64"/>
      <c r="R878" s="62"/>
      <c r="S878" s="62"/>
      <c r="T878" s="63"/>
    </row>
    <row r="879" spans="12:20" x14ac:dyDescent="0.25">
      <c r="L879" s="2">
        <v>58.25</v>
      </c>
      <c r="M879" s="23" t="s">
        <v>652</v>
      </c>
      <c r="N879" s="23">
        <f>233/4</f>
        <v>58.25</v>
      </c>
      <c r="O879" s="21">
        <f t="shared" si="17"/>
        <v>0</v>
      </c>
      <c r="P879" s="25" t="s">
        <v>274</v>
      </c>
      <c r="Q879" s="64"/>
      <c r="R879" s="62"/>
      <c r="S879" s="62"/>
      <c r="T879" s="63"/>
    </row>
    <row r="880" spans="12:20" x14ac:dyDescent="0.25">
      <c r="L880" s="2">
        <v>58.5</v>
      </c>
      <c r="M880" s="23" t="s">
        <v>500</v>
      </c>
      <c r="N880" s="23">
        <f>117/2</f>
        <v>58.5</v>
      </c>
      <c r="O880" s="21">
        <f t="shared" si="17"/>
        <v>0</v>
      </c>
      <c r="P880" s="25" t="s">
        <v>274</v>
      </c>
      <c r="Q880" s="64"/>
      <c r="R880" s="62"/>
      <c r="S880" s="62"/>
      <c r="T880" s="63"/>
    </row>
    <row r="881" spans="12:20" x14ac:dyDescent="0.25">
      <c r="L881" s="2">
        <v>58.75</v>
      </c>
      <c r="M881" s="23" t="s">
        <v>653</v>
      </c>
      <c r="N881" s="23">
        <f>235/4</f>
        <v>58.75</v>
      </c>
      <c r="O881" s="21">
        <f t="shared" si="17"/>
        <v>0</v>
      </c>
      <c r="P881" s="25" t="s">
        <v>274</v>
      </c>
      <c r="Q881" s="64"/>
      <c r="R881" s="62"/>
      <c r="S881" s="62"/>
      <c r="T881" s="63"/>
    </row>
    <row r="882" spans="12:20" x14ac:dyDescent="0.25">
      <c r="L882" s="2">
        <v>59</v>
      </c>
      <c r="M882" s="23" t="s">
        <v>405</v>
      </c>
      <c r="N882" s="23">
        <f>59/1</f>
        <v>59</v>
      </c>
      <c r="O882" s="21">
        <f t="shared" si="17"/>
        <v>0</v>
      </c>
      <c r="P882" s="25" t="s">
        <v>274</v>
      </c>
      <c r="Q882" s="64"/>
      <c r="R882" s="62"/>
      <c r="S882" s="62"/>
      <c r="T882" s="63"/>
    </row>
    <row r="883" spans="12:20" x14ac:dyDescent="0.25">
      <c r="L883" s="2">
        <v>59.25</v>
      </c>
      <c r="M883" s="23" t="s">
        <v>654</v>
      </c>
      <c r="N883" s="23">
        <f>237/4</f>
        <v>59.25</v>
      </c>
      <c r="O883" s="21">
        <f t="shared" si="17"/>
        <v>0</v>
      </c>
      <c r="P883" s="25" t="s">
        <v>274</v>
      </c>
      <c r="Q883" s="64"/>
      <c r="R883" s="62"/>
      <c r="S883" s="62"/>
      <c r="T883" s="63"/>
    </row>
    <row r="884" spans="12:20" x14ac:dyDescent="0.25">
      <c r="L884" s="2">
        <v>59.5</v>
      </c>
      <c r="M884" s="23" t="s">
        <v>501</v>
      </c>
      <c r="N884" s="23">
        <f>119/2</f>
        <v>59.5</v>
      </c>
      <c r="O884" s="21">
        <f t="shared" si="17"/>
        <v>0</v>
      </c>
      <c r="P884" s="25" t="s">
        <v>274</v>
      </c>
      <c r="Q884" s="64"/>
      <c r="R884" s="62"/>
      <c r="S884" s="62"/>
      <c r="T884" s="63"/>
    </row>
    <row r="885" spans="12:20" x14ac:dyDescent="0.25">
      <c r="L885" s="2">
        <v>59.75</v>
      </c>
      <c r="M885" s="23" t="s">
        <v>655</v>
      </c>
      <c r="N885" s="23">
        <f>239/4</f>
        <v>59.75</v>
      </c>
      <c r="O885" s="21">
        <f t="shared" si="17"/>
        <v>0</v>
      </c>
      <c r="P885" s="25" t="s">
        <v>274</v>
      </c>
      <c r="Q885" s="64"/>
      <c r="R885" s="62"/>
      <c r="S885" s="62"/>
      <c r="T885" s="63"/>
    </row>
    <row r="886" spans="12:20" x14ac:dyDescent="0.25">
      <c r="L886" s="2">
        <v>60</v>
      </c>
      <c r="M886" s="23" t="s">
        <v>406</v>
      </c>
      <c r="N886" s="23">
        <f>60/1</f>
        <v>60</v>
      </c>
      <c r="O886" s="21">
        <f t="shared" si="17"/>
        <v>0</v>
      </c>
      <c r="P886" s="25" t="s">
        <v>274</v>
      </c>
      <c r="Q886" s="64"/>
      <c r="R886" s="62"/>
      <c r="S886" s="62"/>
      <c r="T886" s="63"/>
    </row>
    <row r="887" spans="12:20" x14ac:dyDescent="0.25">
      <c r="L887" s="2">
        <v>60.25</v>
      </c>
      <c r="M887" s="23" t="s">
        <v>656</v>
      </c>
      <c r="N887" s="23">
        <f>241/4</f>
        <v>60.25</v>
      </c>
      <c r="O887" s="21">
        <f t="shared" si="17"/>
        <v>0</v>
      </c>
      <c r="P887" s="25" t="s">
        <v>274</v>
      </c>
      <c r="Q887" s="64"/>
      <c r="R887" s="62"/>
      <c r="S887" s="62"/>
      <c r="T887" s="63"/>
    </row>
    <row r="888" spans="12:20" x14ac:dyDescent="0.25">
      <c r="L888" s="2">
        <v>60.5</v>
      </c>
      <c r="M888" s="23" t="s">
        <v>502</v>
      </c>
      <c r="N888" s="23">
        <f>121/2</f>
        <v>60.5</v>
      </c>
      <c r="O888" s="21">
        <f t="shared" si="17"/>
        <v>0</v>
      </c>
      <c r="P888" s="25" t="s">
        <v>274</v>
      </c>
      <c r="Q888" s="64"/>
      <c r="R888" s="62"/>
      <c r="S888" s="62"/>
      <c r="T888" s="63"/>
    </row>
    <row r="889" spans="12:20" x14ac:dyDescent="0.25">
      <c r="L889" s="2">
        <v>60.75</v>
      </c>
      <c r="M889" s="23" t="s">
        <v>657</v>
      </c>
      <c r="N889" s="23">
        <f>243/4</f>
        <v>60.75</v>
      </c>
      <c r="O889" s="21">
        <f t="shared" si="17"/>
        <v>0</v>
      </c>
      <c r="P889" s="25" t="s">
        <v>274</v>
      </c>
      <c r="Q889" s="64"/>
      <c r="R889" s="62"/>
      <c r="S889" s="62"/>
      <c r="T889" s="63"/>
    </row>
    <row r="890" spans="12:20" x14ac:dyDescent="0.25">
      <c r="L890" s="2">
        <v>61</v>
      </c>
      <c r="M890" s="23" t="s">
        <v>407</v>
      </c>
      <c r="N890" s="23">
        <f>61/1</f>
        <v>61</v>
      </c>
      <c r="O890" s="21">
        <f t="shared" si="17"/>
        <v>0</v>
      </c>
      <c r="P890" s="25" t="s">
        <v>274</v>
      </c>
      <c r="Q890" s="64"/>
      <c r="R890" s="62"/>
      <c r="S890" s="62"/>
      <c r="T890" s="63"/>
    </row>
    <row r="891" spans="12:20" x14ac:dyDescent="0.25">
      <c r="L891" s="2">
        <v>61.25</v>
      </c>
      <c r="M891" s="23" t="s">
        <v>658</v>
      </c>
      <c r="N891" s="23">
        <f>245/4</f>
        <v>61.25</v>
      </c>
      <c r="O891" s="21">
        <f t="shared" si="17"/>
        <v>0</v>
      </c>
      <c r="P891" s="25" t="s">
        <v>274</v>
      </c>
      <c r="Q891" s="64"/>
      <c r="R891" s="62"/>
      <c r="S891" s="62"/>
      <c r="T891" s="63"/>
    </row>
    <row r="892" spans="12:20" x14ac:dyDescent="0.25">
      <c r="L892" s="2">
        <v>61.5</v>
      </c>
      <c r="M892" s="23" t="s">
        <v>503</v>
      </c>
      <c r="N892" s="23">
        <f>123/2</f>
        <v>61.5</v>
      </c>
      <c r="O892" s="21">
        <f t="shared" si="17"/>
        <v>0</v>
      </c>
      <c r="P892" s="25" t="s">
        <v>274</v>
      </c>
      <c r="Q892" s="64"/>
      <c r="R892" s="62"/>
      <c r="S892" s="62"/>
      <c r="T892" s="63"/>
    </row>
    <row r="893" spans="12:20" x14ac:dyDescent="0.25">
      <c r="L893" s="2">
        <v>61.75</v>
      </c>
      <c r="M893" s="23" t="s">
        <v>659</v>
      </c>
      <c r="N893" s="23">
        <f>247/4</f>
        <v>61.75</v>
      </c>
      <c r="O893" s="21">
        <f t="shared" si="17"/>
        <v>0</v>
      </c>
      <c r="P893" s="25" t="s">
        <v>274</v>
      </c>
      <c r="Q893" s="64"/>
      <c r="R893" s="62"/>
      <c r="S893" s="62"/>
      <c r="T893" s="63"/>
    </row>
    <row r="894" spans="12:20" x14ac:dyDescent="0.25">
      <c r="L894" s="2">
        <v>62</v>
      </c>
      <c r="M894" s="23" t="s">
        <v>408</v>
      </c>
      <c r="N894" s="23">
        <f>62/1</f>
        <v>62</v>
      </c>
      <c r="O894" s="21">
        <f t="shared" si="17"/>
        <v>0</v>
      </c>
      <c r="P894" s="25" t="s">
        <v>274</v>
      </c>
      <c r="Q894" s="64"/>
      <c r="R894" s="62"/>
      <c r="S894" s="62"/>
      <c r="T894" s="63"/>
    </row>
    <row r="895" spans="12:20" x14ac:dyDescent="0.25">
      <c r="L895" s="2">
        <v>62.25</v>
      </c>
      <c r="M895" s="23" t="s">
        <v>660</v>
      </c>
      <c r="N895" s="23">
        <f>249/4</f>
        <v>62.25</v>
      </c>
      <c r="O895" s="21">
        <f t="shared" si="17"/>
        <v>0</v>
      </c>
      <c r="P895" s="25" t="s">
        <v>274</v>
      </c>
      <c r="Q895" s="64"/>
      <c r="R895" s="62"/>
      <c r="S895" s="62"/>
      <c r="T895" s="63"/>
    </row>
    <row r="896" spans="12:20" x14ac:dyDescent="0.25">
      <c r="L896" s="2">
        <v>62.5</v>
      </c>
      <c r="M896" s="23" t="s">
        <v>504</v>
      </c>
      <c r="N896" s="23">
        <f>125/2</f>
        <v>62.5</v>
      </c>
      <c r="O896" s="21">
        <f t="shared" si="17"/>
        <v>0</v>
      </c>
      <c r="P896" s="25" t="s">
        <v>274</v>
      </c>
      <c r="Q896" s="64"/>
      <c r="R896" s="62"/>
      <c r="S896" s="62"/>
      <c r="T896" s="63"/>
    </row>
    <row r="897" spans="12:20" x14ac:dyDescent="0.25">
      <c r="L897" s="2">
        <v>62.75</v>
      </c>
      <c r="M897" s="23" t="s">
        <v>661</v>
      </c>
      <c r="N897" s="23">
        <f>251/4</f>
        <v>62.75</v>
      </c>
      <c r="O897" s="21">
        <f t="shared" si="17"/>
        <v>0</v>
      </c>
      <c r="P897" s="25" t="s">
        <v>274</v>
      </c>
      <c r="Q897" s="64"/>
      <c r="R897" s="62"/>
      <c r="S897" s="62"/>
      <c r="T897" s="63"/>
    </row>
    <row r="898" spans="12:20" x14ac:dyDescent="0.25">
      <c r="L898" s="2">
        <v>63</v>
      </c>
      <c r="M898" s="23" t="s">
        <v>409</v>
      </c>
      <c r="N898" s="23">
        <f>63/1</f>
        <v>63</v>
      </c>
      <c r="O898" s="21">
        <f t="shared" si="17"/>
        <v>0</v>
      </c>
      <c r="P898" s="25" t="s">
        <v>274</v>
      </c>
      <c r="Q898" s="64"/>
      <c r="R898" s="62"/>
      <c r="S898" s="62"/>
      <c r="T898" s="63"/>
    </row>
    <row r="899" spans="12:20" x14ac:dyDescent="0.25">
      <c r="L899" s="2">
        <v>63.25</v>
      </c>
      <c r="M899" s="23" t="s">
        <v>662</v>
      </c>
      <c r="N899" s="23">
        <f>253/4</f>
        <v>63.25</v>
      </c>
      <c r="O899" s="21">
        <f t="shared" si="17"/>
        <v>0</v>
      </c>
      <c r="P899" s="25" t="s">
        <v>274</v>
      </c>
      <c r="Q899" s="64"/>
      <c r="R899" s="62"/>
      <c r="S899" s="62"/>
      <c r="T899" s="63"/>
    </row>
    <row r="900" spans="12:20" x14ac:dyDescent="0.25">
      <c r="L900" s="2">
        <v>63.5</v>
      </c>
      <c r="M900" s="23" t="s">
        <v>505</v>
      </c>
      <c r="N900" s="23">
        <f>127/2</f>
        <v>63.5</v>
      </c>
      <c r="O900" s="21">
        <f t="shared" si="17"/>
        <v>0</v>
      </c>
      <c r="P900" s="25" t="s">
        <v>274</v>
      </c>
      <c r="Q900" s="64"/>
      <c r="R900" s="62"/>
      <c r="S900" s="62"/>
      <c r="T900" s="63"/>
    </row>
    <row r="901" spans="12:20" x14ac:dyDescent="0.25">
      <c r="L901" s="2">
        <v>63.75</v>
      </c>
      <c r="M901" s="23" t="s">
        <v>663</v>
      </c>
      <c r="N901" s="23">
        <f>255/4</f>
        <v>63.75</v>
      </c>
      <c r="O901" s="21">
        <f t="shared" si="17"/>
        <v>0</v>
      </c>
      <c r="P901" s="25" t="s">
        <v>274</v>
      </c>
      <c r="Q901" s="64"/>
      <c r="R901" s="62"/>
      <c r="S901" s="65"/>
      <c r="T901" s="66"/>
    </row>
    <row r="902" spans="12:20" x14ac:dyDescent="0.25">
      <c r="L902" s="2">
        <v>64</v>
      </c>
      <c r="M902" s="23" t="s">
        <v>285</v>
      </c>
      <c r="N902" s="23">
        <f>64/1</f>
        <v>64</v>
      </c>
      <c r="O902" s="21">
        <f t="shared" si="17"/>
        <v>0</v>
      </c>
      <c r="P902" s="25" t="s">
        <v>274</v>
      </c>
      <c r="Q902" s="60"/>
      <c r="R902" s="59"/>
      <c r="S902" s="58"/>
      <c r="T902" s="77"/>
    </row>
    <row r="903" spans="12:20" x14ac:dyDescent="0.25">
      <c r="L903" s="2">
        <v>64.5</v>
      </c>
      <c r="M903" s="23" t="s">
        <v>412</v>
      </c>
      <c r="N903" s="23">
        <f>129/2</f>
        <v>64.5</v>
      </c>
      <c r="O903" s="21">
        <f t="shared" ref="O903:O966" si="18">ABS(L903-N903)</f>
        <v>0</v>
      </c>
      <c r="P903" s="27" t="s">
        <v>275</v>
      </c>
      <c r="Q903" s="29" t="s">
        <v>282</v>
      </c>
      <c r="R903" s="71"/>
      <c r="S903" s="72"/>
      <c r="T903" s="73"/>
    </row>
    <row r="904" spans="12:20" x14ac:dyDescent="0.25">
      <c r="L904" s="2">
        <v>65</v>
      </c>
      <c r="M904" s="23" t="s">
        <v>1168</v>
      </c>
      <c r="N904" s="23">
        <f>65/1</f>
        <v>65</v>
      </c>
      <c r="O904" s="21">
        <f t="shared" si="18"/>
        <v>0</v>
      </c>
      <c r="P904" s="27" t="s">
        <v>275</v>
      </c>
      <c r="Q904" s="54"/>
      <c r="R904" s="72"/>
      <c r="S904" s="72"/>
      <c r="T904" s="73"/>
    </row>
    <row r="905" spans="12:20" x14ac:dyDescent="0.25">
      <c r="L905" s="2">
        <v>65.5</v>
      </c>
      <c r="M905" s="23" t="s">
        <v>413</v>
      </c>
      <c r="N905" s="23">
        <f>131/2</f>
        <v>65.5</v>
      </c>
      <c r="O905" s="21">
        <f t="shared" si="18"/>
        <v>0</v>
      </c>
      <c r="P905" s="27" t="s">
        <v>275</v>
      </c>
      <c r="Q905" s="54"/>
      <c r="R905" s="72"/>
      <c r="S905" s="72"/>
      <c r="T905" s="73"/>
    </row>
    <row r="906" spans="12:20" x14ac:dyDescent="0.25">
      <c r="L906" s="2">
        <v>66</v>
      </c>
      <c r="M906" s="23" t="s">
        <v>287</v>
      </c>
      <c r="N906" s="23">
        <f>66/1</f>
        <v>66</v>
      </c>
      <c r="O906" s="21">
        <f t="shared" si="18"/>
        <v>0</v>
      </c>
      <c r="P906" s="27" t="s">
        <v>275</v>
      </c>
      <c r="Q906" s="54"/>
      <c r="R906" s="72"/>
      <c r="S906" s="72"/>
      <c r="T906" s="73"/>
    </row>
    <row r="907" spans="12:20" x14ac:dyDescent="0.25">
      <c r="L907" s="2">
        <v>66.5</v>
      </c>
      <c r="M907" s="23" t="s">
        <v>414</v>
      </c>
      <c r="N907" s="23">
        <f>133/2</f>
        <v>66.5</v>
      </c>
      <c r="O907" s="21">
        <f t="shared" si="18"/>
        <v>0</v>
      </c>
      <c r="P907" s="27" t="s">
        <v>275</v>
      </c>
      <c r="Q907" s="54"/>
      <c r="R907" s="72"/>
      <c r="S907" s="72"/>
      <c r="T907" s="73"/>
    </row>
    <row r="908" spans="12:20" x14ac:dyDescent="0.25">
      <c r="L908" s="2">
        <v>67</v>
      </c>
      <c r="M908" s="23" t="s">
        <v>288</v>
      </c>
      <c r="N908" s="23">
        <f>67/1</f>
        <v>67</v>
      </c>
      <c r="O908" s="21">
        <f t="shared" si="18"/>
        <v>0</v>
      </c>
      <c r="P908" s="27" t="s">
        <v>275</v>
      </c>
      <c r="Q908" s="54"/>
      <c r="R908" s="72"/>
      <c r="S908" s="72"/>
      <c r="T908" s="73"/>
    </row>
    <row r="909" spans="12:20" x14ac:dyDescent="0.25">
      <c r="L909" s="2">
        <v>67.5</v>
      </c>
      <c r="M909" s="23" t="s">
        <v>415</v>
      </c>
      <c r="N909" s="23">
        <f>135/2</f>
        <v>67.5</v>
      </c>
      <c r="O909" s="21">
        <f t="shared" si="18"/>
        <v>0</v>
      </c>
      <c r="P909" s="27" t="s">
        <v>275</v>
      </c>
      <c r="Q909" s="54"/>
      <c r="R909" s="72"/>
      <c r="S909" s="72"/>
      <c r="T909" s="73"/>
    </row>
    <row r="910" spans="12:20" x14ac:dyDescent="0.25">
      <c r="L910" s="2">
        <v>68</v>
      </c>
      <c r="M910" s="23" t="s">
        <v>289</v>
      </c>
      <c r="N910" s="23">
        <f>68/1</f>
        <v>68</v>
      </c>
      <c r="O910" s="21">
        <f t="shared" si="18"/>
        <v>0</v>
      </c>
      <c r="P910" s="27" t="s">
        <v>275</v>
      </c>
      <c r="Q910" s="54"/>
      <c r="R910" s="72"/>
      <c r="S910" s="72"/>
      <c r="T910" s="73"/>
    </row>
    <row r="911" spans="12:20" x14ac:dyDescent="0.25">
      <c r="L911" s="2">
        <v>68.5</v>
      </c>
      <c r="M911" s="23" t="s">
        <v>416</v>
      </c>
      <c r="N911" s="23">
        <f>137/2</f>
        <v>68.5</v>
      </c>
      <c r="O911" s="21">
        <f t="shared" si="18"/>
        <v>0</v>
      </c>
      <c r="P911" s="27" t="s">
        <v>275</v>
      </c>
      <c r="Q911" s="54"/>
      <c r="R911" s="72"/>
      <c r="S911" s="72"/>
      <c r="T911" s="73"/>
    </row>
    <row r="912" spans="12:20" x14ac:dyDescent="0.25">
      <c r="L912" s="2">
        <v>69</v>
      </c>
      <c r="M912" s="23" t="s">
        <v>290</v>
      </c>
      <c r="N912" s="23">
        <f>69/1</f>
        <v>69</v>
      </c>
      <c r="O912" s="21">
        <f t="shared" si="18"/>
        <v>0</v>
      </c>
      <c r="P912" s="27" t="s">
        <v>275</v>
      </c>
      <c r="Q912" s="54"/>
      <c r="R912" s="72"/>
      <c r="S912" s="72"/>
      <c r="T912" s="73"/>
    </row>
    <row r="913" spans="12:20" x14ac:dyDescent="0.25">
      <c r="L913" s="2">
        <v>69.5</v>
      </c>
      <c r="M913" s="23" t="s">
        <v>417</v>
      </c>
      <c r="N913" s="23">
        <f>139/2</f>
        <v>69.5</v>
      </c>
      <c r="O913" s="21">
        <f t="shared" si="18"/>
        <v>0</v>
      </c>
      <c r="P913" s="27" t="s">
        <v>275</v>
      </c>
      <c r="Q913" s="54"/>
      <c r="R913" s="72"/>
      <c r="S913" s="72"/>
      <c r="T913" s="73"/>
    </row>
    <row r="914" spans="12:20" x14ac:dyDescent="0.25">
      <c r="L914" s="2">
        <v>70</v>
      </c>
      <c r="M914" s="23" t="s">
        <v>291</v>
      </c>
      <c r="N914" s="23">
        <f>70/1</f>
        <v>70</v>
      </c>
      <c r="O914" s="21">
        <f t="shared" si="18"/>
        <v>0</v>
      </c>
      <c r="P914" s="27" t="s">
        <v>275</v>
      </c>
      <c r="Q914" s="54"/>
      <c r="R914" s="72"/>
      <c r="S914" s="72"/>
      <c r="T914" s="73"/>
    </row>
    <row r="915" spans="12:20" x14ac:dyDescent="0.25">
      <c r="L915" s="2">
        <v>70.5</v>
      </c>
      <c r="M915" s="23" t="s">
        <v>418</v>
      </c>
      <c r="N915" s="23">
        <f>141/2</f>
        <v>70.5</v>
      </c>
      <c r="O915" s="21">
        <f t="shared" si="18"/>
        <v>0</v>
      </c>
      <c r="P915" s="27" t="s">
        <v>275</v>
      </c>
      <c r="Q915" s="54"/>
      <c r="R915" s="72"/>
      <c r="S915" s="72"/>
      <c r="T915" s="73"/>
    </row>
    <row r="916" spans="12:20" x14ac:dyDescent="0.25">
      <c r="L916" s="2">
        <v>71</v>
      </c>
      <c r="M916" s="23" t="s">
        <v>300</v>
      </c>
      <c r="N916" s="23">
        <f>71/1</f>
        <v>71</v>
      </c>
      <c r="O916" s="21">
        <f t="shared" si="18"/>
        <v>0</v>
      </c>
      <c r="P916" s="27" t="s">
        <v>275</v>
      </c>
      <c r="Q916" s="54"/>
      <c r="R916" s="72"/>
      <c r="S916" s="72"/>
      <c r="T916" s="73"/>
    </row>
    <row r="917" spans="12:20" x14ac:dyDescent="0.25">
      <c r="L917" s="2">
        <v>71.5</v>
      </c>
      <c r="M917" s="23" t="s">
        <v>419</v>
      </c>
      <c r="N917" s="23">
        <f>143/2</f>
        <v>71.5</v>
      </c>
      <c r="O917" s="21">
        <f t="shared" si="18"/>
        <v>0</v>
      </c>
      <c r="P917" s="27" t="s">
        <v>275</v>
      </c>
      <c r="Q917" s="54"/>
      <c r="R917" s="72"/>
      <c r="S917" s="72"/>
      <c r="T917" s="73"/>
    </row>
    <row r="918" spans="12:20" x14ac:dyDescent="0.25">
      <c r="L918" s="2">
        <v>72</v>
      </c>
      <c r="M918" s="23" t="s">
        <v>301</v>
      </c>
      <c r="N918" s="23">
        <f>72/1</f>
        <v>72</v>
      </c>
      <c r="O918" s="21">
        <f t="shared" si="18"/>
        <v>0</v>
      </c>
      <c r="P918" s="27" t="s">
        <v>275</v>
      </c>
      <c r="Q918" s="54"/>
      <c r="R918" s="72"/>
      <c r="S918" s="72"/>
      <c r="T918" s="73"/>
    </row>
    <row r="919" spans="12:20" x14ac:dyDescent="0.25">
      <c r="L919" s="2">
        <v>72.5</v>
      </c>
      <c r="M919" s="23" t="s">
        <v>420</v>
      </c>
      <c r="N919" s="23">
        <f>145/2</f>
        <v>72.5</v>
      </c>
      <c r="O919" s="21">
        <f t="shared" si="18"/>
        <v>0</v>
      </c>
      <c r="P919" s="27" t="s">
        <v>275</v>
      </c>
      <c r="Q919" s="54"/>
      <c r="R919" s="72"/>
      <c r="S919" s="72"/>
      <c r="T919" s="73"/>
    </row>
    <row r="920" spans="12:20" x14ac:dyDescent="0.25">
      <c r="L920" s="2">
        <v>73</v>
      </c>
      <c r="M920" s="23" t="s">
        <v>302</v>
      </c>
      <c r="N920" s="23">
        <f>73/1</f>
        <v>73</v>
      </c>
      <c r="O920" s="21">
        <f t="shared" si="18"/>
        <v>0</v>
      </c>
      <c r="P920" s="27" t="s">
        <v>275</v>
      </c>
      <c r="Q920" s="54"/>
      <c r="R920" s="72"/>
      <c r="S920" s="72"/>
      <c r="T920" s="73"/>
    </row>
    <row r="921" spans="12:20" x14ac:dyDescent="0.25">
      <c r="L921" s="2">
        <v>73.5</v>
      </c>
      <c r="M921" s="23" t="s">
        <v>421</v>
      </c>
      <c r="N921" s="23">
        <f>147/2</f>
        <v>73.5</v>
      </c>
      <c r="O921" s="21">
        <f t="shared" si="18"/>
        <v>0</v>
      </c>
      <c r="P921" s="27" t="s">
        <v>275</v>
      </c>
      <c r="Q921" s="54"/>
      <c r="R921" s="72"/>
      <c r="S921" s="72"/>
      <c r="T921" s="73"/>
    </row>
    <row r="922" spans="12:20" x14ac:dyDescent="0.25">
      <c r="L922" s="2">
        <v>74</v>
      </c>
      <c r="M922" s="23" t="s">
        <v>303</v>
      </c>
      <c r="N922" s="23">
        <f>74/1</f>
        <v>74</v>
      </c>
      <c r="O922" s="21">
        <f t="shared" si="18"/>
        <v>0</v>
      </c>
      <c r="P922" s="27" t="s">
        <v>275</v>
      </c>
      <c r="Q922" s="54"/>
      <c r="R922" s="72"/>
      <c r="S922" s="72"/>
      <c r="T922" s="73"/>
    </row>
    <row r="923" spans="12:20" x14ac:dyDescent="0.25">
      <c r="L923" s="2">
        <v>74.5</v>
      </c>
      <c r="M923" s="23" t="s">
        <v>422</v>
      </c>
      <c r="N923" s="23">
        <f>149/2</f>
        <v>74.5</v>
      </c>
      <c r="O923" s="21">
        <f t="shared" si="18"/>
        <v>0</v>
      </c>
      <c r="P923" s="27" t="s">
        <v>275</v>
      </c>
      <c r="Q923" s="54"/>
      <c r="R923" s="72"/>
      <c r="S923" s="72"/>
      <c r="T923" s="73"/>
    </row>
    <row r="924" spans="12:20" x14ac:dyDescent="0.25">
      <c r="L924" s="2">
        <v>75</v>
      </c>
      <c r="M924" s="23" t="s">
        <v>304</v>
      </c>
      <c r="N924" s="23">
        <f>75/1</f>
        <v>75</v>
      </c>
      <c r="O924" s="21">
        <f t="shared" si="18"/>
        <v>0</v>
      </c>
      <c r="P924" s="27" t="s">
        <v>275</v>
      </c>
      <c r="Q924" s="54"/>
      <c r="R924" s="72"/>
      <c r="S924" s="72"/>
      <c r="T924" s="73"/>
    </row>
    <row r="925" spans="12:20" x14ac:dyDescent="0.25">
      <c r="L925" s="2">
        <v>75.5</v>
      </c>
      <c r="M925" s="23" t="s">
        <v>423</v>
      </c>
      <c r="N925" s="23">
        <f>151/2</f>
        <v>75.5</v>
      </c>
      <c r="O925" s="21">
        <f t="shared" si="18"/>
        <v>0</v>
      </c>
      <c r="P925" s="27" t="s">
        <v>275</v>
      </c>
      <c r="Q925" s="54"/>
      <c r="R925" s="72"/>
      <c r="S925" s="72"/>
      <c r="T925" s="73"/>
    </row>
    <row r="926" spans="12:20" x14ac:dyDescent="0.25">
      <c r="L926" s="2">
        <v>76</v>
      </c>
      <c r="M926" s="23" t="s">
        <v>305</v>
      </c>
      <c r="N926" s="23">
        <f>76/1</f>
        <v>76</v>
      </c>
      <c r="O926" s="21">
        <f t="shared" si="18"/>
        <v>0</v>
      </c>
      <c r="P926" s="27" t="s">
        <v>275</v>
      </c>
      <c r="Q926" s="54"/>
      <c r="R926" s="72"/>
      <c r="S926" s="72"/>
      <c r="T926" s="73"/>
    </row>
    <row r="927" spans="12:20" x14ac:dyDescent="0.25">
      <c r="L927" s="2">
        <v>76.5</v>
      </c>
      <c r="M927" s="23" t="s">
        <v>424</v>
      </c>
      <c r="N927" s="23">
        <f>153/2</f>
        <v>76.5</v>
      </c>
      <c r="O927" s="21">
        <f t="shared" si="18"/>
        <v>0</v>
      </c>
      <c r="P927" s="27" t="s">
        <v>275</v>
      </c>
      <c r="Q927" s="54"/>
      <c r="R927" s="72"/>
      <c r="S927" s="72"/>
      <c r="T927" s="73"/>
    </row>
    <row r="928" spans="12:20" x14ac:dyDescent="0.25">
      <c r="L928" s="2">
        <v>77</v>
      </c>
      <c r="M928" s="23" t="s">
        <v>306</v>
      </c>
      <c r="N928" s="23">
        <f>77/1</f>
        <v>77</v>
      </c>
      <c r="O928" s="21">
        <f t="shared" si="18"/>
        <v>0</v>
      </c>
      <c r="P928" s="27" t="s">
        <v>275</v>
      </c>
      <c r="Q928" s="54"/>
      <c r="R928" s="72"/>
      <c r="S928" s="72"/>
      <c r="T928" s="73"/>
    </row>
    <row r="929" spans="12:20" x14ac:dyDescent="0.25">
      <c r="L929" s="2">
        <v>77.5</v>
      </c>
      <c r="M929" s="23" t="s">
        <v>425</v>
      </c>
      <c r="N929" s="23">
        <f>155/2</f>
        <v>77.5</v>
      </c>
      <c r="O929" s="21">
        <f t="shared" si="18"/>
        <v>0</v>
      </c>
      <c r="P929" s="27" t="s">
        <v>275</v>
      </c>
      <c r="Q929" s="54"/>
      <c r="R929" s="72"/>
      <c r="S929" s="72"/>
      <c r="T929" s="73"/>
    </row>
    <row r="930" spans="12:20" x14ac:dyDescent="0.25">
      <c r="L930" s="2">
        <v>78</v>
      </c>
      <c r="M930" s="23" t="s">
        <v>307</v>
      </c>
      <c r="N930" s="23">
        <f>78/1</f>
        <v>78</v>
      </c>
      <c r="O930" s="21">
        <f t="shared" si="18"/>
        <v>0</v>
      </c>
      <c r="P930" s="27" t="s">
        <v>275</v>
      </c>
      <c r="Q930" s="54"/>
      <c r="R930" s="72"/>
      <c r="S930" s="72"/>
      <c r="T930" s="73"/>
    </row>
    <row r="931" spans="12:20" x14ac:dyDescent="0.25">
      <c r="L931" s="2">
        <v>78.5</v>
      </c>
      <c r="M931" s="23" t="s">
        <v>426</v>
      </c>
      <c r="N931" s="23">
        <f>157/2</f>
        <v>78.5</v>
      </c>
      <c r="O931" s="21">
        <f t="shared" si="18"/>
        <v>0</v>
      </c>
      <c r="P931" s="27" t="s">
        <v>275</v>
      </c>
      <c r="Q931" s="54"/>
      <c r="R931" s="72"/>
      <c r="S931" s="72"/>
      <c r="T931" s="73"/>
    </row>
    <row r="932" spans="12:20" x14ac:dyDescent="0.25">
      <c r="L932" s="2">
        <v>79</v>
      </c>
      <c r="M932" s="23" t="s">
        <v>308</v>
      </c>
      <c r="N932" s="23">
        <f>79/1</f>
        <v>79</v>
      </c>
      <c r="O932" s="21">
        <f t="shared" si="18"/>
        <v>0</v>
      </c>
      <c r="P932" s="27" t="s">
        <v>275</v>
      </c>
      <c r="Q932" s="54"/>
      <c r="R932" s="72"/>
      <c r="S932" s="72"/>
      <c r="T932" s="73"/>
    </row>
    <row r="933" spans="12:20" x14ac:dyDescent="0.25">
      <c r="L933" s="2">
        <v>79.5</v>
      </c>
      <c r="M933" s="23" t="s">
        <v>427</v>
      </c>
      <c r="N933" s="23">
        <f>159/2</f>
        <v>79.5</v>
      </c>
      <c r="O933" s="21">
        <f t="shared" si="18"/>
        <v>0</v>
      </c>
      <c r="P933" s="27" t="s">
        <v>275</v>
      </c>
      <c r="Q933" s="54"/>
      <c r="R933" s="72"/>
      <c r="S933" s="72"/>
      <c r="T933" s="73"/>
    </row>
    <row r="934" spans="12:20" x14ac:dyDescent="0.25">
      <c r="L934" s="2">
        <v>80</v>
      </c>
      <c r="M934" s="23" t="s">
        <v>309</v>
      </c>
      <c r="N934" s="23">
        <f>80/1</f>
        <v>80</v>
      </c>
      <c r="O934" s="21">
        <f t="shared" si="18"/>
        <v>0</v>
      </c>
      <c r="P934" s="27" t="s">
        <v>275</v>
      </c>
      <c r="Q934" s="54"/>
      <c r="R934" s="72"/>
      <c r="S934" s="72"/>
      <c r="T934" s="73"/>
    </row>
    <row r="935" spans="12:20" x14ac:dyDescent="0.25">
      <c r="L935" s="2">
        <v>80.5</v>
      </c>
      <c r="M935" s="23" t="s">
        <v>428</v>
      </c>
      <c r="N935" s="23">
        <f>161/2</f>
        <v>80.5</v>
      </c>
      <c r="O935" s="21">
        <f t="shared" si="18"/>
        <v>0</v>
      </c>
      <c r="P935" s="27" t="s">
        <v>275</v>
      </c>
      <c r="Q935" s="54"/>
      <c r="R935" s="72"/>
      <c r="S935" s="72"/>
      <c r="T935" s="73"/>
    </row>
    <row r="936" spans="12:20" x14ac:dyDescent="0.25">
      <c r="L936" s="2">
        <v>81</v>
      </c>
      <c r="M936" s="23" t="s">
        <v>310</v>
      </c>
      <c r="N936" s="23">
        <f>81/1</f>
        <v>81</v>
      </c>
      <c r="O936" s="21">
        <f t="shared" si="18"/>
        <v>0</v>
      </c>
      <c r="P936" s="27" t="s">
        <v>275</v>
      </c>
      <c r="Q936" s="54"/>
      <c r="R936" s="72"/>
      <c r="S936" s="72"/>
      <c r="T936" s="73"/>
    </row>
    <row r="937" spans="12:20" x14ac:dyDescent="0.25">
      <c r="L937" s="2">
        <v>81.5</v>
      </c>
      <c r="M937" s="23" t="s">
        <v>429</v>
      </c>
      <c r="N937" s="23">
        <f>163/2</f>
        <v>81.5</v>
      </c>
      <c r="O937" s="21">
        <f t="shared" si="18"/>
        <v>0</v>
      </c>
      <c r="P937" s="27" t="s">
        <v>275</v>
      </c>
      <c r="Q937" s="54"/>
      <c r="R937" s="72"/>
      <c r="S937" s="72"/>
      <c r="T937" s="73"/>
    </row>
    <row r="938" spans="12:20" x14ac:dyDescent="0.25">
      <c r="L938" s="2">
        <v>82</v>
      </c>
      <c r="M938" s="23" t="s">
        <v>311</v>
      </c>
      <c r="N938" s="23">
        <f>82/1</f>
        <v>82</v>
      </c>
      <c r="O938" s="21">
        <f t="shared" si="18"/>
        <v>0</v>
      </c>
      <c r="P938" s="27" t="s">
        <v>275</v>
      </c>
      <c r="Q938" s="54"/>
      <c r="R938" s="72"/>
      <c r="S938" s="72"/>
      <c r="T938" s="73"/>
    </row>
    <row r="939" spans="12:20" x14ac:dyDescent="0.25">
      <c r="L939" s="2">
        <v>82.5</v>
      </c>
      <c r="M939" s="23" t="s">
        <v>430</v>
      </c>
      <c r="N939" s="23">
        <f>165/2</f>
        <v>82.5</v>
      </c>
      <c r="O939" s="21">
        <f t="shared" si="18"/>
        <v>0</v>
      </c>
      <c r="P939" s="27" t="s">
        <v>275</v>
      </c>
      <c r="Q939" s="54"/>
      <c r="R939" s="72"/>
      <c r="S939" s="72"/>
      <c r="T939" s="73"/>
    </row>
    <row r="940" spans="12:20" x14ac:dyDescent="0.25">
      <c r="L940" s="2">
        <v>83</v>
      </c>
      <c r="M940" s="23" t="s">
        <v>312</v>
      </c>
      <c r="N940" s="23">
        <f>83/1</f>
        <v>83</v>
      </c>
      <c r="O940" s="21">
        <f t="shared" si="18"/>
        <v>0</v>
      </c>
      <c r="P940" s="27" t="s">
        <v>275</v>
      </c>
      <c r="Q940" s="54"/>
      <c r="R940" s="72"/>
      <c r="S940" s="72"/>
      <c r="T940" s="73"/>
    </row>
    <row r="941" spans="12:20" x14ac:dyDescent="0.25">
      <c r="L941" s="2">
        <v>83.5</v>
      </c>
      <c r="M941" s="23" t="s">
        <v>431</v>
      </c>
      <c r="N941" s="23">
        <f>167/2</f>
        <v>83.5</v>
      </c>
      <c r="O941" s="21">
        <f t="shared" si="18"/>
        <v>0</v>
      </c>
      <c r="P941" s="27" t="s">
        <v>275</v>
      </c>
      <c r="Q941" s="54"/>
      <c r="R941" s="72"/>
      <c r="S941" s="72"/>
      <c r="T941" s="73"/>
    </row>
    <row r="942" spans="12:20" x14ac:dyDescent="0.25">
      <c r="L942" s="2">
        <v>84</v>
      </c>
      <c r="M942" s="23" t="s">
        <v>313</v>
      </c>
      <c r="N942" s="23">
        <f>84/1</f>
        <v>84</v>
      </c>
      <c r="O942" s="21">
        <f t="shared" si="18"/>
        <v>0</v>
      </c>
      <c r="P942" s="27" t="s">
        <v>275</v>
      </c>
      <c r="Q942" s="54"/>
      <c r="R942" s="72"/>
      <c r="S942" s="72"/>
      <c r="T942" s="73"/>
    </row>
    <row r="943" spans="12:20" x14ac:dyDescent="0.25">
      <c r="L943" s="2">
        <v>84.5</v>
      </c>
      <c r="M943" s="23" t="s">
        <v>432</v>
      </c>
      <c r="N943" s="23">
        <f>169/2</f>
        <v>84.5</v>
      </c>
      <c r="O943" s="21">
        <f t="shared" si="18"/>
        <v>0</v>
      </c>
      <c r="P943" s="27" t="s">
        <v>275</v>
      </c>
      <c r="Q943" s="54"/>
      <c r="R943" s="72"/>
      <c r="S943" s="72"/>
      <c r="T943" s="73"/>
    </row>
    <row r="944" spans="12:20" x14ac:dyDescent="0.25">
      <c r="L944" s="2">
        <v>85</v>
      </c>
      <c r="M944" s="23" t="s">
        <v>314</v>
      </c>
      <c r="N944" s="23">
        <f>85/1</f>
        <v>85</v>
      </c>
      <c r="O944" s="21">
        <f t="shared" si="18"/>
        <v>0</v>
      </c>
      <c r="P944" s="27" t="s">
        <v>275</v>
      </c>
      <c r="Q944" s="54"/>
      <c r="R944" s="72"/>
      <c r="S944" s="72"/>
      <c r="T944" s="73"/>
    </row>
    <row r="945" spans="12:20" x14ac:dyDescent="0.25">
      <c r="L945" s="2">
        <v>85.5</v>
      </c>
      <c r="M945" s="23" t="s">
        <v>433</v>
      </c>
      <c r="N945" s="23">
        <f>171/2</f>
        <v>85.5</v>
      </c>
      <c r="O945" s="21">
        <f t="shared" si="18"/>
        <v>0</v>
      </c>
      <c r="P945" s="27" t="s">
        <v>275</v>
      </c>
      <c r="Q945" s="54"/>
      <c r="R945" s="72"/>
      <c r="S945" s="72"/>
      <c r="T945" s="73"/>
    </row>
    <row r="946" spans="12:20" x14ac:dyDescent="0.25">
      <c r="L946" s="2">
        <v>86</v>
      </c>
      <c r="M946" s="23" t="s">
        <v>315</v>
      </c>
      <c r="N946" s="23">
        <f>86/1</f>
        <v>86</v>
      </c>
      <c r="O946" s="21">
        <f t="shared" si="18"/>
        <v>0</v>
      </c>
      <c r="P946" s="27" t="s">
        <v>275</v>
      </c>
      <c r="Q946" s="54"/>
      <c r="R946" s="72"/>
      <c r="S946" s="72"/>
      <c r="T946" s="73"/>
    </row>
    <row r="947" spans="12:20" x14ac:dyDescent="0.25">
      <c r="L947" s="2">
        <v>86.5</v>
      </c>
      <c r="M947" s="23" t="s">
        <v>434</v>
      </c>
      <c r="N947" s="23">
        <f>173/2</f>
        <v>86.5</v>
      </c>
      <c r="O947" s="21">
        <f t="shared" si="18"/>
        <v>0</v>
      </c>
      <c r="P947" s="27" t="s">
        <v>275</v>
      </c>
      <c r="Q947" s="54"/>
      <c r="R947" s="72"/>
      <c r="S947" s="72"/>
      <c r="T947" s="73"/>
    </row>
    <row r="948" spans="12:20" x14ac:dyDescent="0.25">
      <c r="L948" s="2">
        <v>87</v>
      </c>
      <c r="M948" s="23" t="s">
        <v>316</v>
      </c>
      <c r="N948" s="23">
        <f>87/1</f>
        <v>87</v>
      </c>
      <c r="O948" s="21">
        <f t="shared" si="18"/>
        <v>0</v>
      </c>
      <c r="P948" s="27" t="s">
        <v>275</v>
      </c>
      <c r="Q948" s="54"/>
      <c r="R948" s="72"/>
      <c r="S948" s="72"/>
      <c r="T948" s="73"/>
    </row>
    <row r="949" spans="12:20" x14ac:dyDescent="0.25">
      <c r="L949" s="2">
        <v>87.5</v>
      </c>
      <c r="M949" s="23" t="s">
        <v>435</v>
      </c>
      <c r="N949" s="23">
        <f>175/2</f>
        <v>87.5</v>
      </c>
      <c r="O949" s="21">
        <f t="shared" si="18"/>
        <v>0</v>
      </c>
      <c r="P949" s="27" t="s">
        <v>275</v>
      </c>
      <c r="Q949" s="54"/>
      <c r="R949" s="72"/>
      <c r="S949" s="72"/>
      <c r="T949" s="73"/>
    </row>
    <row r="950" spans="12:20" x14ac:dyDescent="0.25">
      <c r="L950" s="2">
        <v>88</v>
      </c>
      <c r="M950" s="23" t="s">
        <v>317</v>
      </c>
      <c r="N950" s="23">
        <f>88/1</f>
        <v>88</v>
      </c>
      <c r="O950" s="21">
        <f t="shared" si="18"/>
        <v>0</v>
      </c>
      <c r="P950" s="27" t="s">
        <v>275</v>
      </c>
      <c r="Q950" s="54"/>
      <c r="R950" s="72"/>
      <c r="S950" s="72"/>
      <c r="T950" s="73"/>
    </row>
    <row r="951" spans="12:20" x14ac:dyDescent="0.25">
      <c r="L951" s="2">
        <v>88.5</v>
      </c>
      <c r="M951" s="23" t="s">
        <v>436</v>
      </c>
      <c r="N951" s="23">
        <f>177/2</f>
        <v>88.5</v>
      </c>
      <c r="O951" s="21">
        <f t="shared" si="18"/>
        <v>0</v>
      </c>
      <c r="P951" s="27" t="s">
        <v>275</v>
      </c>
      <c r="Q951" s="54"/>
      <c r="R951" s="72"/>
      <c r="S951" s="72"/>
      <c r="T951" s="73"/>
    </row>
    <row r="952" spans="12:20" x14ac:dyDescent="0.25">
      <c r="L952" s="2">
        <v>89</v>
      </c>
      <c r="M952" s="23" t="s">
        <v>318</v>
      </c>
      <c r="N952" s="23">
        <f>89/1</f>
        <v>89</v>
      </c>
      <c r="O952" s="21">
        <f t="shared" si="18"/>
        <v>0</v>
      </c>
      <c r="P952" s="27" t="s">
        <v>275</v>
      </c>
      <c r="Q952" s="54"/>
      <c r="R952" s="72"/>
      <c r="S952" s="72"/>
      <c r="T952" s="73"/>
    </row>
    <row r="953" spans="12:20" x14ac:dyDescent="0.25">
      <c r="L953" s="2">
        <v>89.5</v>
      </c>
      <c r="M953" s="23" t="s">
        <v>437</v>
      </c>
      <c r="N953" s="23">
        <f>179/2</f>
        <v>89.5</v>
      </c>
      <c r="O953" s="21">
        <f t="shared" si="18"/>
        <v>0</v>
      </c>
      <c r="P953" s="27" t="s">
        <v>275</v>
      </c>
      <c r="Q953" s="54"/>
      <c r="R953" s="72"/>
      <c r="S953" s="72"/>
      <c r="T953" s="73"/>
    </row>
    <row r="954" spans="12:20" x14ac:dyDescent="0.25">
      <c r="L954" s="2">
        <v>90</v>
      </c>
      <c r="M954" s="23" t="s">
        <v>319</v>
      </c>
      <c r="N954" s="23">
        <f>90/1</f>
        <v>90</v>
      </c>
      <c r="O954" s="21">
        <f t="shared" si="18"/>
        <v>0</v>
      </c>
      <c r="P954" s="27" t="s">
        <v>275</v>
      </c>
      <c r="Q954" s="54"/>
      <c r="R954" s="72"/>
      <c r="S954" s="72"/>
      <c r="T954" s="73"/>
    </row>
    <row r="955" spans="12:20" x14ac:dyDescent="0.25">
      <c r="L955" s="2">
        <v>90.5</v>
      </c>
      <c r="M955" s="23" t="s">
        <v>438</v>
      </c>
      <c r="N955" s="23">
        <f>181/2</f>
        <v>90.5</v>
      </c>
      <c r="O955" s="21">
        <f t="shared" si="18"/>
        <v>0</v>
      </c>
      <c r="P955" s="27" t="s">
        <v>275</v>
      </c>
      <c r="Q955" s="54"/>
      <c r="R955" s="72"/>
      <c r="S955" s="72"/>
      <c r="T955" s="73"/>
    </row>
    <row r="956" spans="12:20" x14ac:dyDescent="0.25">
      <c r="L956" s="2">
        <v>91</v>
      </c>
      <c r="M956" s="23" t="s">
        <v>320</v>
      </c>
      <c r="N956" s="23">
        <f>91/1</f>
        <v>91</v>
      </c>
      <c r="O956" s="21">
        <f t="shared" si="18"/>
        <v>0</v>
      </c>
      <c r="P956" s="27" t="s">
        <v>275</v>
      </c>
      <c r="Q956" s="54"/>
      <c r="R956" s="72"/>
      <c r="S956" s="72"/>
      <c r="T956" s="73"/>
    </row>
    <row r="957" spans="12:20" x14ac:dyDescent="0.25">
      <c r="L957" s="2">
        <v>91.5</v>
      </c>
      <c r="M957" s="23" t="s">
        <v>439</v>
      </c>
      <c r="N957" s="23">
        <f>183/2</f>
        <v>91.5</v>
      </c>
      <c r="O957" s="21">
        <f t="shared" si="18"/>
        <v>0</v>
      </c>
      <c r="P957" s="27" t="s">
        <v>275</v>
      </c>
      <c r="Q957" s="54"/>
      <c r="R957" s="72"/>
      <c r="S957" s="72"/>
      <c r="T957" s="73"/>
    </row>
    <row r="958" spans="12:20" x14ac:dyDescent="0.25">
      <c r="L958" s="2">
        <v>92</v>
      </c>
      <c r="M958" s="23" t="s">
        <v>321</v>
      </c>
      <c r="N958" s="23">
        <f>92/1</f>
        <v>92</v>
      </c>
      <c r="O958" s="21">
        <f t="shared" si="18"/>
        <v>0</v>
      </c>
      <c r="P958" s="27" t="s">
        <v>275</v>
      </c>
      <c r="Q958" s="54"/>
      <c r="R958" s="72"/>
      <c r="S958" s="72"/>
      <c r="T958" s="73"/>
    </row>
    <row r="959" spans="12:20" x14ac:dyDescent="0.25">
      <c r="L959" s="2">
        <v>92.5</v>
      </c>
      <c r="M959" s="23" t="s">
        <v>440</v>
      </c>
      <c r="N959" s="23">
        <f>185/2</f>
        <v>92.5</v>
      </c>
      <c r="O959" s="21">
        <f t="shared" si="18"/>
        <v>0</v>
      </c>
      <c r="P959" s="27" t="s">
        <v>275</v>
      </c>
      <c r="Q959" s="54"/>
      <c r="R959" s="72"/>
      <c r="S959" s="72"/>
      <c r="T959" s="73"/>
    </row>
    <row r="960" spans="12:20" x14ac:dyDescent="0.25">
      <c r="L960" s="2">
        <v>93</v>
      </c>
      <c r="M960" s="23" t="s">
        <v>322</v>
      </c>
      <c r="N960" s="23">
        <f>93/1</f>
        <v>93</v>
      </c>
      <c r="O960" s="21">
        <f t="shared" si="18"/>
        <v>0</v>
      </c>
      <c r="P960" s="27" t="s">
        <v>275</v>
      </c>
      <c r="Q960" s="54"/>
      <c r="R960" s="72"/>
      <c r="S960" s="72"/>
      <c r="T960" s="73"/>
    </row>
    <row r="961" spans="12:20" x14ac:dyDescent="0.25">
      <c r="L961" s="2">
        <v>93.5</v>
      </c>
      <c r="M961" s="23" t="s">
        <v>441</v>
      </c>
      <c r="N961" s="23">
        <f>187/2</f>
        <v>93.5</v>
      </c>
      <c r="O961" s="21">
        <f t="shared" si="18"/>
        <v>0</v>
      </c>
      <c r="P961" s="27" t="s">
        <v>275</v>
      </c>
      <c r="Q961" s="54"/>
      <c r="R961" s="72"/>
      <c r="S961" s="72"/>
      <c r="T961" s="73"/>
    </row>
    <row r="962" spans="12:20" x14ac:dyDescent="0.25">
      <c r="L962" s="2">
        <v>94</v>
      </c>
      <c r="M962" s="23" t="s">
        <v>323</v>
      </c>
      <c r="N962" s="23">
        <f>94/1</f>
        <v>94</v>
      </c>
      <c r="O962" s="21">
        <f t="shared" si="18"/>
        <v>0</v>
      </c>
      <c r="P962" s="27" t="s">
        <v>275</v>
      </c>
      <c r="Q962" s="54"/>
      <c r="R962" s="72"/>
      <c r="S962" s="72"/>
      <c r="T962" s="73"/>
    </row>
    <row r="963" spans="12:20" x14ac:dyDescent="0.25">
      <c r="L963" s="2">
        <v>94.5</v>
      </c>
      <c r="M963" s="23" t="s">
        <v>442</v>
      </c>
      <c r="N963" s="23">
        <f>189/2</f>
        <v>94.5</v>
      </c>
      <c r="O963" s="21">
        <f t="shared" si="18"/>
        <v>0</v>
      </c>
      <c r="P963" s="27" t="s">
        <v>275</v>
      </c>
      <c r="Q963" s="54"/>
      <c r="R963" s="72"/>
      <c r="S963" s="72"/>
      <c r="T963" s="73"/>
    </row>
    <row r="964" spans="12:20" x14ac:dyDescent="0.25">
      <c r="L964" s="2">
        <v>95</v>
      </c>
      <c r="M964" s="23" t="s">
        <v>324</v>
      </c>
      <c r="N964" s="23">
        <f>95/1</f>
        <v>95</v>
      </c>
      <c r="O964" s="21">
        <f t="shared" si="18"/>
        <v>0</v>
      </c>
      <c r="P964" s="27" t="s">
        <v>275</v>
      </c>
      <c r="Q964" s="54"/>
      <c r="R964" s="72"/>
      <c r="S964" s="72"/>
      <c r="T964" s="73"/>
    </row>
    <row r="965" spans="12:20" x14ac:dyDescent="0.25">
      <c r="L965" s="2">
        <v>95.5</v>
      </c>
      <c r="M965" s="23" t="s">
        <v>443</v>
      </c>
      <c r="N965" s="23">
        <f>191/2</f>
        <v>95.5</v>
      </c>
      <c r="O965" s="21">
        <f t="shared" si="18"/>
        <v>0</v>
      </c>
      <c r="P965" s="27" t="s">
        <v>275</v>
      </c>
      <c r="Q965" s="54"/>
      <c r="R965" s="72"/>
      <c r="S965" s="72"/>
      <c r="T965" s="73"/>
    </row>
    <row r="966" spans="12:20" x14ac:dyDescent="0.25">
      <c r="L966" s="2">
        <v>96</v>
      </c>
      <c r="M966" s="23" t="s">
        <v>325</v>
      </c>
      <c r="N966" s="23">
        <f>96/1</f>
        <v>96</v>
      </c>
      <c r="O966" s="21">
        <f t="shared" si="18"/>
        <v>0</v>
      </c>
      <c r="P966" s="27" t="s">
        <v>275</v>
      </c>
      <c r="Q966" s="54"/>
      <c r="R966" s="72"/>
      <c r="S966" s="72"/>
      <c r="T966" s="73"/>
    </row>
    <row r="967" spans="12:20" x14ac:dyDescent="0.25">
      <c r="L967" s="2">
        <v>96.5</v>
      </c>
      <c r="M967" s="23" t="s">
        <v>444</v>
      </c>
      <c r="N967" s="23">
        <f>193/2</f>
        <v>96.5</v>
      </c>
      <c r="O967" s="21">
        <f t="shared" ref="O967:O1030" si="19">ABS(L967-N967)</f>
        <v>0</v>
      </c>
      <c r="P967" s="27" t="s">
        <v>275</v>
      </c>
      <c r="Q967" s="54"/>
      <c r="R967" s="72"/>
      <c r="S967" s="72"/>
      <c r="T967" s="73"/>
    </row>
    <row r="968" spans="12:20" x14ac:dyDescent="0.25">
      <c r="L968" s="2">
        <v>97</v>
      </c>
      <c r="M968" s="23" t="s">
        <v>326</v>
      </c>
      <c r="N968" s="23">
        <f>97/1</f>
        <v>97</v>
      </c>
      <c r="O968" s="21">
        <f t="shared" si="19"/>
        <v>0</v>
      </c>
      <c r="P968" s="27" t="s">
        <v>275</v>
      </c>
      <c r="Q968" s="54"/>
      <c r="R968" s="72"/>
      <c r="S968" s="72"/>
      <c r="T968" s="73"/>
    </row>
    <row r="969" spans="12:20" x14ac:dyDescent="0.25">
      <c r="L969" s="2">
        <v>97.5</v>
      </c>
      <c r="M969" s="23" t="s">
        <v>445</v>
      </c>
      <c r="N969" s="23">
        <f>195/2</f>
        <v>97.5</v>
      </c>
      <c r="O969" s="21">
        <f t="shared" si="19"/>
        <v>0</v>
      </c>
      <c r="P969" s="27" t="s">
        <v>275</v>
      </c>
      <c r="Q969" s="54"/>
      <c r="R969" s="72"/>
      <c r="S969" s="72"/>
      <c r="T969" s="73"/>
    </row>
    <row r="970" spans="12:20" x14ac:dyDescent="0.25">
      <c r="L970" s="2">
        <v>98</v>
      </c>
      <c r="M970" s="23" t="s">
        <v>327</v>
      </c>
      <c r="N970" s="23">
        <f>98/1</f>
        <v>98</v>
      </c>
      <c r="O970" s="21">
        <f t="shared" si="19"/>
        <v>0</v>
      </c>
      <c r="P970" s="27" t="s">
        <v>275</v>
      </c>
      <c r="Q970" s="54"/>
      <c r="R970" s="72"/>
      <c r="S970" s="72"/>
      <c r="T970" s="73"/>
    </row>
    <row r="971" spans="12:20" x14ac:dyDescent="0.25">
      <c r="L971" s="2">
        <v>98.5</v>
      </c>
      <c r="M971" s="23" t="s">
        <v>446</v>
      </c>
      <c r="N971" s="23">
        <f>197/2</f>
        <v>98.5</v>
      </c>
      <c r="O971" s="21">
        <f t="shared" si="19"/>
        <v>0</v>
      </c>
      <c r="P971" s="27" t="s">
        <v>275</v>
      </c>
      <c r="Q971" s="54"/>
      <c r="R971" s="72"/>
      <c r="S971" s="72"/>
      <c r="T971" s="73"/>
    </row>
    <row r="972" spans="12:20" x14ac:dyDescent="0.25">
      <c r="L972" s="2">
        <v>99</v>
      </c>
      <c r="M972" s="23" t="s">
        <v>328</v>
      </c>
      <c r="N972" s="23">
        <f>99/1</f>
        <v>99</v>
      </c>
      <c r="O972" s="21">
        <f t="shared" si="19"/>
        <v>0</v>
      </c>
      <c r="P972" s="27" t="s">
        <v>275</v>
      </c>
      <c r="Q972" s="54"/>
      <c r="R972" s="72"/>
      <c r="S972" s="72"/>
      <c r="T972" s="73"/>
    </row>
    <row r="973" spans="12:20" x14ac:dyDescent="0.25">
      <c r="L973" s="2">
        <v>99.5</v>
      </c>
      <c r="M973" s="23" t="s">
        <v>447</v>
      </c>
      <c r="N973" s="23">
        <f>199/2</f>
        <v>99.5</v>
      </c>
      <c r="O973" s="21">
        <f t="shared" si="19"/>
        <v>0</v>
      </c>
      <c r="P973" s="27" t="s">
        <v>275</v>
      </c>
      <c r="Q973" s="54"/>
      <c r="R973" s="72"/>
      <c r="S973" s="72"/>
      <c r="T973" s="73"/>
    </row>
    <row r="974" spans="12:20" x14ac:dyDescent="0.25">
      <c r="L974" s="2">
        <v>100</v>
      </c>
      <c r="M974" s="23" t="s">
        <v>329</v>
      </c>
      <c r="N974" s="23">
        <f>100/1</f>
        <v>100</v>
      </c>
      <c r="O974" s="21">
        <f t="shared" si="19"/>
        <v>0</v>
      </c>
      <c r="P974" s="27" t="s">
        <v>275</v>
      </c>
      <c r="Q974" s="54"/>
      <c r="R974" s="72"/>
      <c r="S974" s="72"/>
      <c r="T974" s="73"/>
    </row>
    <row r="975" spans="12:20" x14ac:dyDescent="0.25">
      <c r="L975" s="2">
        <v>100.5</v>
      </c>
      <c r="M975" s="23" t="s">
        <v>448</v>
      </c>
      <c r="N975" s="23">
        <f>201/2</f>
        <v>100.5</v>
      </c>
      <c r="O975" s="21">
        <f t="shared" si="19"/>
        <v>0</v>
      </c>
      <c r="P975" s="27" t="s">
        <v>275</v>
      </c>
      <c r="Q975" s="54"/>
      <c r="R975" s="72"/>
      <c r="S975" s="72"/>
      <c r="T975" s="73"/>
    </row>
    <row r="976" spans="12:20" x14ac:dyDescent="0.25">
      <c r="L976" s="2">
        <v>101</v>
      </c>
      <c r="M976" s="23" t="s">
        <v>330</v>
      </c>
      <c r="N976" s="23">
        <f>101/1</f>
        <v>101</v>
      </c>
      <c r="O976" s="21">
        <f t="shared" si="19"/>
        <v>0</v>
      </c>
      <c r="P976" s="27" t="s">
        <v>275</v>
      </c>
      <c r="Q976" s="54"/>
      <c r="R976" s="72"/>
      <c r="S976" s="72"/>
      <c r="T976" s="73"/>
    </row>
    <row r="977" spans="12:20" x14ac:dyDescent="0.25">
      <c r="L977" s="2">
        <v>101.5</v>
      </c>
      <c r="M977" s="23" t="s">
        <v>449</v>
      </c>
      <c r="N977" s="23">
        <f>203/2</f>
        <v>101.5</v>
      </c>
      <c r="O977" s="21">
        <f t="shared" si="19"/>
        <v>0</v>
      </c>
      <c r="P977" s="27" t="s">
        <v>275</v>
      </c>
      <c r="Q977" s="54"/>
      <c r="R977" s="72"/>
      <c r="S977" s="72"/>
      <c r="T977" s="73"/>
    </row>
    <row r="978" spans="12:20" x14ac:dyDescent="0.25">
      <c r="L978" s="2">
        <v>102</v>
      </c>
      <c r="M978" s="23" t="s">
        <v>331</v>
      </c>
      <c r="N978" s="23">
        <f>102/1</f>
        <v>102</v>
      </c>
      <c r="O978" s="21">
        <f t="shared" si="19"/>
        <v>0</v>
      </c>
      <c r="P978" s="27" t="s">
        <v>275</v>
      </c>
      <c r="Q978" s="54"/>
      <c r="R978" s="72"/>
      <c r="S978" s="72"/>
      <c r="T978" s="73"/>
    </row>
    <row r="979" spans="12:20" x14ac:dyDescent="0.25">
      <c r="L979" s="2">
        <v>102.5</v>
      </c>
      <c r="M979" s="23" t="s">
        <v>450</v>
      </c>
      <c r="N979" s="23">
        <f>205/2</f>
        <v>102.5</v>
      </c>
      <c r="O979" s="21">
        <f t="shared" si="19"/>
        <v>0</v>
      </c>
      <c r="P979" s="27" t="s">
        <v>275</v>
      </c>
      <c r="Q979" s="54"/>
      <c r="R979" s="72"/>
      <c r="S979" s="72"/>
      <c r="T979" s="73"/>
    </row>
    <row r="980" spans="12:20" x14ac:dyDescent="0.25">
      <c r="L980" s="2">
        <v>103</v>
      </c>
      <c r="M980" s="23" t="s">
        <v>332</v>
      </c>
      <c r="N980" s="23">
        <f>103/1</f>
        <v>103</v>
      </c>
      <c r="O980" s="21">
        <f t="shared" si="19"/>
        <v>0</v>
      </c>
      <c r="P980" s="27" t="s">
        <v>275</v>
      </c>
      <c r="Q980" s="54"/>
      <c r="R980" s="72"/>
      <c r="S980" s="72"/>
      <c r="T980" s="73"/>
    </row>
    <row r="981" spans="12:20" x14ac:dyDescent="0.25">
      <c r="L981" s="2">
        <v>103.5</v>
      </c>
      <c r="M981" s="23" t="s">
        <v>451</v>
      </c>
      <c r="N981" s="23">
        <f>207/2</f>
        <v>103.5</v>
      </c>
      <c r="O981" s="21">
        <f t="shared" si="19"/>
        <v>0</v>
      </c>
      <c r="P981" s="27" t="s">
        <v>275</v>
      </c>
      <c r="Q981" s="54"/>
      <c r="R981" s="72"/>
      <c r="S981" s="72"/>
      <c r="T981" s="73"/>
    </row>
    <row r="982" spans="12:20" x14ac:dyDescent="0.25">
      <c r="L982" s="2">
        <v>104</v>
      </c>
      <c r="M982" s="23" t="s">
        <v>333</v>
      </c>
      <c r="N982" s="23">
        <f>104/1</f>
        <v>104</v>
      </c>
      <c r="O982" s="21">
        <f t="shared" si="19"/>
        <v>0</v>
      </c>
      <c r="P982" s="27" t="s">
        <v>275</v>
      </c>
      <c r="Q982" s="54"/>
      <c r="R982" s="72"/>
      <c r="S982" s="72"/>
      <c r="T982" s="73"/>
    </row>
    <row r="983" spans="12:20" x14ac:dyDescent="0.25">
      <c r="L983" s="2">
        <v>104.5</v>
      </c>
      <c r="M983" s="23" t="s">
        <v>452</v>
      </c>
      <c r="N983" s="23">
        <f>209/2</f>
        <v>104.5</v>
      </c>
      <c r="O983" s="21">
        <f t="shared" si="19"/>
        <v>0</v>
      </c>
      <c r="P983" s="27" t="s">
        <v>275</v>
      </c>
      <c r="Q983" s="54"/>
      <c r="R983" s="72"/>
      <c r="S983" s="72"/>
      <c r="T983" s="73"/>
    </row>
    <row r="984" spans="12:20" x14ac:dyDescent="0.25">
      <c r="L984" s="2">
        <v>105</v>
      </c>
      <c r="M984" s="23" t="s">
        <v>334</v>
      </c>
      <c r="N984" s="23">
        <f>105/1</f>
        <v>105</v>
      </c>
      <c r="O984" s="21">
        <f t="shared" si="19"/>
        <v>0</v>
      </c>
      <c r="P984" s="27" t="s">
        <v>275</v>
      </c>
      <c r="Q984" s="54"/>
      <c r="R984" s="72"/>
      <c r="S984" s="72"/>
      <c r="T984" s="73"/>
    </row>
    <row r="985" spans="12:20" x14ac:dyDescent="0.25">
      <c r="L985" s="2">
        <v>105.5</v>
      </c>
      <c r="M985" s="23" t="s">
        <v>453</v>
      </c>
      <c r="N985" s="23">
        <f>211/2</f>
        <v>105.5</v>
      </c>
      <c r="O985" s="21">
        <f t="shared" si="19"/>
        <v>0</v>
      </c>
      <c r="P985" s="27" t="s">
        <v>275</v>
      </c>
      <c r="Q985" s="54"/>
      <c r="R985" s="72"/>
      <c r="S985" s="72"/>
      <c r="T985" s="73"/>
    </row>
    <row r="986" spans="12:20" x14ac:dyDescent="0.25">
      <c r="L986" s="2">
        <v>106</v>
      </c>
      <c r="M986" s="23" t="s">
        <v>335</v>
      </c>
      <c r="N986" s="23">
        <f>106/1</f>
        <v>106</v>
      </c>
      <c r="O986" s="21">
        <f t="shared" si="19"/>
        <v>0</v>
      </c>
      <c r="P986" s="27" t="s">
        <v>275</v>
      </c>
      <c r="Q986" s="54"/>
      <c r="R986" s="72"/>
      <c r="S986" s="72"/>
      <c r="T986" s="73"/>
    </row>
    <row r="987" spans="12:20" x14ac:dyDescent="0.25">
      <c r="L987" s="2">
        <v>106.5</v>
      </c>
      <c r="M987" s="23" t="s">
        <v>454</v>
      </c>
      <c r="N987" s="23">
        <f>213/2</f>
        <v>106.5</v>
      </c>
      <c r="O987" s="21">
        <f t="shared" si="19"/>
        <v>0</v>
      </c>
      <c r="P987" s="27" t="s">
        <v>275</v>
      </c>
      <c r="Q987" s="54"/>
      <c r="R987" s="72"/>
      <c r="S987" s="72"/>
      <c r="T987" s="73"/>
    </row>
    <row r="988" spans="12:20" x14ac:dyDescent="0.25">
      <c r="L988" s="2">
        <v>107</v>
      </c>
      <c r="M988" s="23" t="s">
        <v>336</v>
      </c>
      <c r="N988" s="23">
        <f>107/1</f>
        <v>107</v>
      </c>
      <c r="O988" s="21">
        <f t="shared" si="19"/>
        <v>0</v>
      </c>
      <c r="P988" s="27" t="s">
        <v>275</v>
      </c>
      <c r="Q988" s="54"/>
      <c r="R988" s="72"/>
      <c r="S988" s="72"/>
      <c r="T988" s="73"/>
    </row>
    <row r="989" spans="12:20" x14ac:dyDescent="0.25">
      <c r="L989" s="2">
        <v>107.5</v>
      </c>
      <c r="M989" s="23" t="s">
        <v>455</v>
      </c>
      <c r="N989" s="23">
        <f>215/2</f>
        <v>107.5</v>
      </c>
      <c r="O989" s="21">
        <f t="shared" si="19"/>
        <v>0</v>
      </c>
      <c r="P989" s="27" t="s">
        <v>275</v>
      </c>
      <c r="Q989" s="54"/>
      <c r="R989" s="72"/>
      <c r="S989" s="72"/>
      <c r="T989" s="73"/>
    </row>
    <row r="990" spans="12:20" x14ac:dyDescent="0.25">
      <c r="L990" s="2">
        <v>108</v>
      </c>
      <c r="M990" s="23" t="s">
        <v>337</v>
      </c>
      <c r="N990" s="23">
        <f>108/1</f>
        <v>108</v>
      </c>
      <c r="O990" s="21">
        <f t="shared" si="19"/>
        <v>0</v>
      </c>
      <c r="P990" s="27" t="s">
        <v>275</v>
      </c>
      <c r="Q990" s="54"/>
      <c r="R990" s="72"/>
      <c r="S990" s="72"/>
      <c r="T990" s="73"/>
    </row>
    <row r="991" spans="12:20" x14ac:dyDescent="0.25">
      <c r="L991" s="2">
        <v>108.5</v>
      </c>
      <c r="M991" s="23" t="s">
        <v>456</v>
      </c>
      <c r="N991" s="23">
        <f>217/2</f>
        <v>108.5</v>
      </c>
      <c r="O991" s="21">
        <f t="shared" si="19"/>
        <v>0</v>
      </c>
      <c r="P991" s="27" t="s">
        <v>275</v>
      </c>
      <c r="Q991" s="54"/>
      <c r="R991" s="72"/>
      <c r="S991" s="72"/>
      <c r="T991" s="73"/>
    </row>
    <row r="992" spans="12:20" x14ac:dyDescent="0.25">
      <c r="L992" s="2">
        <v>109</v>
      </c>
      <c r="M992" s="23" t="s">
        <v>338</v>
      </c>
      <c r="N992" s="23">
        <f>109/1</f>
        <v>109</v>
      </c>
      <c r="O992" s="21">
        <f t="shared" si="19"/>
        <v>0</v>
      </c>
      <c r="P992" s="27" t="s">
        <v>275</v>
      </c>
      <c r="Q992" s="54"/>
      <c r="R992" s="72"/>
      <c r="S992" s="72"/>
      <c r="T992" s="73"/>
    </row>
    <row r="993" spans="12:20" x14ac:dyDescent="0.25">
      <c r="L993" s="2">
        <v>109.5</v>
      </c>
      <c r="M993" s="23" t="s">
        <v>457</v>
      </c>
      <c r="N993" s="23">
        <f>219/2</f>
        <v>109.5</v>
      </c>
      <c r="O993" s="21">
        <f t="shared" si="19"/>
        <v>0</v>
      </c>
      <c r="P993" s="27" t="s">
        <v>275</v>
      </c>
      <c r="Q993" s="54"/>
      <c r="R993" s="72"/>
      <c r="S993" s="72"/>
      <c r="T993" s="73"/>
    </row>
    <row r="994" spans="12:20" x14ac:dyDescent="0.25">
      <c r="L994" s="2">
        <v>110</v>
      </c>
      <c r="M994" s="23" t="s">
        <v>339</v>
      </c>
      <c r="N994" s="23">
        <f>110/1</f>
        <v>110</v>
      </c>
      <c r="O994" s="21">
        <f t="shared" si="19"/>
        <v>0</v>
      </c>
      <c r="P994" s="27" t="s">
        <v>275</v>
      </c>
      <c r="Q994" s="54"/>
      <c r="R994" s="72"/>
      <c r="S994" s="72"/>
      <c r="T994" s="73"/>
    </row>
    <row r="995" spans="12:20" x14ac:dyDescent="0.25">
      <c r="L995" s="2">
        <v>110.5</v>
      </c>
      <c r="M995" s="23" t="s">
        <v>458</v>
      </c>
      <c r="N995" s="23">
        <f>221/2</f>
        <v>110.5</v>
      </c>
      <c r="O995" s="21">
        <f t="shared" si="19"/>
        <v>0</v>
      </c>
      <c r="P995" s="27" t="s">
        <v>275</v>
      </c>
      <c r="Q995" s="54"/>
      <c r="R995" s="72"/>
      <c r="S995" s="72"/>
      <c r="T995" s="73"/>
    </row>
    <row r="996" spans="12:20" x14ac:dyDescent="0.25">
      <c r="L996" s="2">
        <v>111</v>
      </c>
      <c r="M996" s="23" t="s">
        <v>340</v>
      </c>
      <c r="N996" s="23">
        <f>111/1</f>
        <v>111</v>
      </c>
      <c r="O996" s="21">
        <f t="shared" si="19"/>
        <v>0</v>
      </c>
      <c r="P996" s="27" t="s">
        <v>275</v>
      </c>
      <c r="Q996" s="54"/>
      <c r="R996" s="72"/>
      <c r="S996" s="72"/>
      <c r="T996" s="73"/>
    </row>
    <row r="997" spans="12:20" x14ac:dyDescent="0.25">
      <c r="L997" s="2">
        <v>111.5</v>
      </c>
      <c r="M997" s="23" t="s">
        <v>459</v>
      </c>
      <c r="N997" s="23">
        <f>223/2</f>
        <v>111.5</v>
      </c>
      <c r="O997" s="21">
        <f t="shared" si="19"/>
        <v>0</v>
      </c>
      <c r="P997" s="27" t="s">
        <v>275</v>
      </c>
      <c r="Q997" s="54"/>
      <c r="R997" s="72"/>
      <c r="S997" s="72"/>
      <c r="T997" s="73"/>
    </row>
    <row r="998" spans="12:20" x14ac:dyDescent="0.25">
      <c r="L998" s="2">
        <v>112</v>
      </c>
      <c r="M998" s="23" t="s">
        <v>341</v>
      </c>
      <c r="N998" s="23">
        <f>112/1</f>
        <v>112</v>
      </c>
      <c r="O998" s="21">
        <f t="shared" si="19"/>
        <v>0</v>
      </c>
      <c r="P998" s="27" t="s">
        <v>275</v>
      </c>
      <c r="Q998" s="54"/>
      <c r="R998" s="72"/>
      <c r="S998" s="72"/>
      <c r="T998" s="73"/>
    </row>
    <row r="999" spans="12:20" x14ac:dyDescent="0.25">
      <c r="L999" s="2">
        <v>112.5</v>
      </c>
      <c r="M999" s="23" t="s">
        <v>460</v>
      </c>
      <c r="N999" s="23">
        <f>225/2</f>
        <v>112.5</v>
      </c>
      <c r="O999" s="21">
        <f t="shared" si="19"/>
        <v>0</v>
      </c>
      <c r="P999" s="27" t="s">
        <v>275</v>
      </c>
      <c r="Q999" s="54"/>
      <c r="R999" s="72"/>
      <c r="S999" s="72"/>
      <c r="T999" s="73"/>
    </row>
    <row r="1000" spans="12:20" x14ac:dyDescent="0.25">
      <c r="L1000" s="2">
        <v>113</v>
      </c>
      <c r="M1000" s="23" t="s">
        <v>342</v>
      </c>
      <c r="N1000" s="23">
        <f>113/1</f>
        <v>113</v>
      </c>
      <c r="O1000" s="21">
        <f t="shared" si="19"/>
        <v>0</v>
      </c>
      <c r="P1000" s="27" t="s">
        <v>275</v>
      </c>
      <c r="Q1000" s="54"/>
      <c r="R1000" s="72"/>
      <c r="S1000" s="72"/>
      <c r="T1000" s="73"/>
    </row>
    <row r="1001" spans="12:20" x14ac:dyDescent="0.25">
      <c r="L1001" s="2">
        <v>113.5</v>
      </c>
      <c r="M1001" s="23" t="s">
        <v>461</v>
      </c>
      <c r="N1001" s="23">
        <f>227/2</f>
        <v>113.5</v>
      </c>
      <c r="O1001" s="21">
        <f t="shared" si="19"/>
        <v>0</v>
      </c>
      <c r="P1001" s="27" t="s">
        <v>275</v>
      </c>
      <c r="Q1001" s="54"/>
      <c r="R1001" s="72"/>
      <c r="S1001" s="72"/>
      <c r="T1001" s="73"/>
    </row>
    <row r="1002" spans="12:20" x14ac:dyDescent="0.25">
      <c r="L1002" s="2">
        <v>114</v>
      </c>
      <c r="M1002" s="23" t="s">
        <v>343</v>
      </c>
      <c r="N1002" s="23">
        <f>114/1</f>
        <v>114</v>
      </c>
      <c r="O1002" s="21">
        <f t="shared" si="19"/>
        <v>0</v>
      </c>
      <c r="P1002" s="27" t="s">
        <v>275</v>
      </c>
      <c r="Q1002" s="54"/>
      <c r="R1002" s="72"/>
      <c r="S1002" s="72"/>
      <c r="T1002" s="73"/>
    </row>
    <row r="1003" spans="12:20" x14ac:dyDescent="0.25">
      <c r="L1003" s="2">
        <v>114.5</v>
      </c>
      <c r="M1003" s="23" t="s">
        <v>462</v>
      </c>
      <c r="N1003" s="23">
        <f>229/2</f>
        <v>114.5</v>
      </c>
      <c r="O1003" s="21">
        <f t="shared" si="19"/>
        <v>0</v>
      </c>
      <c r="P1003" s="27" t="s">
        <v>275</v>
      </c>
      <c r="Q1003" s="54"/>
      <c r="R1003" s="72"/>
      <c r="S1003" s="72"/>
      <c r="T1003" s="73"/>
    </row>
    <row r="1004" spans="12:20" x14ac:dyDescent="0.25">
      <c r="L1004" s="2">
        <v>115</v>
      </c>
      <c r="M1004" s="23" t="s">
        <v>344</v>
      </c>
      <c r="N1004" s="23">
        <f>115/1</f>
        <v>115</v>
      </c>
      <c r="O1004" s="21">
        <f t="shared" si="19"/>
        <v>0</v>
      </c>
      <c r="P1004" s="27" t="s">
        <v>275</v>
      </c>
      <c r="Q1004" s="54"/>
      <c r="R1004" s="72"/>
      <c r="S1004" s="72"/>
      <c r="T1004" s="73"/>
    </row>
    <row r="1005" spans="12:20" x14ac:dyDescent="0.25">
      <c r="L1005" s="2">
        <v>115.5</v>
      </c>
      <c r="M1005" s="23" t="s">
        <v>463</v>
      </c>
      <c r="N1005" s="23">
        <f>231/2</f>
        <v>115.5</v>
      </c>
      <c r="O1005" s="21">
        <f t="shared" si="19"/>
        <v>0</v>
      </c>
      <c r="P1005" s="27" t="s">
        <v>275</v>
      </c>
      <c r="Q1005" s="54"/>
      <c r="R1005" s="72"/>
      <c r="S1005" s="72"/>
      <c r="T1005" s="73"/>
    </row>
    <row r="1006" spans="12:20" x14ac:dyDescent="0.25">
      <c r="L1006" s="2">
        <v>116</v>
      </c>
      <c r="M1006" s="23" t="s">
        <v>345</v>
      </c>
      <c r="N1006" s="23">
        <f>116/1</f>
        <v>116</v>
      </c>
      <c r="O1006" s="21">
        <f t="shared" si="19"/>
        <v>0</v>
      </c>
      <c r="P1006" s="27" t="s">
        <v>275</v>
      </c>
      <c r="Q1006" s="54"/>
      <c r="R1006" s="72"/>
      <c r="S1006" s="72"/>
      <c r="T1006" s="73"/>
    </row>
    <row r="1007" spans="12:20" x14ac:dyDescent="0.25">
      <c r="L1007" s="2">
        <v>116.5</v>
      </c>
      <c r="M1007" s="23" t="s">
        <v>464</v>
      </c>
      <c r="N1007" s="23">
        <f>233/2</f>
        <v>116.5</v>
      </c>
      <c r="O1007" s="21">
        <f t="shared" si="19"/>
        <v>0</v>
      </c>
      <c r="P1007" s="27" t="s">
        <v>275</v>
      </c>
      <c r="Q1007" s="54"/>
      <c r="R1007" s="72"/>
      <c r="S1007" s="72"/>
      <c r="T1007" s="73"/>
    </row>
    <row r="1008" spans="12:20" x14ac:dyDescent="0.25">
      <c r="L1008" s="2">
        <v>117</v>
      </c>
      <c r="M1008" s="23" t="s">
        <v>346</v>
      </c>
      <c r="N1008" s="23">
        <f>117/1</f>
        <v>117</v>
      </c>
      <c r="O1008" s="21">
        <f t="shared" si="19"/>
        <v>0</v>
      </c>
      <c r="P1008" s="27" t="s">
        <v>275</v>
      </c>
      <c r="Q1008" s="54"/>
      <c r="R1008" s="72"/>
      <c r="S1008" s="72"/>
      <c r="T1008" s="73"/>
    </row>
    <row r="1009" spans="12:20" x14ac:dyDescent="0.25">
      <c r="L1009" s="2">
        <v>117.5</v>
      </c>
      <c r="M1009" s="23" t="s">
        <v>465</v>
      </c>
      <c r="N1009" s="23">
        <f>235/2</f>
        <v>117.5</v>
      </c>
      <c r="O1009" s="21">
        <f t="shared" si="19"/>
        <v>0</v>
      </c>
      <c r="P1009" s="27" t="s">
        <v>275</v>
      </c>
      <c r="Q1009" s="54"/>
      <c r="R1009" s="72"/>
      <c r="S1009" s="72"/>
      <c r="T1009" s="73"/>
    </row>
    <row r="1010" spans="12:20" x14ac:dyDescent="0.25">
      <c r="L1010" s="2">
        <v>118</v>
      </c>
      <c r="M1010" s="23" t="s">
        <v>347</v>
      </c>
      <c r="N1010" s="23">
        <f>118/1</f>
        <v>118</v>
      </c>
      <c r="O1010" s="21">
        <f t="shared" si="19"/>
        <v>0</v>
      </c>
      <c r="P1010" s="27" t="s">
        <v>275</v>
      </c>
      <c r="Q1010" s="54"/>
      <c r="R1010" s="72"/>
      <c r="S1010" s="72"/>
      <c r="T1010" s="73"/>
    </row>
    <row r="1011" spans="12:20" x14ac:dyDescent="0.25">
      <c r="L1011" s="2">
        <v>118.5</v>
      </c>
      <c r="M1011" s="23" t="s">
        <v>466</v>
      </c>
      <c r="N1011" s="23">
        <f>237/2</f>
        <v>118.5</v>
      </c>
      <c r="O1011" s="21">
        <f t="shared" si="19"/>
        <v>0</v>
      </c>
      <c r="P1011" s="27" t="s">
        <v>275</v>
      </c>
      <c r="Q1011" s="54"/>
      <c r="R1011" s="72"/>
      <c r="S1011" s="72"/>
      <c r="T1011" s="73"/>
    </row>
    <row r="1012" spans="12:20" x14ac:dyDescent="0.25">
      <c r="L1012" s="2">
        <v>119</v>
      </c>
      <c r="M1012" s="23" t="s">
        <v>348</v>
      </c>
      <c r="N1012" s="23">
        <f>119/1</f>
        <v>119</v>
      </c>
      <c r="O1012" s="21">
        <f t="shared" si="19"/>
        <v>0</v>
      </c>
      <c r="P1012" s="27" t="s">
        <v>275</v>
      </c>
      <c r="Q1012" s="54"/>
      <c r="R1012" s="72"/>
      <c r="S1012" s="72"/>
      <c r="T1012" s="73"/>
    </row>
    <row r="1013" spans="12:20" x14ac:dyDescent="0.25">
      <c r="L1013" s="2">
        <v>119.5</v>
      </c>
      <c r="M1013" s="23" t="s">
        <v>467</v>
      </c>
      <c r="N1013" s="23">
        <f>239/2</f>
        <v>119.5</v>
      </c>
      <c r="O1013" s="21">
        <f t="shared" si="19"/>
        <v>0</v>
      </c>
      <c r="P1013" s="27" t="s">
        <v>275</v>
      </c>
      <c r="Q1013" s="54"/>
      <c r="R1013" s="72"/>
      <c r="S1013" s="72"/>
      <c r="T1013" s="73"/>
    </row>
    <row r="1014" spans="12:20" x14ac:dyDescent="0.25">
      <c r="L1014" s="2">
        <v>120</v>
      </c>
      <c r="M1014" s="23" t="s">
        <v>349</v>
      </c>
      <c r="N1014" s="23">
        <f>120/1</f>
        <v>120</v>
      </c>
      <c r="O1014" s="21">
        <f t="shared" si="19"/>
        <v>0</v>
      </c>
      <c r="P1014" s="27" t="s">
        <v>275</v>
      </c>
      <c r="Q1014" s="54"/>
      <c r="R1014" s="72"/>
      <c r="S1014" s="72"/>
      <c r="T1014" s="73"/>
    </row>
    <row r="1015" spans="12:20" x14ac:dyDescent="0.25">
      <c r="L1015" s="2">
        <v>120.5</v>
      </c>
      <c r="M1015" s="23" t="s">
        <v>468</v>
      </c>
      <c r="N1015" s="23">
        <f>241/2</f>
        <v>120.5</v>
      </c>
      <c r="O1015" s="21">
        <f t="shared" si="19"/>
        <v>0</v>
      </c>
      <c r="P1015" s="27" t="s">
        <v>275</v>
      </c>
      <c r="Q1015" s="54"/>
      <c r="R1015" s="72"/>
      <c r="S1015" s="72"/>
      <c r="T1015" s="73"/>
    </row>
    <row r="1016" spans="12:20" x14ac:dyDescent="0.25">
      <c r="L1016" s="2">
        <v>121</v>
      </c>
      <c r="M1016" s="23" t="s">
        <v>350</v>
      </c>
      <c r="N1016" s="23">
        <f>121/1</f>
        <v>121</v>
      </c>
      <c r="O1016" s="21">
        <f t="shared" si="19"/>
        <v>0</v>
      </c>
      <c r="P1016" s="27" t="s">
        <v>275</v>
      </c>
      <c r="Q1016" s="54"/>
      <c r="R1016" s="72"/>
      <c r="S1016" s="72"/>
      <c r="T1016" s="73"/>
    </row>
    <row r="1017" spans="12:20" x14ac:dyDescent="0.25">
      <c r="L1017" s="2">
        <v>121.5</v>
      </c>
      <c r="M1017" s="23" t="s">
        <v>469</v>
      </c>
      <c r="N1017" s="23">
        <f>243/2</f>
        <v>121.5</v>
      </c>
      <c r="O1017" s="21">
        <f t="shared" si="19"/>
        <v>0</v>
      </c>
      <c r="P1017" s="27" t="s">
        <v>275</v>
      </c>
      <c r="Q1017" s="54"/>
      <c r="R1017" s="72"/>
      <c r="S1017" s="72"/>
      <c r="T1017" s="73"/>
    </row>
    <row r="1018" spans="12:20" x14ac:dyDescent="0.25">
      <c r="L1018" s="2">
        <v>122</v>
      </c>
      <c r="M1018" s="23" t="s">
        <v>351</v>
      </c>
      <c r="N1018" s="23">
        <f>122/1</f>
        <v>122</v>
      </c>
      <c r="O1018" s="21">
        <f t="shared" si="19"/>
        <v>0</v>
      </c>
      <c r="P1018" s="27" t="s">
        <v>275</v>
      </c>
      <c r="Q1018" s="54"/>
      <c r="R1018" s="72"/>
      <c r="S1018" s="72"/>
      <c r="T1018" s="73"/>
    </row>
    <row r="1019" spans="12:20" x14ac:dyDescent="0.25">
      <c r="L1019" s="2">
        <v>122.5</v>
      </c>
      <c r="M1019" s="23" t="s">
        <v>470</v>
      </c>
      <c r="N1019" s="23">
        <f>245/2</f>
        <v>122.5</v>
      </c>
      <c r="O1019" s="21">
        <f t="shared" si="19"/>
        <v>0</v>
      </c>
      <c r="P1019" s="27" t="s">
        <v>275</v>
      </c>
      <c r="Q1019" s="54"/>
      <c r="R1019" s="72"/>
      <c r="S1019" s="72"/>
      <c r="T1019" s="73"/>
    </row>
    <row r="1020" spans="12:20" x14ac:dyDescent="0.25">
      <c r="L1020" s="2">
        <v>123</v>
      </c>
      <c r="M1020" s="23" t="s">
        <v>352</v>
      </c>
      <c r="N1020" s="23">
        <f>123/1</f>
        <v>123</v>
      </c>
      <c r="O1020" s="21">
        <f t="shared" si="19"/>
        <v>0</v>
      </c>
      <c r="P1020" s="27" t="s">
        <v>275</v>
      </c>
      <c r="Q1020" s="54"/>
      <c r="R1020" s="72"/>
      <c r="S1020" s="72"/>
      <c r="T1020" s="73"/>
    </row>
    <row r="1021" spans="12:20" x14ac:dyDescent="0.25">
      <c r="L1021" s="2">
        <v>123.5</v>
      </c>
      <c r="M1021" s="23" t="s">
        <v>471</v>
      </c>
      <c r="N1021" s="23">
        <f>247/2</f>
        <v>123.5</v>
      </c>
      <c r="O1021" s="21">
        <f t="shared" si="19"/>
        <v>0</v>
      </c>
      <c r="P1021" s="27" t="s">
        <v>275</v>
      </c>
      <c r="Q1021" s="54"/>
      <c r="R1021" s="72"/>
      <c r="S1021" s="72"/>
      <c r="T1021" s="73"/>
    </row>
    <row r="1022" spans="12:20" x14ac:dyDescent="0.25">
      <c r="L1022" s="2">
        <v>124</v>
      </c>
      <c r="M1022" s="23" t="s">
        <v>353</v>
      </c>
      <c r="N1022" s="23">
        <f>124/1</f>
        <v>124</v>
      </c>
      <c r="O1022" s="21">
        <f t="shared" si="19"/>
        <v>0</v>
      </c>
      <c r="P1022" s="27" t="s">
        <v>275</v>
      </c>
      <c r="Q1022" s="54"/>
      <c r="R1022" s="72"/>
      <c r="S1022" s="72"/>
      <c r="T1022" s="73"/>
    </row>
    <row r="1023" spans="12:20" x14ac:dyDescent="0.25">
      <c r="L1023" s="2">
        <v>124.5</v>
      </c>
      <c r="M1023" s="23" t="s">
        <v>472</v>
      </c>
      <c r="N1023" s="23">
        <f>249/2</f>
        <v>124.5</v>
      </c>
      <c r="O1023" s="21">
        <f t="shared" si="19"/>
        <v>0</v>
      </c>
      <c r="P1023" s="27" t="s">
        <v>275</v>
      </c>
      <c r="Q1023" s="54"/>
      <c r="R1023" s="72"/>
      <c r="S1023" s="72"/>
      <c r="T1023" s="73"/>
    </row>
    <row r="1024" spans="12:20" x14ac:dyDescent="0.25">
      <c r="L1024" s="2">
        <v>125</v>
      </c>
      <c r="M1024" s="23" t="s">
        <v>294</v>
      </c>
      <c r="N1024" s="23">
        <f>125/1</f>
        <v>125</v>
      </c>
      <c r="O1024" s="21">
        <f t="shared" si="19"/>
        <v>0</v>
      </c>
      <c r="P1024" s="27" t="s">
        <v>275</v>
      </c>
      <c r="Q1024" s="54"/>
      <c r="R1024" s="72"/>
      <c r="S1024" s="72"/>
      <c r="T1024" s="73"/>
    </row>
    <row r="1025" spans="12:20" x14ac:dyDescent="0.25">
      <c r="L1025" s="2">
        <v>125.5</v>
      </c>
      <c r="M1025" s="23" t="s">
        <v>473</v>
      </c>
      <c r="N1025" s="23">
        <f>251/2</f>
        <v>125.5</v>
      </c>
      <c r="O1025" s="21">
        <f t="shared" si="19"/>
        <v>0</v>
      </c>
      <c r="P1025" s="27" t="s">
        <v>275</v>
      </c>
      <c r="Q1025" s="54"/>
      <c r="R1025" s="72"/>
      <c r="S1025" s="72"/>
      <c r="T1025" s="73"/>
    </row>
    <row r="1026" spans="12:20" x14ac:dyDescent="0.25">
      <c r="L1026" s="2">
        <v>126</v>
      </c>
      <c r="M1026" s="23" t="s">
        <v>293</v>
      </c>
      <c r="N1026" s="23">
        <f>126/1</f>
        <v>126</v>
      </c>
      <c r="O1026" s="21">
        <f t="shared" si="19"/>
        <v>0</v>
      </c>
      <c r="P1026" s="27" t="s">
        <v>275</v>
      </c>
      <c r="Q1026" s="54"/>
      <c r="R1026" s="72"/>
      <c r="S1026" s="72"/>
      <c r="T1026" s="73"/>
    </row>
    <row r="1027" spans="12:20" x14ac:dyDescent="0.25">
      <c r="L1027" s="2">
        <v>126.5</v>
      </c>
      <c r="M1027" s="23" t="s">
        <v>411</v>
      </c>
      <c r="N1027" s="23">
        <f>253/2</f>
        <v>126.5</v>
      </c>
      <c r="O1027" s="21">
        <f t="shared" si="19"/>
        <v>0</v>
      </c>
      <c r="P1027" s="27" t="s">
        <v>275</v>
      </c>
      <c r="Q1027" s="54"/>
      <c r="R1027" s="72"/>
      <c r="S1027" s="72"/>
      <c r="T1027" s="73"/>
    </row>
    <row r="1028" spans="12:20" x14ac:dyDescent="0.25">
      <c r="L1028" s="2">
        <v>127</v>
      </c>
      <c r="M1028" s="23" t="s">
        <v>292</v>
      </c>
      <c r="N1028" s="23">
        <f>127/1</f>
        <v>127</v>
      </c>
      <c r="O1028" s="21">
        <f t="shared" si="19"/>
        <v>0</v>
      </c>
      <c r="P1028" s="27" t="s">
        <v>275</v>
      </c>
      <c r="Q1028" s="54"/>
      <c r="R1028" s="72"/>
      <c r="S1028" s="72"/>
      <c r="T1028" s="73"/>
    </row>
    <row r="1029" spans="12:20" x14ac:dyDescent="0.25">
      <c r="L1029" s="2">
        <v>127.5</v>
      </c>
      <c r="M1029" s="23" t="s">
        <v>410</v>
      </c>
      <c r="N1029" s="23">
        <f>255/2</f>
        <v>127.5</v>
      </c>
      <c r="O1029" s="21">
        <f t="shared" si="19"/>
        <v>0</v>
      </c>
      <c r="P1029" s="27" t="s">
        <v>275</v>
      </c>
      <c r="Q1029" s="54"/>
      <c r="R1029" s="72"/>
      <c r="S1029" s="74"/>
      <c r="T1029" s="75"/>
    </row>
    <row r="1030" spans="12:20" x14ac:dyDescent="0.25">
      <c r="L1030" s="2">
        <v>128</v>
      </c>
      <c r="M1030" s="23" t="s">
        <v>17</v>
      </c>
      <c r="N1030" s="23">
        <f>128/1</f>
        <v>128</v>
      </c>
      <c r="O1030" s="21">
        <f t="shared" si="19"/>
        <v>0</v>
      </c>
      <c r="P1030" s="27" t="s">
        <v>275</v>
      </c>
      <c r="Q1030" s="52"/>
      <c r="R1030" s="51"/>
      <c r="S1030" s="67"/>
      <c r="T1030" s="68"/>
    </row>
    <row r="1031" spans="12:20" x14ac:dyDescent="0.25">
      <c r="L1031" s="2">
        <v>129</v>
      </c>
      <c r="M1031" s="23" t="s">
        <v>49</v>
      </c>
      <c r="N1031" s="23">
        <f>129/1</f>
        <v>129</v>
      </c>
      <c r="O1031" s="21">
        <f t="shared" ref="O1031:O1094" si="20">ABS(L1031-N1031)</f>
        <v>0</v>
      </c>
      <c r="P1031" s="25" t="s">
        <v>273</v>
      </c>
      <c r="Q1031" s="35" t="s">
        <v>281</v>
      </c>
      <c r="R1031" s="36"/>
      <c r="S1031" s="38"/>
      <c r="T1031" s="41"/>
    </row>
    <row r="1032" spans="12:20" x14ac:dyDescent="0.25">
      <c r="L1032" s="2">
        <v>130</v>
      </c>
      <c r="M1032" s="23" t="s">
        <v>18</v>
      </c>
      <c r="N1032" s="23">
        <f>130/1</f>
        <v>130</v>
      </c>
      <c r="O1032" s="21">
        <f t="shared" si="20"/>
        <v>0</v>
      </c>
      <c r="P1032" s="25" t="s">
        <v>273</v>
      </c>
      <c r="Q1032" s="37"/>
      <c r="R1032" s="38"/>
      <c r="S1032" s="38"/>
      <c r="T1032" s="41"/>
    </row>
    <row r="1033" spans="12:20" x14ac:dyDescent="0.25">
      <c r="L1033" s="2">
        <v>131</v>
      </c>
      <c r="M1033" s="23" t="s">
        <v>19</v>
      </c>
      <c r="N1033" s="23">
        <f>131/1</f>
        <v>131</v>
      </c>
      <c r="O1033" s="21">
        <f t="shared" si="20"/>
        <v>0</v>
      </c>
      <c r="P1033" s="25" t="s">
        <v>273</v>
      </c>
      <c r="Q1033" s="37"/>
      <c r="R1033" s="38"/>
      <c r="S1033" s="38"/>
      <c r="T1033" s="41"/>
    </row>
    <row r="1034" spans="12:20" x14ac:dyDescent="0.25">
      <c r="L1034" s="2">
        <v>132</v>
      </c>
      <c r="M1034" s="23" t="s">
        <v>20</v>
      </c>
      <c r="N1034" s="23">
        <f>132/1</f>
        <v>132</v>
      </c>
      <c r="O1034" s="21">
        <f t="shared" si="20"/>
        <v>0</v>
      </c>
      <c r="P1034" s="25" t="s">
        <v>273</v>
      </c>
      <c r="Q1034" s="37"/>
      <c r="R1034" s="38"/>
      <c r="S1034" s="38"/>
      <c r="T1034" s="41"/>
    </row>
    <row r="1035" spans="12:20" x14ac:dyDescent="0.25">
      <c r="L1035" s="2">
        <v>133</v>
      </c>
      <c r="M1035" s="23" t="s">
        <v>21</v>
      </c>
      <c r="N1035" s="23">
        <f>133/1</f>
        <v>133</v>
      </c>
      <c r="O1035" s="21">
        <f t="shared" si="20"/>
        <v>0</v>
      </c>
      <c r="P1035" s="25" t="s">
        <v>273</v>
      </c>
      <c r="Q1035" s="37"/>
      <c r="R1035" s="38"/>
      <c r="S1035" s="38"/>
      <c r="T1035" s="41"/>
    </row>
    <row r="1036" spans="12:20" x14ac:dyDescent="0.25">
      <c r="L1036" s="2">
        <v>134</v>
      </c>
      <c r="M1036" s="23" t="s">
        <v>22</v>
      </c>
      <c r="N1036" s="23">
        <f>134/1</f>
        <v>134</v>
      </c>
      <c r="O1036" s="21">
        <f t="shared" si="20"/>
        <v>0</v>
      </c>
      <c r="P1036" s="25" t="s">
        <v>273</v>
      </c>
      <c r="Q1036" s="37"/>
      <c r="R1036" s="38"/>
      <c r="S1036" s="38"/>
      <c r="T1036" s="41"/>
    </row>
    <row r="1037" spans="12:20" x14ac:dyDescent="0.25">
      <c r="L1037" s="2">
        <v>135</v>
      </c>
      <c r="M1037" s="23" t="s">
        <v>23</v>
      </c>
      <c r="N1037" s="23">
        <f>135/1</f>
        <v>135</v>
      </c>
      <c r="O1037" s="21">
        <f t="shared" si="20"/>
        <v>0</v>
      </c>
      <c r="P1037" s="25" t="s">
        <v>273</v>
      </c>
      <c r="Q1037" s="37"/>
      <c r="R1037" s="38"/>
      <c r="S1037" s="38"/>
      <c r="T1037" s="41"/>
    </row>
    <row r="1038" spans="12:20" x14ac:dyDescent="0.25">
      <c r="L1038" s="2">
        <v>136</v>
      </c>
      <c r="M1038" s="23" t="s">
        <v>24</v>
      </c>
      <c r="N1038" s="23">
        <f>136/1</f>
        <v>136</v>
      </c>
      <c r="O1038" s="21">
        <f t="shared" si="20"/>
        <v>0</v>
      </c>
      <c r="P1038" s="25" t="s">
        <v>273</v>
      </c>
      <c r="Q1038" s="37"/>
      <c r="R1038" s="38"/>
      <c r="S1038" s="38"/>
      <c r="T1038" s="41"/>
    </row>
    <row r="1039" spans="12:20" x14ac:dyDescent="0.25">
      <c r="L1039" s="2">
        <v>137</v>
      </c>
      <c r="M1039" s="23" t="s">
        <v>25</v>
      </c>
      <c r="N1039" s="23">
        <f>137/1</f>
        <v>137</v>
      </c>
      <c r="O1039" s="21">
        <f t="shared" si="20"/>
        <v>0</v>
      </c>
      <c r="P1039" s="25" t="s">
        <v>273</v>
      </c>
      <c r="Q1039" s="37"/>
      <c r="R1039" s="38"/>
      <c r="S1039" s="38"/>
      <c r="T1039" s="41"/>
    </row>
    <row r="1040" spans="12:20" x14ac:dyDescent="0.25">
      <c r="L1040" s="2">
        <v>138</v>
      </c>
      <c r="M1040" s="23" t="s">
        <v>26</v>
      </c>
      <c r="N1040" s="23">
        <f>138/1</f>
        <v>138</v>
      </c>
      <c r="O1040" s="21">
        <f t="shared" si="20"/>
        <v>0</v>
      </c>
      <c r="P1040" s="25" t="s">
        <v>273</v>
      </c>
      <c r="Q1040" s="37"/>
      <c r="R1040" s="38"/>
      <c r="S1040" s="38"/>
      <c r="T1040" s="41"/>
    </row>
    <row r="1041" spans="12:20" x14ac:dyDescent="0.25">
      <c r="L1041" s="2">
        <v>139</v>
      </c>
      <c r="M1041" s="23" t="s">
        <v>27</v>
      </c>
      <c r="N1041" s="23">
        <f>139/1</f>
        <v>139</v>
      </c>
      <c r="O1041" s="21">
        <f t="shared" si="20"/>
        <v>0</v>
      </c>
      <c r="P1041" s="25" t="s">
        <v>273</v>
      </c>
      <c r="Q1041" s="37"/>
      <c r="R1041" s="38"/>
      <c r="S1041" s="38"/>
      <c r="T1041" s="41"/>
    </row>
    <row r="1042" spans="12:20" x14ac:dyDescent="0.25">
      <c r="L1042" s="2">
        <v>140</v>
      </c>
      <c r="M1042" s="23" t="s">
        <v>28</v>
      </c>
      <c r="N1042" s="23">
        <f>140/1</f>
        <v>140</v>
      </c>
      <c r="O1042" s="21">
        <f t="shared" si="20"/>
        <v>0</v>
      </c>
      <c r="P1042" s="25" t="s">
        <v>273</v>
      </c>
      <c r="Q1042" s="37"/>
      <c r="R1042" s="38"/>
      <c r="S1042" s="38"/>
      <c r="T1042" s="41"/>
    </row>
    <row r="1043" spans="12:20" x14ac:dyDescent="0.25">
      <c r="L1043" s="2">
        <v>141</v>
      </c>
      <c r="M1043" s="23" t="s">
        <v>29</v>
      </c>
      <c r="N1043" s="23">
        <f>141/1</f>
        <v>141</v>
      </c>
      <c r="O1043" s="21">
        <f t="shared" si="20"/>
        <v>0</v>
      </c>
      <c r="P1043" s="25" t="s">
        <v>273</v>
      </c>
      <c r="Q1043" s="37"/>
      <c r="R1043" s="38"/>
      <c r="S1043" s="38"/>
      <c r="T1043" s="41"/>
    </row>
    <row r="1044" spans="12:20" x14ac:dyDescent="0.25">
      <c r="L1044" s="2">
        <v>142</v>
      </c>
      <c r="M1044" s="23" t="s">
        <v>30</v>
      </c>
      <c r="N1044" s="23">
        <f>142/1</f>
        <v>142</v>
      </c>
      <c r="O1044" s="21">
        <f t="shared" si="20"/>
        <v>0</v>
      </c>
      <c r="P1044" s="25" t="s">
        <v>273</v>
      </c>
      <c r="Q1044" s="37"/>
      <c r="R1044" s="38"/>
      <c r="S1044" s="38"/>
      <c r="T1044" s="41"/>
    </row>
    <row r="1045" spans="12:20" x14ac:dyDescent="0.25">
      <c r="L1045" s="2">
        <v>143</v>
      </c>
      <c r="M1045" s="23" t="s">
        <v>31</v>
      </c>
      <c r="N1045" s="23">
        <f>143/1</f>
        <v>143</v>
      </c>
      <c r="O1045" s="21">
        <f t="shared" si="20"/>
        <v>0</v>
      </c>
      <c r="P1045" s="25" t="s">
        <v>273</v>
      </c>
      <c r="Q1045" s="37"/>
      <c r="R1045" s="38"/>
      <c r="S1045" s="38"/>
      <c r="T1045" s="41"/>
    </row>
    <row r="1046" spans="12:20" x14ac:dyDescent="0.25">
      <c r="L1046" s="2">
        <v>144</v>
      </c>
      <c r="M1046" s="23" t="s">
        <v>32</v>
      </c>
      <c r="N1046" s="23">
        <f>144/1</f>
        <v>144</v>
      </c>
      <c r="O1046" s="21">
        <f t="shared" si="20"/>
        <v>0</v>
      </c>
      <c r="P1046" s="25" t="s">
        <v>273</v>
      </c>
      <c r="Q1046" s="37"/>
      <c r="R1046" s="38"/>
      <c r="S1046" s="38"/>
      <c r="T1046" s="41"/>
    </row>
    <row r="1047" spans="12:20" x14ac:dyDescent="0.25">
      <c r="L1047" s="2">
        <v>145</v>
      </c>
      <c r="M1047" s="23" t="s">
        <v>33</v>
      </c>
      <c r="N1047" s="23">
        <f>145/1</f>
        <v>145</v>
      </c>
      <c r="O1047" s="21">
        <f t="shared" si="20"/>
        <v>0</v>
      </c>
      <c r="P1047" s="25" t="s">
        <v>273</v>
      </c>
      <c r="Q1047" s="37"/>
      <c r="R1047" s="38"/>
      <c r="S1047" s="38"/>
      <c r="T1047" s="41"/>
    </row>
    <row r="1048" spans="12:20" x14ac:dyDescent="0.25">
      <c r="L1048" s="2">
        <v>146</v>
      </c>
      <c r="M1048" s="23" t="s">
        <v>34</v>
      </c>
      <c r="N1048" s="23">
        <f>146/1</f>
        <v>146</v>
      </c>
      <c r="O1048" s="21">
        <f t="shared" si="20"/>
        <v>0</v>
      </c>
      <c r="P1048" s="25" t="s">
        <v>273</v>
      </c>
      <c r="Q1048" s="37"/>
      <c r="R1048" s="38"/>
      <c r="S1048" s="38"/>
      <c r="T1048" s="41"/>
    </row>
    <row r="1049" spans="12:20" x14ac:dyDescent="0.25">
      <c r="L1049" s="2">
        <v>147</v>
      </c>
      <c r="M1049" s="23" t="s">
        <v>35</v>
      </c>
      <c r="N1049" s="23">
        <f>147/1</f>
        <v>147</v>
      </c>
      <c r="O1049" s="21">
        <f t="shared" si="20"/>
        <v>0</v>
      </c>
      <c r="P1049" s="25" t="s">
        <v>273</v>
      </c>
      <c r="Q1049" s="37"/>
      <c r="R1049" s="38"/>
      <c r="S1049" s="38"/>
      <c r="T1049" s="41"/>
    </row>
    <row r="1050" spans="12:20" x14ac:dyDescent="0.25">
      <c r="L1050" s="2">
        <v>148</v>
      </c>
      <c r="M1050" s="23" t="s">
        <v>36</v>
      </c>
      <c r="N1050" s="23">
        <f>148/1</f>
        <v>148</v>
      </c>
      <c r="O1050" s="21">
        <f t="shared" si="20"/>
        <v>0</v>
      </c>
      <c r="P1050" s="25" t="s">
        <v>273</v>
      </c>
      <c r="Q1050" s="37"/>
      <c r="R1050" s="38"/>
      <c r="S1050" s="38"/>
      <c r="T1050" s="41"/>
    </row>
    <row r="1051" spans="12:20" x14ac:dyDescent="0.25">
      <c r="L1051" s="2">
        <v>149</v>
      </c>
      <c r="M1051" s="23" t="s">
        <v>37</v>
      </c>
      <c r="N1051" s="23">
        <f>149/1</f>
        <v>149</v>
      </c>
      <c r="O1051" s="21">
        <f t="shared" si="20"/>
        <v>0</v>
      </c>
      <c r="P1051" s="25" t="s">
        <v>273</v>
      </c>
      <c r="Q1051" s="37"/>
      <c r="R1051" s="38"/>
      <c r="S1051" s="38"/>
      <c r="T1051" s="41"/>
    </row>
    <row r="1052" spans="12:20" x14ac:dyDescent="0.25">
      <c r="L1052" s="2">
        <v>150</v>
      </c>
      <c r="M1052" s="23" t="s">
        <v>38</v>
      </c>
      <c r="N1052" s="23">
        <f>150/1</f>
        <v>150</v>
      </c>
      <c r="O1052" s="21">
        <f t="shared" si="20"/>
        <v>0</v>
      </c>
      <c r="P1052" s="25" t="s">
        <v>273</v>
      </c>
      <c r="Q1052" s="37"/>
      <c r="R1052" s="38"/>
      <c r="S1052" s="38"/>
      <c r="T1052" s="41"/>
    </row>
    <row r="1053" spans="12:20" x14ac:dyDescent="0.25">
      <c r="L1053" s="2">
        <v>151</v>
      </c>
      <c r="M1053" s="23" t="s">
        <v>39</v>
      </c>
      <c r="N1053" s="23">
        <f>151/1</f>
        <v>151</v>
      </c>
      <c r="O1053" s="21">
        <f t="shared" si="20"/>
        <v>0</v>
      </c>
      <c r="P1053" s="25" t="s">
        <v>273</v>
      </c>
      <c r="Q1053" s="37"/>
      <c r="R1053" s="38"/>
      <c r="S1053" s="38"/>
      <c r="T1053" s="41"/>
    </row>
    <row r="1054" spans="12:20" x14ac:dyDescent="0.25">
      <c r="L1054" s="2">
        <v>152</v>
      </c>
      <c r="M1054" s="23" t="s">
        <v>40</v>
      </c>
      <c r="N1054" s="23">
        <f>152/1</f>
        <v>152</v>
      </c>
      <c r="O1054" s="21">
        <f t="shared" si="20"/>
        <v>0</v>
      </c>
      <c r="P1054" s="25" t="s">
        <v>273</v>
      </c>
      <c r="Q1054" s="37"/>
      <c r="R1054" s="38"/>
      <c r="S1054" s="38"/>
      <c r="T1054" s="41"/>
    </row>
    <row r="1055" spans="12:20" x14ac:dyDescent="0.25">
      <c r="L1055" s="2">
        <v>153</v>
      </c>
      <c r="M1055" s="23" t="s">
        <v>41</v>
      </c>
      <c r="N1055" s="23">
        <f>153/1</f>
        <v>153</v>
      </c>
      <c r="O1055" s="21">
        <f t="shared" si="20"/>
        <v>0</v>
      </c>
      <c r="P1055" s="25" t="s">
        <v>273</v>
      </c>
      <c r="Q1055" s="37"/>
      <c r="R1055" s="38"/>
      <c r="S1055" s="38"/>
      <c r="T1055" s="41"/>
    </row>
    <row r="1056" spans="12:20" x14ac:dyDescent="0.25">
      <c r="L1056" s="2">
        <v>154</v>
      </c>
      <c r="M1056" s="23" t="s">
        <v>42</v>
      </c>
      <c r="N1056" s="23">
        <f>154/1</f>
        <v>154</v>
      </c>
      <c r="O1056" s="21">
        <f t="shared" si="20"/>
        <v>0</v>
      </c>
      <c r="P1056" s="25" t="s">
        <v>273</v>
      </c>
      <c r="Q1056" s="37"/>
      <c r="R1056" s="38"/>
      <c r="S1056" s="38"/>
      <c r="T1056" s="41"/>
    </row>
    <row r="1057" spans="12:20" x14ac:dyDescent="0.25">
      <c r="L1057" s="2">
        <v>155</v>
      </c>
      <c r="M1057" s="23" t="s">
        <v>43</v>
      </c>
      <c r="N1057" s="23">
        <f>155/1</f>
        <v>155</v>
      </c>
      <c r="O1057" s="21">
        <f t="shared" si="20"/>
        <v>0</v>
      </c>
      <c r="P1057" s="25" t="s">
        <v>273</v>
      </c>
      <c r="Q1057" s="37"/>
      <c r="R1057" s="38"/>
      <c r="S1057" s="38"/>
      <c r="T1057" s="41"/>
    </row>
    <row r="1058" spans="12:20" x14ac:dyDescent="0.25">
      <c r="L1058" s="2">
        <v>156</v>
      </c>
      <c r="M1058" s="23" t="s">
        <v>44</v>
      </c>
      <c r="N1058" s="23">
        <f>156/1</f>
        <v>156</v>
      </c>
      <c r="O1058" s="21">
        <f t="shared" si="20"/>
        <v>0</v>
      </c>
      <c r="P1058" s="25" t="s">
        <v>273</v>
      </c>
      <c r="Q1058" s="37"/>
      <c r="R1058" s="38"/>
      <c r="S1058" s="38"/>
      <c r="T1058" s="41"/>
    </row>
    <row r="1059" spans="12:20" x14ac:dyDescent="0.25">
      <c r="L1059" s="2">
        <v>157</v>
      </c>
      <c r="M1059" s="23" t="s">
        <v>45</v>
      </c>
      <c r="N1059" s="23">
        <f>157/1</f>
        <v>157</v>
      </c>
      <c r="O1059" s="21">
        <f t="shared" si="20"/>
        <v>0</v>
      </c>
      <c r="P1059" s="25" t="s">
        <v>273</v>
      </c>
      <c r="Q1059" s="37"/>
      <c r="R1059" s="38"/>
      <c r="S1059" s="38"/>
      <c r="T1059" s="41"/>
    </row>
    <row r="1060" spans="12:20" x14ac:dyDescent="0.25">
      <c r="L1060" s="2">
        <v>158</v>
      </c>
      <c r="M1060" s="23" t="s">
        <v>46</v>
      </c>
      <c r="N1060" s="23">
        <f>158/1</f>
        <v>158</v>
      </c>
      <c r="O1060" s="21">
        <f t="shared" si="20"/>
        <v>0</v>
      </c>
      <c r="P1060" s="25" t="s">
        <v>273</v>
      </c>
      <c r="Q1060" s="37"/>
      <c r="R1060" s="38"/>
      <c r="S1060" s="38"/>
      <c r="T1060" s="41"/>
    </row>
    <row r="1061" spans="12:20" x14ac:dyDescent="0.25">
      <c r="L1061" s="2">
        <v>159</v>
      </c>
      <c r="M1061" s="23" t="s">
        <v>47</v>
      </c>
      <c r="N1061" s="23">
        <f>159/1</f>
        <v>159</v>
      </c>
      <c r="O1061" s="21">
        <f t="shared" si="20"/>
        <v>0</v>
      </c>
      <c r="P1061" s="25" t="s">
        <v>273</v>
      </c>
      <c r="Q1061" s="37"/>
      <c r="R1061" s="38"/>
      <c r="S1061" s="38"/>
      <c r="T1061" s="41"/>
    </row>
    <row r="1062" spans="12:20" x14ac:dyDescent="0.25">
      <c r="L1062" s="2">
        <v>160</v>
      </c>
      <c r="M1062" s="23" t="s">
        <v>48</v>
      </c>
      <c r="N1062" s="23">
        <f>160/1</f>
        <v>160</v>
      </c>
      <c r="O1062" s="21">
        <f t="shared" si="20"/>
        <v>0</v>
      </c>
      <c r="P1062" s="25" t="s">
        <v>273</v>
      </c>
      <c r="Q1062" s="37"/>
      <c r="R1062" s="38"/>
      <c r="S1062" s="38"/>
      <c r="T1062" s="41"/>
    </row>
    <row r="1063" spans="12:20" x14ac:dyDescent="0.25">
      <c r="L1063" s="2">
        <v>161</v>
      </c>
      <c r="M1063" s="23" t="s">
        <v>50</v>
      </c>
      <c r="N1063" s="23">
        <f>161/1</f>
        <v>161</v>
      </c>
      <c r="O1063" s="21">
        <f t="shared" si="20"/>
        <v>0</v>
      </c>
      <c r="P1063" s="25" t="s">
        <v>273</v>
      </c>
      <c r="Q1063" s="37"/>
      <c r="R1063" s="38"/>
      <c r="S1063" s="38"/>
      <c r="T1063" s="41"/>
    </row>
    <row r="1064" spans="12:20" x14ac:dyDescent="0.25">
      <c r="L1064" s="2">
        <v>162</v>
      </c>
      <c r="M1064" s="23" t="s">
        <v>51</v>
      </c>
      <c r="N1064" s="23">
        <f>162/1</f>
        <v>162</v>
      </c>
      <c r="O1064" s="21">
        <f t="shared" si="20"/>
        <v>0</v>
      </c>
      <c r="P1064" s="25" t="s">
        <v>273</v>
      </c>
      <c r="Q1064" s="37"/>
      <c r="R1064" s="38"/>
      <c r="S1064" s="38"/>
      <c r="T1064" s="41"/>
    </row>
    <row r="1065" spans="12:20" x14ac:dyDescent="0.25">
      <c r="L1065" s="2">
        <v>163</v>
      </c>
      <c r="M1065" s="23" t="s">
        <v>52</v>
      </c>
      <c r="N1065" s="23">
        <f>163/1</f>
        <v>163</v>
      </c>
      <c r="O1065" s="21">
        <f t="shared" si="20"/>
        <v>0</v>
      </c>
      <c r="P1065" s="25" t="s">
        <v>273</v>
      </c>
      <c r="Q1065" s="37"/>
      <c r="R1065" s="38"/>
      <c r="S1065" s="38"/>
      <c r="T1065" s="41"/>
    </row>
    <row r="1066" spans="12:20" x14ac:dyDescent="0.25">
      <c r="L1066" s="2">
        <v>164</v>
      </c>
      <c r="M1066" s="23" t="s">
        <v>53</v>
      </c>
      <c r="N1066" s="23">
        <f>164/1</f>
        <v>164</v>
      </c>
      <c r="O1066" s="21">
        <f t="shared" si="20"/>
        <v>0</v>
      </c>
      <c r="P1066" s="25" t="s">
        <v>273</v>
      </c>
      <c r="Q1066" s="37"/>
      <c r="R1066" s="38"/>
      <c r="S1066" s="38"/>
      <c r="T1066" s="41"/>
    </row>
    <row r="1067" spans="12:20" x14ac:dyDescent="0.25">
      <c r="L1067" s="2">
        <v>165</v>
      </c>
      <c r="M1067" s="23" t="s">
        <v>54</v>
      </c>
      <c r="N1067" s="23">
        <f>165/1</f>
        <v>165</v>
      </c>
      <c r="O1067" s="21">
        <f t="shared" si="20"/>
        <v>0</v>
      </c>
      <c r="P1067" s="25" t="s">
        <v>273</v>
      </c>
      <c r="Q1067" s="37"/>
      <c r="R1067" s="38"/>
      <c r="S1067" s="38"/>
      <c r="T1067" s="41"/>
    </row>
    <row r="1068" spans="12:20" x14ac:dyDescent="0.25">
      <c r="L1068" s="2">
        <v>166</v>
      </c>
      <c r="M1068" s="23" t="s">
        <v>55</v>
      </c>
      <c r="N1068" s="23">
        <f>166/1</f>
        <v>166</v>
      </c>
      <c r="O1068" s="21">
        <f t="shared" si="20"/>
        <v>0</v>
      </c>
      <c r="P1068" s="25" t="s">
        <v>273</v>
      </c>
      <c r="Q1068" s="37"/>
      <c r="R1068" s="38"/>
      <c r="S1068" s="38"/>
      <c r="T1068" s="41"/>
    </row>
    <row r="1069" spans="12:20" x14ac:dyDescent="0.25">
      <c r="L1069" s="2">
        <v>167</v>
      </c>
      <c r="M1069" s="23" t="s">
        <v>56</v>
      </c>
      <c r="N1069" s="23">
        <f>167/1</f>
        <v>167</v>
      </c>
      <c r="O1069" s="21">
        <f t="shared" si="20"/>
        <v>0</v>
      </c>
      <c r="P1069" s="25" t="s">
        <v>273</v>
      </c>
      <c r="Q1069" s="37"/>
      <c r="R1069" s="38"/>
      <c r="S1069" s="38"/>
      <c r="T1069" s="41"/>
    </row>
    <row r="1070" spans="12:20" x14ac:dyDescent="0.25">
      <c r="L1070" s="2">
        <v>168</v>
      </c>
      <c r="M1070" s="23" t="s">
        <v>57</v>
      </c>
      <c r="N1070" s="23">
        <f>168/1</f>
        <v>168</v>
      </c>
      <c r="O1070" s="21">
        <f t="shared" si="20"/>
        <v>0</v>
      </c>
      <c r="P1070" s="25" t="s">
        <v>273</v>
      </c>
      <c r="Q1070" s="37"/>
      <c r="R1070" s="38"/>
      <c r="S1070" s="38"/>
      <c r="T1070" s="41"/>
    </row>
    <row r="1071" spans="12:20" x14ac:dyDescent="0.25">
      <c r="L1071" s="2">
        <v>169</v>
      </c>
      <c r="M1071" s="23" t="s">
        <v>58</v>
      </c>
      <c r="N1071" s="23">
        <f>169/1</f>
        <v>169</v>
      </c>
      <c r="O1071" s="21">
        <f t="shared" si="20"/>
        <v>0</v>
      </c>
      <c r="P1071" s="25" t="s">
        <v>273</v>
      </c>
      <c r="Q1071" s="37"/>
      <c r="R1071" s="38"/>
      <c r="S1071" s="38"/>
      <c r="T1071" s="41"/>
    </row>
    <row r="1072" spans="12:20" x14ac:dyDescent="0.25">
      <c r="L1072" s="2">
        <v>170</v>
      </c>
      <c r="M1072" s="23" t="s">
        <v>59</v>
      </c>
      <c r="N1072" s="23">
        <f>170/1</f>
        <v>170</v>
      </c>
      <c r="O1072" s="21">
        <f t="shared" si="20"/>
        <v>0</v>
      </c>
      <c r="P1072" s="25" t="s">
        <v>273</v>
      </c>
      <c r="Q1072" s="37"/>
      <c r="R1072" s="38"/>
      <c r="S1072" s="38"/>
      <c r="T1072" s="41"/>
    </row>
    <row r="1073" spans="12:20" x14ac:dyDescent="0.25">
      <c r="L1073" s="2">
        <v>171</v>
      </c>
      <c r="M1073" s="23" t="s">
        <v>60</v>
      </c>
      <c r="N1073" s="23">
        <f>171/1</f>
        <v>171</v>
      </c>
      <c r="O1073" s="21">
        <f t="shared" si="20"/>
        <v>0</v>
      </c>
      <c r="P1073" s="25" t="s">
        <v>273</v>
      </c>
      <c r="Q1073" s="37"/>
      <c r="R1073" s="38"/>
      <c r="S1073" s="38"/>
      <c r="T1073" s="41"/>
    </row>
    <row r="1074" spans="12:20" x14ac:dyDescent="0.25">
      <c r="L1074" s="2">
        <v>172</v>
      </c>
      <c r="M1074" s="23" t="s">
        <v>61</v>
      </c>
      <c r="N1074" s="23">
        <f>172/1</f>
        <v>172</v>
      </c>
      <c r="O1074" s="21">
        <f t="shared" si="20"/>
        <v>0</v>
      </c>
      <c r="P1074" s="25" t="s">
        <v>273</v>
      </c>
      <c r="Q1074" s="37"/>
      <c r="R1074" s="38"/>
      <c r="S1074" s="38"/>
      <c r="T1074" s="41"/>
    </row>
    <row r="1075" spans="12:20" x14ac:dyDescent="0.25">
      <c r="L1075" s="2">
        <v>173</v>
      </c>
      <c r="M1075" s="23" t="s">
        <v>62</v>
      </c>
      <c r="N1075" s="23">
        <f>173/1</f>
        <v>173</v>
      </c>
      <c r="O1075" s="21">
        <f t="shared" si="20"/>
        <v>0</v>
      </c>
      <c r="P1075" s="25" t="s">
        <v>273</v>
      </c>
      <c r="Q1075" s="37"/>
      <c r="R1075" s="38"/>
      <c r="S1075" s="38"/>
      <c r="T1075" s="41"/>
    </row>
    <row r="1076" spans="12:20" x14ac:dyDescent="0.25">
      <c r="L1076" s="2">
        <v>174</v>
      </c>
      <c r="M1076" s="23" t="s">
        <v>63</v>
      </c>
      <c r="N1076" s="23">
        <f>174/1</f>
        <v>174</v>
      </c>
      <c r="O1076" s="21">
        <f t="shared" si="20"/>
        <v>0</v>
      </c>
      <c r="P1076" s="25" t="s">
        <v>273</v>
      </c>
      <c r="Q1076" s="37"/>
      <c r="R1076" s="38"/>
      <c r="S1076" s="38"/>
      <c r="T1076" s="41"/>
    </row>
    <row r="1077" spans="12:20" x14ac:dyDescent="0.25">
      <c r="L1077" s="2">
        <v>175</v>
      </c>
      <c r="M1077" s="23" t="s">
        <v>64</v>
      </c>
      <c r="N1077" s="23">
        <f>175/1</f>
        <v>175</v>
      </c>
      <c r="O1077" s="21">
        <f t="shared" si="20"/>
        <v>0</v>
      </c>
      <c r="P1077" s="25" t="s">
        <v>273</v>
      </c>
      <c r="Q1077" s="37"/>
      <c r="R1077" s="38"/>
      <c r="S1077" s="38"/>
      <c r="T1077" s="41"/>
    </row>
    <row r="1078" spans="12:20" x14ac:dyDescent="0.25">
      <c r="L1078" s="2">
        <v>176</v>
      </c>
      <c r="M1078" s="23" t="s">
        <v>65</v>
      </c>
      <c r="N1078" s="23">
        <f>176/1</f>
        <v>176</v>
      </c>
      <c r="O1078" s="21">
        <f t="shared" si="20"/>
        <v>0</v>
      </c>
      <c r="P1078" s="25" t="s">
        <v>273</v>
      </c>
      <c r="Q1078" s="37"/>
      <c r="R1078" s="38"/>
      <c r="S1078" s="38"/>
      <c r="T1078" s="41"/>
    </row>
    <row r="1079" spans="12:20" x14ac:dyDescent="0.25">
      <c r="L1079" s="2">
        <v>177</v>
      </c>
      <c r="M1079" s="23" t="s">
        <v>66</v>
      </c>
      <c r="N1079" s="23">
        <f>177/1</f>
        <v>177</v>
      </c>
      <c r="O1079" s="21">
        <f t="shared" si="20"/>
        <v>0</v>
      </c>
      <c r="P1079" s="25" t="s">
        <v>273</v>
      </c>
      <c r="Q1079" s="37"/>
      <c r="R1079" s="38"/>
      <c r="S1079" s="38"/>
      <c r="T1079" s="41"/>
    </row>
    <row r="1080" spans="12:20" x14ac:dyDescent="0.25">
      <c r="L1080" s="2">
        <v>178</v>
      </c>
      <c r="M1080" s="23" t="s">
        <v>67</v>
      </c>
      <c r="N1080" s="23">
        <f>178/1</f>
        <v>178</v>
      </c>
      <c r="O1080" s="21">
        <f t="shared" si="20"/>
        <v>0</v>
      </c>
      <c r="P1080" s="25" t="s">
        <v>273</v>
      </c>
      <c r="Q1080" s="37"/>
      <c r="R1080" s="38"/>
      <c r="S1080" s="38"/>
      <c r="T1080" s="41"/>
    </row>
    <row r="1081" spans="12:20" x14ac:dyDescent="0.25">
      <c r="L1081" s="2">
        <v>179</v>
      </c>
      <c r="M1081" s="23" t="s">
        <v>68</v>
      </c>
      <c r="N1081" s="23">
        <f>179/1</f>
        <v>179</v>
      </c>
      <c r="O1081" s="21">
        <f t="shared" si="20"/>
        <v>0</v>
      </c>
      <c r="P1081" s="25" t="s">
        <v>273</v>
      </c>
      <c r="Q1081" s="37"/>
      <c r="R1081" s="38"/>
      <c r="S1081" s="38"/>
      <c r="T1081" s="41"/>
    </row>
    <row r="1082" spans="12:20" x14ac:dyDescent="0.25">
      <c r="L1082" s="2">
        <v>180</v>
      </c>
      <c r="M1082" s="23" t="s">
        <v>69</v>
      </c>
      <c r="N1082" s="23">
        <f>180/1</f>
        <v>180</v>
      </c>
      <c r="O1082" s="21">
        <f t="shared" si="20"/>
        <v>0</v>
      </c>
      <c r="P1082" s="25" t="s">
        <v>273</v>
      </c>
      <c r="Q1082" s="37"/>
      <c r="R1082" s="38"/>
      <c r="S1082" s="38"/>
      <c r="T1082" s="41"/>
    </row>
    <row r="1083" spans="12:20" x14ac:dyDescent="0.25">
      <c r="L1083" s="2">
        <v>181</v>
      </c>
      <c r="M1083" s="23" t="s">
        <v>70</v>
      </c>
      <c r="N1083" s="23">
        <f>181/1</f>
        <v>181</v>
      </c>
      <c r="O1083" s="21">
        <f t="shared" si="20"/>
        <v>0</v>
      </c>
      <c r="P1083" s="25" t="s">
        <v>273</v>
      </c>
      <c r="Q1083" s="37"/>
      <c r="R1083" s="38"/>
      <c r="S1083" s="38"/>
      <c r="T1083" s="41"/>
    </row>
    <row r="1084" spans="12:20" x14ac:dyDescent="0.25">
      <c r="L1084" s="2">
        <v>182</v>
      </c>
      <c r="M1084" s="23" t="s">
        <v>71</v>
      </c>
      <c r="N1084" s="23">
        <f>182/1</f>
        <v>182</v>
      </c>
      <c r="O1084" s="21">
        <f t="shared" si="20"/>
        <v>0</v>
      </c>
      <c r="P1084" s="25" t="s">
        <v>273</v>
      </c>
      <c r="Q1084" s="37"/>
      <c r="R1084" s="38"/>
      <c r="S1084" s="38"/>
      <c r="T1084" s="41"/>
    </row>
    <row r="1085" spans="12:20" x14ac:dyDescent="0.25">
      <c r="L1085" s="2">
        <v>183</v>
      </c>
      <c r="M1085" s="23" t="s">
        <v>72</v>
      </c>
      <c r="N1085" s="23">
        <f>183/1</f>
        <v>183</v>
      </c>
      <c r="O1085" s="21">
        <f t="shared" si="20"/>
        <v>0</v>
      </c>
      <c r="P1085" s="25" t="s">
        <v>273</v>
      </c>
      <c r="Q1085" s="37"/>
      <c r="R1085" s="38"/>
      <c r="S1085" s="38"/>
      <c r="T1085" s="41"/>
    </row>
    <row r="1086" spans="12:20" x14ac:dyDescent="0.25">
      <c r="L1086" s="2">
        <v>184</v>
      </c>
      <c r="M1086" s="23" t="s">
        <v>73</v>
      </c>
      <c r="N1086" s="23">
        <f>184/1</f>
        <v>184</v>
      </c>
      <c r="O1086" s="21">
        <f t="shared" si="20"/>
        <v>0</v>
      </c>
      <c r="P1086" s="25" t="s">
        <v>273</v>
      </c>
      <c r="Q1086" s="37"/>
      <c r="R1086" s="38"/>
      <c r="S1086" s="38"/>
      <c r="T1086" s="41"/>
    </row>
    <row r="1087" spans="12:20" x14ac:dyDescent="0.25">
      <c r="L1087" s="2">
        <v>185</v>
      </c>
      <c r="M1087" s="23" t="s">
        <v>74</v>
      </c>
      <c r="N1087" s="23">
        <f>185/1</f>
        <v>185</v>
      </c>
      <c r="O1087" s="21">
        <f t="shared" si="20"/>
        <v>0</v>
      </c>
      <c r="P1087" s="25" t="s">
        <v>273</v>
      </c>
      <c r="Q1087" s="37"/>
      <c r="R1087" s="38"/>
      <c r="S1087" s="38"/>
      <c r="T1087" s="41"/>
    </row>
    <row r="1088" spans="12:20" x14ac:dyDescent="0.25">
      <c r="L1088" s="2">
        <v>186</v>
      </c>
      <c r="M1088" s="23" t="s">
        <v>75</v>
      </c>
      <c r="N1088" s="23">
        <f>186/1</f>
        <v>186</v>
      </c>
      <c r="O1088" s="21">
        <f t="shared" si="20"/>
        <v>0</v>
      </c>
      <c r="P1088" s="25" t="s">
        <v>273</v>
      </c>
      <c r="Q1088" s="37"/>
      <c r="R1088" s="38"/>
      <c r="S1088" s="38"/>
      <c r="T1088" s="41"/>
    </row>
    <row r="1089" spans="12:20" x14ac:dyDescent="0.25">
      <c r="L1089" s="2">
        <v>187</v>
      </c>
      <c r="M1089" s="23" t="s">
        <v>76</v>
      </c>
      <c r="N1089" s="23">
        <f>187/1</f>
        <v>187</v>
      </c>
      <c r="O1089" s="21">
        <f t="shared" si="20"/>
        <v>0</v>
      </c>
      <c r="P1089" s="25" t="s">
        <v>273</v>
      </c>
      <c r="Q1089" s="37"/>
      <c r="R1089" s="38"/>
      <c r="S1089" s="38"/>
      <c r="T1089" s="41"/>
    </row>
    <row r="1090" spans="12:20" x14ac:dyDescent="0.25">
      <c r="L1090" s="2">
        <v>188</v>
      </c>
      <c r="M1090" s="23" t="s">
        <v>77</v>
      </c>
      <c r="N1090" s="23">
        <f>188/1</f>
        <v>188</v>
      </c>
      <c r="O1090" s="21">
        <f t="shared" si="20"/>
        <v>0</v>
      </c>
      <c r="P1090" s="25" t="s">
        <v>273</v>
      </c>
      <c r="Q1090" s="37"/>
      <c r="R1090" s="38"/>
      <c r="S1090" s="38"/>
      <c r="T1090" s="41"/>
    </row>
    <row r="1091" spans="12:20" x14ac:dyDescent="0.25">
      <c r="L1091" s="2">
        <v>189</v>
      </c>
      <c r="M1091" s="23" t="s">
        <v>78</v>
      </c>
      <c r="N1091" s="23">
        <f>189/1</f>
        <v>189</v>
      </c>
      <c r="O1091" s="21">
        <f t="shared" si="20"/>
        <v>0</v>
      </c>
      <c r="P1091" s="25" t="s">
        <v>273</v>
      </c>
      <c r="Q1091" s="37"/>
      <c r="R1091" s="38"/>
      <c r="S1091" s="38"/>
      <c r="T1091" s="41"/>
    </row>
    <row r="1092" spans="12:20" x14ac:dyDescent="0.25">
      <c r="L1092" s="2">
        <v>190</v>
      </c>
      <c r="M1092" s="23" t="s">
        <v>79</v>
      </c>
      <c r="N1092" s="23">
        <f>190/1</f>
        <v>190</v>
      </c>
      <c r="O1092" s="21">
        <f t="shared" si="20"/>
        <v>0</v>
      </c>
      <c r="P1092" s="25" t="s">
        <v>273</v>
      </c>
      <c r="Q1092" s="37"/>
      <c r="R1092" s="38"/>
      <c r="S1092" s="38"/>
      <c r="T1092" s="41"/>
    </row>
    <row r="1093" spans="12:20" x14ac:dyDescent="0.25">
      <c r="L1093" s="2">
        <v>191</v>
      </c>
      <c r="M1093" s="23" t="s">
        <v>80</v>
      </c>
      <c r="N1093" s="23">
        <f>191/1</f>
        <v>191</v>
      </c>
      <c r="O1093" s="21">
        <f t="shared" si="20"/>
        <v>0</v>
      </c>
      <c r="P1093" s="25" t="s">
        <v>273</v>
      </c>
      <c r="Q1093" s="37"/>
      <c r="R1093" s="38"/>
      <c r="S1093" s="38"/>
      <c r="T1093" s="41"/>
    </row>
    <row r="1094" spans="12:20" x14ac:dyDescent="0.25">
      <c r="L1094" s="2">
        <v>192</v>
      </c>
      <c r="M1094" s="23" t="s">
        <v>81</v>
      </c>
      <c r="N1094" s="23">
        <f>192/1</f>
        <v>192</v>
      </c>
      <c r="O1094" s="21">
        <f t="shared" si="20"/>
        <v>0</v>
      </c>
      <c r="P1094" s="25" t="s">
        <v>273</v>
      </c>
      <c r="Q1094" s="37"/>
      <c r="R1094" s="38"/>
      <c r="S1094" s="38"/>
      <c r="T1094" s="41"/>
    </row>
    <row r="1095" spans="12:20" x14ac:dyDescent="0.25">
      <c r="L1095" s="2">
        <v>193</v>
      </c>
      <c r="M1095" s="23" t="s">
        <v>82</v>
      </c>
      <c r="N1095" s="23">
        <f>193/1</f>
        <v>193</v>
      </c>
      <c r="O1095" s="21">
        <f t="shared" ref="O1095:O1157" si="21">ABS(L1095-N1095)</f>
        <v>0</v>
      </c>
      <c r="P1095" s="25" t="s">
        <v>273</v>
      </c>
      <c r="Q1095" s="37"/>
      <c r="R1095" s="38"/>
      <c r="S1095" s="38"/>
      <c r="T1095" s="41"/>
    </row>
    <row r="1096" spans="12:20" x14ac:dyDescent="0.25">
      <c r="L1096" s="2">
        <v>194</v>
      </c>
      <c r="M1096" s="23" t="s">
        <v>83</v>
      </c>
      <c r="N1096" s="23">
        <f>194/1</f>
        <v>194</v>
      </c>
      <c r="O1096" s="21">
        <f t="shared" si="21"/>
        <v>0</v>
      </c>
      <c r="P1096" s="25" t="s">
        <v>273</v>
      </c>
      <c r="Q1096" s="37"/>
      <c r="R1096" s="38"/>
      <c r="S1096" s="38"/>
      <c r="T1096" s="41"/>
    </row>
    <row r="1097" spans="12:20" x14ac:dyDescent="0.25">
      <c r="L1097" s="2">
        <v>195</v>
      </c>
      <c r="M1097" s="23" t="s">
        <v>84</v>
      </c>
      <c r="N1097" s="23">
        <f>195/1</f>
        <v>195</v>
      </c>
      <c r="O1097" s="21">
        <f t="shared" si="21"/>
        <v>0</v>
      </c>
      <c r="P1097" s="25" t="s">
        <v>273</v>
      </c>
      <c r="Q1097" s="37"/>
      <c r="R1097" s="38"/>
      <c r="S1097" s="38"/>
      <c r="T1097" s="41"/>
    </row>
    <row r="1098" spans="12:20" x14ac:dyDescent="0.25">
      <c r="L1098" s="2">
        <v>196</v>
      </c>
      <c r="M1098" s="23" t="s">
        <v>85</v>
      </c>
      <c r="N1098" s="23">
        <f>196/1</f>
        <v>196</v>
      </c>
      <c r="O1098" s="21">
        <f t="shared" si="21"/>
        <v>0</v>
      </c>
      <c r="P1098" s="25" t="s">
        <v>273</v>
      </c>
      <c r="Q1098" s="37"/>
      <c r="R1098" s="38"/>
      <c r="S1098" s="38"/>
      <c r="T1098" s="41"/>
    </row>
    <row r="1099" spans="12:20" x14ac:dyDescent="0.25">
      <c r="L1099" s="2">
        <v>197</v>
      </c>
      <c r="M1099" s="23" t="s">
        <v>86</v>
      </c>
      <c r="N1099" s="23">
        <f>197/1</f>
        <v>197</v>
      </c>
      <c r="O1099" s="21">
        <f t="shared" si="21"/>
        <v>0</v>
      </c>
      <c r="P1099" s="25" t="s">
        <v>273</v>
      </c>
      <c r="Q1099" s="37"/>
      <c r="R1099" s="38"/>
      <c r="S1099" s="38"/>
      <c r="T1099" s="41"/>
    </row>
    <row r="1100" spans="12:20" x14ac:dyDescent="0.25">
      <c r="L1100" s="2">
        <v>198</v>
      </c>
      <c r="M1100" s="23" t="s">
        <v>87</v>
      </c>
      <c r="N1100" s="23">
        <f>198/1</f>
        <v>198</v>
      </c>
      <c r="O1100" s="21">
        <f t="shared" si="21"/>
        <v>0</v>
      </c>
      <c r="P1100" s="25" t="s">
        <v>273</v>
      </c>
      <c r="Q1100" s="37"/>
      <c r="R1100" s="38"/>
      <c r="S1100" s="38"/>
      <c r="T1100" s="41"/>
    </row>
    <row r="1101" spans="12:20" x14ac:dyDescent="0.25">
      <c r="L1101" s="2">
        <v>199</v>
      </c>
      <c r="M1101" s="23" t="s">
        <v>88</v>
      </c>
      <c r="N1101" s="23">
        <f>199/1</f>
        <v>199</v>
      </c>
      <c r="O1101" s="21">
        <f t="shared" si="21"/>
        <v>0</v>
      </c>
      <c r="P1101" s="25" t="s">
        <v>273</v>
      </c>
      <c r="Q1101" s="37"/>
      <c r="R1101" s="38"/>
      <c r="S1101" s="38"/>
      <c r="T1101" s="41"/>
    </row>
    <row r="1102" spans="12:20" x14ac:dyDescent="0.25">
      <c r="L1102" s="2">
        <v>200</v>
      </c>
      <c r="M1102" s="23" t="s">
        <v>89</v>
      </c>
      <c r="N1102" s="23">
        <f>200/1</f>
        <v>200</v>
      </c>
      <c r="O1102" s="21">
        <f t="shared" si="21"/>
        <v>0</v>
      </c>
      <c r="P1102" s="25" t="s">
        <v>273</v>
      </c>
      <c r="Q1102" s="37"/>
      <c r="R1102" s="38"/>
      <c r="S1102" s="38"/>
      <c r="T1102" s="41"/>
    </row>
    <row r="1103" spans="12:20" x14ac:dyDescent="0.25">
      <c r="L1103" s="2">
        <v>201</v>
      </c>
      <c r="M1103" s="23" t="s">
        <v>90</v>
      </c>
      <c r="N1103" s="23">
        <f>201/1</f>
        <v>201</v>
      </c>
      <c r="O1103" s="21">
        <f t="shared" si="21"/>
        <v>0</v>
      </c>
      <c r="P1103" s="25" t="s">
        <v>273</v>
      </c>
      <c r="Q1103" s="37"/>
      <c r="R1103" s="38"/>
      <c r="S1103" s="38"/>
      <c r="T1103" s="41"/>
    </row>
    <row r="1104" spans="12:20" x14ac:dyDescent="0.25">
      <c r="L1104" s="2">
        <v>202</v>
      </c>
      <c r="M1104" s="23" t="s">
        <v>91</v>
      </c>
      <c r="N1104" s="23">
        <f>202/1</f>
        <v>202</v>
      </c>
      <c r="O1104" s="21">
        <f t="shared" si="21"/>
        <v>0</v>
      </c>
      <c r="P1104" s="25" t="s">
        <v>273</v>
      </c>
      <c r="Q1104" s="37"/>
      <c r="R1104" s="38"/>
      <c r="S1104" s="38"/>
      <c r="T1104" s="41"/>
    </row>
    <row r="1105" spans="12:20" x14ac:dyDescent="0.25">
      <c r="L1105" s="2">
        <v>203</v>
      </c>
      <c r="M1105" s="23" t="s">
        <v>92</v>
      </c>
      <c r="N1105" s="23">
        <f>203/1</f>
        <v>203</v>
      </c>
      <c r="O1105" s="21">
        <f t="shared" si="21"/>
        <v>0</v>
      </c>
      <c r="P1105" s="25" t="s">
        <v>273</v>
      </c>
      <c r="Q1105" s="37"/>
      <c r="R1105" s="38"/>
      <c r="S1105" s="38"/>
      <c r="T1105" s="41"/>
    </row>
    <row r="1106" spans="12:20" x14ac:dyDescent="0.25">
      <c r="L1106" s="2">
        <v>204</v>
      </c>
      <c r="M1106" s="23" t="s">
        <v>93</v>
      </c>
      <c r="N1106" s="23">
        <f>204/1</f>
        <v>204</v>
      </c>
      <c r="O1106" s="21">
        <f t="shared" si="21"/>
        <v>0</v>
      </c>
      <c r="P1106" s="25" t="s">
        <v>273</v>
      </c>
      <c r="Q1106" s="37"/>
      <c r="R1106" s="38"/>
      <c r="S1106" s="38"/>
      <c r="T1106" s="41"/>
    </row>
    <row r="1107" spans="12:20" x14ac:dyDescent="0.25">
      <c r="L1107" s="2">
        <v>205</v>
      </c>
      <c r="M1107" s="23" t="s">
        <v>94</v>
      </c>
      <c r="N1107" s="23">
        <f>205/1</f>
        <v>205</v>
      </c>
      <c r="O1107" s="21">
        <f t="shared" si="21"/>
        <v>0</v>
      </c>
      <c r="P1107" s="25" t="s">
        <v>273</v>
      </c>
      <c r="Q1107" s="37"/>
      <c r="R1107" s="38"/>
      <c r="S1107" s="38"/>
      <c r="T1107" s="41"/>
    </row>
    <row r="1108" spans="12:20" x14ac:dyDescent="0.25">
      <c r="L1108" s="2">
        <v>206</v>
      </c>
      <c r="M1108" s="23" t="s">
        <v>95</v>
      </c>
      <c r="N1108" s="23">
        <f>206/1</f>
        <v>206</v>
      </c>
      <c r="O1108" s="21">
        <f t="shared" si="21"/>
        <v>0</v>
      </c>
      <c r="P1108" s="25" t="s">
        <v>273</v>
      </c>
      <c r="Q1108" s="37"/>
      <c r="R1108" s="38"/>
      <c r="S1108" s="38"/>
      <c r="T1108" s="41"/>
    </row>
    <row r="1109" spans="12:20" x14ac:dyDescent="0.25">
      <c r="L1109" s="2">
        <v>207</v>
      </c>
      <c r="M1109" s="23" t="s">
        <v>96</v>
      </c>
      <c r="N1109" s="23">
        <f>207/1</f>
        <v>207</v>
      </c>
      <c r="O1109" s="21">
        <f t="shared" si="21"/>
        <v>0</v>
      </c>
      <c r="P1109" s="25" t="s">
        <v>273</v>
      </c>
      <c r="Q1109" s="37"/>
      <c r="R1109" s="38"/>
      <c r="S1109" s="38"/>
      <c r="T1109" s="41"/>
    </row>
    <row r="1110" spans="12:20" x14ac:dyDescent="0.25">
      <c r="L1110" s="2">
        <v>208</v>
      </c>
      <c r="M1110" s="23" t="s">
        <v>97</v>
      </c>
      <c r="N1110" s="23">
        <f>208/1</f>
        <v>208</v>
      </c>
      <c r="O1110" s="21">
        <f t="shared" si="21"/>
        <v>0</v>
      </c>
      <c r="P1110" s="25" t="s">
        <v>273</v>
      </c>
      <c r="Q1110" s="37"/>
      <c r="R1110" s="38"/>
      <c r="S1110" s="38"/>
      <c r="T1110" s="41"/>
    </row>
    <row r="1111" spans="12:20" x14ac:dyDescent="0.25">
      <c r="L1111" s="2">
        <v>209</v>
      </c>
      <c r="M1111" s="23" t="s">
        <v>98</v>
      </c>
      <c r="N1111" s="23">
        <f>209/1</f>
        <v>209</v>
      </c>
      <c r="O1111" s="21">
        <f t="shared" si="21"/>
        <v>0</v>
      </c>
      <c r="P1111" s="25" t="s">
        <v>273</v>
      </c>
      <c r="Q1111" s="37"/>
      <c r="R1111" s="38"/>
      <c r="S1111" s="38"/>
      <c r="T1111" s="41"/>
    </row>
    <row r="1112" spans="12:20" x14ac:dyDescent="0.25">
      <c r="L1112" s="2">
        <v>210</v>
      </c>
      <c r="M1112" s="23" t="s">
        <v>99</v>
      </c>
      <c r="N1112" s="23">
        <f>210/1</f>
        <v>210</v>
      </c>
      <c r="O1112" s="21">
        <f t="shared" si="21"/>
        <v>0</v>
      </c>
      <c r="P1112" s="25" t="s">
        <v>273</v>
      </c>
      <c r="Q1112" s="37"/>
      <c r="R1112" s="38"/>
      <c r="S1112" s="38"/>
      <c r="T1112" s="41"/>
    </row>
    <row r="1113" spans="12:20" x14ac:dyDescent="0.25">
      <c r="L1113" s="2">
        <v>211</v>
      </c>
      <c r="M1113" s="23" t="s">
        <v>100</v>
      </c>
      <c r="N1113" s="23">
        <f>211/1</f>
        <v>211</v>
      </c>
      <c r="O1113" s="21">
        <f t="shared" si="21"/>
        <v>0</v>
      </c>
      <c r="P1113" s="25" t="s">
        <v>273</v>
      </c>
      <c r="Q1113" s="37"/>
      <c r="R1113" s="38"/>
      <c r="S1113" s="38"/>
      <c r="T1113" s="41"/>
    </row>
    <row r="1114" spans="12:20" x14ac:dyDescent="0.25">
      <c r="L1114" s="2">
        <v>212</v>
      </c>
      <c r="M1114" s="23" t="s">
        <v>101</v>
      </c>
      <c r="N1114" s="23">
        <f>212/1</f>
        <v>212</v>
      </c>
      <c r="O1114" s="21">
        <f t="shared" si="21"/>
        <v>0</v>
      </c>
      <c r="P1114" s="25" t="s">
        <v>273</v>
      </c>
      <c r="Q1114" s="37"/>
      <c r="R1114" s="38"/>
      <c r="S1114" s="38"/>
      <c r="T1114" s="41"/>
    </row>
    <row r="1115" spans="12:20" x14ac:dyDescent="0.25">
      <c r="L1115" s="2">
        <v>213</v>
      </c>
      <c r="M1115" s="23" t="s">
        <v>102</v>
      </c>
      <c r="N1115" s="23">
        <f>213/1</f>
        <v>213</v>
      </c>
      <c r="O1115" s="21">
        <f t="shared" si="21"/>
        <v>0</v>
      </c>
      <c r="P1115" s="25" t="s">
        <v>273</v>
      </c>
      <c r="Q1115" s="37"/>
      <c r="R1115" s="38"/>
      <c r="S1115" s="38"/>
      <c r="T1115" s="41"/>
    </row>
    <row r="1116" spans="12:20" x14ac:dyDescent="0.25">
      <c r="L1116" s="2">
        <v>214</v>
      </c>
      <c r="M1116" s="23" t="s">
        <v>103</v>
      </c>
      <c r="N1116" s="23">
        <f>214/1</f>
        <v>214</v>
      </c>
      <c r="O1116" s="21">
        <f t="shared" si="21"/>
        <v>0</v>
      </c>
      <c r="P1116" s="25" t="s">
        <v>273</v>
      </c>
      <c r="Q1116" s="37"/>
      <c r="R1116" s="38"/>
      <c r="S1116" s="38"/>
      <c r="T1116" s="41"/>
    </row>
    <row r="1117" spans="12:20" x14ac:dyDescent="0.25">
      <c r="L1117" s="2">
        <v>215</v>
      </c>
      <c r="M1117" s="23" t="s">
        <v>104</v>
      </c>
      <c r="N1117" s="23">
        <f>215/1</f>
        <v>215</v>
      </c>
      <c r="O1117" s="21">
        <f t="shared" si="21"/>
        <v>0</v>
      </c>
      <c r="P1117" s="25" t="s">
        <v>273</v>
      </c>
      <c r="Q1117" s="37"/>
      <c r="R1117" s="38"/>
      <c r="S1117" s="38"/>
      <c r="T1117" s="41"/>
    </row>
    <row r="1118" spans="12:20" x14ac:dyDescent="0.25">
      <c r="L1118" s="2">
        <v>216</v>
      </c>
      <c r="M1118" s="23" t="s">
        <v>105</v>
      </c>
      <c r="N1118" s="23">
        <f>216/1</f>
        <v>216</v>
      </c>
      <c r="O1118" s="21">
        <f t="shared" si="21"/>
        <v>0</v>
      </c>
      <c r="P1118" s="25" t="s">
        <v>273</v>
      </c>
      <c r="Q1118" s="37"/>
      <c r="R1118" s="38"/>
      <c r="S1118" s="38"/>
      <c r="T1118" s="41"/>
    </row>
    <row r="1119" spans="12:20" x14ac:dyDescent="0.25">
      <c r="L1119" s="2">
        <v>217</v>
      </c>
      <c r="M1119" s="23" t="s">
        <v>106</v>
      </c>
      <c r="N1119" s="23">
        <f>217/1</f>
        <v>217</v>
      </c>
      <c r="O1119" s="21">
        <f t="shared" si="21"/>
        <v>0</v>
      </c>
      <c r="P1119" s="25" t="s">
        <v>273</v>
      </c>
      <c r="Q1119" s="37"/>
      <c r="R1119" s="38"/>
      <c r="S1119" s="38"/>
      <c r="T1119" s="41"/>
    </row>
    <row r="1120" spans="12:20" x14ac:dyDescent="0.25">
      <c r="L1120" s="2">
        <v>218</v>
      </c>
      <c r="M1120" s="23" t="s">
        <v>107</v>
      </c>
      <c r="N1120" s="23">
        <f>218/1</f>
        <v>218</v>
      </c>
      <c r="O1120" s="21">
        <f t="shared" si="21"/>
        <v>0</v>
      </c>
      <c r="P1120" s="25" t="s">
        <v>273</v>
      </c>
      <c r="Q1120" s="37"/>
      <c r="R1120" s="38"/>
      <c r="S1120" s="38"/>
      <c r="T1120" s="41"/>
    </row>
    <row r="1121" spans="12:20" x14ac:dyDescent="0.25">
      <c r="L1121" s="2">
        <v>219</v>
      </c>
      <c r="M1121" s="23" t="s">
        <v>108</v>
      </c>
      <c r="N1121" s="23">
        <f>219/1</f>
        <v>219</v>
      </c>
      <c r="O1121" s="21">
        <f t="shared" si="21"/>
        <v>0</v>
      </c>
      <c r="P1121" s="25" t="s">
        <v>273</v>
      </c>
      <c r="Q1121" s="37"/>
      <c r="R1121" s="38"/>
      <c r="S1121" s="38"/>
      <c r="T1121" s="41"/>
    </row>
    <row r="1122" spans="12:20" x14ac:dyDescent="0.25">
      <c r="L1122" s="2">
        <v>220</v>
      </c>
      <c r="M1122" s="23" t="s">
        <v>109</v>
      </c>
      <c r="N1122" s="23">
        <f>220/1</f>
        <v>220</v>
      </c>
      <c r="O1122" s="21">
        <f t="shared" si="21"/>
        <v>0</v>
      </c>
      <c r="P1122" s="25" t="s">
        <v>273</v>
      </c>
      <c r="Q1122" s="37"/>
      <c r="R1122" s="38"/>
      <c r="S1122" s="38"/>
      <c r="T1122" s="41"/>
    </row>
    <row r="1123" spans="12:20" x14ac:dyDescent="0.25">
      <c r="L1123" s="2">
        <v>221</v>
      </c>
      <c r="M1123" s="23" t="s">
        <v>110</v>
      </c>
      <c r="N1123" s="23">
        <f>221/1</f>
        <v>221</v>
      </c>
      <c r="O1123" s="21">
        <f t="shared" si="21"/>
        <v>0</v>
      </c>
      <c r="P1123" s="25" t="s">
        <v>273</v>
      </c>
      <c r="Q1123" s="37"/>
      <c r="R1123" s="38"/>
      <c r="S1123" s="38"/>
      <c r="T1123" s="41"/>
    </row>
    <row r="1124" spans="12:20" x14ac:dyDescent="0.25">
      <c r="L1124" s="2">
        <v>222</v>
      </c>
      <c r="M1124" s="23" t="s">
        <v>111</v>
      </c>
      <c r="N1124" s="23">
        <f>222/1</f>
        <v>222</v>
      </c>
      <c r="O1124" s="21">
        <f t="shared" si="21"/>
        <v>0</v>
      </c>
      <c r="P1124" s="25" t="s">
        <v>273</v>
      </c>
      <c r="Q1124" s="37"/>
      <c r="R1124" s="38"/>
      <c r="S1124" s="38"/>
      <c r="T1124" s="41"/>
    </row>
    <row r="1125" spans="12:20" x14ac:dyDescent="0.25">
      <c r="L1125" s="2">
        <v>223</v>
      </c>
      <c r="M1125" s="23" t="s">
        <v>112</v>
      </c>
      <c r="N1125" s="23">
        <f>223/1</f>
        <v>223</v>
      </c>
      <c r="O1125" s="21">
        <f t="shared" si="21"/>
        <v>0</v>
      </c>
      <c r="P1125" s="25" t="s">
        <v>273</v>
      </c>
      <c r="Q1125" s="37"/>
      <c r="R1125" s="38"/>
      <c r="S1125" s="38"/>
      <c r="T1125" s="41"/>
    </row>
    <row r="1126" spans="12:20" x14ac:dyDescent="0.25">
      <c r="L1126" s="2">
        <v>224</v>
      </c>
      <c r="M1126" s="23" t="s">
        <v>113</v>
      </c>
      <c r="N1126" s="23">
        <f>224/1</f>
        <v>224</v>
      </c>
      <c r="O1126" s="21">
        <f t="shared" si="21"/>
        <v>0</v>
      </c>
      <c r="P1126" s="25" t="s">
        <v>273</v>
      </c>
      <c r="Q1126" s="37"/>
      <c r="R1126" s="38"/>
      <c r="S1126" s="38"/>
      <c r="T1126" s="41"/>
    </row>
    <row r="1127" spans="12:20" x14ac:dyDescent="0.25">
      <c r="L1127" s="2">
        <v>225</v>
      </c>
      <c r="M1127" s="23" t="s">
        <v>114</v>
      </c>
      <c r="N1127" s="23">
        <f>225/1</f>
        <v>225</v>
      </c>
      <c r="O1127" s="21">
        <f t="shared" si="21"/>
        <v>0</v>
      </c>
      <c r="P1127" s="25" t="s">
        <v>273</v>
      </c>
      <c r="Q1127" s="37"/>
      <c r="R1127" s="38"/>
      <c r="S1127" s="38"/>
      <c r="T1127" s="41"/>
    </row>
    <row r="1128" spans="12:20" x14ac:dyDescent="0.25">
      <c r="L1128" s="2">
        <v>226</v>
      </c>
      <c r="M1128" s="23" t="s">
        <v>115</v>
      </c>
      <c r="N1128" s="23">
        <f>226/1</f>
        <v>226</v>
      </c>
      <c r="O1128" s="21">
        <f t="shared" si="21"/>
        <v>0</v>
      </c>
      <c r="P1128" s="25" t="s">
        <v>273</v>
      </c>
      <c r="Q1128" s="37"/>
      <c r="R1128" s="38"/>
      <c r="S1128" s="38"/>
      <c r="T1128" s="41"/>
    </row>
    <row r="1129" spans="12:20" x14ac:dyDescent="0.25">
      <c r="L1129" s="2">
        <v>227</v>
      </c>
      <c r="M1129" s="23" t="s">
        <v>116</v>
      </c>
      <c r="N1129" s="23">
        <f>227/1</f>
        <v>227</v>
      </c>
      <c r="O1129" s="21">
        <f t="shared" si="21"/>
        <v>0</v>
      </c>
      <c r="P1129" s="25" t="s">
        <v>273</v>
      </c>
      <c r="Q1129" s="37"/>
      <c r="R1129" s="38"/>
      <c r="S1129" s="38"/>
      <c r="T1129" s="41"/>
    </row>
    <row r="1130" spans="12:20" x14ac:dyDescent="0.25">
      <c r="L1130" s="2">
        <v>228</v>
      </c>
      <c r="M1130" s="23" t="s">
        <v>117</v>
      </c>
      <c r="N1130" s="23">
        <f>228/1</f>
        <v>228</v>
      </c>
      <c r="O1130" s="21">
        <f t="shared" si="21"/>
        <v>0</v>
      </c>
      <c r="P1130" s="25" t="s">
        <v>273</v>
      </c>
      <c r="Q1130" s="37"/>
      <c r="R1130" s="38"/>
      <c r="S1130" s="38"/>
      <c r="T1130" s="41"/>
    </row>
    <row r="1131" spans="12:20" x14ac:dyDescent="0.25">
      <c r="L1131" s="2">
        <v>229</v>
      </c>
      <c r="M1131" s="23" t="s">
        <v>118</v>
      </c>
      <c r="N1131" s="23">
        <f>229/1</f>
        <v>229</v>
      </c>
      <c r="O1131" s="21">
        <f t="shared" si="21"/>
        <v>0</v>
      </c>
      <c r="P1131" s="25" t="s">
        <v>273</v>
      </c>
      <c r="Q1131" s="37"/>
      <c r="R1131" s="38"/>
      <c r="S1131" s="38"/>
      <c r="T1131" s="41"/>
    </row>
    <row r="1132" spans="12:20" x14ac:dyDescent="0.25">
      <c r="L1132" s="2">
        <v>230</v>
      </c>
      <c r="M1132" s="23" t="s">
        <v>119</v>
      </c>
      <c r="N1132" s="23">
        <f>230/1</f>
        <v>230</v>
      </c>
      <c r="O1132" s="21">
        <f t="shared" si="21"/>
        <v>0</v>
      </c>
      <c r="P1132" s="25" t="s">
        <v>273</v>
      </c>
      <c r="Q1132" s="37"/>
      <c r="R1132" s="38"/>
      <c r="S1132" s="38"/>
      <c r="T1132" s="41"/>
    </row>
    <row r="1133" spans="12:20" x14ac:dyDescent="0.25">
      <c r="L1133" s="2">
        <v>231</v>
      </c>
      <c r="M1133" s="23" t="s">
        <v>120</v>
      </c>
      <c r="N1133" s="23">
        <f>231/1</f>
        <v>231</v>
      </c>
      <c r="O1133" s="21">
        <f t="shared" si="21"/>
        <v>0</v>
      </c>
      <c r="P1133" s="25" t="s">
        <v>273</v>
      </c>
      <c r="Q1133" s="37"/>
      <c r="R1133" s="38"/>
      <c r="S1133" s="38"/>
      <c r="T1133" s="41"/>
    </row>
    <row r="1134" spans="12:20" x14ac:dyDescent="0.25">
      <c r="L1134" s="2">
        <v>232</v>
      </c>
      <c r="M1134" s="23" t="s">
        <v>121</v>
      </c>
      <c r="N1134" s="23">
        <f>232/1</f>
        <v>232</v>
      </c>
      <c r="O1134" s="21">
        <f t="shared" si="21"/>
        <v>0</v>
      </c>
      <c r="P1134" s="25" t="s">
        <v>273</v>
      </c>
      <c r="Q1134" s="37"/>
      <c r="R1134" s="38"/>
      <c r="S1134" s="38"/>
      <c r="T1134" s="41"/>
    </row>
    <row r="1135" spans="12:20" x14ac:dyDescent="0.25">
      <c r="L1135" s="2">
        <v>233</v>
      </c>
      <c r="M1135" s="23" t="s">
        <v>122</v>
      </c>
      <c r="N1135" s="23">
        <f>233/1</f>
        <v>233</v>
      </c>
      <c r="O1135" s="21">
        <f t="shared" si="21"/>
        <v>0</v>
      </c>
      <c r="P1135" s="25" t="s">
        <v>273</v>
      </c>
      <c r="Q1135" s="37"/>
      <c r="R1135" s="38"/>
      <c r="S1135" s="38"/>
      <c r="T1135" s="41"/>
    </row>
    <row r="1136" spans="12:20" x14ac:dyDescent="0.25">
      <c r="L1136" s="2">
        <v>234</v>
      </c>
      <c r="M1136" s="23" t="s">
        <v>123</v>
      </c>
      <c r="N1136" s="23">
        <f>234/1</f>
        <v>234</v>
      </c>
      <c r="O1136" s="21">
        <f t="shared" si="21"/>
        <v>0</v>
      </c>
      <c r="P1136" s="25" t="s">
        <v>273</v>
      </c>
      <c r="Q1136" s="37"/>
      <c r="R1136" s="38"/>
      <c r="S1136" s="38"/>
      <c r="T1136" s="41"/>
    </row>
    <row r="1137" spans="12:20" x14ac:dyDescent="0.25">
      <c r="L1137" s="2">
        <v>235</v>
      </c>
      <c r="M1137" s="23" t="s">
        <v>124</v>
      </c>
      <c r="N1137" s="23">
        <f>235/1</f>
        <v>235</v>
      </c>
      <c r="O1137" s="21">
        <f t="shared" si="21"/>
        <v>0</v>
      </c>
      <c r="P1137" s="25" t="s">
        <v>273</v>
      </c>
      <c r="Q1137" s="37"/>
      <c r="R1137" s="38"/>
      <c r="S1137" s="38"/>
      <c r="T1137" s="41"/>
    </row>
    <row r="1138" spans="12:20" x14ac:dyDescent="0.25">
      <c r="L1138" s="2">
        <v>236</v>
      </c>
      <c r="M1138" s="23" t="s">
        <v>125</v>
      </c>
      <c r="N1138" s="23">
        <f>236/1</f>
        <v>236</v>
      </c>
      <c r="O1138" s="21">
        <f t="shared" si="21"/>
        <v>0</v>
      </c>
      <c r="P1138" s="25" t="s">
        <v>273</v>
      </c>
      <c r="Q1138" s="37"/>
      <c r="R1138" s="38"/>
      <c r="S1138" s="38"/>
      <c r="T1138" s="41"/>
    </row>
    <row r="1139" spans="12:20" x14ac:dyDescent="0.25">
      <c r="L1139" s="2">
        <v>237</v>
      </c>
      <c r="M1139" s="23" t="s">
        <v>126</v>
      </c>
      <c r="N1139" s="23">
        <f>237/1</f>
        <v>237</v>
      </c>
      <c r="O1139" s="21">
        <f t="shared" si="21"/>
        <v>0</v>
      </c>
      <c r="P1139" s="25" t="s">
        <v>273</v>
      </c>
      <c r="Q1139" s="37"/>
      <c r="R1139" s="38"/>
      <c r="S1139" s="38"/>
      <c r="T1139" s="41"/>
    </row>
    <row r="1140" spans="12:20" x14ac:dyDescent="0.25">
      <c r="L1140" s="2">
        <v>238</v>
      </c>
      <c r="M1140" s="23" t="s">
        <v>127</v>
      </c>
      <c r="N1140" s="23">
        <f>238/1</f>
        <v>238</v>
      </c>
      <c r="O1140" s="21">
        <f t="shared" si="21"/>
        <v>0</v>
      </c>
      <c r="P1140" s="25" t="s">
        <v>273</v>
      </c>
      <c r="Q1140" s="37"/>
      <c r="R1140" s="38"/>
      <c r="S1140" s="38"/>
      <c r="T1140" s="41"/>
    </row>
    <row r="1141" spans="12:20" x14ac:dyDescent="0.25">
      <c r="L1141" s="2">
        <v>239</v>
      </c>
      <c r="M1141" s="23" t="s">
        <v>128</v>
      </c>
      <c r="N1141" s="23">
        <f>239/1</f>
        <v>239</v>
      </c>
      <c r="O1141" s="21">
        <f t="shared" si="21"/>
        <v>0</v>
      </c>
      <c r="P1141" s="25" t="s">
        <v>273</v>
      </c>
      <c r="Q1141" s="37"/>
      <c r="R1141" s="38"/>
      <c r="S1141" s="38"/>
      <c r="T1141" s="41"/>
    </row>
    <row r="1142" spans="12:20" x14ac:dyDescent="0.25">
      <c r="L1142" s="2">
        <v>240</v>
      </c>
      <c r="M1142" s="23" t="s">
        <v>129</v>
      </c>
      <c r="N1142" s="23">
        <f>240/1</f>
        <v>240</v>
      </c>
      <c r="O1142" s="21">
        <f t="shared" si="21"/>
        <v>0</v>
      </c>
      <c r="P1142" s="25" t="s">
        <v>273</v>
      </c>
      <c r="Q1142" s="37"/>
      <c r="R1142" s="38"/>
      <c r="S1142" s="38"/>
      <c r="T1142" s="41"/>
    </row>
    <row r="1143" spans="12:20" x14ac:dyDescent="0.25">
      <c r="L1143" s="2">
        <v>241</v>
      </c>
      <c r="M1143" s="23" t="s">
        <v>130</v>
      </c>
      <c r="N1143" s="23">
        <f>241/1</f>
        <v>241</v>
      </c>
      <c r="O1143" s="21">
        <f t="shared" si="21"/>
        <v>0</v>
      </c>
      <c r="P1143" s="25" t="s">
        <v>273</v>
      </c>
      <c r="Q1143" s="37"/>
      <c r="R1143" s="38"/>
      <c r="S1143" s="38"/>
      <c r="T1143" s="41"/>
    </row>
    <row r="1144" spans="12:20" x14ac:dyDescent="0.25">
      <c r="L1144" s="2">
        <v>242</v>
      </c>
      <c r="M1144" s="23" t="s">
        <v>131</v>
      </c>
      <c r="N1144" s="23">
        <f>242/1</f>
        <v>242</v>
      </c>
      <c r="O1144" s="21">
        <f t="shared" si="21"/>
        <v>0</v>
      </c>
      <c r="P1144" s="25" t="s">
        <v>273</v>
      </c>
      <c r="Q1144" s="37"/>
      <c r="R1144" s="38"/>
      <c r="S1144" s="38"/>
      <c r="T1144" s="41"/>
    </row>
    <row r="1145" spans="12:20" x14ac:dyDescent="0.25">
      <c r="L1145" s="2">
        <v>243</v>
      </c>
      <c r="M1145" s="23" t="s">
        <v>132</v>
      </c>
      <c r="N1145" s="23">
        <f>243/1</f>
        <v>243</v>
      </c>
      <c r="O1145" s="21">
        <f t="shared" si="21"/>
        <v>0</v>
      </c>
      <c r="P1145" s="25" t="s">
        <v>273</v>
      </c>
      <c r="Q1145" s="37"/>
      <c r="R1145" s="38"/>
      <c r="S1145" s="38"/>
      <c r="T1145" s="41"/>
    </row>
    <row r="1146" spans="12:20" x14ac:dyDescent="0.25">
      <c r="L1146" s="2">
        <v>244</v>
      </c>
      <c r="M1146" s="23" t="s">
        <v>133</v>
      </c>
      <c r="N1146" s="23">
        <f>244/1</f>
        <v>244</v>
      </c>
      <c r="O1146" s="21">
        <f t="shared" si="21"/>
        <v>0</v>
      </c>
      <c r="P1146" s="25" t="s">
        <v>273</v>
      </c>
      <c r="Q1146" s="37"/>
      <c r="R1146" s="38"/>
      <c r="S1146" s="38"/>
      <c r="T1146" s="41"/>
    </row>
    <row r="1147" spans="12:20" x14ac:dyDescent="0.25">
      <c r="L1147" s="2">
        <v>245</v>
      </c>
      <c r="M1147" s="23" t="s">
        <v>134</v>
      </c>
      <c r="N1147" s="23">
        <f>245/1</f>
        <v>245</v>
      </c>
      <c r="O1147" s="21">
        <f t="shared" si="21"/>
        <v>0</v>
      </c>
      <c r="P1147" s="25" t="s">
        <v>273</v>
      </c>
      <c r="Q1147" s="37"/>
      <c r="R1147" s="38"/>
      <c r="S1147" s="38"/>
      <c r="T1147" s="41"/>
    </row>
    <row r="1148" spans="12:20" x14ac:dyDescent="0.25">
      <c r="L1148" s="2">
        <v>246</v>
      </c>
      <c r="M1148" s="23" t="s">
        <v>135</v>
      </c>
      <c r="N1148" s="23">
        <f>246/1</f>
        <v>246</v>
      </c>
      <c r="O1148" s="21">
        <f t="shared" si="21"/>
        <v>0</v>
      </c>
      <c r="P1148" s="25" t="s">
        <v>273</v>
      </c>
      <c r="Q1148" s="37"/>
      <c r="R1148" s="38"/>
      <c r="S1148" s="38"/>
      <c r="T1148" s="41"/>
    </row>
    <row r="1149" spans="12:20" x14ac:dyDescent="0.25">
      <c r="L1149" s="2">
        <v>247</v>
      </c>
      <c r="M1149" s="23" t="s">
        <v>136</v>
      </c>
      <c r="N1149" s="23">
        <f>247/1</f>
        <v>247</v>
      </c>
      <c r="O1149" s="21">
        <f t="shared" si="21"/>
        <v>0</v>
      </c>
      <c r="P1149" s="25" t="s">
        <v>273</v>
      </c>
      <c r="Q1149" s="37"/>
      <c r="R1149" s="38"/>
      <c r="S1149" s="38"/>
      <c r="T1149" s="41"/>
    </row>
    <row r="1150" spans="12:20" x14ac:dyDescent="0.25">
      <c r="L1150" s="2">
        <v>248</v>
      </c>
      <c r="M1150" s="23" t="s">
        <v>137</v>
      </c>
      <c r="N1150" s="23">
        <f>248/1</f>
        <v>248</v>
      </c>
      <c r="O1150" s="21">
        <f t="shared" si="21"/>
        <v>0</v>
      </c>
      <c r="P1150" s="25" t="s">
        <v>273</v>
      </c>
      <c r="Q1150" s="37"/>
      <c r="R1150" s="38"/>
      <c r="S1150" s="38"/>
      <c r="T1150" s="41"/>
    </row>
    <row r="1151" spans="12:20" x14ac:dyDescent="0.25">
      <c r="L1151" s="2">
        <v>249</v>
      </c>
      <c r="M1151" s="23" t="s">
        <v>138</v>
      </c>
      <c r="N1151" s="23">
        <f>249/1</f>
        <v>249</v>
      </c>
      <c r="O1151" s="21">
        <f t="shared" si="21"/>
        <v>0</v>
      </c>
      <c r="P1151" s="25" t="s">
        <v>273</v>
      </c>
      <c r="Q1151" s="37"/>
      <c r="R1151" s="38"/>
      <c r="S1151" s="38"/>
      <c r="T1151" s="41"/>
    </row>
    <row r="1152" spans="12:20" x14ac:dyDescent="0.25">
      <c r="L1152" s="2">
        <v>250</v>
      </c>
      <c r="M1152" s="23" t="s">
        <v>139</v>
      </c>
      <c r="N1152" s="23">
        <f>250/1</f>
        <v>250</v>
      </c>
      <c r="O1152" s="21">
        <f t="shared" si="21"/>
        <v>0</v>
      </c>
      <c r="P1152" s="25" t="s">
        <v>273</v>
      </c>
      <c r="Q1152" s="37"/>
      <c r="R1152" s="38"/>
      <c r="S1152" s="38"/>
      <c r="T1152" s="41"/>
    </row>
    <row r="1153" spans="12:20" x14ac:dyDescent="0.25">
      <c r="L1153" s="2">
        <v>251</v>
      </c>
      <c r="M1153" s="23" t="s">
        <v>140</v>
      </c>
      <c r="N1153" s="23">
        <f>251/1</f>
        <v>251</v>
      </c>
      <c r="O1153" s="21">
        <f t="shared" si="21"/>
        <v>0</v>
      </c>
      <c r="P1153" s="25" t="s">
        <v>273</v>
      </c>
      <c r="Q1153" s="37"/>
      <c r="R1153" s="38"/>
      <c r="S1153" s="38"/>
      <c r="T1153" s="41"/>
    </row>
    <row r="1154" spans="12:20" x14ac:dyDescent="0.25">
      <c r="L1154" s="2">
        <v>252</v>
      </c>
      <c r="M1154" s="23" t="s">
        <v>141</v>
      </c>
      <c r="N1154" s="23">
        <f>252/1</f>
        <v>252</v>
      </c>
      <c r="O1154" s="21">
        <f t="shared" si="21"/>
        <v>0</v>
      </c>
      <c r="P1154" s="25" t="s">
        <v>273</v>
      </c>
      <c r="Q1154" s="37"/>
      <c r="R1154" s="38"/>
      <c r="S1154" s="38"/>
      <c r="T1154" s="41"/>
    </row>
    <row r="1155" spans="12:20" x14ac:dyDescent="0.25">
      <c r="L1155" s="2">
        <v>253</v>
      </c>
      <c r="M1155" s="23" t="s">
        <v>142</v>
      </c>
      <c r="N1155" s="23">
        <f>253/1</f>
        <v>253</v>
      </c>
      <c r="O1155" s="21">
        <f t="shared" si="21"/>
        <v>0</v>
      </c>
      <c r="P1155" s="25" t="s">
        <v>273</v>
      </c>
      <c r="Q1155" s="37"/>
      <c r="R1155" s="38"/>
      <c r="S1155" s="38"/>
      <c r="T1155" s="41"/>
    </row>
    <row r="1156" spans="12:20" x14ac:dyDescent="0.25">
      <c r="L1156" s="2">
        <v>254</v>
      </c>
      <c r="M1156" s="23" t="s">
        <v>143</v>
      </c>
      <c r="N1156" s="23">
        <f>254/1</f>
        <v>254</v>
      </c>
      <c r="O1156" s="21">
        <f t="shared" si="21"/>
        <v>0</v>
      </c>
      <c r="P1156" s="25" t="s">
        <v>273</v>
      </c>
      <c r="Q1156" s="37"/>
      <c r="R1156" s="38"/>
      <c r="S1156" s="38"/>
      <c r="T1156" s="41"/>
    </row>
    <row r="1157" spans="12:20" x14ac:dyDescent="0.25">
      <c r="L1157" s="2">
        <v>255</v>
      </c>
      <c r="M1157" s="23" t="s">
        <v>144</v>
      </c>
      <c r="N1157" s="23">
        <f>255/1</f>
        <v>255</v>
      </c>
      <c r="O1157" s="21">
        <f t="shared" si="21"/>
        <v>0</v>
      </c>
      <c r="P1157" s="25" t="s">
        <v>273</v>
      </c>
      <c r="Q1157" s="39"/>
      <c r="R1157" s="40"/>
      <c r="S1157" s="40"/>
      <c r="T1157" s="42"/>
    </row>
  </sheetData>
  <sortState ref="L6:L2053">
    <sortCondition ref="L6"/>
  </sortState>
  <mergeCells count="13">
    <mergeCell ref="Q6:T261"/>
    <mergeCell ref="Q263:T389"/>
    <mergeCell ref="Q391:T517"/>
    <mergeCell ref="Q519:T645"/>
    <mergeCell ref="Q1031:T1157"/>
    <mergeCell ref="Q903:T1029"/>
    <mergeCell ref="Q647:T773"/>
    <mergeCell ref="Q775:T901"/>
    <mergeCell ref="C4:J4"/>
    <mergeCell ref="B2:E2"/>
    <mergeCell ref="G2:J2"/>
    <mergeCell ref="L5:M5"/>
    <mergeCell ref="Q5:T5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Unsigned 8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2020-02-11T02:08:19Z</dcterms:created>
  <dcterms:modified xsi:type="dcterms:W3CDTF">2020-02-12T03:20:51Z</dcterms:modified>
</cp:coreProperties>
</file>